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https://clearesult5.sharepoint.com/sites/MidAtlanticEngineering/Shared Documents/Potomac Edison/Phase VI/Calculators and Templates/6.03/Final Calcs/"/>
    </mc:Choice>
  </mc:AlternateContent>
  <xr:revisionPtr revIDLastSave="19" documentId="13_ncr:1_{543E2EEB-11DA-4094-BD76-D3E662C35756}" xr6:coauthVersionLast="47" xr6:coauthVersionMax="47" xr10:uidLastSave="{ECF7D319-DCE2-4D76-84C3-E94FD3C58DD5}"/>
  <workbookProtection workbookAlgorithmName="SHA-512" workbookHashValue="wBXmRhgy8KAa0Y7+FWGSKC0ljthYMQMw8XGJyF4xcu3/r6LnuQT9Slw/c0kdh7oHMOXrBHhwW6O64iZiQTW7dw==" workbookSaltValue="6dNKEeFufVOBkwxkJ9ziwQ==" workbookSpinCount="100000" lockStructure="1"/>
  <bookViews>
    <workbookView xWindow="57480" yWindow="-120" windowWidth="29040" windowHeight="15840" tabRatio="756" activeTab="2" xr2:uid="{00000000-000D-0000-FFFF-FFFF00000000}"/>
  </bookViews>
  <sheets>
    <sheet name="Instructions" sheetId="16" r:id="rId1"/>
    <sheet name="Methodology" sheetId="21" r:id="rId2"/>
    <sheet name="Summary" sheetId="30" r:id="rId3"/>
    <sheet name="Calculator" sheetId="4" r:id="rId4"/>
    <sheet name="Data Export" sheetId="34" state="hidden" r:id="rId5"/>
    <sheet name="Calculations" sheetId="5" state="hidden" r:id="rId6"/>
    <sheet name="Ice Machine Incentive Ref" sheetId="31" state="hidden" r:id="rId7"/>
    <sheet name="ETDF" sheetId="35" state="hidden" r:id="rId8"/>
    <sheet name="Version Log" sheetId="29" state="hidden" r:id="rId9"/>
  </sheets>
  <definedNames>
    <definedName name="BuildingTypeOven">Calculations!$U$140:$U$151</definedName>
    <definedName name="Curtains">Calculations!$E$36:$E$37</definedName>
    <definedName name="DishwasherTemp">Calculations!$C$317:$C$318</definedName>
    <definedName name="High">Calculations!$D$317:$D$321</definedName>
    <definedName name="Low">Calculations!$E$317:$E$320</definedName>
    <definedName name="_xlnm.Print_Area" localSheetId="3">Calculator!$B$2:$G$7</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30" l="1"/>
  <c r="N368" i="5"/>
  <c r="N367" i="5"/>
  <c r="N366" i="5"/>
  <c r="N365" i="5"/>
  <c r="J20" i="30" l="1"/>
  <c r="C119" i="4"/>
  <c r="C120" i="4"/>
  <c r="C127" i="4"/>
  <c r="C128" i="4"/>
  <c r="C129" i="4"/>
  <c r="C130" i="4"/>
  <c r="C106" i="4"/>
  <c r="C107" i="4"/>
  <c r="C108" i="4"/>
  <c r="C109" i="4"/>
  <c r="C110" i="4"/>
  <c r="C111" i="4"/>
  <c r="C112" i="4"/>
  <c r="C100" i="4"/>
  <c r="C90" i="4"/>
  <c r="C80" i="4"/>
  <c r="C81" i="4"/>
  <c r="C82" i="4"/>
  <c r="C71" i="4"/>
  <c r="C72" i="4"/>
  <c r="C73" i="4"/>
  <c r="B71" i="4"/>
  <c r="C64" i="4"/>
  <c r="C55" i="4"/>
  <c r="C56" i="4"/>
  <c r="C57" i="4"/>
  <c r="C47" i="4"/>
  <c r="C40" i="4"/>
  <c r="C27" i="4"/>
  <c r="C28" i="4"/>
  <c r="C29" i="4"/>
  <c r="C30" i="4"/>
  <c r="C31" i="4"/>
  <c r="C32" i="4"/>
  <c r="C33" i="4"/>
  <c r="C18" i="4"/>
  <c r="C19" i="4"/>
  <c r="C20" i="4"/>
  <c r="C17" i="4"/>
  <c r="C21" i="4" s="1"/>
  <c r="J12" i="30" s="1"/>
  <c r="B17" i="4"/>
  <c r="C9" i="4"/>
  <c r="C10" i="4"/>
  <c r="C11" i="4"/>
  <c r="G14" i="30" l="1"/>
  <c r="J205" i="5" l="1"/>
  <c r="Q205" i="5"/>
  <c r="J206" i="5"/>
  <c r="Q206" i="5"/>
  <c r="J207" i="5"/>
  <c r="Q207" i="5"/>
  <c r="D95" i="5"/>
  <c r="M95" i="5" s="1"/>
  <c r="D94" i="5"/>
  <c r="I94" i="5" s="1"/>
  <c r="F4" i="35"/>
  <c r="G4" i="35" s="1"/>
  <c r="J2" i="29"/>
  <c r="J3" i="29"/>
  <c r="J3" i="30" l="1"/>
  <c r="L2" i="4"/>
  <c r="J2" i="30"/>
  <c r="L1" i="4"/>
  <c r="H4" i="35"/>
  <c r="M94" i="5"/>
  <c r="I95" i="5"/>
  <c r="B18" i="4"/>
  <c r="B19" i="4"/>
  <c r="B20" i="4"/>
  <c r="D239" i="5"/>
  <c r="D240" i="5"/>
  <c r="D241" i="5"/>
  <c r="D242" i="5"/>
  <c r="D238" i="5"/>
  <c r="D223" i="5"/>
  <c r="D222" i="5"/>
  <c r="G23" i="30"/>
  <c r="G22" i="30"/>
  <c r="G21" i="30"/>
  <c r="G20" i="30"/>
  <c r="G19" i="30"/>
  <c r="G18" i="30"/>
  <c r="G17" i="30"/>
  <c r="G16" i="30"/>
  <c r="G15" i="30"/>
  <c r="G13" i="30"/>
  <c r="G12" i="30"/>
  <c r="G11" i="30"/>
  <c r="G7" i="30" l="1"/>
  <c r="C55" i="34" l="1"/>
  <c r="C56" i="34"/>
  <c r="C57" i="34"/>
  <c r="C58" i="34"/>
  <c r="C54" i="34"/>
  <c r="BM56" i="34" l="1"/>
  <c r="BN56" i="34"/>
  <c r="G56" i="34"/>
  <c r="AY56" i="34"/>
  <c r="BM55" i="34"/>
  <c r="BN55" i="34"/>
  <c r="F55" i="34"/>
  <c r="H55" i="34"/>
  <c r="S55" i="34"/>
  <c r="AY55" i="34"/>
  <c r="BG55" i="34"/>
  <c r="BH55" i="34"/>
  <c r="BN58" i="34"/>
  <c r="BM58" i="34"/>
  <c r="E58" i="34"/>
  <c r="F58" i="34"/>
  <c r="G58" i="34"/>
  <c r="H58" i="34"/>
  <c r="S58" i="34"/>
  <c r="AY58" i="34"/>
  <c r="AZ58" i="34"/>
  <c r="BG58" i="34"/>
  <c r="BH58" i="34"/>
  <c r="E56" i="34"/>
  <c r="F56" i="34"/>
  <c r="H56" i="34"/>
  <c r="S56" i="34"/>
  <c r="AZ56" i="34"/>
  <c r="BG56" i="34"/>
  <c r="BH56" i="34"/>
  <c r="BH54" i="34"/>
  <c r="BN54" i="34"/>
  <c r="BM54" i="34"/>
  <c r="E55" i="34"/>
  <c r="G55" i="34"/>
  <c r="AZ55" i="34"/>
  <c r="BN57" i="34"/>
  <c r="BM57" i="34"/>
  <c r="E57" i="34"/>
  <c r="F57" i="34"/>
  <c r="G57" i="34"/>
  <c r="H57" i="34"/>
  <c r="S57" i="34"/>
  <c r="AY57" i="34"/>
  <c r="AZ57" i="34"/>
  <c r="BG57" i="34"/>
  <c r="BH57" i="34"/>
  <c r="F54" i="34"/>
  <c r="G54" i="34"/>
  <c r="S54" i="34"/>
  <c r="H54" i="34"/>
  <c r="AY54" i="34"/>
  <c r="BG54" i="34"/>
  <c r="E54" i="34"/>
  <c r="AZ54" i="34"/>
  <c r="I291" i="5" l="1"/>
  <c r="I292" i="5"/>
  <c r="I293" i="5"/>
  <c r="I295" i="5"/>
  <c r="C365" i="5"/>
  <c r="C366" i="5"/>
  <c r="C367" i="5"/>
  <c r="C368" i="5"/>
  <c r="C364" i="5"/>
  <c r="B365" i="5"/>
  <c r="B366" i="5"/>
  <c r="B367" i="5"/>
  <c r="B368"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25" i="5"/>
  <c r="B364" i="5"/>
  <c r="N364" i="5" s="1"/>
  <c r="BB58" i="34" l="1"/>
  <c r="BB54" i="34"/>
  <c r="BB55" i="34"/>
  <c r="BB57" i="34"/>
  <c r="BB56" i="34"/>
  <c r="G364" i="5"/>
  <c r="BF54" i="34" s="1"/>
  <c r="D364" i="5"/>
  <c r="E364" i="5"/>
  <c r="V54" i="34" s="1"/>
  <c r="F364" i="5"/>
  <c r="G365" i="5"/>
  <c r="BF55" i="34" s="1"/>
  <c r="D368" i="5"/>
  <c r="L58" i="34" s="1"/>
  <c r="E365" i="5"/>
  <c r="V55" i="34" s="1"/>
  <c r="F366" i="5"/>
  <c r="BE56" i="34" s="1"/>
  <c r="G367" i="5"/>
  <c r="BF57" i="34" s="1"/>
  <c r="F367" i="5"/>
  <c r="BE57" i="34" s="1"/>
  <c r="D367" i="5"/>
  <c r="L57" i="34" s="1"/>
  <c r="E368" i="5"/>
  <c r="V58" i="34" s="1"/>
  <c r="F365" i="5"/>
  <c r="G366" i="5"/>
  <c r="BF56" i="34" s="1"/>
  <c r="D365" i="5"/>
  <c r="E366" i="5"/>
  <c r="V56" i="34" s="1"/>
  <c r="G368" i="5"/>
  <c r="BF58" i="34" s="1"/>
  <c r="D366" i="5"/>
  <c r="E367" i="5"/>
  <c r="V57" i="34" s="1"/>
  <c r="F368" i="5"/>
  <c r="BE58" i="34" s="1"/>
  <c r="C55" i="5"/>
  <c r="C56" i="5"/>
  <c r="C57" i="5"/>
  <c r="C58" i="5"/>
  <c r="C59" i="5"/>
  <c r="C60" i="5"/>
  <c r="C61" i="5"/>
  <c r="C54" i="5"/>
  <c r="B55" i="5"/>
  <c r="B56" i="5"/>
  <c r="B57" i="5"/>
  <c r="D57" i="5" s="1"/>
  <c r="B58" i="5"/>
  <c r="B59" i="5"/>
  <c r="B60" i="5"/>
  <c r="B61" i="5"/>
  <c r="E61" i="5" s="1"/>
  <c r="B54" i="5"/>
  <c r="F45" i="5"/>
  <c r="G45" i="5"/>
  <c r="F46" i="5"/>
  <c r="G46" i="5"/>
  <c r="F47" i="5"/>
  <c r="G47" i="5"/>
  <c r="F48" i="5"/>
  <c r="G48" i="5"/>
  <c r="F49" i="5"/>
  <c r="G49" i="5"/>
  <c r="F50" i="5"/>
  <c r="G50" i="5"/>
  <c r="G44" i="5"/>
  <c r="F44" i="5"/>
  <c r="E59" i="5" l="1"/>
  <c r="E60" i="5"/>
  <c r="E58" i="5"/>
  <c r="L367" i="5"/>
  <c r="K368" i="5"/>
  <c r="K366" i="5"/>
  <c r="L56" i="34"/>
  <c r="K365" i="5"/>
  <c r="L55" i="34"/>
  <c r="L365" i="5"/>
  <c r="BE55" i="34"/>
  <c r="L368" i="5"/>
  <c r="L366" i="5"/>
  <c r="K367" i="5"/>
  <c r="BE54" i="34"/>
  <c r="L364" i="5"/>
  <c r="L54" i="34"/>
  <c r="K364" i="5"/>
  <c r="L369" i="5"/>
  <c r="E56" i="5"/>
  <c r="E55" i="5"/>
  <c r="E54" i="5"/>
  <c r="J57" i="5"/>
  <c r="K57" i="5" s="1"/>
  <c r="J60" i="5"/>
  <c r="K60" i="5" s="1"/>
  <c r="J56" i="5"/>
  <c r="K56" i="5" s="1"/>
  <c r="J59" i="5"/>
  <c r="K59" i="5" s="1"/>
  <c r="J55" i="5"/>
  <c r="K55" i="5" s="1"/>
  <c r="J61" i="5"/>
  <c r="K61" i="5" s="1"/>
  <c r="J54" i="5"/>
  <c r="K54" i="5" s="1"/>
  <c r="J58" i="5"/>
  <c r="K58" i="5" s="1"/>
  <c r="E57" i="5"/>
  <c r="D59" i="5"/>
  <c r="D55" i="5"/>
  <c r="D54" i="5"/>
  <c r="D58" i="5"/>
  <c r="D61" i="5"/>
  <c r="D60" i="5"/>
  <c r="D56" i="5"/>
  <c r="H367" i="5" l="1"/>
  <c r="J367" i="5" s="1"/>
  <c r="I367" i="5"/>
  <c r="D128" i="4"/>
  <c r="D56" i="34" s="1"/>
  <c r="I366" i="5"/>
  <c r="H366" i="5"/>
  <c r="J366" i="5" s="1"/>
  <c r="I364" i="5"/>
  <c r="C126" i="4" s="1"/>
  <c r="C131" i="4" s="1"/>
  <c r="J23" i="30" s="1"/>
  <c r="H364" i="5"/>
  <c r="J364" i="5" s="1"/>
  <c r="B126" i="4" s="1"/>
  <c r="I368" i="5"/>
  <c r="H368" i="5"/>
  <c r="J368" i="5" s="1"/>
  <c r="D127" i="4"/>
  <c r="D55" i="34" s="1"/>
  <c r="H365" i="5"/>
  <c r="J365" i="5" s="1"/>
  <c r="I365" i="5"/>
  <c r="D130" i="4"/>
  <c r="D58" i="34" s="1"/>
  <c r="D126" i="4"/>
  <c r="D54" i="34" s="1"/>
  <c r="D129" i="4"/>
  <c r="D57" i="34" s="1"/>
  <c r="M368" i="5"/>
  <c r="BD58" i="34" s="1"/>
  <c r="BC58" i="34"/>
  <c r="M367" i="5"/>
  <c r="BD57" i="34" s="1"/>
  <c r="BC57" i="34"/>
  <c r="M366" i="5"/>
  <c r="BD56" i="34" s="1"/>
  <c r="BC56" i="34"/>
  <c r="M365" i="5"/>
  <c r="BD55" i="34" s="1"/>
  <c r="BC55" i="34"/>
  <c r="M364" i="5"/>
  <c r="BD54" i="34" s="1"/>
  <c r="BC54" i="34"/>
  <c r="BB11" i="34"/>
  <c r="I11" i="34"/>
  <c r="BB13" i="34"/>
  <c r="I13" i="34"/>
  <c r="BB14" i="34"/>
  <c r="I14" i="34"/>
  <c r="BB15" i="34"/>
  <c r="I15" i="34"/>
  <c r="BB10" i="34"/>
  <c r="I10" i="34"/>
  <c r="BB12" i="34"/>
  <c r="I12" i="34"/>
  <c r="BB17" i="34"/>
  <c r="BA17" i="34" s="1"/>
  <c r="I17" i="34"/>
  <c r="BB16" i="34"/>
  <c r="I16" i="34"/>
  <c r="S132" i="5"/>
  <c r="S133" i="5"/>
  <c r="S134" i="5"/>
  <c r="S135" i="5"/>
  <c r="AR54" i="34" l="1"/>
  <c r="AR56" i="34"/>
  <c r="B128" i="4"/>
  <c r="AR55" i="34"/>
  <c r="B127" i="4"/>
  <c r="AR57" i="34"/>
  <c r="B129" i="4"/>
  <c r="AR58" i="34"/>
  <c r="B130" i="4"/>
  <c r="D131" i="4"/>
  <c r="H23" i="30" s="1"/>
  <c r="B131" i="4" l="1"/>
  <c r="I23" i="30" s="1"/>
  <c r="B176" i="5"/>
  <c r="B175" i="5"/>
  <c r="B174" i="5"/>
  <c r="B173" i="5"/>
  <c r="AD173" i="5" s="1"/>
  <c r="E176" i="5"/>
  <c r="E175" i="5"/>
  <c r="E174" i="5"/>
  <c r="E173" i="5"/>
  <c r="K23" i="30" l="1"/>
  <c r="AD174" i="5"/>
  <c r="AD175" i="5"/>
  <c r="AD176" i="5"/>
  <c r="D152" i="5"/>
  <c r="D151" i="5"/>
  <c r="B100" i="4" l="1"/>
  <c r="I20" i="30" s="1"/>
  <c r="B90" i="4"/>
  <c r="B223" i="5"/>
  <c r="C223" i="5" s="1"/>
  <c r="D89" i="4" s="1"/>
  <c r="B222" i="5"/>
  <c r="C222" i="5" s="1"/>
  <c r="D88" i="4" s="1"/>
  <c r="B85" i="4"/>
  <c r="C36" i="34" l="1"/>
  <c r="AY36" i="34" s="1"/>
  <c r="C37" i="34"/>
  <c r="K20" i="30"/>
  <c r="D90" i="4"/>
  <c r="F36" i="34" l="1"/>
  <c r="BM36" i="34"/>
  <c r="E36" i="34"/>
  <c r="AZ36" i="34"/>
  <c r="Z36" i="34"/>
  <c r="AR36" i="34"/>
  <c r="BB36" i="34"/>
  <c r="BN36" i="34"/>
  <c r="AU36" i="34"/>
  <c r="D36" i="34"/>
  <c r="S36" i="34"/>
  <c r="AY37" i="34"/>
  <c r="Z37" i="34"/>
  <c r="BM37" i="34"/>
  <c r="BB37" i="34"/>
  <c r="AU37" i="34"/>
  <c r="AZ37" i="34"/>
  <c r="BN37" i="34"/>
  <c r="E37" i="34"/>
  <c r="D37" i="34"/>
  <c r="S37" i="34"/>
  <c r="AR37" i="34"/>
  <c r="F37" i="34"/>
  <c r="I2" i="30"/>
  <c r="I3" i="30"/>
  <c r="B27" i="5" l="1"/>
  <c r="B28" i="5"/>
  <c r="B29" i="5"/>
  <c r="B30" i="5"/>
  <c r="B31" i="5"/>
  <c r="C312" i="5" l="1"/>
  <c r="E312" i="5" s="1"/>
  <c r="B312" i="5"/>
  <c r="D312" i="5" l="1"/>
  <c r="K312" i="5" s="1"/>
  <c r="Q204" i="5"/>
  <c r="J204" i="5"/>
  <c r="C174" i="5"/>
  <c r="C175" i="5"/>
  <c r="C176" i="5"/>
  <c r="G133" i="5"/>
  <c r="G134" i="5"/>
  <c r="O134" i="5" s="1"/>
  <c r="G135" i="5"/>
  <c r="O135" i="5" s="1"/>
  <c r="G132" i="5"/>
  <c r="G131" i="5"/>
  <c r="O131" i="5" s="1"/>
  <c r="C309" i="5"/>
  <c r="O133" i="5" l="1"/>
  <c r="D176" i="5"/>
  <c r="V176" i="5" s="1"/>
  <c r="D175" i="5"/>
  <c r="V175" i="5" s="1"/>
  <c r="F312" i="5"/>
  <c r="J312" i="5" s="1"/>
  <c r="O132" i="5"/>
  <c r="D174" i="5"/>
  <c r="N174" i="5" s="1"/>
  <c r="B205" i="5"/>
  <c r="B206" i="5"/>
  <c r="B207" i="5"/>
  <c r="B204" i="5"/>
  <c r="H312" i="5" l="1"/>
  <c r="G312" i="5"/>
  <c r="I312" i="5" s="1"/>
  <c r="B120" i="4" s="1"/>
  <c r="D120" i="4"/>
  <c r="N176" i="5"/>
  <c r="R176" i="5"/>
  <c r="L176" i="5"/>
  <c r="U176" i="5"/>
  <c r="M176" i="5"/>
  <c r="Q176" i="5"/>
  <c r="I176" i="5"/>
  <c r="H176" i="5"/>
  <c r="T175" i="5"/>
  <c r="J176" i="5"/>
  <c r="P175" i="5"/>
  <c r="T176" i="5"/>
  <c r="P176" i="5"/>
  <c r="I175" i="5"/>
  <c r="L175" i="5"/>
  <c r="J175" i="5"/>
  <c r="U175" i="5"/>
  <c r="H175" i="5"/>
  <c r="Q175" i="5"/>
  <c r="M175" i="5"/>
  <c r="N175" i="5"/>
  <c r="R175" i="5"/>
  <c r="H174" i="5"/>
  <c r="M174" i="5"/>
  <c r="V174" i="5"/>
  <c r="U174" i="5"/>
  <c r="Q174" i="5"/>
  <c r="R174" i="5"/>
  <c r="T174" i="5"/>
  <c r="P174" i="5"/>
  <c r="I174" i="5"/>
  <c r="J174" i="5"/>
  <c r="L174" i="5"/>
  <c r="C310" i="5"/>
  <c r="E310" i="5" s="1"/>
  <c r="B311" i="5"/>
  <c r="C311" i="5"/>
  <c r="E311" i="5" s="1"/>
  <c r="B310" i="5"/>
  <c r="B115" i="4"/>
  <c r="E22" i="30"/>
  <c r="C51" i="34" l="1"/>
  <c r="BN51" i="34" s="1"/>
  <c r="C53" i="34"/>
  <c r="D53" i="34" s="1"/>
  <c r="C52" i="34"/>
  <c r="D310" i="5"/>
  <c r="D311" i="5"/>
  <c r="K311" i="5" s="1"/>
  <c r="F51" i="34" l="1"/>
  <c r="BB52" i="34"/>
  <c r="E51" i="34"/>
  <c r="BM51" i="34"/>
  <c r="AY51" i="34"/>
  <c r="AV51" i="34"/>
  <c r="AZ51" i="34"/>
  <c r="S51" i="34"/>
  <c r="Z51" i="34"/>
  <c r="AZ52" i="34"/>
  <c r="AV52" i="34"/>
  <c r="BM52" i="34"/>
  <c r="BN52" i="34"/>
  <c r="F52" i="34"/>
  <c r="E52" i="34"/>
  <c r="Z52" i="34"/>
  <c r="S52" i="34"/>
  <c r="AY52" i="34"/>
  <c r="AV53" i="34"/>
  <c r="S53" i="34"/>
  <c r="BN53" i="34"/>
  <c r="AZ53" i="34"/>
  <c r="BM53" i="34"/>
  <c r="E53" i="34"/>
  <c r="F53" i="34"/>
  <c r="Z53" i="34"/>
  <c r="AY53" i="34"/>
  <c r="BB53" i="34"/>
  <c r="AR53" i="34"/>
  <c r="K310" i="5"/>
  <c r="BB51" i="34" s="1"/>
  <c r="F311" i="5"/>
  <c r="J311" i="5" s="1"/>
  <c r="F310" i="5"/>
  <c r="J310" i="5" s="1"/>
  <c r="D8" i="31"/>
  <c r="D9" i="31"/>
  <c r="D10" i="31"/>
  <c r="D7" i="31"/>
  <c r="AN8" i="31"/>
  <c r="AN9" i="31"/>
  <c r="AN10" i="31"/>
  <c r="AN11" i="31"/>
  <c r="AN12" i="31"/>
  <c r="AN13" i="31"/>
  <c r="AN14" i="31"/>
  <c r="AN15" i="31"/>
  <c r="AN7" i="31"/>
  <c r="AE7" i="31"/>
  <c r="AE8" i="31"/>
  <c r="AE9" i="31"/>
  <c r="AE10" i="31"/>
  <c r="AE11" i="31"/>
  <c r="AE12" i="31"/>
  <c r="AE13" i="31"/>
  <c r="AE14" i="31"/>
  <c r="AE15" i="31"/>
  <c r="AE16" i="31"/>
  <c r="AE17" i="31"/>
  <c r="AE18" i="31"/>
  <c r="AE19" i="31"/>
  <c r="AE20" i="31"/>
  <c r="AE21" i="31"/>
  <c r="AE22" i="31"/>
  <c r="AE23" i="31"/>
  <c r="AE24" i="31"/>
  <c r="AE25" i="31"/>
  <c r="AE26" i="31"/>
  <c r="AE27" i="31"/>
  <c r="AE28" i="31"/>
  <c r="AE29" i="31"/>
  <c r="AE30" i="31"/>
  <c r="AE31" i="31"/>
  <c r="AE32" i="31"/>
  <c r="AE33" i="31"/>
  <c r="AE34" i="31"/>
  <c r="AE35" i="31"/>
  <c r="AE36" i="31"/>
  <c r="AE37" i="31"/>
  <c r="AE38" i="31"/>
  <c r="E15" i="31"/>
  <c r="E16" i="31"/>
  <c r="E17" i="31"/>
  <c r="E14" i="31"/>
  <c r="J13" i="31"/>
  <c r="H13" i="31"/>
  <c r="D13" i="31"/>
  <c r="G310" i="5" l="1"/>
  <c r="I310" i="5" s="1"/>
  <c r="B118" i="4" s="1"/>
  <c r="H310" i="5"/>
  <c r="C118" i="4" s="1"/>
  <c r="C121" i="4" s="1"/>
  <c r="J22" i="30" s="1"/>
  <c r="H311" i="5"/>
  <c r="G311" i="5"/>
  <c r="I311" i="5" s="1"/>
  <c r="B119" i="4" s="1"/>
  <c r="AR52" i="34" s="1"/>
  <c r="D119" i="4"/>
  <c r="D52" i="34" s="1"/>
  <c r="D118" i="4"/>
  <c r="D51" i="34" s="1"/>
  <c r="C15" i="31"/>
  <c r="C16" i="31"/>
  <c r="C17" i="31"/>
  <c r="C14" i="31"/>
  <c r="B239" i="5"/>
  <c r="B240" i="5"/>
  <c r="B241" i="5"/>
  <c r="B242" i="5"/>
  <c r="B238" i="5"/>
  <c r="B133" i="5"/>
  <c r="B134" i="5"/>
  <c r="B135" i="5"/>
  <c r="B132" i="5"/>
  <c r="B130" i="5"/>
  <c r="I13" i="31"/>
  <c r="L131" i="5"/>
  <c r="F13" i="31" s="1"/>
  <c r="M131" i="5"/>
  <c r="G13" i="31" s="1"/>
  <c r="D131" i="5"/>
  <c r="E131" i="5"/>
  <c r="L132" i="5"/>
  <c r="M132" i="5"/>
  <c r="Z132" i="5" s="1"/>
  <c r="I14" i="31"/>
  <c r="V14" i="31" s="1"/>
  <c r="L133" i="5"/>
  <c r="M133" i="5"/>
  <c r="Z133" i="5" s="1"/>
  <c r="I15" i="31"/>
  <c r="V15" i="31" s="1"/>
  <c r="L134" i="5"/>
  <c r="M134" i="5"/>
  <c r="Z134" i="5" s="1"/>
  <c r="I16" i="31"/>
  <c r="V16" i="31" s="1"/>
  <c r="L135" i="5"/>
  <c r="M135" i="5"/>
  <c r="Z135" i="5" s="1"/>
  <c r="I17" i="31"/>
  <c r="V17" i="31" s="1"/>
  <c r="D132" i="5"/>
  <c r="E132" i="5"/>
  <c r="D133" i="5"/>
  <c r="E133" i="5"/>
  <c r="D134" i="5"/>
  <c r="E134" i="5"/>
  <c r="D135" i="5"/>
  <c r="E135" i="5"/>
  <c r="B107" i="5"/>
  <c r="B108" i="5"/>
  <c r="B109" i="5"/>
  <c r="B110" i="5"/>
  <c r="B111" i="5"/>
  <c r="B112" i="5"/>
  <c r="B113" i="5"/>
  <c r="B114" i="5"/>
  <c r="B115" i="5"/>
  <c r="B116" i="5"/>
  <c r="B117" i="5"/>
  <c r="B118" i="5"/>
  <c r="B119" i="5"/>
  <c r="B120" i="5"/>
  <c r="B121" i="5"/>
  <c r="B122" i="5"/>
  <c r="B123" i="5"/>
  <c r="B124" i="5"/>
  <c r="B125" i="5"/>
  <c r="B126" i="5"/>
  <c r="B127" i="5"/>
  <c r="F134" i="5" l="1"/>
  <c r="C134" i="5" s="1"/>
  <c r="F132" i="5"/>
  <c r="C132" i="5" s="1"/>
  <c r="H132" i="5" s="1"/>
  <c r="F135" i="5"/>
  <c r="C135" i="5" s="1"/>
  <c r="H135" i="5" s="1"/>
  <c r="F133" i="5"/>
  <c r="C133" i="5" s="1"/>
  <c r="I133" i="5" s="1"/>
  <c r="G15" i="31"/>
  <c r="G16" i="31"/>
  <c r="K16" i="31" s="1"/>
  <c r="L16" i="31" s="1"/>
  <c r="G17" i="31"/>
  <c r="K17" i="31" s="1"/>
  <c r="L17" i="31" s="1"/>
  <c r="D121" i="4"/>
  <c r="H22" i="30" s="1"/>
  <c r="N132" i="5"/>
  <c r="K132" i="5" s="1"/>
  <c r="N134" i="5"/>
  <c r="C242" i="5"/>
  <c r="D99" i="4" s="1"/>
  <c r="C241" i="5"/>
  <c r="D98" i="4" s="1"/>
  <c r="C240" i="5"/>
  <c r="D97" i="4" s="1"/>
  <c r="C238" i="5"/>
  <c r="D95" i="4" s="1"/>
  <c r="C239" i="5"/>
  <c r="D96" i="4" s="1"/>
  <c r="N133" i="5"/>
  <c r="N135" i="5"/>
  <c r="F16" i="31"/>
  <c r="F15" i="31"/>
  <c r="F17" i="31"/>
  <c r="F14" i="31"/>
  <c r="AR51" i="34"/>
  <c r="G14" i="31"/>
  <c r="K14" i="31" s="1"/>
  <c r="Q132" i="5" l="1"/>
  <c r="P132" i="5"/>
  <c r="P15" i="31"/>
  <c r="Q15" i="31" s="1"/>
  <c r="R15" i="31" s="1"/>
  <c r="K15" i="31"/>
  <c r="L15" i="31" s="1"/>
  <c r="M15" i="31" s="1"/>
  <c r="P17" i="31"/>
  <c r="Q17" i="31" s="1"/>
  <c r="R17" i="31" s="1"/>
  <c r="P16" i="31"/>
  <c r="Q16" i="31" s="1"/>
  <c r="S16" i="31" s="1"/>
  <c r="B121" i="4"/>
  <c r="H14" i="31"/>
  <c r="D100" i="4"/>
  <c r="H20" i="30" s="1"/>
  <c r="D14" i="31"/>
  <c r="K134" i="5"/>
  <c r="H16" i="31"/>
  <c r="M17" i="31"/>
  <c r="N17" i="31"/>
  <c r="K133" i="5"/>
  <c r="Q133" i="5" s="1"/>
  <c r="H15" i="31"/>
  <c r="K135" i="5"/>
  <c r="H17" i="31"/>
  <c r="P14" i="31"/>
  <c r="Q14" i="31" s="1"/>
  <c r="L14" i="31"/>
  <c r="M14" i="31" s="1"/>
  <c r="N16" i="31"/>
  <c r="M16" i="31"/>
  <c r="H133" i="5"/>
  <c r="J133" i="5" s="1"/>
  <c r="I135" i="5"/>
  <c r="J135" i="5" s="1"/>
  <c r="I132" i="5"/>
  <c r="I134" i="5"/>
  <c r="H134" i="5"/>
  <c r="I22" i="30" l="1"/>
  <c r="K22" i="30" s="1"/>
  <c r="R132" i="5"/>
  <c r="T132" i="5" s="1"/>
  <c r="N15" i="31"/>
  <c r="O15" i="31" s="1"/>
  <c r="S15" i="31"/>
  <c r="R16" i="31"/>
  <c r="S17" i="31"/>
  <c r="P133" i="5"/>
  <c r="P135" i="5"/>
  <c r="Q135" i="5"/>
  <c r="Q134" i="5"/>
  <c r="P134" i="5"/>
  <c r="S14" i="31"/>
  <c r="R14" i="31"/>
  <c r="J134" i="5"/>
  <c r="J132" i="5"/>
  <c r="O16" i="31"/>
  <c r="D17" i="31"/>
  <c r="O17" i="31"/>
  <c r="D16" i="31"/>
  <c r="N14" i="31"/>
  <c r="D15" i="31"/>
  <c r="R134" i="5" l="1"/>
  <c r="X132" i="5"/>
  <c r="R135" i="5"/>
  <c r="R133" i="5"/>
  <c r="T14" i="31"/>
  <c r="O14" i="31"/>
  <c r="V132" i="5" l="1"/>
  <c r="C54" i="4" s="1"/>
  <c r="C58" i="4" s="1"/>
  <c r="J16" i="30" s="1"/>
  <c r="U132" i="5"/>
  <c r="W132" i="5" s="1"/>
  <c r="B54" i="4" s="1"/>
  <c r="D54" i="4"/>
  <c r="T135" i="5"/>
  <c r="X135" i="5" s="1"/>
  <c r="T134" i="5"/>
  <c r="X134" i="5" s="1"/>
  <c r="T133" i="5"/>
  <c r="X133" i="5" s="1"/>
  <c r="J14" i="31"/>
  <c r="U14" i="31" s="1"/>
  <c r="U133" i="5" l="1"/>
  <c r="W133" i="5" s="1"/>
  <c r="V133" i="5"/>
  <c r="U134" i="5"/>
  <c r="W134" i="5" s="1"/>
  <c r="V134" i="5"/>
  <c r="U135" i="5"/>
  <c r="W135" i="5" s="1"/>
  <c r="V135" i="5"/>
  <c r="B57" i="4"/>
  <c r="D57" i="4"/>
  <c r="D55" i="4"/>
  <c r="D56" i="4"/>
  <c r="J16" i="31"/>
  <c r="J17" i="31"/>
  <c r="J15" i="31"/>
  <c r="C289" i="5"/>
  <c r="D289" i="5"/>
  <c r="E289" i="5"/>
  <c r="G289" i="5"/>
  <c r="H289" i="5"/>
  <c r="C290" i="5"/>
  <c r="D290" i="5"/>
  <c r="E290" i="5"/>
  <c r="G290" i="5"/>
  <c r="H290" i="5"/>
  <c r="C291" i="5"/>
  <c r="D291" i="5"/>
  <c r="E291" i="5"/>
  <c r="G291" i="5"/>
  <c r="H291" i="5"/>
  <c r="C292" i="5"/>
  <c r="D292" i="5"/>
  <c r="E292" i="5"/>
  <c r="G292" i="5"/>
  <c r="H292" i="5"/>
  <c r="C293" i="5"/>
  <c r="D293" i="5"/>
  <c r="E293" i="5"/>
  <c r="G293" i="5"/>
  <c r="H293" i="5"/>
  <c r="C294" i="5"/>
  <c r="D294" i="5"/>
  <c r="E294" i="5"/>
  <c r="G294" i="5"/>
  <c r="H294" i="5"/>
  <c r="C295" i="5"/>
  <c r="D295" i="5"/>
  <c r="E295" i="5"/>
  <c r="G295" i="5"/>
  <c r="H295" i="5"/>
  <c r="H288" i="5"/>
  <c r="G288" i="5"/>
  <c r="D288" i="5"/>
  <c r="E288" i="5"/>
  <c r="C288" i="5"/>
  <c r="B102" i="4"/>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52" i="5"/>
  <c r="B92" i="4"/>
  <c r="B193" i="5"/>
  <c r="B194" i="5"/>
  <c r="B195" i="5"/>
  <c r="B196" i="5"/>
  <c r="B197" i="5"/>
  <c r="B198" i="5"/>
  <c r="B199" i="5"/>
  <c r="B192" i="5"/>
  <c r="E205" i="5"/>
  <c r="E206" i="5"/>
  <c r="E207" i="5"/>
  <c r="E204" i="5"/>
  <c r="F204" i="5" s="1"/>
  <c r="G204" i="5" s="1"/>
  <c r="S204" i="5" s="1"/>
  <c r="D205" i="5"/>
  <c r="D206" i="5"/>
  <c r="D207" i="5"/>
  <c r="D204" i="5"/>
  <c r="D202" i="5"/>
  <c r="B76" i="4"/>
  <c r="C173" i="5"/>
  <c r="B67" i="4"/>
  <c r="C152" i="5"/>
  <c r="S152" i="5" s="1"/>
  <c r="C151" i="5"/>
  <c r="S151" i="5" s="1"/>
  <c r="B152" i="5"/>
  <c r="B151" i="5"/>
  <c r="B60" i="4"/>
  <c r="B50" i="4"/>
  <c r="B95" i="5"/>
  <c r="B94" i="5"/>
  <c r="C95" i="5"/>
  <c r="T95" i="5" s="1"/>
  <c r="C94" i="5"/>
  <c r="B43" i="4"/>
  <c r="C78" i="5"/>
  <c r="S78" i="5" s="1"/>
  <c r="C77" i="5"/>
  <c r="S77" i="5" s="1"/>
  <c r="B77" i="5"/>
  <c r="B78" i="5"/>
  <c r="B36" i="4"/>
  <c r="B23" i="4"/>
  <c r="C28" i="5"/>
  <c r="G28" i="5" s="1"/>
  <c r="C29" i="5"/>
  <c r="G29" i="5" s="1"/>
  <c r="C30" i="5"/>
  <c r="G30" i="5" s="1"/>
  <c r="C31" i="5"/>
  <c r="G31" i="5" s="1"/>
  <c r="C27" i="5"/>
  <c r="B14" i="4"/>
  <c r="B17" i="5"/>
  <c r="C17" i="5"/>
  <c r="D17" i="5"/>
  <c r="B18" i="5"/>
  <c r="C18" i="5"/>
  <c r="D18" i="5"/>
  <c r="B19" i="5"/>
  <c r="C19" i="5"/>
  <c r="D19" i="5"/>
  <c r="B20" i="5"/>
  <c r="C20" i="5"/>
  <c r="D20" i="5"/>
  <c r="C16" i="5"/>
  <c r="D16" i="5"/>
  <c r="B16" i="5"/>
  <c r="B5" i="4"/>
  <c r="B10" i="5"/>
  <c r="B11" i="5"/>
  <c r="B12" i="5"/>
  <c r="B13" i="5"/>
  <c r="E9" i="5"/>
  <c r="T94" i="5" l="1"/>
  <c r="O94" i="5"/>
  <c r="N94" i="5"/>
  <c r="F207" i="5"/>
  <c r="G207" i="5" s="1"/>
  <c r="S207" i="5" s="1"/>
  <c r="K207" i="5"/>
  <c r="R207" i="5"/>
  <c r="F205" i="5"/>
  <c r="G205" i="5" s="1"/>
  <c r="S205" i="5" s="1"/>
  <c r="K205" i="5"/>
  <c r="R205" i="5"/>
  <c r="F206" i="5"/>
  <c r="G206" i="5" s="1"/>
  <c r="K206" i="5"/>
  <c r="R206" i="5"/>
  <c r="C10" i="34"/>
  <c r="AY10" i="34" s="1"/>
  <c r="C11" i="34"/>
  <c r="C15" i="34"/>
  <c r="C17" i="34"/>
  <c r="C14" i="34"/>
  <c r="C12" i="34"/>
  <c r="C16" i="34"/>
  <c r="C13" i="34"/>
  <c r="C26" i="34"/>
  <c r="AL26" i="34" s="1"/>
  <c r="C27" i="34"/>
  <c r="C6" i="34"/>
  <c r="AH6" i="34" s="1"/>
  <c r="C8" i="34"/>
  <c r="BB8" i="34" s="1"/>
  <c r="C9" i="34"/>
  <c r="C7" i="34"/>
  <c r="BB7" i="34" s="1"/>
  <c r="C20" i="34"/>
  <c r="BM20" i="34" s="1"/>
  <c r="C21" i="34"/>
  <c r="BB21" i="34" s="1"/>
  <c r="C18" i="34"/>
  <c r="AD18" i="34" s="1"/>
  <c r="C19" i="34"/>
  <c r="BB19" i="34" s="1"/>
  <c r="C28" i="34"/>
  <c r="AF28" i="34" s="1"/>
  <c r="C31" i="34"/>
  <c r="C30" i="34"/>
  <c r="C29" i="34"/>
  <c r="C5" i="34"/>
  <c r="T5" i="34" s="1"/>
  <c r="C4" i="34"/>
  <c r="AP4" i="34" s="1"/>
  <c r="C32" i="34"/>
  <c r="E32" i="34" s="1"/>
  <c r="C34" i="34"/>
  <c r="C35" i="34"/>
  <c r="C33" i="34"/>
  <c r="C43" i="34"/>
  <c r="BM43" i="34" s="1"/>
  <c r="C47" i="34"/>
  <c r="AV47" i="34" s="1"/>
  <c r="C44" i="34"/>
  <c r="Q44" i="34" s="1"/>
  <c r="C45" i="34"/>
  <c r="AV45" i="34" s="1"/>
  <c r="C49" i="34"/>
  <c r="Q49" i="34" s="1"/>
  <c r="C46" i="34"/>
  <c r="C50" i="34"/>
  <c r="R50" i="34" s="1"/>
  <c r="C48" i="34"/>
  <c r="AP48" i="34" s="1"/>
  <c r="C38" i="34"/>
  <c r="AZ38" i="34" s="1"/>
  <c r="C42" i="34"/>
  <c r="C40" i="34"/>
  <c r="C39" i="34"/>
  <c r="C41" i="34"/>
  <c r="C206" i="5"/>
  <c r="C204" i="5"/>
  <c r="O204" i="5" s="1"/>
  <c r="AB206" i="5"/>
  <c r="AB205" i="5"/>
  <c r="AB207" i="5"/>
  <c r="AB204" i="5"/>
  <c r="G175" i="5"/>
  <c r="F173" i="5"/>
  <c r="F175" i="5"/>
  <c r="G173" i="5"/>
  <c r="F174" i="5"/>
  <c r="G176" i="5"/>
  <c r="F176" i="5"/>
  <c r="G174" i="5"/>
  <c r="E151" i="5"/>
  <c r="F151" i="5"/>
  <c r="F152" i="5"/>
  <c r="E152" i="5"/>
  <c r="M18" i="5"/>
  <c r="M17" i="5"/>
  <c r="M20" i="5"/>
  <c r="M19" i="5"/>
  <c r="C22" i="34"/>
  <c r="W22" i="34" s="1"/>
  <c r="C23" i="34"/>
  <c r="W23" i="34" s="1"/>
  <c r="C24" i="34"/>
  <c r="W24" i="34" s="1"/>
  <c r="C25" i="34"/>
  <c r="W25" i="34" s="1"/>
  <c r="C2" i="34"/>
  <c r="C3" i="34"/>
  <c r="T3" i="34" s="1"/>
  <c r="O95" i="5"/>
  <c r="N95" i="5"/>
  <c r="S295" i="5"/>
  <c r="S291" i="5"/>
  <c r="S294" i="5"/>
  <c r="S290" i="5"/>
  <c r="S292" i="5"/>
  <c r="S293" i="5"/>
  <c r="S289" i="5"/>
  <c r="E16" i="30"/>
  <c r="E14" i="30"/>
  <c r="E18" i="30"/>
  <c r="E20" i="30"/>
  <c r="E11" i="30"/>
  <c r="E12" i="30"/>
  <c r="E15" i="30"/>
  <c r="E19" i="30"/>
  <c r="E13" i="30"/>
  <c r="E17" i="30"/>
  <c r="S288" i="5"/>
  <c r="P295" i="5"/>
  <c r="Q295" i="5" s="1"/>
  <c r="P291" i="5"/>
  <c r="Q291" i="5" s="1"/>
  <c r="I78" i="5"/>
  <c r="P288" i="5"/>
  <c r="Q288" i="5" s="1"/>
  <c r="P294" i="5"/>
  <c r="Q294" i="5" s="1"/>
  <c r="P290" i="5"/>
  <c r="Q290" i="5" s="1"/>
  <c r="B55" i="4"/>
  <c r="H77" i="5"/>
  <c r="P293" i="5"/>
  <c r="Q293" i="5" s="1"/>
  <c r="P289" i="5"/>
  <c r="Q289" i="5" s="1"/>
  <c r="P292" i="5"/>
  <c r="Q292" i="5" s="1"/>
  <c r="B56" i="4"/>
  <c r="D31" i="5"/>
  <c r="D30" i="5"/>
  <c r="D29" i="5"/>
  <c r="D28" i="5"/>
  <c r="I59" i="5"/>
  <c r="I61" i="5"/>
  <c r="I58" i="5"/>
  <c r="I60" i="5"/>
  <c r="R204" i="5"/>
  <c r="K204" i="5"/>
  <c r="D173" i="5"/>
  <c r="L152" i="5"/>
  <c r="I152" i="5"/>
  <c r="H152" i="5"/>
  <c r="G152" i="5"/>
  <c r="L151" i="5"/>
  <c r="K151" i="5"/>
  <c r="J151" i="5"/>
  <c r="G151" i="5"/>
  <c r="I151" i="5"/>
  <c r="H151" i="5"/>
  <c r="F289" i="5"/>
  <c r="B289" i="5" s="1"/>
  <c r="F292" i="5"/>
  <c r="B292" i="5" s="1"/>
  <c r="K292" i="5" s="1"/>
  <c r="F293" i="5"/>
  <c r="B293" i="5" s="1"/>
  <c r="F295" i="5"/>
  <c r="B295" i="5" s="1"/>
  <c r="J295" i="5" s="1"/>
  <c r="F291" i="5"/>
  <c r="B291" i="5" s="1"/>
  <c r="F288" i="5"/>
  <c r="B288" i="5" s="1"/>
  <c r="I288" i="5" s="1"/>
  <c r="F294" i="5"/>
  <c r="B294" i="5" s="1"/>
  <c r="F290" i="5"/>
  <c r="B290" i="5" s="1"/>
  <c r="I290" i="5" s="1"/>
  <c r="I57" i="5"/>
  <c r="I56" i="5"/>
  <c r="I55" i="5"/>
  <c r="I54" i="5"/>
  <c r="K152" i="5"/>
  <c r="J152" i="5"/>
  <c r="D78" i="5"/>
  <c r="J78" i="5"/>
  <c r="E77" i="5"/>
  <c r="J77" i="5"/>
  <c r="G77" i="5"/>
  <c r="G78" i="5"/>
  <c r="I77" i="5"/>
  <c r="H78" i="5"/>
  <c r="D77" i="5"/>
  <c r="F77" i="5"/>
  <c r="E78" i="5"/>
  <c r="F78" i="5"/>
  <c r="B21" i="4"/>
  <c r="E18" i="5"/>
  <c r="G18" i="5" s="1"/>
  <c r="E17" i="5"/>
  <c r="F17" i="5" s="1"/>
  <c r="E20" i="5"/>
  <c r="H20" i="5" s="1"/>
  <c r="E19" i="5"/>
  <c r="G19" i="5" s="1"/>
  <c r="I12" i="30" l="1"/>
  <c r="D32" i="4"/>
  <c r="D16" i="34" s="1"/>
  <c r="F60" i="5"/>
  <c r="H60" i="5" s="1"/>
  <c r="B32" i="4" s="1"/>
  <c r="AR16" i="34" s="1"/>
  <c r="G60" i="5"/>
  <c r="D29" i="4"/>
  <c r="D13" i="34" s="1"/>
  <c r="F57" i="5"/>
  <c r="H57" i="5" s="1"/>
  <c r="B29" i="4" s="1"/>
  <c r="AR13" i="34" s="1"/>
  <c r="G57" i="5"/>
  <c r="D30" i="4"/>
  <c r="D14" i="34" s="1"/>
  <c r="G58" i="5"/>
  <c r="F58" i="5"/>
  <c r="H58" i="5" s="1"/>
  <c r="B30" i="4" s="1"/>
  <c r="D31" i="4"/>
  <c r="D15" i="34" s="1"/>
  <c r="F59" i="5"/>
  <c r="H59" i="5" s="1"/>
  <c r="B31" i="4" s="1"/>
  <c r="AR15" i="34" s="1"/>
  <c r="G59" i="5"/>
  <c r="D27" i="4"/>
  <c r="F55" i="5"/>
  <c r="H55" i="5" s="1"/>
  <c r="B27" i="4" s="1"/>
  <c r="AR11" i="34" s="1"/>
  <c r="G55" i="5"/>
  <c r="D28" i="4"/>
  <c r="D12" i="34" s="1"/>
  <c r="F56" i="5"/>
  <c r="H56" i="5" s="1"/>
  <c r="B28" i="4" s="1"/>
  <c r="G56" i="5"/>
  <c r="D26" i="4"/>
  <c r="F54" i="5"/>
  <c r="H54" i="5" s="1"/>
  <c r="B26" i="4" s="1"/>
  <c r="G54" i="5"/>
  <c r="C26" i="4" s="1"/>
  <c r="C34" i="4" s="1"/>
  <c r="J13" i="30" s="1"/>
  <c r="D33" i="4"/>
  <c r="D17" i="34" s="1"/>
  <c r="F61" i="5"/>
  <c r="H61" i="5" s="1"/>
  <c r="B33" i="4" s="1"/>
  <c r="AR17" i="34" s="1"/>
  <c r="G61" i="5"/>
  <c r="S10" i="34"/>
  <c r="F30" i="5"/>
  <c r="D19" i="4" s="1"/>
  <c r="D8" i="34" s="1"/>
  <c r="F31" i="5"/>
  <c r="D20" i="4" s="1"/>
  <c r="D9" i="34" s="1"/>
  <c r="F28" i="5"/>
  <c r="D17" i="4" s="1"/>
  <c r="D6" i="34" s="1"/>
  <c r="E18" i="34"/>
  <c r="F29" i="5"/>
  <c r="D18" i="4" s="1"/>
  <c r="C207" i="5"/>
  <c r="I207" i="5" s="1"/>
  <c r="L207" i="5" s="1"/>
  <c r="BM6" i="34"/>
  <c r="C205" i="5"/>
  <c r="H205" i="5" s="1"/>
  <c r="AZ10" i="34"/>
  <c r="AY26" i="34"/>
  <c r="H206" i="5"/>
  <c r="I206" i="5"/>
  <c r="L206" i="5" s="1"/>
  <c r="O206" i="5"/>
  <c r="U206" i="5" s="1"/>
  <c r="BN38" i="34"/>
  <c r="BM26" i="34"/>
  <c r="S206" i="5"/>
  <c r="S26" i="34"/>
  <c r="E10" i="34"/>
  <c r="AK32" i="34"/>
  <c r="AM28" i="34"/>
  <c r="AY28" i="34"/>
  <c r="BB6" i="34"/>
  <c r="BM28" i="34"/>
  <c r="BN6" i="34"/>
  <c r="AJ5" i="34"/>
  <c r="BB26" i="34"/>
  <c r="AN10" i="34"/>
  <c r="F10" i="34"/>
  <c r="BM32" i="34"/>
  <c r="AS49" i="34"/>
  <c r="AY38" i="34"/>
  <c r="BN26" i="34"/>
  <c r="AP10" i="34"/>
  <c r="BM10" i="34"/>
  <c r="D38" i="34"/>
  <c r="AF26" i="34"/>
  <c r="BN10" i="34"/>
  <c r="AP49" i="34"/>
  <c r="E28" i="34"/>
  <c r="AZ28" i="34"/>
  <c r="E6" i="34"/>
  <c r="BB35" i="34"/>
  <c r="AP45" i="34"/>
  <c r="AS48" i="34"/>
  <c r="F28" i="34"/>
  <c r="AZ6" i="34"/>
  <c r="BN20" i="34"/>
  <c r="L21" i="34"/>
  <c r="V21" i="34"/>
  <c r="AS50" i="34"/>
  <c r="BB4" i="34"/>
  <c r="F38" i="34"/>
  <c r="R48" i="34"/>
  <c r="AD19" i="34"/>
  <c r="J19" i="34"/>
  <c r="AS45" i="34"/>
  <c r="V20" i="34"/>
  <c r="S38" i="34"/>
  <c r="BM38" i="34"/>
  <c r="AY6" i="34"/>
  <c r="AR6" i="34"/>
  <c r="F6" i="34"/>
  <c r="S32" i="34"/>
  <c r="BB34" i="34"/>
  <c r="Q45" i="34"/>
  <c r="AR38" i="34"/>
  <c r="S20" i="34"/>
  <c r="AS44" i="34"/>
  <c r="BB38" i="34"/>
  <c r="E38" i="34"/>
  <c r="AF18" i="34"/>
  <c r="AB6" i="34"/>
  <c r="S6" i="34"/>
  <c r="I20" i="34"/>
  <c r="R44" i="34"/>
  <c r="AV50" i="34"/>
  <c r="Q50" i="34"/>
  <c r="AZ31" i="34"/>
  <c r="F31" i="34"/>
  <c r="AY31" i="34"/>
  <c r="Z31" i="34"/>
  <c r="AM31" i="34"/>
  <c r="E31" i="34"/>
  <c r="S31" i="34"/>
  <c r="BN31" i="34"/>
  <c r="BM31" i="34"/>
  <c r="AE31" i="34"/>
  <c r="BB31" i="34"/>
  <c r="AK31" i="34"/>
  <c r="AH9" i="34"/>
  <c r="S9" i="34"/>
  <c r="E9" i="34"/>
  <c r="BN9" i="34"/>
  <c r="AY9" i="34"/>
  <c r="AB9" i="34"/>
  <c r="AZ9" i="34"/>
  <c r="F9" i="34"/>
  <c r="BM9" i="34"/>
  <c r="AR9" i="34"/>
  <c r="AM27" i="34"/>
  <c r="AF27" i="34"/>
  <c r="S27" i="34"/>
  <c r="BN27" i="34"/>
  <c r="AY27" i="34"/>
  <c r="F27" i="34"/>
  <c r="E27" i="34"/>
  <c r="AL27" i="34"/>
  <c r="Z27" i="34"/>
  <c r="AZ27" i="34"/>
  <c r="BM27" i="34"/>
  <c r="AP15" i="34"/>
  <c r="BM15" i="34"/>
  <c r="AZ15" i="34"/>
  <c r="AN15" i="34"/>
  <c r="E15" i="34"/>
  <c r="BN15" i="34"/>
  <c r="AY15" i="34"/>
  <c r="S15" i="34"/>
  <c r="F15" i="34"/>
  <c r="Z18" i="34"/>
  <c r="BN32" i="34"/>
  <c r="AZ32" i="34"/>
  <c r="AY32" i="34"/>
  <c r="BB32" i="34"/>
  <c r="S8" i="34"/>
  <c r="E8" i="34"/>
  <c r="BM8" i="34"/>
  <c r="F8" i="34"/>
  <c r="AB8" i="34"/>
  <c r="AR8" i="34"/>
  <c r="AY8" i="34"/>
  <c r="AZ8" i="34"/>
  <c r="BN8" i="34"/>
  <c r="AH8" i="34"/>
  <c r="AN12" i="34"/>
  <c r="E12" i="34"/>
  <c r="S12" i="34"/>
  <c r="BM12" i="34"/>
  <c r="AZ12" i="34"/>
  <c r="AR12" i="34"/>
  <c r="F12" i="34"/>
  <c r="AP12" i="34"/>
  <c r="AY12" i="34"/>
  <c r="BN12" i="34"/>
  <c r="G4" i="34"/>
  <c r="J18" i="34"/>
  <c r="BN28" i="34"/>
  <c r="Z28" i="34"/>
  <c r="AY18" i="34"/>
  <c r="BN18" i="34"/>
  <c r="S18" i="34"/>
  <c r="Z26" i="34"/>
  <c r="AZ26" i="34"/>
  <c r="AM26" i="34"/>
  <c r="AE32" i="34"/>
  <c r="AC32" i="34"/>
  <c r="Z32" i="34"/>
  <c r="E20" i="34"/>
  <c r="AY20" i="34"/>
  <c r="AK28" i="34"/>
  <c r="BB5" i="34"/>
  <c r="AP50" i="34"/>
  <c r="AZ35" i="34"/>
  <c r="AC35" i="34"/>
  <c r="F35" i="34"/>
  <c r="BN35" i="34"/>
  <c r="Z35" i="34"/>
  <c r="E35" i="34"/>
  <c r="AK35" i="34"/>
  <c r="S35" i="34"/>
  <c r="AY35" i="34"/>
  <c r="AE35" i="34"/>
  <c r="BM35" i="34"/>
  <c r="T4" i="34"/>
  <c r="AZ29" i="34"/>
  <c r="F29" i="34"/>
  <c r="E29" i="34"/>
  <c r="AE29" i="34"/>
  <c r="S29" i="34"/>
  <c r="AY29" i="34"/>
  <c r="AM29" i="34"/>
  <c r="Z29" i="34"/>
  <c r="BM29" i="34"/>
  <c r="BN29" i="34"/>
  <c r="BB29" i="34"/>
  <c r="AK29" i="34"/>
  <c r="F14" i="34"/>
  <c r="BM14" i="34"/>
  <c r="AY14" i="34"/>
  <c r="AP14" i="34"/>
  <c r="AR14" i="34"/>
  <c r="AN14" i="34"/>
  <c r="S14" i="34"/>
  <c r="E14" i="34"/>
  <c r="BN14" i="34"/>
  <c r="AZ14" i="34"/>
  <c r="BN4" i="34"/>
  <c r="AY4" i="34"/>
  <c r="S4" i="34"/>
  <c r="BM4" i="34"/>
  <c r="F4" i="34"/>
  <c r="AZ4" i="34"/>
  <c r="E4" i="34"/>
  <c r="AZ16" i="34"/>
  <c r="E16" i="34"/>
  <c r="S16" i="34"/>
  <c r="BN16" i="34"/>
  <c r="AP16" i="34"/>
  <c r="AY16" i="34"/>
  <c r="AN16" i="34"/>
  <c r="BM16" i="34"/>
  <c r="F16" i="34"/>
  <c r="F18" i="34"/>
  <c r="AZ20" i="34"/>
  <c r="Z20" i="34"/>
  <c r="AF20" i="34"/>
  <c r="Z33" i="34"/>
  <c r="E33" i="34"/>
  <c r="AE33" i="34"/>
  <c r="AK33" i="34"/>
  <c r="AC33" i="34"/>
  <c r="F33" i="34"/>
  <c r="S33" i="34"/>
  <c r="AY33" i="34"/>
  <c r="BM33" i="34"/>
  <c r="AZ33" i="34"/>
  <c r="BN33" i="34"/>
  <c r="BN5" i="34"/>
  <c r="F5" i="34"/>
  <c r="BM5" i="34"/>
  <c r="S5" i="34"/>
  <c r="AZ5" i="34"/>
  <c r="E5" i="34"/>
  <c r="AY5" i="34"/>
  <c r="E11" i="34"/>
  <c r="BM11" i="34"/>
  <c r="S11" i="34"/>
  <c r="F11" i="34"/>
  <c r="BN11" i="34"/>
  <c r="AP11" i="34"/>
  <c r="AZ11" i="34"/>
  <c r="AN11" i="34"/>
  <c r="AY11" i="34"/>
  <c r="D11" i="34"/>
  <c r="BB18" i="34"/>
  <c r="BB20" i="34"/>
  <c r="L20" i="34"/>
  <c r="BB28" i="34"/>
  <c r="S28" i="34"/>
  <c r="BM18" i="34"/>
  <c r="AZ18" i="34"/>
  <c r="E26" i="34"/>
  <c r="F26" i="34"/>
  <c r="F32" i="34"/>
  <c r="F20" i="34"/>
  <c r="AJ4" i="34"/>
  <c r="BB33" i="34"/>
  <c r="AK34" i="34"/>
  <c r="E34" i="34"/>
  <c r="F34" i="34"/>
  <c r="BM34" i="34"/>
  <c r="AZ34" i="34"/>
  <c r="Z34" i="34"/>
  <c r="AY34" i="34"/>
  <c r="BN34" i="34"/>
  <c r="AE34" i="34"/>
  <c r="AC34" i="34"/>
  <c r="S34" i="34"/>
  <c r="AP5" i="34"/>
  <c r="F30" i="34"/>
  <c r="E30" i="34"/>
  <c r="BN30" i="34"/>
  <c r="AY30" i="34"/>
  <c r="AM30" i="34"/>
  <c r="Z30" i="34"/>
  <c r="BM30" i="34"/>
  <c r="AZ30" i="34"/>
  <c r="S30" i="34"/>
  <c r="AE30" i="34"/>
  <c r="BB30" i="34"/>
  <c r="AK30" i="34"/>
  <c r="AZ19" i="34"/>
  <c r="AF19" i="34"/>
  <c r="BN19" i="34"/>
  <c r="E19" i="34"/>
  <c r="Z19" i="34"/>
  <c r="S19" i="34"/>
  <c r="AY19" i="34"/>
  <c r="BM19" i="34"/>
  <c r="F19" i="34"/>
  <c r="F21" i="34"/>
  <c r="I21" i="34"/>
  <c r="S21" i="34"/>
  <c r="Z21" i="34"/>
  <c r="BN21" i="34"/>
  <c r="AY21" i="34"/>
  <c r="AZ21" i="34"/>
  <c r="AF21" i="34"/>
  <c r="BM21" i="34"/>
  <c r="E21" i="34"/>
  <c r="BN7" i="34"/>
  <c r="AY7" i="34"/>
  <c r="AH7" i="34"/>
  <c r="AB7" i="34"/>
  <c r="S7" i="34"/>
  <c r="F7" i="34"/>
  <c r="E7" i="34"/>
  <c r="BM7" i="34"/>
  <c r="AZ7" i="34"/>
  <c r="AR7" i="34"/>
  <c r="BB27" i="34"/>
  <c r="AY13" i="34"/>
  <c r="AZ13" i="34"/>
  <c r="AP13" i="34"/>
  <c r="F13" i="34"/>
  <c r="BN13" i="34"/>
  <c r="S13" i="34"/>
  <c r="E13" i="34"/>
  <c r="BM13" i="34"/>
  <c r="AN13" i="34"/>
  <c r="S17" i="34"/>
  <c r="AP17" i="34"/>
  <c r="AN17" i="34"/>
  <c r="F17" i="34"/>
  <c r="E17" i="34"/>
  <c r="BN17" i="34"/>
  <c r="AY17" i="34"/>
  <c r="AZ17" i="34"/>
  <c r="BM17" i="34"/>
  <c r="BB9" i="34"/>
  <c r="L50" i="34"/>
  <c r="K294" i="5"/>
  <c r="V49" i="34" s="1"/>
  <c r="I294" i="5"/>
  <c r="AS43" i="34"/>
  <c r="Q43" i="34"/>
  <c r="BN43" i="34"/>
  <c r="F43" i="34"/>
  <c r="AP43" i="34"/>
  <c r="S43" i="34"/>
  <c r="R43" i="34"/>
  <c r="Z43" i="34"/>
  <c r="AO43" i="34"/>
  <c r="E43" i="34"/>
  <c r="AV43" i="34"/>
  <c r="AZ43" i="34"/>
  <c r="AY43" i="34"/>
  <c r="S46" i="34"/>
  <c r="Z46" i="34"/>
  <c r="F46" i="34"/>
  <c r="AZ46" i="34"/>
  <c r="AO46" i="34"/>
  <c r="AY46" i="34"/>
  <c r="BM46" i="34"/>
  <c r="BN46" i="34"/>
  <c r="E46" i="34"/>
  <c r="AS46" i="34"/>
  <c r="AV46" i="34"/>
  <c r="AZ42" i="34"/>
  <c r="BM42" i="34"/>
  <c r="AY42" i="34"/>
  <c r="E42" i="34"/>
  <c r="BB42" i="34"/>
  <c r="BN42" i="34"/>
  <c r="F42" i="34"/>
  <c r="AR42" i="34"/>
  <c r="S42" i="34"/>
  <c r="D42" i="34"/>
  <c r="F49" i="34"/>
  <c r="Z49" i="34"/>
  <c r="AY49" i="34"/>
  <c r="BN49" i="34"/>
  <c r="BM49" i="34"/>
  <c r="AO49" i="34"/>
  <c r="AZ49" i="34"/>
  <c r="E49" i="34"/>
  <c r="S49" i="34"/>
  <c r="AP44" i="34"/>
  <c r="R46" i="34"/>
  <c r="BN40" i="34"/>
  <c r="S40" i="34"/>
  <c r="AZ40" i="34"/>
  <c r="AR40" i="34"/>
  <c r="AY40" i="34"/>
  <c r="E40" i="34"/>
  <c r="BB40" i="34"/>
  <c r="BM40" i="34"/>
  <c r="F40" i="34"/>
  <c r="D40" i="34"/>
  <c r="AZ47" i="34"/>
  <c r="BN47" i="34"/>
  <c r="BM47" i="34"/>
  <c r="S47" i="34"/>
  <c r="F47" i="34"/>
  <c r="AO47" i="34"/>
  <c r="AY47" i="34"/>
  <c r="E47" i="34"/>
  <c r="Z47" i="34"/>
  <c r="AP46" i="34"/>
  <c r="AS47" i="34"/>
  <c r="Q47" i="34"/>
  <c r="AZ41" i="34"/>
  <c r="E41" i="34"/>
  <c r="BM41" i="34"/>
  <c r="F41" i="34"/>
  <c r="BB41" i="34"/>
  <c r="AR41" i="34"/>
  <c r="S41" i="34"/>
  <c r="BN41" i="34"/>
  <c r="AY41" i="34"/>
  <c r="D41" i="34"/>
  <c r="AZ48" i="34"/>
  <c r="Z48" i="34"/>
  <c r="BN48" i="34"/>
  <c r="AO48" i="34"/>
  <c r="S48" i="34"/>
  <c r="F48" i="34"/>
  <c r="BM48" i="34"/>
  <c r="E48" i="34"/>
  <c r="AY48" i="34"/>
  <c r="AZ45" i="34"/>
  <c r="BN45" i="34"/>
  <c r="AO45" i="34"/>
  <c r="BM45" i="34"/>
  <c r="Z45" i="34"/>
  <c r="AY45" i="34"/>
  <c r="S45" i="34"/>
  <c r="E45" i="34"/>
  <c r="F45" i="34"/>
  <c r="Q48" i="34"/>
  <c r="R47" i="34"/>
  <c r="AP47" i="34"/>
  <c r="Q46" i="34"/>
  <c r="V47" i="34"/>
  <c r="AZ39" i="34"/>
  <c r="E39" i="34"/>
  <c r="BB39" i="34"/>
  <c r="BN39" i="34"/>
  <c r="F39" i="34"/>
  <c r="AR39" i="34"/>
  <c r="S39" i="34"/>
  <c r="BM39" i="34"/>
  <c r="AY39" i="34"/>
  <c r="D39" i="34"/>
  <c r="E50" i="34"/>
  <c r="Z50" i="34"/>
  <c r="F50" i="34"/>
  <c r="AZ50" i="34"/>
  <c r="BN50" i="34"/>
  <c r="BM50" i="34"/>
  <c r="AO50" i="34"/>
  <c r="AY50" i="34"/>
  <c r="S50" i="34"/>
  <c r="AZ44" i="34"/>
  <c r="BN44" i="34"/>
  <c r="Z44" i="34"/>
  <c r="AY44" i="34"/>
  <c r="S44" i="34"/>
  <c r="F44" i="34"/>
  <c r="BM44" i="34"/>
  <c r="AO44" i="34"/>
  <c r="E44" i="34"/>
  <c r="R45" i="34"/>
  <c r="R49" i="34"/>
  <c r="AV44" i="34"/>
  <c r="AV48" i="34"/>
  <c r="AV49" i="34"/>
  <c r="H204" i="5"/>
  <c r="O176" i="5"/>
  <c r="K176" i="5"/>
  <c r="S176" i="5"/>
  <c r="W176" i="5"/>
  <c r="W175" i="5"/>
  <c r="O175" i="5"/>
  <c r="S175" i="5"/>
  <c r="K175" i="5"/>
  <c r="O174" i="5"/>
  <c r="K174" i="5"/>
  <c r="S174" i="5"/>
  <c r="W174" i="5"/>
  <c r="D25" i="34"/>
  <c r="N152" i="5"/>
  <c r="V27" i="34" s="1"/>
  <c r="J289" i="5"/>
  <c r="L44" i="34" s="1"/>
  <c r="I289" i="5"/>
  <c r="BS5" i="34"/>
  <c r="P5" i="34"/>
  <c r="D23" i="34"/>
  <c r="G3" i="34"/>
  <c r="BB3" i="34"/>
  <c r="R289" i="5"/>
  <c r="BB44" i="34" s="1"/>
  <c r="R293" i="5"/>
  <c r="BB48" i="34" s="1"/>
  <c r="R290" i="5"/>
  <c r="BB45" i="34" s="1"/>
  <c r="R294" i="5"/>
  <c r="BB49" i="34" s="1"/>
  <c r="R291" i="5"/>
  <c r="BB46" i="34" s="1"/>
  <c r="AA2" i="34"/>
  <c r="R295" i="5"/>
  <c r="BB50" i="34" s="1"/>
  <c r="R292" i="5"/>
  <c r="BB47" i="34" s="1"/>
  <c r="R288" i="5"/>
  <c r="BB43" i="34" s="1"/>
  <c r="AJ2" i="34"/>
  <c r="BB2" i="34"/>
  <c r="T2" i="34"/>
  <c r="AR24" i="34"/>
  <c r="AR25" i="34"/>
  <c r="AR23" i="34"/>
  <c r="AJ3" i="34"/>
  <c r="AP3" i="34"/>
  <c r="M152" i="5"/>
  <c r="L27" i="34" s="1"/>
  <c r="D24" i="34"/>
  <c r="BN3" i="34"/>
  <c r="AZ3" i="34"/>
  <c r="BM3" i="34"/>
  <c r="E3" i="34"/>
  <c r="AY3" i="34"/>
  <c r="S3" i="34"/>
  <c r="F3" i="34"/>
  <c r="AZ25" i="34"/>
  <c r="S25" i="34"/>
  <c r="X25" i="34"/>
  <c r="BM25" i="34"/>
  <c r="M25" i="34"/>
  <c r="Y25" i="34"/>
  <c r="AY25" i="34"/>
  <c r="N25" i="34"/>
  <c r="E25" i="34"/>
  <c r="BN25" i="34"/>
  <c r="F25" i="34"/>
  <c r="AG25" i="34"/>
  <c r="K25" i="34"/>
  <c r="AI25" i="34"/>
  <c r="U25" i="34"/>
  <c r="M22" i="34"/>
  <c r="Y22" i="34"/>
  <c r="X22" i="34"/>
  <c r="BM22" i="34"/>
  <c r="N22" i="34"/>
  <c r="AY22" i="34"/>
  <c r="BN22" i="34"/>
  <c r="E22" i="34"/>
  <c r="S22" i="34"/>
  <c r="AZ22" i="34"/>
  <c r="F22" i="34"/>
  <c r="AG22" i="34"/>
  <c r="AI22" i="34"/>
  <c r="K22" i="34"/>
  <c r="U22" i="34"/>
  <c r="D22" i="34"/>
  <c r="O22" i="34"/>
  <c r="AR22" i="34"/>
  <c r="BM2" i="34"/>
  <c r="E2" i="34"/>
  <c r="AY2" i="34"/>
  <c r="AZ2" i="34"/>
  <c r="S2" i="34"/>
  <c r="BN2" i="34"/>
  <c r="F2" i="34"/>
  <c r="AZ24" i="34"/>
  <c r="X24" i="34"/>
  <c r="E24" i="34"/>
  <c r="BN24" i="34"/>
  <c r="AY24" i="34"/>
  <c r="N24" i="34"/>
  <c r="BM24" i="34"/>
  <c r="F24" i="34"/>
  <c r="S24" i="34"/>
  <c r="M24" i="34"/>
  <c r="Y24" i="34"/>
  <c r="AG24" i="34"/>
  <c r="K24" i="34"/>
  <c r="AI24" i="34"/>
  <c r="U24" i="34"/>
  <c r="AP2" i="34"/>
  <c r="S23" i="34"/>
  <c r="N23" i="34"/>
  <c r="AY23" i="34"/>
  <c r="Y23" i="34"/>
  <c r="M23" i="34"/>
  <c r="E23" i="34"/>
  <c r="BN23" i="34"/>
  <c r="AZ23" i="34"/>
  <c r="F23" i="34"/>
  <c r="BM23" i="34"/>
  <c r="X23" i="34"/>
  <c r="AG23" i="34"/>
  <c r="K23" i="34"/>
  <c r="AI23" i="34"/>
  <c r="U23" i="34"/>
  <c r="M151" i="5"/>
  <c r="L26" i="34" s="1"/>
  <c r="N151" i="5"/>
  <c r="V26" i="34" s="1"/>
  <c r="S94" i="5"/>
  <c r="S95" i="5"/>
  <c r="N77" i="5"/>
  <c r="L77" i="5"/>
  <c r="K77" i="5" s="1"/>
  <c r="N78" i="5"/>
  <c r="L78" i="5"/>
  <c r="L19" i="34" s="1"/>
  <c r="D58" i="4"/>
  <c r="H16" i="30" s="1"/>
  <c r="B58" i="4"/>
  <c r="I16" i="30" s="1"/>
  <c r="J288" i="5"/>
  <c r="L43" i="34" s="1"/>
  <c r="K12" i="30"/>
  <c r="V35" i="34"/>
  <c r="U204" i="5"/>
  <c r="Z204" i="5" s="1"/>
  <c r="V173" i="5"/>
  <c r="U173" i="5"/>
  <c r="R173" i="5"/>
  <c r="T173" i="5"/>
  <c r="Q173" i="5"/>
  <c r="P173" i="5"/>
  <c r="J292" i="5"/>
  <c r="H173" i="5"/>
  <c r="I173" i="5"/>
  <c r="M173" i="5"/>
  <c r="L173" i="5"/>
  <c r="N173" i="5"/>
  <c r="J173" i="5"/>
  <c r="K289" i="5"/>
  <c r="V44" i="34" s="1"/>
  <c r="J294" i="5"/>
  <c r="L49" i="34" s="1"/>
  <c r="K295" i="5"/>
  <c r="V50" i="34" s="1"/>
  <c r="J293" i="5"/>
  <c r="L48" i="34" s="1"/>
  <c r="K293" i="5"/>
  <c r="V48" i="34" s="1"/>
  <c r="K288" i="5"/>
  <c r="V43" i="34" s="1"/>
  <c r="J291" i="5"/>
  <c r="L46" i="34" s="1"/>
  <c r="K291" i="5"/>
  <c r="V46" i="34" s="1"/>
  <c r="J290" i="5"/>
  <c r="L45" i="34" s="1"/>
  <c r="K290" i="5"/>
  <c r="V45" i="34" s="1"/>
  <c r="G20" i="5"/>
  <c r="F18" i="5"/>
  <c r="AA3" i="34" s="1"/>
  <c r="H18" i="5"/>
  <c r="P3" i="34" s="1"/>
  <c r="H17" i="5"/>
  <c r="BS2" i="34" s="1"/>
  <c r="G17" i="5"/>
  <c r="F20" i="5"/>
  <c r="AA5" i="34" s="1"/>
  <c r="F19" i="5"/>
  <c r="AA4" i="34" s="1"/>
  <c r="H19" i="5"/>
  <c r="B34" i="4" l="1"/>
  <c r="I13" i="30" s="1"/>
  <c r="K13" i="30" s="1"/>
  <c r="Q94" i="5"/>
  <c r="C46" i="4" s="1"/>
  <c r="C48" i="4" s="1"/>
  <c r="J15" i="30" s="1"/>
  <c r="P94" i="5"/>
  <c r="R94" i="5" s="1"/>
  <c r="B46" i="4" s="1"/>
  <c r="AR10" i="34"/>
  <c r="Q95" i="5"/>
  <c r="P95" i="5"/>
  <c r="R95" i="5" s="1"/>
  <c r="D34" i="4"/>
  <c r="H13" i="30" s="1"/>
  <c r="D10" i="34"/>
  <c r="O207" i="5"/>
  <c r="U207" i="5" s="1"/>
  <c r="Z207" i="5" s="1"/>
  <c r="H207" i="5"/>
  <c r="N207" i="5" s="1"/>
  <c r="Y207" i="5" s="1"/>
  <c r="I205" i="5"/>
  <c r="L205" i="5" s="1"/>
  <c r="D21" i="4"/>
  <c r="H12" i="30" s="1"/>
  <c r="D7" i="34"/>
  <c r="O205" i="5"/>
  <c r="U205" i="5" s="1"/>
  <c r="Z205" i="5" s="1"/>
  <c r="V33" i="34" s="1"/>
  <c r="N206" i="5"/>
  <c r="Y206" i="5" s="1"/>
  <c r="L34" i="34" s="1"/>
  <c r="Z206" i="5"/>
  <c r="V34" i="34" s="1"/>
  <c r="V32" i="34"/>
  <c r="X174" i="5"/>
  <c r="L29" i="34" s="1"/>
  <c r="B47" i="4"/>
  <c r="AR21" i="34" s="1"/>
  <c r="D47" i="4"/>
  <c r="D21" i="34" s="1"/>
  <c r="D46" i="4"/>
  <c r="G5" i="34"/>
  <c r="G2" i="34"/>
  <c r="M78" i="5"/>
  <c r="V19" i="34"/>
  <c r="Y176" i="5"/>
  <c r="V31" i="34" s="1"/>
  <c r="X176" i="5"/>
  <c r="L31" i="34" s="1"/>
  <c r="X175" i="5"/>
  <c r="L30" i="34" s="1"/>
  <c r="Y175" i="5"/>
  <c r="V30" i="34" s="1"/>
  <c r="Y174" i="5"/>
  <c r="V29" i="34" s="1"/>
  <c r="O294" i="5"/>
  <c r="O295" i="5"/>
  <c r="L47" i="34"/>
  <c r="O292" i="5"/>
  <c r="R152" i="5"/>
  <c r="BS3" i="34"/>
  <c r="BS4" i="34"/>
  <c r="P4" i="34"/>
  <c r="L18" i="34"/>
  <c r="M77" i="5"/>
  <c r="V18" i="34"/>
  <c r="P2" i="34"/>
  <c r="R151" i="5"/>
  <c r="R77" i="5"/>
  <c r="K78" i="5"/>
  <c r="R78" i="5"/>
  <c r="L20" i="5"/>
  <c r="O289" i="5"/>
  <c r="O290" i="5"/>
  <c r="O288" i="5"/>
  <c r="L17" i="5"/>
  <c r="O293" i="5"/>
  <c r="O291" i="5"/>
  <c r="K173" i="5"/>
  <c r="O173" i="5"/>
  <c r="W173" i="5"/>
  <c r="S173" i="5"/>
  <c r="I204" i="5"/>
  <c r="L204" i="5" s="1"/>
  <c r="L19" i="5"/>
  <c r="L18" i="5"/>
  <c r="N205" i="5" l="1"/>
  <c r="Y205" i="5" s="1"/>
  <c r="AA207" i="5"/>
  <c r="W207" i="5" s="1"/>
  <c r="L294" i="5"/>
  <c r="N294" i="5" s="1"/>
  <c r="M294" i="5"/>
  <c r="D108" i="4"/>
  <c r="D46" i="34" s="1"/>
  <c r="L291" i="5"/>
  <c r="N291" i="5" s="1"/>
  <c r="B108" i="4" s="1"/>
  <c r="AR46" i="34" s="1"/>
  <c r="M291" i="5"/>
  <c r="D107" i="4"/>
  <c r="D45" i="34" s="1"/>
  <c r="L290" i="5"/>
  <c r="N290" i="5" s="1"/>
  <c r="M290" i="5"/>
  <c r="L292" i="5"/>
  <c r="N292" i="5" s="1"/>
  <c r="M292" i="5"/>
  <c r="D105" i="4"/>
  <c r="M288" i="5"/>
  <c r="C105" i="4" s="1"/>
  <c r="C113" i="4" s="1"/>
  <c r="J21" i="30" s="1"/>
  <c r="L288" i="5"/>
  <c r="N288" i="5" s="1"/>
  <c r="B105" i="4" s="1"/>
  <c r="D110" i="4"/>
  <c r="D48" i="34" s="1"/>
  <c r="L293" i="5"/>
  <c r="N293" i="5" s="1"/>
  <c r="M293" i="5"/>
  <c r="D106" i="4"/>
  <c r="D44" i="34" s="1"/>
  <c r="L289" i="5"/>
  <c r="N289" i="5" s="1"/>
  <c r="M289" i="5"/>
  <c r="L295" i="5"/>
  <c r="N295" i="5" s="1"/>
  <c r="B112" i="4" s="1"/>
  <c r="AR50" i="34" s="1"/>
  <c r="M295" i="5"/>
  <c r="P78" i="5"/>
  <c r="O78" i="5"/>
  <c r="Q78" i="5" s="1"/>
  <c r="P77" i="5"/>
  <c r="C39" i="4" s="1"/>
  <c r="C41" i="4" s="1"/>
  <c r="J14" i="30" s="1"/>
  <c r="O77" i="5"/>
  <c r="Q77" i="5" s="1"/>
  <c r="B39" i="4" s="1"/>
  <c r="AA205" i="5"/>
  <c r="D10" i="4"/>
  <c r="D4" i="34" s="1"/>
  <c r="I19" i="5"/>
  <c r="K19" i="5" s="1"/>
  <c r="AR4" i="34" s="1"/>
  <c r="J19" i="5"/>
  <c r="D8" i="4"/>
  <c r="J17" i="5"/>
  <c r="C8" i="4" s="1"/>
  <c r="C12" i="4" s="1"/>
  <c r="J11" i="30" s="1"/>
  <c r="I17" i="5"/>
  <c r="K17" i="5" s="1"/>
  <c r="B8" i="4" s="1"/>
  <c r="D11" i="4"/>
  <c r="D5" i="34" s="1"/>
  <c r="I20" i="5"/>
  <c r="K20" i="5" s="1"/>
  <c r="B11" i="4" s="1"/>
  <c r="J20" i="5"/>
  <c r="D9" i="4"/>
  <c r="D3" i="34" s="1"/>
  <c r="I18" i="5"/>
  <c r="K18" i="5" s="1"/>
  <c r="B9" i="4" s="1"/>
  <c r="J18" i="5"/>
  <c r="AA206" i="5"/>
  <c r="D48" i="4"/>
  <c r="H15" i="30" s="1"/>
  <c r="D20" i="34"/>
  <c r="D63" i="4"/>
  <c r="D26" i="34" s="1"/>
  <c r="P151" i="5"/>
  <c r="C63" i="4" s="1"/>
  <c r="C65" i="4" s="1"/>
  <c r="J17" i="30" s="1"/>
  <c r="O151" i="5"/>
  <c r="Q151" i="5" s="1"/>
  <c r="B63" i="4" s="1"/>
  <c r="B111" i="4"/>
  <c r="AR49" i="34" s="1"/>
  <c r="D111" i="4"/>
  <c r="D49" i="34" s="1"/>
  <c r="B109" i="4"/>
  <c r="AR47" i="34" s="1"/>
  <c r="D109" i="4"/>
  <c r="D47" i="34" s="1"/>
  <c r="AR18" i="34"/>
  <c r="D39" i="4"/>
  <c r="D18" i="34" s="1"/>
  <c r="D64" i="4"/>
  <c r="D27" i="34" s="1"/>
  <c r="O152" i="5"/>
  <c r="Q152" i="5" s="1"/>
  <c r="P152" i="5"/>
  <c r="D112" i="4"/>
  <c r="D50" i="34" s="1"/>
  <c r="B40" i="4"/>
  <c r="AR19" i="34" s="1"/>
  <c r="D40" i="4"/>
  <c r="D19" i="34" s="1"/>
  <c r="AC175" i="5"/>
  <c r="AC176" i="5"/>
  <c r="AC174" i="5"/>
  <c r="D80" i="4"/>
  <c r="D33" i="34" s="1"/>
  <c r="AR5" i="34"/>
  <c r="Y173" i="5"/>
  <c r="V28" i="34" s="1"/>
  <c r="L33" i="34"/>
  <c r="B107" i="4"/>
  <c r="AR45" i="34" s="1"/>
  <c r="B106" i="4"/>
  <c r="AR44" i="34" s="1"/>
  <c r="AR20" i="34"/>
  <c r="B48" i="4"/>
  <c r="X173" i="5"/>
  <c r="D43" i="34"/>
  <c r="B110" i="4"/>
  <c r="AR48" i="34" s="1"/>
  <c r="L35" i="34"/>
  <c r="N204" i="5"/>
  <c r="Y204" i="5" s="1"/>
  <c r="AA204" i="5" s="1"/>
  <c r="I15" i="30" l="1"/>
  <c r="K15" i="30" s="1"/>
  <c r="V207" i="5"/>
  <c r="X207" i="5" s="1"/>
  <c r="W204" i="5"/>
  <c r="C79" i="4" s="1"/>
  <c r="C83" i="4" s="1"/>
  <c r="J19" i="30" s="1"/>
  <c r="V204" i="5"/>
  <c r="X204" i="5" s="1"/>
  <c r="B79" i="4" s="1"/>
  <c r="AR2" i="34"/>
  <c r="V206" i="5"/>
  <c r="X206" i="5" s="1"/>
  <c r="B81" i="4" s="1"/>
  <c r="AR34" i="34" s="1"/>
  <c r="W206" i="5"/>
  <c r="V205" i="5"/>
  <c r="X205" i="5" s="1"/>
  <c r="B80" i="4" s="1"/>
  <c r="W205" i="5"/>
  <c r="B10" i="4"/>
  <c r="B12" i="4" s="1"/>
  <c r="AR3" i="34"/>
  <c r="D12" i="4"/>
  <c r="H11" i="30" s="1"/>
  <c r="AR26" i="34"/>
  <c r="D73" i="4"/>
  <c r="D31" i="34" s="1"/>
  <c r="Z176" i="5"/>
  <c r="AB176" i="5" s="1"/>
  <c r="AA176" i="5"/>
  <c r="D71" i="4"/>
  <c r="D29" i="34" s="1"/>
  <c r="Z174" i="5"/>
  <c r="AB174" i="5" s="1"/>
  <c r="AA174" i="5"/>
  <c r="D72" i="4"/>
  <c r="D30" i="34" s="1"/>
  <c r="Z175" i="5"/>
  <c r="AB175" i="5" s="1"/>
  <c r="AA175" i="5"/>
  <c r="D41" i="4"/>
  <c r="H14" i="30" s="1"/>
  <c r="D81" i="4"/>
  <c r="D34" i="34" s="1"/>
  <c r="D79" i="4"/>
  <c r="B64" i="4"/>
  <c r="AR27" i="34" s="1"/>
  <c r="AR33" i="34"/>
  <c r="AC173" i="5"/>
  <c r="L28" i="34"/>
  <c r="D2" i="34"/>
  <c r="AR43" i="34"/>
  <c r="B113" i="4"/>
  <c r="I21" i="30" s="1"/>
  <c r="D65" i="4"/>
  <c r="H17" i="30" s="1"/>
  <c r="L32" i="34"/>
  <c r="D113" i="4"/>
  <c r="H21" i="30" s="1"/>
  <c r="B41" i="4"/>
  <c r="I14" i="30" s="1"/>
  <c r="I11" i="30" l="1"/>
  <c r="B72" i="4"/>
  <c r="AR30" i="34" s="1"/>
  <c r="B73" i="4"/>
  <c r="AR31" i="34" s="1"/>
  <c r="D70" i="4"/>
  <c r="D28" i="34" s="1"/>
  <c r="AA173" i="5"/>
  <c r="C70" i="4" s="1"/>
  <c r="C74" i="4" s="1"/>
  <c r="J18" i="30" s="1"/>
  <c r="J7" i="30" s="1"/>
  <c r="Z173" i="5"/>
  <c r="AB173" i="5" s="1"/>
  <c r="B70" i="4" s="1"/>
  <c r="B65" i="4"/>
  <c r="B82" i="4"/>
  <c r="AR35" i="34" s="1"/>
  <c r="D82" i="4"/>
  <c r="D35" i="34" s="1"/>
  <c r="AR29" i="34"/>
  <c r="AR32" i="34"/>
  <c r="K21" i="30"/>
  <c r="D32" i="34"/>
  <c r="I17" i="30" l="1"/>
  <c r="K17" i="30" s="1"/>
  <c r="D74" i="4"/>
  <c r="H18" i="30" s="1"/>
  <c r="B83" i="4"/>
  <c r="K11" i="30"/>
  <c r="K14" i="30"/>
  <c r="D83" i="4"/>
  <c r="H19" i="30" s="1"/>
  <c r="H7" i="30" l="1"/>
  <c r="I19" i="30"/>
  <c r="K19" i="30" s="1"/>
  <c r="AR28" i="34"/>
  <c r="B74" i="4"/>
  <c r="W14" i="31"/>
  <c r="X14" i="31" s="1"/>
  <c r="C7" i="31" s="1"/>
  <c r="T15" i="31"/>
  <c r="U15" i="31" s="1"/>
  <c r="T17" i="31"/>
  <c r="U17" i="31" s="1"/>
  <c r="T16" i="31"/>
  <c r="U16" i="31" s="1"/>
  <c r="I18" i="30" l="1"/>
  <c r="I7" i="30" s="1"/>
  <c r="E7" i="31"/>
  <c r="Y132" i="5" s="1"/>
  <c r="BB22" i="34" s="1"/>
  <c r="W16" i="31"/>
  <c r="X16" i="31" s="1"/>
  <c r="C9" i="31" s="1"/>
  <c r="O24" i="34"/>
  <c r="W17" i="31"/>
  <c r="X17" i="31" s="1"/>
  <c r="C10" i="31" s="1"/>
  <c r="O25" i="34"/>
  <c r="W15" i="31"/>
  <c r="X15" i="31" s="1"/>
  <c r="C8" i="31" s="1"/>
  <c r="O23" i="34"/>
  <c r="K18" i="30" l="1"/>
  <c r="E8" i="31"/>
  <c r="Y133" i="5" s="1"/>
  <c r="BB23" i="34" s="1"/>
  <c r="E9" i="31"/>
  <c r="Y134" i="5" s="1"/>
  <c r="BB24" i="34" s="1"/>
  <c r="E10" i="31"/>
  <c r="Y135" i="5" s="1"/>
  <c r="BB25" i="34" s="1"/>
  <c r="BA25" i="34" l="1"/>
  <c r="BA24" i="34"/>
  <c r="BA16" i="34"/>
  <c r="BA8" i="34"/>
  <c r="BA15" i="34"/>
  <c r="BA21" i="34"/>
  <c r="BA19" i="34"/>
  <c r="BA14" i="34"/>
  <c r="BA9" i="34"/>
  <c r="BA30" i="34"/>
  <c r="BA45" i="34"/>
  <c r="BA35" i="34"/>
  <c r="BA49" i="34"/>
  <c r="BA34" i="34"/>
  <c r="BA43" i="34"/>
  <c r="BA46" i="34"/>
  <c r="BA48" i="34"/>
  <c r="BA31" i="34"/>
  <c r="BA47" i="34"/>
  <c r="BA50" i="34"/>
  <c r="BA53" i="34"/>
  <c r="BA42" i="34"/>
  <c r="BA58" i="34"/>
  <c r="BA40" i="34"/>
  <c r="BA57" i="34"/>
  <c r="BA41" i="34"/>
  <c r="BA32" i="34"/>
  <c r="BA37" i="34"/>
  <c r="BA55" i="34"/>
  <c r="BA39" i="34"/>
  <c r="BA29" i="34"/>
  <c r="BA27" i="34"/>
  <c r="BA33" i="34"/>
  <c r="BA51" i="34"/>
  <c r="BA28" i="34"/>
  <c r="BA38" i="34"/>
  <c r="BA26" i="34"/>
  <c r="BA54" i="34"/>
  <c r="BA56" i="34"/>
  <c r="BA44" i="34"/>
  <c r="BA36" i="34"/>
  <c r="BA52" i="34"/>
  <c r="BA11" i="34"/>
  <c r="BA22" i="34"/>
  <c r="K16" i="30"/>
  <c r="F7" i="30" s="1"/>
  <c r="E7" i="30" s="1"/>
  <c r="BA10" i="34"/>
  <c r="BA4" i="34"/>
  <c r="BA12" i="34"/>
  <c r="BA7" i="34"/>
  <c r="BA3" i="34"/>
  <c r="BA6" i="34"/>
  <c r="BA5" i="34"/>
  <c r="BA13" i="34"/>
  <c r="BA20" i="34"/>
  <c r="BA18" i="34"/>
  <c r="BA2" i="34"/>
  <c r="BA23"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Boone Drummond</author>
  </authors>
  <commentList>
    <comment ref="H78" authorId="0" shapeId="0" xr:uid="{F6AEA1D0-3924-4230-A6CF-E64988AC2A4C}">
      <text>
        <r>
          <rPr>
            <sz val="9"/>
            <color indexed="81"/>
            <rFont val="Tahoma"/>
            <family val="2"/>
          </rPr>
          <t xml:space="preserve">Must be 3 or greater.
</t>
        </r>
      </text>
    </comment>
    <comment ref="H87" authorId="0" shapeId="0" xr:uid="{155B6D55-867D-4BAD-9CF7-DB54FE4767C4}">
      <text>
        <r>
          <rPr>
            <b/>
            <sz val="9"/>
            <color indexed="81"/>
            <rFont val="Tahoma"/>
            <family val="2"/>
          </rPr>
          <t xml:space="preserve">Class A </t>
        </r>
        <r>
          <rPr>
            <sz val="9"/>
            <color indexed="81"/>
            <rFont val="Tahoma"/>
            <family val="2"/>
          </rPr>
          <t>machine is defined as a refrigerated bottled or canned beverage vending machine that is fully cooled, and is not a combination vending machine.</t>
        </r>
        <r>
          <rPr>
            <b/>
            <sz val="9"/>
            <color indexed="81"/>
            <rFont val="Tahoma"/>
            <family val="2"/>
          </rPr>
          <t xml:space="preserve">
Class B </t>
        </r>
        <r>
          <rPr>
            <sz val="9"/>
            <color indexed="81"/>
            <rFont val="Tahoma"/>
            <family val="2"/>
          </rPr>
          <t xml:space="preserve">machine is defined as any refrigerated bottled or canned beverage vending machine not considered to be Class A, and is not a combination vending machine. </t>
        </r>
      </text>
    </comment>
  </commentList>
</comments>
</file>

<file path=xl/sharedStrings.xml><?xml version="1.0" encoding="utf-8"?>
<sst xmlns="http://schemas.openxmlformats.org/spreadsheetml/2006/main" count="1785" uniqueCount="595">
  <si>
    <t>Calculator for Food Service Measures</t>
  </si>
  <si>
    <t xml:space="preserve">***This calculator is used for estimating savings and incentives from the installation of food service measures. The measure inputs used in this calculator, by an applicant, will be reviewed by the Program in order to determine the final incentive amount. The Program reserves the right to inspect any and all measures prior to any incentive payment.  
</t>
  </si>
  <si>
    <t>Input Instructions</t>
  </si>
  <si>
    <t>Please fill in all required inputs</t>
  </si>
  <si>
    <t xml:space="preserve">Grey cells are calculated values. </t>
  </si>
  <si>
    <t>Worksheet Summary</t>
  </si>
  <si>
    <t>Methodology</t>
  </si>
  <si>
    <r>
      <t>All measures are based on either the Mid-Atlantic v7 TRM, PA 2016 TRM, or ENERGY STAR</t>
    </r>
    <r>
      <rPr>
        <sz val="11"/>
        <color theme="1"/>
        <rFont val="Calibri"/>
        <family val="2"/>
      </rPr>
      <t>®</t>
    </r>
    <r>
      <rPr>
        <sz val="11"/>
        <color theme="1"/>
        <rFont val="Arial"/>
        <family val="2"/>
      </rPr>
      <t xml:space="preserve"> requirements.</t>
    </r>
  </si>
  <si>
    <t>Summary</t>
  </si>
  <si>
    <t>Summary of Equipment Cost, Calculator Savings, and Incentives.</t>
  </si>
  <si>
    <t>Calculator</t>
  </si>
  <si>
    <t>Summary of required inputs and outputs of the Calculator</t>
  </si>
  <si>
    <t>Calculations</t>
  </si>
  <si>
    <t>Summary of Calculations Worksheet</t>
  </si>
  <si>
    <t>Version Log</t>
  </si>
  <si>
    <t>The Version Log Worksheet tracks updates and changes made to the workbook.</t>
  </si>
  <si>
    <t>Glossary of Inputs</t>
  </si>
  <si>
    <t># of Doors</t>
  </si>
  <si>
    <t>Total number of doors for Anti-Sweater per Control Type and Temperature combination</t>
  </si>
  <si>
    <t># of Machines</t>
  </si>
  <si>
    <t>Total number of Vending Controls units for each Make and Model Number</t>
  </si>
  <si>
    <t># of Pans</t>
  </si>
  <si>
    <t>Total number of Pans in one unit for each Make and Model Number</t>
  </si>
  <si>
    <t># of Reach-ins</t>
  </si>
  <si>
    <t>Total number of Reach-in units for each Temperature, Door Type, Door Closure, and Volume combination</t>
  </si>
  <si>
    <t>Baseline Equipment</t>
  </si>
  <si>
    <t>Specific information of the existing equipment</t>
  </si>
  <si>
    <t>Baseline Type</t>
  </si>
  <si>
    <t>Existing equipment steam generation type</t>
  </si>
  <si>
    <t>Building Hot Water Fuel Type</t>
  </si>
  <si>
    <t>Fuel type for hot water production, electric or natural gas</t>
  </si>
  <si>
    <t>Building Type*</t>
  </si>
  <si>
    <t>Describes the use of the majority of building square footage. Required input.</t>
  </si>
  <si>
    <t>Capacity</t>
  </si>
  <si>
    <t>Total number of beverages that type of the vending machine can hold</t>
  </si>
  <si>
    <t>Class Type</t>
  </si>
  <si>
    <t>Type of ENERGY STAR Beverage Vending Machine</t>
  </si>
  <si>
    <t>Control Type</t>
  </si>
  <si>
    <t>Method for controlling Anti-Sweater Heater</t>
  </si>
  <si>
    <t>Dishwasher Type</t>
  </si>
  <si>
    <t>Type of new Dishwasher</t>
  </si>
  <si>
    <t>Door Closed</t>
  </si>
  <si>
    <t>New unit hinge orientation on a Reach-in</t>
  </si>
  <si>
    <t>Door Type</t>
  </si>
  <si>
    <t>New unit material on the door</t>
  </si>
  <si>
    <t>Equipment Cost</t>
  </si>
  <si>
    <t>Total cost of equipment of each measure, excluding labor</t>
  </si>
  <si>
    <t>Existing Equipment Manufacture Date</t>
  </si>
  <si>
    <t>Date existing commercial reach in was manufactured, from nameplate</t>
  </si>
  <si>
    <t>Existing Motor Type</t>
  </si>
  <si>
    <t>Motor type of existing motor, electronically-commutated (ECM) or shaded pole (SP)</t>
  </si>
  <si>
    <t>Length per Case (ft)</t>
  </si>
  <si>
    <t>Horizontal length of one Display Case being covered</t>
  </si>
  <si>
    <t>Make</t>
  </si>
  <si>
    <t>Manufacture name of new equipment</t>
  </si>
  <si>
    <t>Model</t>
  </si>
  <si>
    <t>Manufacture Model Number of new equipment</t>
  </si>
  <si>
    <t>New Equipment</t>
  </si>
  <si>
    <t>Specific information of the proposed or newly installed equipment</t>
  </si>
  <si>
    <t>Pre-existing Curtain</t>
  </si>
  <si>
    <t>Was there an existing curtain installed?</t>
  </si>
  <si>
    <t>Project Name</t>
  </si>
  <si>
    <t>Name of site or project</t>
  </si>
  <si>
    <t>Project Number</t>
  </si>
  <si>
    <t>Assigned by CLEAResult, no input required</t>
  </si>
  <si>
    <t>Quantity</t>
  </si>
  <si>
    <t>Quantity of new equipment per type</t>
  </si>
  <si>
    <t>Rated Motor Power</t>
  </si>
  <si>
    <t>Rated HP or kW of motor</t>
  </si>
  <si>
    <t>Site Address</t>
  </si>
  <si>
    <t>123 Address, Dr, Example, MD 21701</t>
  </si>
  <si>
    <t>Size</t>
  </si>
  <si>
    <t>Defined on new equipment qualified product list</t>
  </si>
  <si>
    <t>Total Project Cost</t>
  </si>
  <si>
    <t>Total cost of project including material and labor but excluding taxes. Required input.</t>
  </si>
  <si>
    <t>Temperature</t>
  </si>
  <si>
    <t>New equipment temperature setting</t>
  </si>
  <si>
    <t>Volume per Unit (ft3)</t>
  </si>
  <si>
    <t>Total cubic feet of each Make and Model Number</t>
  </si>
  <si>
    <t>Work Surface Area (ft2)</t>
  </si>
  <si>
    <t>Total square footage of work surface of each Make and Model Number</t>
  </si>
  <si>
    <t>Glossary of Outputs</t>
  </si>
  <si>
    <t>kWh</t>
  </si>
  <si>
    <t>Annual Energy Reduction</t>
  </si>
  <si>
    <t>Summer kW</t>
  </si>
  <si>
    <t>Winter kW</t>
  </si>
  <si>
    <t>Summer Peak Demand Reduction</t>
  </si>
  <si>
    <t>Winter Peak Demand Reduction</t>
  </si>
  <si>
    <t>Incentive</t>
  </si>
  <si>
    <t>One time payment of Eligible Program Incentive</t>
  </si>
  <si>
    <t>Calculator Methodology</t>
  </si>
  <si>
    <t>PA TRM 2016 with Errata correction</t>
  </si>
  <si>
    <t>Methodology List</t>
  </si>
  <si>
    <t>Anti-Sweat Heater Control</t>
  </si>
  <si>
    <t>Night Covers for Refrigerated Cases</t>
  </si>
  <si>
    <t>Strip Curtains for Walk-In Coolers and Freezers</t>
  </si>
  <si>
    <t>Energy Star Commercial Fryers</t>
  </si>
  <si>
    <t>Energy Star Commercial Griddle</t>
  </si>
  <si>
    <t>Ice Machine</t>
  </si>
  <si>
    <t>Commercial Convection Oven</t>
  </si>
  <si>
    <t>Commercial Combination Oven</t>
  </si>
  <si>
    <t>Commercial Steam Cooker</t>
  </si>
  <si>
    <t>Beverage Vending Machine</t>
  </si>
  <si>
    <t>Beverage Vending Machine Controls</t>
  </si>
  <si>
    <t>Snack Vending Machine Controls</t>
  </si>
  <si>
    <t>Energy Star Commercial Reach-ins</t>
  </si>
  <si>
    <t>Hot Food Holding Cabinet</t>
  </si>
  <si>
    <t>Commercial Dishwashers</t>
  </si>
  <si>
    <t>ECM Evaporator Fan Motor</t>
  </si>
  <si>
    <t>Evaporator Fan Controller</t>
  </si>
  <si>
    <t>Evaporator Compressor Controller</t>
  </si>
  <si>
    <t>Energy Star</t>
  </si>
  <si>
    <t>Date</t>
  </si>
  <si>
    <t>Total Incentive</t>
  </si>
  <si>
    <t>Total Summer Peak Demand (kW)</t>
  </si>
  <si>
    <t>Building Type</t>
  </si>
  <si>
    <t>Measure Name</t>
  </si>
  <si>
    <t>Savings</t>
  </si>
  <si>
    <t>Uncapped Incentive</t>
  </si>
  <si>
    <t>Version:</t>
  </si>
  <si>
    <t>Last Updated:</t>
  </si>
  <si>
    <t>Instructions: Enter all the project information in the white cells below.</t>
  </si>
  <si>
    <t>Anti-sweat door heaters (ASDH) prevent condensation from forming on cooler and freezer doors. The efficient equipment is a door heater control on a commercial glass door cooler or refrigerator utilizing either ON/OFF or micro pulse controls.</t>
  </si>
  <si>
    <t>Total</t>
  </si>
  <si>
    <t>Refrigerated case covers (Night covers) are designed to reduce refrigeration energy consumption by reducing the work done by the compressor. Night covers reduce the heat and moisture entry into the refrigerated space through various heat transfer mechanisms. The efficient equipment is assumed to be a refrigerated case with a continuous cover deployed during overnight periods. Characterization assumes covers are deployed for six hours daily.</t>
  </si>
  <si>
    <t>QTY</t>
  </si>
  <si>
    <t>This commercial measure pertains to the installation of infiltration barriers (strip curtains) on walk-in coolers or freezers. Strip curtains impede heat transfer from adjacent warm and humid spaces into walk_x0002_ins when the main door is opened, thereby reducing the cooling load. The efficient measure is defined as a strip curtain at least 0.06 inches thick added to a walk-in cooler or freezer. The new strip curtain must cover the entire area of the doorway when the door is opened.</t>
  </si>
  <si>
    <t>Cooler/Freezer QTY</t>
  </si>
  <si>
    <t xml:space="preserve">Pre-existing Curtains? </t>
  </si>
  <si>
    <t>This measure applies to both standard sized fryers and large vat fryers. Standard sized fryers that have earned the ENERGY STAR are up to 30% more efficient than non-qualified models; large vat fryers are 35% more efficient. The efficient equipment is assumed to be high efficiency electric or gas fryer.</t>
  </si>
  <si>
    <t>ENERGY STAR qualified commercial griddles have higher cooking energy efficiency and lower idle energy rates than standard equipment. The result is a greater percentage of energy being absorbed by the food compared with conventional equipment, and less wasted energy when the griddle is in standby mode. The efficient equipment is assumed to be a high efficiency electric or gas griddle.</t>
  </si>
  <si>
    <t>Griddle Type</t>
  </si>
  <si>
    <t>This measure describes the installation of an ENERGY STAR qualified, high-efficiency automatic commercial ice maker which are used in restaurants, bars, hotels, hospitals and a variety of commercial and industrial facilities for both food and patient care applications.</t>
  </si>
  <si>
    <t>Harvest Rate (lbs/day)</t>
  </si>
  <si>
    <t>Operation</t>
  </si>
  <si>
    <t>New Type</t>
  </si>
  <si>
    <t>Ice Type</t>
  </si>
  <si>
    <t>Energy use per pound (kWh/100lbs)</t>
  </si>
  <si>
    <t xml:space="preserve">Commercial convection ovens that are ENERGY STAR certified have higher heavy load cooking efficiencies and lower idle energy rates making them on average about 20 percent more efficient than standard models. The efficient equipment is assumed to be a high efficiency electric or gas convection oven measure. 
</t>
  </si>
  <si>
    <t>A combination oven is a convection oven that includes the added capability to inject steam into the oven cavity and typically offers at least three distinct cooking modes. The efficient equipment is assumed to be a high efficiency electric or gas combination oven.</t>
  </si>
  <si>
    <t>Unit Quantity</t>
  </si>
  <si>
    <t># of Pans per Unit</t>
  </si>
  <si>
    <t>Energy efficient steam cookers that have earned the ENERGY STAR label offer shorter cook times, higher production rates, and reduced heat loss due to better insulation and more efficient steam delivery system. The efficient measure assumes the installation of an ENERGY STAR v1.2 qualified electric or gas steam cooker.</t>
  </si>
  <si>
    <t>This measure involves the addition of control systems to existing, non-ENERGY STAR, beverage vending machines. The control systems are intended to reduce energy consumption from lighting and refrigeration during times of lower customer sales.</t>
  </si>
  <si>
    <t>Type</t>
  </si>
  <si>
    <t xml:space="preserve">This measure describes the installation of an ENERGY STAR qualified, high-efficiency packaged commercial refrigerator or freezer intended for food product storage.This measure may involve the removal of an existing inefficient refrigerator from service, prior to failure. </t>
  </si>
  <si>
    <t>Project Type</t>
  </si>
  <si>
    <t>Existing Equip. Manufacture Date</t>
  </si>
  <si>
    <r>
      <t>Volume per Unit (ft</t>
    </r>
    <r>
      <rPr>
        <b/>
        <vertAlign val="superscript"/>
        <sz val="11"/>
        <color theme="0"/>
        <rFont val="Arial"/>
        <family val="2"/>
        <scheme val="minor"/>
      </rPr>
      <t>3</t>
    </r>
    <r>
      <rPr>
        <b/>
        <sz val="11"/>
        <color theme="0"/>
        <rFont val="Arial"/>
        <family val="2"/>
        <scheme val="minor"/>
      </rPr>
      <t>)</t>
    </r>
  </si>
  <si>
    <t>Commercial insulated hot food holding cabinet models that meet ENERGY STAR requirements incorporate better insulation, reducing heat loss, and may also offer additional energy saving devices such as magnetic door gaskets, auto-door closures, or dutch doors. The efficient equipment is assumed to be a high efficiency hot food holding cabinet.</t>
  </si>
  <si>
    <r>
      <t>Volume per Unit (ft</t>
    </r>
    <r>
      <rPr>
        <vertAlign val="superscript"/>
        <sz val="11"/>
        <color theme="1"/>
        <rFont val="Arial"/>
        <family val="2"/>
        <scheme val="minor"/>
      </rPr>
      <t>3</t>
    </r>
    <r>
      <rPr>
        <sz val="11"/>
        <color theme="1"/>
        <rFont val="Arial"/>
        <family val="2"/>
        <scheme val="minor"/>
      </rPr>
      <t>)</t>
    </r>
  </si>
  <si>
    <t xml:space="preserve">This measure describes the installation of an ENERGY STAR qualified, high-efficiency stationary and conveyor-type commercial dishwashers used in commercial kitchen establishments that use non_x0002_disposable dishes, glassware, and utensils.  Energy Star qualified models use less water and have lower idling rates than non-Energy Star rated models. </t>
  </si>
  <si>
    <t>Booster Water Heater Fuel Type</t>
  </si>
  <si>
    <t>Measure Category</t>
  </si>
  <si>
    <t>Line Item</t>
  </si>
  <si>
    <t>Measure Name Text</t>
  </si>
  <si>
    <t>Annual Electric Energy Savings</t>
  </si>
  <si>
    <t>Installation Type</t>
  </si>
  <si>
    <t>Make/Manufacturer</t>
  </si>
  <si>
    <t>Coincident Factor</t>
  </si>
  <si>
    <t>Annual Operating Hours (hours/year)</t>
  </si>
  <si>
    <t>Area (sqft)</t>
  </si>
  <si>
    <t xml:space="preserve">Average Daily Hours of Use </t>
  </si>
  <si>
    <t>Baseline Energy Use (kWh/100 lbs ice)</t>
  </si>
  <si>
    <t>Baseline Energy Use (kWh/year)</t>
  </si>
  <si>
    <t>Baseline Ice Machine Type</t>
  </si>
  <si>
    <t>Baseline Ice Production Type</t>
  </si>
  <si>
    <t>Efficiency Level</t>
  </si>
  <si>
    <t>Electric Demand HVAC IE</t>
  </si>
  <si>
    <t>Configuration</t>
  </si>
  <si>
    <t>Equipment Cost ($)</t>
  </si>
  <si>
    <t>Efficient Controls Strategy</t>
  </si>
  <si>
    <t>Efficient Energy Use (kWh/100 lbs ice)</t>
  </si>
  <si>
    <t>Efficient Energy Use (kWh/year)</t>
  </si>
  <si>
    <t>Efficient Ice Machine Type</t>
  </si>
  <si>
    <t>Efficient Ice Production Type</t>
  </si>
  <si>
    <t>Efficient Ice Type</t>
  </si>
  <si>
    <t>ENERGY STAR Certified</t>
  </si>
  <si>
    <t>Factor 1</t>
  </si>
  <si>
    <t>Existing COP</t>
  </si>
  <si>
    <t>Existing Steam Cooker Type</t>
  </si>
  <si>
    <t>Fryer Type</t>
  </si>
  <si>
    <t>Fuel QPL Fuel Type</t>
  </si>
  <si>
    <t>Fuel Type</t>
  </si>
  <si>
    <t>Ice Machine Harvest Rate (lbs/day)</t>
  </si>
  <si>
    <t>Length in Feet</t>
  </si>
  <si>
    <t>Maximum Energy Use (kWh/100 lbs ice)</t>
  </si>
  <si>
    <t>Number of Doors</t>
  </si>
  <si>
    <t>Number of Pans</t>
  </si>
  <si>
    <t>Oven Size</t>
  </si>
  <si>
    <t>Oven Type</t>
  </si>
  <si>
    <t>Pre-Existing Curtains</t>
  </si>
  <si>
    <t>Product Description</t>
  </si>
  <si>
    <t>Refrigeration Type</t>
  </si>
  <si>
    <t>Refrigerator Configuration</t>
  </si>
  <si>
    <t>SC Peak Demand Savings (kW)</t>
  </si>
  <si>
    <t>Vending Machine Capacity (cans)</t>
  </si>
  <si>
    <t>Vending Machine Type</t>
  </si>
  <si>
    <t>Volume_cubic_feet__c</t>
  </si>
  <si>
    <t>SC Peak Demand Savings (kW) -RTO/ISO</t>
  </si>
  <si>
    <t>WC Peak Demand Savings (kW) -RTO/ISO</t>
  </si>
  <si>
    <t>Total Incentive Cap</t>
  </si>
  <si>
    <t>Deemed Annual Energy Savings </t>
  </si>
  <si>
    <t>Deemed Annual Energy Savings (Therms)</t>
  </si>
  <si>
    <t>MMBTu Base</t>
  </si>
  <si>
    <t>MMBTu Eff</t>
  </si>
  <si>
    <t>Water Heater Fuel Type</t>
  </si>
  <si>
    <t>Efficient Motor Horsepower (hp)</t>
  </si>
  <si>
    <t>Factor 8</t>
  </si>
  <si>
    <t>Percent On Uncontrolled</t>
  </si>
  <si>
    <t>Percent On Controlled</t>
  </si>
  <si>
    <t>OrderLineId</t>
  </si>
  <si>
    <t>SampleId</t>
  </si>
  <si>
    <t>Efficient Controls Factor</t>
  </si>
  <si>
    <t>Cooling Capacity (tons)</t>
  </si>
  <si>
    <t>Efficient COP</t>
  </si>
  <si>
    <t xml:space="preserve">Energy Savings Factor </t>
  </si>
  <si>
    <t>Electric HVAC IE</t>
  </si>
  <si>
    <t>User Inputs List</t>
  </si>
  <si>
    <t>Constants</t>
  </si>
  <si>
    <t>kWd</t>
  </si>
  <si>
    <t>unit</t>
  </si>
  <si>
    <t>Per Door</t>
  </si>
  <si>
    <t>On/Off Controls</t>
  </si>
  <si>
    <t>Refrigerator</t>
  </si>
  <si>
    <t>Time of Sale</t>
  </si>
  <si>
    <t>%ONnone</t>
  </si>
  <si>
    <t>Micropulse Controls</t>
  </si>
  <si>
    <t>Freezer</t>
  </si>
  <si>
    <t>HOURS</t>
  </si>
  <si>
    <t>Look-Up Table 1</t>
  </si>
  <si>
    <t>CONCATENATE</t>
  </si>
  <si>
    <t>CF</t>
  </si>
  <si>
    <t>WHF</t>
  </si>
  <si>
    <t>%ONcontrol</t>
  </si>
  <si>
    <t>kW Summer Peak</t>
  </si>
  <si>
    <t>kW Winter Peak</t>
  </si>
  <si>
    <t>kW</t>
  </si>
  <si>
    <t>Refrigerated Case Cover</t>
  </si>
  <si>
    <t>COP</t>
  </si>
  <si>
    <t>Btu/h</t>
  </si>
  <si>
    <t>Per Linear Ft</t>
  </si>
  <si>
    <t>Up to $500 per case</t>
  </si>
  <si>
    <t>Total Linear Feet</t>
  </si>
  <si>
    <t>Pre-existing Curtains</t>
  </si>
  <si>
    <t>Per Sq. Ft.</t>
  </si>
  <si>
    <t>Grocery</t>
  </si>
  <si>
    <t>Cooler</t>
  </si>
  <si>
    <t>Yes</t>
  </si>
  <si>
    <t>Convenience Store</t>
  </si>
  <si>
    <t>No</t>
  </si>
  <si>
    <t>Restaurant</t>
  </si>
  <si>
    <t>Refrigerated Warehouse</t>
  </si>
  <si>
    <t>Doorway Area Assumptions</t>
  </si>
  <si>
    <t>Doorway Area ft2</t>
  </si>
  <si>
    <t>Energy Savings, kWh/ft2</t>
  </si>
  <si>
    <t>Demand Savings, kW/ft2</t>
  </si>
  <si>
    <t>Energy savings per door (kWh/yr)</t>
  </si>
  <si>
    <t>Demand Savings per Door (kW)</t>
  </si>
  <si>
    <t>GroceryCooler</t>
  </si>
  <si>
    <t>GroceryFreezer</t>
  </si>
  <si>
    <t>Convenience StoreCooler</t>
  </si>
  <si>
    <t>Convenience StoreFreezer</t>
  </si>
  <si>
    <t>RestaurantCooler</t>
  </si>
  <si>
    <t>RestaurantFreezer</t>
  </si>
  <si>
    <t>Refrigerated WarehouseCooler</t>
  </si>
  <si>
    <t>kW/door</t>
  </si>
  <si>
    <t>kWh/door</t>
  </si>
  <si>
    <t>Total kW</t>
  </si>
  <si>
    <t>Total kWh</t>
  </si>
  <si>
    <t>Total Area</t>
  </si>
  <si>
    <t>Efood</t>
  </si>
  <si>
    <t>kWh/lb</t>
  </si>
  <si>
    <t>Energy Star Certified</t>
  </si>
  <si>
    <t>Per Unit</t>
  </si>
  <si>
    <t>Standard Vat</t>
  </si>
  <si>
    <t>Pounds</t>
  </si>
  <si>
    <t>lb</t>
  </si>
  <si>
    <t>Large Vat</t>
  </si>
  <si>
    <t>Days</t>
  </si>
  <si>
    <t>Electric</t>
  </si>
  <si>
    <t>Look-Up Table: Base</t>
  </si>
  <si>
    <t>Look-Up Table: EE</t>
  </si>
  <si>
    <t>IDLE</t>
  </si>
  <si>
    <t>EFF</t>
  </si>
  <si>
    <t>PC</t>
  </si>
  <si>
    <t>Hours</t>
  </si>
  <si>
    <t># of Fryers</t>
  </si>
  <si>
    <t>Baseline</t>
  </si>
  <si>
    <t>New</t>
  </si>
  <si>
    <t>Baseline kW</t>
  </si>
  <si>
    <t>Baseline kWh</t>
  </si>
  <si>
    <t>EE kW</t>
  </si>
  <si>
    <t>EE kWh</t>
  </si>
  <si>
    <t>Single Sided</t>
  </si>
  <si>
    <t>Double Sided</t>
  </si>
  <si>
    <t>PE</t>
  </si>
  <si>
    <t>Operation Type</t>
  </si>
  <si>
    <t>Duty Cycle</t>
  </si>
  <si>
    <t>Batch</t>
  </si>
  <si>
    <t>Ice Making Head</t>
  </si>
  <si>
    <t>Cube/Nugget</t>
  </si>
  <si>
    <t>days/year</t>
  </si>
  <si>
    <t>Continuous</t>
  </si>
  <si>
    <t>Remote Condensing w/out Remote Compressor</t>
  </si>
  <si>
    <t>Flake</t>
  </si>
  <si>
    <t>Remote Condensing with Remote Compressor</t>
  </si>
  <si>
    <t>unknown</t>
  </si>
  <si>
    <t>Self Contained Unit</t>
  </si>
  <si>
    <t xml:space="preserve">Look-Up Table </t>
  </si>
  <si>
    <t>kWhbase a</t>
  </si>
  <si>
    <t>kWhbase b</t>
  </si>
  <si>
    <t>kWhee a</t>
  </si>
  <si>
    <t>kWhee b</t>
  </si>
  <si>
    <t>&lt; 300</t>
  </si>
  <si>
    <r>
      <t xml:space="preserve">300 </t>
    </r>
    <r>
      <rPr>
        <sz val="11"/>
        <rFont val="Calibri"/>
        <family val="2"/>
      </rPr>
      <t>≤</t>
    </r>
    <r>
      <rPr>
        <sz val="9.9"/>
        <rFont val="Arial"/>
        <family val="2"/>
      </rPr>
      <t xml:space="preserve"> H &lt; 800</t>
    </r>
  </si>
  <si>
    <r>
      <t xml:space="preserve">800 </t>
    </r>
    <r>
      <rPr>
        <sz val="11"/>
        <rFont val="Calibri"/>
        <family val="2"/>
      </rPr>
      <t>≤</t>
    </r>
    <r>
      <rPr>
        <sz val="9.9"/>
        <rFont val="Arial"/>
        <family val="2"/>
      </rPr>
      <t xml:space="preserve"> H &lt; 1,500</t>
    </r>
  </si>
  <si>
    <r>
      <t xml:space="preserve">1,500 </t>
    </r>
    <r>
      <rPr>
        <sz val="11"/>
        <rFont val="Calibri"/>
        <family val="2"/>
      </rPr>
      <t>≤</t>
    </r>
    <r>
      <rPr>
        <sz val="9.9"/>
        <rFont val="Arial"/>
        <family val="2"/>
      </rPr>
      <t xml:space="preserve"> H &lt; 4,000</t>
    </r>
  </si>
  <si>
    <t>&lt; 988</t>
  </si>
  <si>
    <r>
      <t xml:space="preserve">988 </t>
    </r>
    <r>
      <rPr>
        <sz val="11"/>
        <rFont val="Calibri"/>
        <family val="2"/>
      </rPr>
      <t>≤</t>
    </r>
    <r>
      <rPr>
        <sz val="9.9"/>
        <rFont val="Arial"/>
        <family val="2"/>
      </rPr>
      <t xml:space="preserve"> H &lt; 4,000</t>
    </r>
  </si>
  <si>
    <t>&lt; 930</t>
  </si>
  <si>
    <r>
      <t xml:space="preserve">930 </t>
    </r>
    <r>
      <rPr>
        <sz val="11"/>
        <rFont val="Calibri"/>
        <family val="2"/>
      </rPr>
      <t>≤</t>
    </r>
    <r>
      <rPr>
        <sz val="9.9"/>
        <rFont val="Arial"/>
        <family val="2"/>
      </rPr>
      <t xml:space="preserve"> H &lt; 4,000</t>
    </r>
  </si>
  <si>
    <t>&lt; 110</t>
  </si>
  <si>
    <r>
      <t xml:space="preserve">110 </t>
    </r>
    <r>
      <rPr>
        <sz val="11"/>
        <rFont val="Calibri"/>
        <family val="2"/>
      </rPr>
      <t>≤</t>
    </r>
    <r>
      <rPr>
        <sz val="9.9"/>
        <rFont val="Arial"/>
        <family val="2"/>
      </rPr>
      <t xml:space="preserve"> H &lt; 200</t>
    </r>
  </si>
  <si>
    <r>
      <t xml:space="preserve">200 </t>
    </r>
    <r>
      <rPr>
        <sz val="11"/>
        <rFont val="Calibri"/>
        <family val="2"/>
      </rPr>
      <t>≤</t>
    </r>
    <r>
      <rPr>
        <sz val="9.9"/>
        <rFont val="Arial"/>
        <family val="2"/>
      </rPr>
      <t xml:space="preserve"> H &lt; 4,000</t>
    </r>
  </si>
  <si>
    <t>&lt; 310</t>
  </si>
  <si>
    <r>
      <t xml:space="preserve">310 </t>
    </r>
    <r>
      <rPr>
        <sz val="11"/>
        <rFont val="Calibri"/>
        <family val="2"/>
      </rPr>
      <t>≤</t>
    </r>
    <r>
      <rPr>
        <sz val="9.9"/>
        <rFont val="Arial"/>
        <family val="2"/>
      </rPr>
      <t xml:space="preserve"> H &lt; 820</t>
    </r>
  </si>
  <si>
    <r>
      <t xml:space="preserve">820 </t>
    </r>
    <r>
      <rPr>
        <sz val="11"/>
        <rFont val="Calibri"/>
        <family val="2"/>
      </rPr>
      <t>≤</t>
    </r>
    <r>
      <rPr>
        <sz val="9.9"/>
        <rFont val="Arial"/>
        <family val="2"/>
      </rPr>
      <t xml:space="preserve"> H &lt; 4,000</t>
    </r>
  </si>
  <si>
    <t>&lt; 800</t>
  </si>
  <si>
    <r>
      <t xml:space="preserve">800 </t>
    </r>
    <r>
      <rPr>
        <sz val="11"/>
        <rFont val="Calibri"/>
        <family val="2"/>
      </rPr>
      <t>≤</t>
    </r>
    <r>
      <rPr>
        <sz val="9.9"/>
        <rFont val="Arial"/>
        <family val="2"/>
      </rPr>
      <t xml:space="preserve"> H &lt; 4,000</t>
    </r>
  </si>
  <si>
    <t>&lt; 200</t>
  </si>
  <si>
    <r>
      <t xml:space="preserve">200 </t>
    </r>
    <r>
      <rPr>
        <sz val="11"/>
        <rFont val="Calibri"/>
        <family val="2"/>
      </rPr>
      <t>≤</t>
    </r>
    <r>
      <rPr>
        <sz val="9.9"/>
        <rFont val="Arial"/>
        <family val="2"/>
      </rPr>
      <t xml:space="preserve"> H &lt; 700</t>
    </r>
  </si>
  <si>
    <r>
      <t xml:space="preserve">700 </t>
    </r>
    <r>
      <rPr>
        <sz val="11"/>
        <rFont val="Calibri"/>
        <family val="2"/>
      </rPr>
      <t>≤</t>
    </r>
    <r>
      <rPr>
        <sz val="9.9"/>
        <rFont val="Arial"/>
        <family val="2"/>
      </rPr>
      <t xml:space="preserve"> H &lt; 4,000</t>
    </r>
  </si>
  <si>
    <t>HR</t>
  </si>
  <si>
    <t>kWh/day</t>
  </si>
  <si>
    <t>MER kWh/100lbs</t>
  </si>
  <si>
    <t>Actual kWh/100lbs</t>
  </si>
  <si>
    <t>Use kWh/100lbs</t>
  </si>
  <si>
    <t>Look-Up Table: Hours</t>
  </si>
  <si>
    <t>Hrs/Day</t>
  </si>
  <si>
    <t>days/yr</t>
  </si>
  <si>
    <t>Half-size</t>
  </si>
  <si>
    <t>Convection</t>
  </si>
  <si>
    <t>Community College</t>
  </si>
  <si>
    <t>Full-size</t>
  </si>
  <si>
    <t>Fast Food Restaurant</t>
  </si>
  <si>
    <t>Full Service Restaurant</t>
  </si>
  <si>
    <t>Hospital</t>
  </si>
  <si>
    <t>Hotel</t>
  </si>
  <si>
    <t>Miscellaneous</t>
  </si>
  <si>
    <t>Motel</t>
  </si>
  <si>
    <t>Primary School</t>
  </si>
  <si>
    <t># of Ovens</t>
  </si>
  <si>
    <t>Hours/Day</t>
  </si>
  <si>
    <t>Days/Year</t>
  </si>
  <si>
    <t>kW_summer peak</t>
  </si>
  <si>
    <t>kW_winter peak</t>
  </si>
  <si>
    <t>Secondary School</t>
  </si>
  <si>
    <t>Office</t>
  </si>
  <si>
    <t>University</t>
  </si>
  <si>
    <t>Efoodconv</t>
  </si>
  <si>
    <t>Combination</t>
  </si>
  <si>
    <t>&lt; 15</t>
  </si>
  <si>
    <t>Efoodsteam</t>
  </si>
  <si>
    <t>≥ 15</t>
  </si>
  <si>
    <t>PCT</t>
  </si>
  <si>
    <t>Cooking Mode</t>
  </si>
  <si>
    <t>IDLE a</t>
  </si>
  <si>
    <t>IDLE b</t>
  </si>
  <si>
    <r>
      <rPr>
        <sz val="11"/>
        <color theme="1"/>
        <rFont val="Calibri"/>
        <family val="2"/>
      </rPr>
      <t>≥</t>
    </r>
    <r>
      <rPr>
        <sz val="9.9"/>
        <color theme="1"/>
        <rFont val="Arial"/>
        <family val="2"/>
      </rPr>
      <t xml:space="preserve"> 15</t>
    </r>
  </si>
  <si>
    <t>Steam</t>
  </si>
  <si>
    <t>Baseline Model</t>
  </si>
  <si>
    <t>Per Pan</t>
  </si>
  <si>
    <t>Steam Generator</t>
  </si>
  <si>
    <t>Boiler Based</t>
  </si>
  <si>
    <t>lb/day</t>
  </si>
  <si>
    <t>day/year</t>
  </si>
  <si>
    <t>hr/day</t>
  </si>
  <si>
    <t>Pcbas/pan</t>
  </si>
  <si>
    <t>(lb/hr)</t>
  </si>
  <si>
    <t>Pcee/pan</t>
  </si>
  <si>
    <t>PCTsteam</t>
  </si>
  <si>
    <t>food lbs/day</t>
  </si>
  <si>
    <t>6+</t>
  </si>
  <si>
    <t>Time</t>
  </si>
  <si>
    <t>kWh cook</t>
  </si>
  <si>
    <t>kWh preheat</t>
  </si>
  <si>
    <t>kWh idle</t>
  </si>
  <si>
    <t>Class A</t>
  </si>
  <si>
    <t>Class B</t>
  </si>
  <si>
    <t>Look-Up Table: Savings</t>
  </si>
  <si>
    <t>kWh Savings</t>
  </si>
  <si>
    <t>Refrigerated Beverage Vending Machine</t>
  </si>
  <si>
    <t>Glass Front Refrigerated Cooler</t>
  </si>
  <si>
    <t>Temprature</t>
  </si>
  <si>
    <t>Hour</t>
  </si>
  <si>
    <t>hr/year</t>
  </si>
  <si>
    <t>Solid</t>
  </si>
  <si>
    <t>Vertical</t>
  </si>
  <si>
    <t>Reach-in</t>
  </si>
  <si>
    <t>Transparent</t>
  </si>
  <si>
    <t>Horizontal</t>
  </si>
  <si>
    <t>New Construction</t>
  </si>
  <si>
    <t>Measure Life</t>
  </si>
  <si>
    <t>Years</t>
  </si>
  <si>
    <t>Early Replacement</t>
  </si>
  <si>
    <t>Existing Equipment manufactured before 3/26/2017</t>
  </si>
  <si>
    <t>Existing Equipment manufactured after 3/26/2017</t>
  </si>
  <si>
    <t>Volumn Group</t>
  </si>
  <si>
    <t>kWh base a</t>
  </si>
  <si>
    <t>kWh base b</t>
  </si>
  <si>
    <t>kWh ee a</t>
  </si>
  <si>
    <t>kWh ee b</t>
  </si>
  <si>
    <t>kWh exist a</t>
  </si>
  <si>
    <t>kWh exist b</t>
  </si>
  <si>
    <t>SolidRefrigerator&lt; 19 cubic ft</t>
  </si>
  <si>
    <t>Each</t>
  </si>
  <si>
    <t>0&lt;V&lt;15</t>
  </si>
  <si>
    <t>SolidRefrigerator19-20 cubic ft</t>
  </si>
  <si>
    <r>
      <t>15</t>
    </r>
    <r>
      <rPr>
        <sz val="11"/>
        <rFont val="Calibri"/>
        <family val="2"/>
      </rPr>
      <t>≤</t>
    </r>
    <r>
      <rPr>
        <sz val="9.9"/>
        <rFont val="Arial"/>
        <family val="2"/>
      </rPr>
      <t>V&lt;30</t>
    </r>
  </si>
  <si>
    <t>SolidRefrigerator21-60 cubic ft</t>
  </si>
  <si>
    <r>
      <rPr>
        <sz val="11"/>
        <rFont val="Calibri"/>
        <family val="2"/>
      </rPr>
      <t>30≤</t>
    </r>
    <r>
      <rPr>
        <sz val="9.9"/>
        <rFont val="Arial"/>
        <family val="2"/>
      </rPr>
      <t>V&lt;50</t>
    </r>
  </si>
  <si>
    <t>SolidRefrigerator60-90 cubic ft</t>
  </si>
  <si>
    <r>
      <rPr>
        <sz val="11"/>
        <rFont val="Calibri"/>
        <family val="2"/>
      </rPr>
      <t>50≤</t>
    </r>
    <r>
      <rPr>
        <sz val="9.9"/>
        <rFont val="Arial"/>
        <family val="2"/>
      </rPr>
      <t>V</t>
    </r>
  </si>
  <si>
    <t>SolidFreezer&lt; 19 cubic ft</t>
  </si>
  <si>
    <t>SolidFreezer19-20 cubic ft</t>
  </si>
  <si>
    <t>SolidFreezer21-60 cubic ft</t>
  </si>
  <si>
    <t>SolidFreezer60-90 cubic ft</t>
  </si>
  <si>
    <t>TransparentRefrigerator&lt; 19 cubic ft</t>
  </si>
  <si>
    <t>TransparentRefrigerator19-20 cubic ft</t>
  </si>
  <si>
    <t>TransparentRefrigerator21-60 cubic ft</t>
  </si>
  <si>
    <t>TransparentRefrigerator60-90 cubic ft</t>
  </si>
  <si>
    <t>TransparentFreezer&lt; 19 cubic ft</t>
  </si>
  <si>
    <t>TransparentFreezer19-20 cubic ft</t>
  </si>
  <si>
    <t>TransparentFreezer21-60 cubic ft</t>
  </si>
  <si>
    <t>TransparentFreezer60-90 cubic ft</t>
  </si>
  <si>
    <t>Volume Group</t>
  </si>
  <si>
    <t>Volume per Unit</t>
  </si>
  <si>
    <t>kWh exist</t>
  </si>
  <si>
    <t>kWh base</t>
  </si>
  <si>
    <t>kWh ee</t>
  </si>
  <si>
    <t>Incentive Lookups</t>
  </si>
  <si>
    <t>Incentive Rate</t>
  </si>
  <si>
    <t>Mid Atlantic v10 pg377</t>
  </si>
  <si>
    <t>0 &lt; V &lt; 13</t>
  </si>
  <si>
    <t>13 ≤ V &lt; 28</t>
  </si>
  <si>
    <t>28 ≤ V</t>
  </si>
  <si>
    <t>Volume</t>
  </si>
  <si>
    <t>IDLEeff a</t>
  </si>
  <si>
    <t>IDLEeff b</t>
  </si>
  <si>
    <t>volume</t>
  </si>
  <si>
    <t>IDLEbase</t>
  </si>
  <si>
    <t>IDLEeff</t>
  </si>
  <si>
    <t>Commercial Dishwasher</t>
  </si>
  <si>
    <t>High</t>
  </si>
  <si>
    <t>Low</t>
  </si>
  <si>
    <t>Hours/yr</t>
  </si>
  <si>
    <t>Machine Type</t>
  </si>
  <si>
    <t>Under Counter</t>
  </si>
  <si>
    <t>Natural Gas</t>
  </si>
  <si>
    <t>Stationary Single Tank Door</t>
  </si>
  <si>
    <t>Single Tank Conveyor</t>
  </si>
  <si>
    <t>Multi Tank Conveyor</t>
  </si>
  <si>
    <t>Pot, Pan, and Utensil</t>
  </si>
  <si>
    <t>Look-Up Table</t>
  </si>
  <si>
    <t>Concatenate</t>
  </si>
  <si>
    <t>kWh Baseline</t>
  </si>
  <si>
    <t>kWh Energy Star</t>
  </si>
  <si>
    <t>MMBtu Baseline</t>
  </si>
  <si>
    <t>MMBtu Energy Star</t>
  </si>
  <si>
    <t>CFF Baseline</t>
  </si>
  <si>
    <t>CFF Energy Star</t>
  </si>
  <si>
    <t>MMBtu base</t>
  </si>
  <si>
    <t>MMBtu ee</t>
  </si>
  <si>
    <t>kW savings</t>
  </si>
  <si>
    <t>kWh savings</t>
  </si>
  <si>
    <t>MMBtu savings</t>
  </si>
  <si>
    <t>Therm savings</t>
  </si>
  <si>
    <t>CEE Tiers</t>
  </si>
  <si>
    <t>Incentives</t>
  </si>
  <si>
    <t>min</t>
  </si>
  <si>
    <t>max</t>
  </si>
  <si>
    <t>a</t>
  </si>
  <si>
    <t>b</t>
  </si>
  <si>
    <t>CEE Tier I</t>
  </si>
  <si>
    <t>H &lt; 450</t>
  </si>
  <si>
    <t>450 ≤ H</t>
  </si>
  <si>
    <t>450 ≤ H &lt; 1,000</t>
  </si>
  <si>
    <t>H &lt; 1,000</t>
  </si>
  <si>
    <t>1,000 ≤ H</t>
  </si>
  <si>
    <t>CEE Tier II</t>
  </si>
  <si>
    <t>H &lt; 934</t>
  </si>
  <si>
    <t>934 ≤ H</t>
  </si>
  <si>
    <t>Tier I HR</t>
  </si>
  <si>
    <t>Tier II HR</t>
  </si>
  <si>
    <t>$/qty</t>
  </si>
  <si>
    <t>H &lt; 175</t>
  </si>
  <si>
    <t>175 ≤ H</t>
  </si>
  <si>
    <t>175 ≤ H &lt; 450</t>
  </si>
  <si>
    <t>Energy to Demand Factors</t>
  </si>
  <si>
    <t>NREL Load Shape Name</t>
  </si>
  <si>
    <t>ETDF_summer peak</t>
  </si>
  <si>
    <t>ETDF_winter peak</t>
  </si>
  <si>
    <t>Ventilation</t>
  </si>
  <si>
    <t>0.000157</t>
  </si>
  <si>
    <t>0.0001388</t>
  </si>
  <si>
    <t>0.0001181</t>
  </si>
  <si>
    <t>0.0001114</t>
  </si>
  <si>
    <t>Large Hotel</t>
  </si>
  <si>
    <t>0.0001254</t>
  </si>
  <si>
    <t>0.0001455</t>
  </si>
  <si>
    <t>Large Office</t>
  </si>
  <si>
    <t>0.0001379</t>
  </si>
  <si>
    <t>0.0001377</t>
  </si>
  <si>
    <t>Medium Office</t>
  </si>
  <si>
    <t>0.0001338</t>
  </si>
  <si>
    <t>0.0001262</t>
  </si>
  <si>
    <t>Outpatient</t>
  </si>
  <si>
    <t>0.0001470</t>
  </si>
  <si>
    <t>0.0001310</t>
  </si>
  <si>
    <t>0.0002077</t>
  </si>
  <si>
    <t>0.0001931</t>
  </si>
  <si>
    <t>Quick Service Restaurant</t>
  </si>
  <si>
    <t>0.0001474</t>
  </si>
  <si>
    <t>0.0001358</t>
  </si>
  <si>
    <t>Retail Standalone</t>
  </si>
  <si>
    <t>0.0001483</t>
  </si>
  <si>
    <t>0.0001323</t>
  </si>
  <si>
    <t>Retail Strip mall</t>
  </si>
  <si>
    <t>0.0001606</t>
  </si>
  <si>
    <t>0.0001246</t>
  </si>
  <si>
    <t>0.0001513</t>
  </si>
  <si>
    <t>0.0001569</t>
  </si>
  <si>
    <t>Small Hotel</t>
  </si>
  <si>
    <t>0.0001273</t>
  </si>
  <si>
    <t>0.0001200</t>
  </si>
  <si>
    <t>Small Office</t>
  </si>
  <si>
    <t>Warehouse</t>
  </si>
  <si>
    <t>0.0001541</t>
  </si>
  <si>
    <t>Other</t>
  </si>
  <si>
    <t>0.0001453</t>
  </si>
  <si>
    <t>0.0001347</t>
  </si>
  <si>
    <t>Current:</t>
  </si>
  <si>
    <t>Original Author:</t>
  </si>
  <si>
    <t>A. Boone Drummond</t>
  </si>
  <si>
    <t>QA/QC Engineer(s):</t>
  </si>
  <si>
    <t>Ryan Novosediak, EIT</t>
  </si>
  <si>
    <t>Primary Developer:</t>
  </si>
  <si>
    <t>Senior Engineer Approval:</t>
  </si>
  <si>
    <t>Michael Stevenson</t>
  </si>
  <si>
    <t>Program Year</t>
  </si>
  <si>
    <t>Version</t>
  </si>
  <si>
    <t>Reason for Change</t>
  </si>
  <si>
    <t>Contact, Department</t>
  </si>
  <si>
    <t>New Calc</t>
  </si>
  <si>
    <t>A Boone Drummond, PE</t>
  </si>
  <si>
    <t>QA/QC</t>
  </si>
  <si>
    <t>updated based on QC</t>
  </si>
  <si>
    <t>fixed error on Continous Ice Machine</t>
  </si>
  <si>
    <t>added Beverage Vending Machine measure</t>
  </si>
  <si>
    <t>Phase V Launch</t>
  </si>
  <si>
    <t>Meredith Woy</t>
  </si>
  <si>
    <t>Added Data Export Tab</t>
  </si>
  <si>
    <t>Updated night cover incentive</t>
  </si>
  <si>
    <t>Updated data export tab</t>
  </si>
  <si>
    <t>Conor McGrail</t>
  </si>
  <si>
    <t>Added quantity to anti-sweats kW calculation</t>
  </si>
  <si>
    <t>Phase VI TRM updates. Demand reduction updated to ETDF</t>
  </si>
  <si>
    <t>Nick Momenee</t>
  </si>
  <si>
    <t>Measure clean up and asthetic changes to reflect measure filing requirements in PE Phase VI Calc Launch Tracker</t>
  </si>
  <si>
    <t>Mid-Atlantic TRM v11</t>
  </si>
  <si>
    <t xml:space="preserve">Refrigerated Case Cover </t>
  </si>
  <si>
    <t>Total Equipment Cost ($)</t>
  </si>
  <si>
    <t>Total Energy Savings (kWh)</t>
  </si>
  <si>
    <t>Total Winter Peak Demand (kW)</t>
  </si>
  <si>
    <t>Maryland TRM v11</t>
  </si>
  <si>
    <t>Total Project Cost*</t>
  </si>
  <si>
    <r>
      <t>Work Surface Area (ft</t>
    </r>
    <r>
      <rPr>
        <vertAlign val="superscript"/>
        <sz val="11"/>
        <color theme="0"/>
        <rFont val="Arial"/>
        <family val="2"/>
        <scheme val="minor"/>
      </rPr>
      <t>2</t>
    </r>
    <r>
      <rPr>
        <sz val="11"/>
        <color theme="0"/>
        <rFont val="Arial"/>
        <family val="2"/>
        <scheme val="minor"/>
      </rPr>
      <t>)</t>
    </r>
  </si>
  <si>
    <t>Existing Energy Factor</t>
  </si>
  <si>
    <t>WC Peak Demand Savings (kW)</t>
  </si>
  <si>
    <t>GNI Adder ($):</t>
  </si>
  <si>
    <t>Presrciptive Incentive ($)</t>
  </si>
  <si>
    <r>
      <t xml:space="preserve">Total Incentive ($) </t>
    </r>
    <r>
      <rPr>
        <b/>
        <sz val="8"/>
        <color theme="0"/>
        <rFont val="Arial"/>
        <family val="2"/>
        <scheme val="minor"/>
      </rPr>
      <t>including GNI Adder</t>
    </r>
  </si>
  <si>
    <t>Gov't, Non-Profit, Institutional:</t>
  </si>
  <si>
    <t>Government</t>
  </si>
  <si>
    <t>Non-Profit</t>
  </si>
  <si>
    <t>Institutional</t>
  </si>
  <si>
    <t>None</t>
  </si>
  <si>
    <t>*denotes required fields</t>
  </si>
  <si>
    <t>Per Unit Equipment Cost</t>
  </si>
  <si>
    <t>Fix bugs and data export. Deleted measures not in filing. Adjusted equipment cost on summary tab. Added GNI adder. Modified formatting</t>
  </si>
  <si>
    <t>Per Griddle</t>
  </si>
  <si>
    <t>Per Cabinet</t>
  </si>
  <si>
    <t>Tyrone Bamfo</t>
  </si>
  <si>
    <t>Updated incentives. Corrected formula for dishwasher incentives.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</si>
</sst>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6" formatCode="&quot;$&quot;#,##0_);[Red]\(&quot;$&quot;#,##0\)"/>
    <numFmt numFmtId="7" formatCode="&quot;$&quot;#,##0.00_);\(&quot;$&quot;#,##0.00\)"/>
    <numFmt numFmtId="44" formatCode="_(&quot;$&quot;* #,##0.00_);_(&quot;$&quot;* \(#,##0.00\);_(&quot;$&quot;* &quot;-&quot;??_);_(@_)"/>
    <numFmt numFmtId="43" formatCode="_(* #,##0.00_);_(* \(#,##0.00\);_(* &quot;-&quot;??_);_(@_)"/>
    <numFmt numFmtId="164" formatCode="_(* #,##0_);_(* \(#,##0\);_(* &quot;-&quot;??_);_(@_)"/>
    <numFmt numFmtId="165" formatCode="0.0"/>
    <numFmt numFmtId="166" formatCode="0.0000"/>
    <numFmt numFmtId="167" formatCode="0.00000"/>
    <numFmt numFmtId="168" formatCode="&quot;$&quot;#,##0.00"/>
    <numFmt numFmtId="169" formatCode="#,##0.0000"/>
    <numFmt numFmtId="170" formatCode="&quot;$&quot;#,##0"/>
    <numFmt numFmtId="171" formatCode="0.000"/>
    <numFmt numFmtId="172" formatCode="_(* #,##0.00_);_(* \(#,##0.00\);_(* \-??_);_(@_)"/>
    <numFmt numFmtId="173" formatCode="_(\$* #,##0.00_);_(\$* \(#,##0.00\);_(\$* \-??_);_(@_)"/>
    <numFmt numFmtId="174" formatCode="0.0000000000"/>
    <numFmt numFmtId="175" formatCode="m\-d\-yy"/>
    <numFmt numFmtId="176" formatCode="_(* #,##0.0_);_(* \(#,##0.00\);_(* &quot;-&quot;??_);_(@_)"/>
    <numFmt numFmtId="177" formatCode="General_)"/>
    <numFmt numFmtId="178" formatCode="&quot;fl&quot;#,##0_);\(&quot;fl&quot;#,##0\)"/>
    <numFmt numFmtId="179" formatCode="&quot;fl&quot;#,##0_);[Red]\(&quot;fl&quot;#,##0\)"/>
    <numFmt numFmtId="180" formatCode="_-* #,##0_-;\-* #,##0_-;_-* &quot;-&quot;_-;_-@_-"/>
    <numFmt numFmtId="181" formatCode="_-* #,##0.0_-;\-* #,##0.0_-;_-* &quot;-&quot;??_-;_-@_-"/>
    <numFmt numFmtId="182" formatCode="#,##0.00&quot; $&quot;;\-#,##0.00&quot; $&quot;"/>
    <numFmt numFmtId="183" formatCode="0.00_)"/>
    <numFmt numFmtId="184" formatCode="dd"/>
    <numFmt numFmtId="185" formatCode="_(&quot;$&quot;* #,##0.00000_);_(&quot;$&quot;* \(#,##0.00000\);_(&quot;$&quot;* &quot;-&quot;??_);_(@_)"/>
    <numFmt numFmtId="186" formatCode="_(&quot;$&quot;* #,##0.0000_);_(&quot;$&quot;* \(#,##0.0000\);_(&quot;$&quot;* &quot;-&quot;??_);_(@_)"/>
    <numFmt numFmtId="187" formatCode="#,##0.0"/>
    <numFmt numFmtId="188" formatCode="_(&quot;$&quot;* #,##0_);_(&quot;$&quot;* \(#,##0\);_(&quot;$&quot;* &quot;-&quot;??_);_(@_)"/>
    <numFmt numFmtId="189" formatCode="0.000000"/>
    <numFmt numFmtId="190" formatCode="#,##0.000"/>
    <numFmt numFmtId="191" formatCode="#,##0.000000"/>
  </numFmts>
  <fonts count="122">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4"/>
      <color theme="5"/>
      <name val="Arial"/>
      <family val="2"/>
      <scheme val="minor"/>
    </font>
    <font>
      <sz val="11"/>
      <color theme="1"/>
      <name val="Calibri"/>
      <family val="2"/>
    </font>
    <font>
      <sz val="10"/>
      <name val="Arial"/>
      <family val="2"/>
    </font>
    <font>
      <sz val="10"/>
      <name val="Arial"/>
      <family val="2"/>
    </font>
    <font>
      <sz val="11"/>
      <name val="Arial"/>
      <family val="2"/>
    </font>
    <font>
      <b/>
      <sz val="11"/>
      <color rgb="FF0070C0"/>
      <name val="Arial"/>
      <family val="2"/>
    </font>
    <font>
      <sz val="10"/>
      <color theme="6" tint="-0.249977111117893"/>
      <name val="Arial"/>
      <family val="2"/>
    </font>
    <font>
      <u/>
      <sz val="16"/>
      <color theme="5"/>
      <name val="Arial"/>
      <family val="2"/>
    </font>
    <font>
      <b/>
      <u/>
      <sz val="27"/>
      <color theme="5"/>
      <name val="Arial"/>
      <family val="2"/>
      <scheme val="minor"/>
    </font>
    <font>
      <sz val="11"/>
      <color theme="5"/>
      <name val="Arial"/>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Arial"/>
      <family val="2"/>
    </font>
    <font>
      <sz val="14"/>
      <color theme="1"/>
      <name val="Arial"/>
      <family val="2"/>
      <scheme val="minor"/>
    </font>
    <font>
      <b/>
      <sz val="12"/>
      <color theme="1"/>
      <name val="Arial"/>
      <family val="2"/>
      <scheme val="minor"/>
    </font>
    <font>
      <b/>
      <sz val="14"/>
      <color theme="5"/>
      <name val="Arial"/>
      <family val="2"/>
      <scheme val="minor"/>
    </font>
    <font>
      <vertAlign val="superscript"/>
      <sz val="11"/>
      <color theme="1"/>
      <name val="Arial"/>
      <family val="2"/>
      <scheme val="minor"/>
    </font>
    <font>
      <sz val="9.9"/>
      <color theme="1"/>
      <name val="Arial"/>
      <family val="2"/>
    </font>
    <font>
      <sz val="11"/>
      <name val="Arial"/>
      <family val="2"/>
      <scheme val="minor"/>
    </font>
    <font>
      <b/>
      <sz val="11"/>
      <name val="Arial"/>
      <family val="2"/>
      <scheme val="minor"/>
    </font>
    <font>
      <sz val="11"/>
      <name val="Calibri"/>
      <family val="2"/>
    </font>
    <font>
      <sz val="11"/>
      <color theme="4"/>
      <name val="Arial"/>
      <family val="2"/>
      <scheme val="minor"/>
    </font>
    <font>
      <sz val="9.9"/>
      <color theme="1"/>
      <name val="Calibri"/>
      <family val="2"/>
    </font>
    <font>
      <sz val="9"/>
      <color indexed="81"/>
      <name val="Tahoma"/>
      <family val="2"/>
    </font>
    <font>
      <b/>
      <u/>
      <sz val="16"/>
      <color theme="5"/>
      <name val="Arial"/>
      <family val="2"/>
      <scheme val="minor"/>
    </font>
    <font>
      <b/>
      <u/>
      <sz val="18"/>
      <color theme="5"/>
      <name val="Arial"/>
      <family val="2"/>
      <scheme val="minor"/>
    </font>
    <font>
      <sz val="11"/>
      <color theme="5"/>
      <name val="Calibri"/>
      <family val="2"/>
    </font>
    <font>
      <sz val="9"/>
      <color theme="1"/>
      <name val="Arial"/>
      <family val="2"/>
      <scheme val="minor"/>
    </font>
    <font>
      <b/>
      <sz val="9"/>
      <color theme="1"/>
      <name val="Arial"/>
      <family val="2"/>
      <scheme val="minor"/>
    </font>
    <font>
      <b/>
      <sz val="14"/>
      <color theme="6"/>
      <name val="Arial"/>
      <family val="2"/>
    </font>
    <font>
      <sz val="14"/>
      <color theme="6"/>
      <name val="Arial"/>
      <family val="2"/>
    </font>
    <font>
      <sz val="14"/>
      <color theme="6"/>
      <name val="Arial"/>
      <family val="2"/>
      <scheme val="minor"/>
    </font>
    <font>
      <b/>
      <sz val="9"/>
      <color indexed="81"/>
      <name val="Tahoma"/>
      <family val="2"/>
    </font>
    <font>
      <sz val="10"/>
      <color theme="1"/>
      <name val="Arial"/>
      <family val="2"/>
      <scheme val="minor"/>
    </font>
    <font>
      <sz val="10"/>
      <color rgb="FF000000"/>
      <name val="Times New Roman"/>
      <family val="1"/>
    </font>
    <font>
      <b/>
      <sz val="12"/>
      <name val="Arial"/>
      <family val="2"/>
    </font>
    <font>
      <sz val="12"/>
      <name val="Arial"/>
      <family val="2"/>
    </font>
    <font>
      <b/>
      <sz val="10"/>
      <name val="Arial"/>
      <family val="2"/>
    </font>
    <font>
      <sz val="10"/>
      <name val="Mangal"/>
      <family val="2"/>
    </font>
    <font>
      <u/>
      <sz val="8"/>
      <color indexed="12"/>
      <name val="Arial"/>
      <family val="2"/>
      <charset val="1"/>
    </font>
    <font>
      <u/>
      <sz val="8.5"/>
      <color indexed="12"/>
      <name val="Arial"/>
      <family val="2"/>
      <charset val="1"/>
    </font>
    <font>
      <u/>
      <sz val="10"/>
      <color indexed="12"/>
      <name val="Arial"/>
      <family val="2"/>
    </font>
    <font>
      <sz val="7"/>
      <name val="Small Fonts"/>
      <family val="2"/>
      <charset val="1"/>
    </font>
    <font>
      <sz val="11"/>
      <color indexed="8"/>
      <name val="Calibri"/>
      <family val="2"/>
      <charset val="1"/>
    </font>
    <font>
      <sz val="10"/>
      <name val="Arial"/>
      <family val="2"/>
      <charset val="1"/>
    </font>
    <font>
      <sz val="8"/>
      <name val="Arial"/>
      <family val="2"/>
    </font>
    <font>
      <sz val="10"/>
      <name val="Geneva"/>
    </font>
    <font>
      <sz val="9"/>
      <name val="Times New Roman"/>
      <family val="1"/>
    </font>
    <font>
      <sz val="10"/>
      <name val="Courier"/>
      <family val="3"/>
    </font>
    <font>
      <b/>
      <sz val="24"/>
      <color indexed="8"/>
      <name val="Arial"/>
      <family val="2"/>
    </font>
    <font>
      <sz val="11"/>
      <name val="??"/>
      <family val="3"/>
      <charset val="129"/>
    </font>
    <font>
      <sz val="10"/>
      <color indexed="8"/>
      <name val="Arial"/>
      <family val="2"/>
    </font>
    <font>
      <b/>
      <u/>
      <sz val="11"/>
      <color indexed="37"/>
      <name val="Arial"/>
      <family val="2"/>
    </font>
    <font>
      <sz val="10"/>
      <color indexed="12"/>
      <name val="Arial"/>
      <family val="2"/>
    </font>
    <font>
      <b/>
      <i/>
      <sz val="16"/>
      <name val="Helv"/>
    </font>
    <font>
      <sz val="10"/>
      <color indexed="8"/>
      <name val="MS Sans Serif"/>
      <family val="2"/>
    </font>
    <font>
      <sz val="10"/>
      <name val="Helv"/>
    </font>
    <font>
      <b/>
      <sz val="8"/>
      <name val="Arial"/>
      <family val="2"/>
    </font>
    <font>
      <i/>
      <sz val="8"/>
      <name val="Arial"/>
      <family val="2"/>
    </font>
    <font>
      <sz val="8"/>
      <color indexed="12"/>
      <name val="Arial"/>
      <family val="2"/>
    </font>
    <font>
      <sz val="11"/>
      <color rgb="FFFF0000"/>
      <name val="Arial"/>
      <family val="2"/>
    </font>
    <font>
      <sz val="11"/>
      <color theme="1"/>
      <name val="Arial"/>
      <family val="2"/>
      <scheme val="major"/>
    </font>
    <font>
      <sz val="14"/>
      <color theme="0"/>
      <name val="Arial"/>
      <family val="2"/>
      <scheme val="minor"/>
    </font>
    <font>
      <sz val="9.9"/>
      <name val="Arial"/>
      <family val="2"/>
    </font>
    <font>
      <b/>
      <sz val="12"/>
      <name val="Arial"/>
      <family val="2"/>
      <scheme val="minor"/>
    </font>
    <font>
      <b/>
      <sz val="14"/>
      <color theme="1"/>
      <name val="Arial"/>
      <family val="2"/>
      <scheme val="minor"/>
    </font>
    <font>
      <b/>
      <sz val="12"/>
      <color theme="0"/>
      <name val="Arial"/>
      <family val="2"/>
      <scheme val="minor"/>
    </font>
    <font>
      <b/>
      <u/>
      <sz val="27"/>
      <color theme="1"/>
      <name val="Arial"/>
      <family val="2"/>
      <scheme val="minor"/>
    </font>
    <font>
      <b/>
      <vertAlign val="superscript"/>
      <sz val="11"/>
      <color theme="0"/>
      <name val="Arial"/>
      <family val="2"/>
      <scheme val="minor"/>
    </font>
    <font>
      <b/>
      <sz val="14"/>
      <color theme="1"/>
      <name val="Arial"/>
      <family val="2"/>
    </font>
    <font>
      <u/>
      <sz val="16"/>
      <color theme="1"/>
      <name val="Arial"/>
      <family val="2"/>
    </font>
    <font>
      <b/>
      <sz val="11"/>
      <color theme="1"/>
      <name val="Arial"/>
      <family val="2"/>
    </font>
    <font>
      <sz val="14"/>
      <color theme="1"/>
      <name val="Arial"/>
      <family val="2"/>
    </font>
    <font>
      <sz val="11"/>
      <color rgb="FFFFFFFF"/>
      <name val="Arial"/>
      <family val="2"/>
      <scheme val="minor"/>
    </font>
    <font>
      <sz val="11"/>
      <color rgb="FF000000"/>
      <name val="Arial"/>
      <family val="2"/>
      <scheme val="minor"/>
    </font>
    <font>
      <b/>
      <sz val="22"/>
      <color theme="1"/>
      <name val="Arial"/>
      <family val="2"/>
    </font>
    <font>
      <b/>
      <sz val="14"/>
      <name val="Arial"/>
      <family val="2"/>
      <scheme val="minor"/>
    </font>
    <font>
      <u/>
      <sz val="16"/>
      <name val="Arial"/>
      <family val="2"/>
      <scheme val="minor"/>
    </font>
    <font>
      <b/>
      <sz val="11"/>
      <color rgb="FF000000"/>
      <name val="Arial"/>
      <family val="2"/>
      <scheme val="minor"/>
    </font>
    <font>
      <u/>
      <sz val="16"/>
      <color rgb="FF054B56"/>
      <name val="Arial"/>
      <family val="2"/>
      <scheme val="minor"/>
    </font>
    <font>
      <b/>
      <u/>
      <sz val="27"/>
      <name val="Arial"/>
      <family val="2"/>
      <scheme val="minor"/>
    </font>
    <font>
      <b/>
      <u/>
      <sz val="16"/>
      <name val="Arial"/>
      <family val="2"/>
      <scheme val="minor"/>
    </font>
    <font>
      <b/>
      <u/>
      <sz val="18"/>
      <name val="Arial"/>
      <family val="2"/>
      <scheme val="minor"/>
    </font>
    <font>
      <u/>
      <sz val="11"/>
      <name val="Arial"/>
      <family val="2"/>
      <scheme val="minor"/>
    </font>
    <font>
      <vertAlign val="superscript"/>
      <sz val="11"/>
      <color theme="0"/>
      <name val="Arial"/>
      <family val="2"/>
      <scheme val="minor"/>
    </font>
    <font>
      <sz val="11"/>
      <color rgb="FF000000"/>
      <name val="Calibri"/>
      <family val="2"/>
    </font>
    <font>
      <b/>
      <sz val="10"/>
      <color theme="0"/>
      <name val="Arial"/>
      <family val="2"/>
      <scheme val="minor"/>
    </font>
    <font>
      <b/>
      <sz val="8"/>
      <color theme="0"/>
      <name val="Arial"/>
      <family val="2"/>
      <scheme val="minor"/>
    </font>
    <font>
      <sz val="8"/>
      <color theme="1"/>
      <name val="Arial"/>
      <family val="2"/>
      <scheme val="minor"/>
    </font>
  </fonts>
  <fills count="7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tint="0.59999389629810485"/>
        <bgColor indexed="64"/>
      </patternFill>
    </fill>
    <fill>
      <patternFill patternType="solid">
        <fgColor theme="7" tint="-0.249977111117893"/>
        <bgColor indexed="64"/>
      </patternFill>
    </fill>
    <fill>
      <patternFill patternType="solid">
        <fgColor indexed="22"/>
        <bgColor indexed="64"/>
      </patternFill>
    </fill>
    <fill>
      <patternFill patternType="solid">
        <fgColor indexed="44"/>
        <bgColor indexed="64"/>
      </patternFill>
    </fill>
    <fill>
      <patternFill patternType="solid">
        <fgColor indexed="26"/>
        <bgColor indexed="64"/>
      </patternFill>
    </fill>
    <fill>
      <patternFill patternType="solid">
        <fgColor indexed="43"/>
        <bgColor indexed="64"/>
      </patternFill>
    </fill>
    <fill>
      <patternFill patternType="solid">
        <fgColor rgb="FF0060AF"/>
        <bgColor indexed="64"/>
      </patternFill>
    </fill>
    <fill>
      <patternFill patternType="solid">
        <fgColor rgb="FF005CB8"/>
        <bgColor indexed="64"/>
      </patternFill>
    </fill>
    <fill>
      <patternFill patternType="solid">
        <fgColor rgb="FFB3B3B3"/>
        <bgColor indexed="64"/>
      </patternFill>
    </fill>
    <fill>
      <patternFill patternType="solid">
        <fgColor rgb="FFE8E8E8"/>
        <bgColor indexed="64"/>
      </patternFill>
    </fill>
    <fill>
      <patternFill patternType="solid">
        <fgColor rgb="FF005CB8"/>
        <bgColor rgb="FF000000"/>
      </patternFill>
    </fill>
    <fill>
      <patternFill patternType="solid">
        <fgColor rgb="FFFFFFFF"/>
        <bgColor rgb="FF000000"/>
      </patternFill>
    </fill>
    <fill>
      <patternFill patternType="solid">
        <fgColor theme="0" tint="-0.249977111117893"/>
        <bgColor indexed="64"/>
      </patternFill>
    </fill>
    <fill>
      <patternFill patternType="solid">
        <fgColor theme="2"/>
        <bgColor indexed="64"/>
      </patternFill>
    </fill>
  </fills>
  <borders count="10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double">
        <color indexed="64"/>
      </left>
      <right/>
      <top/>
      <bottom style="hair">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double">
        <color indexed="6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s>
  <cellStyleXfs count="2601">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0" fontId="21" fillId="0" borderId="0"/>
    <xf numFmtId="0" fontId="21" fillId="0" borderId="0"/>
    <xf numFmtId="0" fontId="21" fillId="0" borderId="0"/>
    <xf numFmtId="0" fontId="1" fillId="0" borderId="0"/>
    <xf numFmtId="9" fontId="21" fillId="0" borderId="0" applyFont="0" applyFill="0" applyBorder="0" applyAlignment="0" applyProtection="0"/>
    <xf numFmtId="9" fontId="21" fillId="0" borderId="0" applyFont="0" applyFill="0" applyBorder="0" applyAlignment="0" applyProtection="0"/>
    <xf numFmtId="0" fontId="20" fillId="0" borderId="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9" fillId="46"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3" borderId="0" applyNumberFormat="0" applyBorder="0" applyAlignment="0" applyProtection="0"/>
    <xf numFmtId="0" fontId="30" fillId="37" borderId="0" applyNumberFormat="0" applyBorder="0" applyAlignment="0" applyProtection="0"/>
    <xf numFmtId="0" fontId="31" fillId="54" borderId="23" applyNumberFormat="0" applyAlignment="0" applyProtection="0"/>
    <xf numFmtId="0" fontId="32" fillId="55" borderId="24" applyNumberFormat="0" applyAlignment="0" applyProtection="0"/>
    <xf numFmtId="44" fontId="20" fillId="0" borderId="0" applyFont="0" applyFill="0" applyBorder="0" applyAlignment="0" applyProtection="0"/>
    <xf numFmtId="44" fontId="28" fillId="0" borderId="0" applyFont="0" applyFill="0" applyBorder="0" applyAlignment="0" applyProtection="0"/>
    <xf numFmtId="0" fontId="33" fillId="0" borderId="0" applyNumberFormat="0" applyFill="0" applyBorder="0" applyAlignment="0" applyProtection="0"/>
    <xf numFmtId="0" fontId="34" fillId="38" borderId="0" applyNumberFormat="0" applyBorder="0" applyAlignment="0" applyProtection="0"/>
    <xf numFmtId="0" fontId="35" fillId="0" borderId="25" applyNumberFormat="0" applyFill="0" applyAlignment="0" applyProtection="0"/>
    <xf numFmtId="0" fontId="36" fillId="0" borderId="26" applyNumberFormat="0" applyFill="0" applyAlignment="0" applyProtection="0"/>
    <xf numFmtId="0" fontId="37" fillId="0" borderId="27" applyNumberFormat="0" applyFill="0" applyAlignment="0" applyProtection="0"/>
    <xf numFmtId="0" fontId="37" fillId="0" borderId="0" applyNumberFormat="0" applyFill="0" applyBorder="0" applyAlignment="0" applyProtection="0"/>
    <xf numFmtId="0" fontId="38" fillId="41" borderId="23" applyNumberFormat="0" applyAlignment="0" applyProtection="0"/>
    <xf numFmtId="0" fontId="39" fillId="0" borderId="28" applyNumberFormat="0" applyFill="0" applyAlignment="0" applyProtection="0"/>
    <xf numFmtId="0" fontId="40" fillId="56"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57" borderId="29" applyNumberFormat="0" applyFont="0" applyAlignment="0" applyProtection="0"/>
    <xf numFmtId="0" fontId="41" fillId="54" borderId="30" applyNumberFormat="0" applyAlignment="0" applyProtection="0"/>
    <xf numFmtId="9" fontId="20" fillId="0" borderId="0" applyFont="0" applyFill="0" applyBorder="0" applyAlignment="0" applyProtection="0"/>
    <xf numFmtId="0" fontId="42" fillId="0" borderId="0" applyNumberFormat="0" applyFill="0" applyBorder="0" applyAlignment="0" applyProtection="0"/>
    <xf numFmtId="0" fontId="43" fillId="0" borderId="31" applyNumberFormat="0" applyFill="0" applyAlignment="0" applyProtection="0"/>
    <xf numFmtId="0" fontId="44" fillId="0" borderId="0" applyNumberFormat="0" applyFill="0" applyBorder="0" applyAlignment="0" applyProtection="0"/>
    <xf numFmtId="0" fontId="20" fillId="0" borderId="0"/>
    <xf numFmtId="0" fontId="67" fillId="0" borderId="0"/>
    <xf numFmtId="0" fontId="1" fillId="0" borderId="0"/>
    <xf numFmtId="0" fontId="28" fillId="0" borderId="0"/>
    <xf numFmtId="172" fontId="28" fillId="0" borderId="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2" fontId="71" fillId="0" borderId="0" applyFill="0" applyBorder="0" applyAlignment="0" applyProtection="0"/>
    <xf numFmtId="172" fontId="71" fillId="0" borderId="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2" fontId="71" fillId="0" borderId="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2" fontId="71" fillId="0" borderId="0" applyFill="0" applyBorder="0" applyAlignment="0" applyProtection="0"/>
    <xf numFmtId="43" fontId="20" fillId="0" borderId="0" applyFont="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43" fontId="28" fillId="0" borderId="0" applyFont="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3" fontId="71" fillId="0" borderId="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8" fillId="0" borderId="0" applyFont="0" applyFill="0" applyBorder="0" applyAlignment="0" applyProtection="0"/>
    <xf numFmtId="173" fontId="71" fillId="0" borderId="0" applyFill="0" applyBorder="0" applyAlignment="0" applyProtection="0"/>
    <xf numFmtId="44" fontId="20" fillId="0" borderId="0" applyFont="0" applyFill="0" applyBorder="0" applyAlignment="0" applyProtection="0"/>
    <xf numFmtId="44" fontId="28" fillId="0" borderId="0" applyFont="0" applyFill="0" applyBorder="0" applyAlignment="0" applyProtection="0"/>
    <xf numFmtId="173" fontId="71" fillId="0" borderId="0" applyFill="0" applyBorder="0" applyAlignment="0" applyProtection="0"/>
    <xf numFmtId="44" fontId="28" fillId="0" borderId="0" applyFon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alignment vertical="top"/>
      <protection locked="0"/>
    </xf>
    <xf numFmtId="37" fontId="75" fillId="0" borderId="0"/>
    <xf numFmtId="0" fontId="76"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7" fillId="0" borderId="0"/>
    <xf numFmtId="0" fontId="77" fillId="0" borderId="0"/>
    <xf numFmtId="0" fontId="76" fillId="0" borderId="0"/>
    <xf numFmtId="0" fontId="76" fillId="0" borderId="0"/>
    <xf numFmtId="0" fontId="76" fillId="0" borderId="0"/>
    <xf numFmtId="0" fontId="76" fillId="0" borderId="0"/>
    <xf numFmtId="0" fontId="76" fillId="0" borderId="0"/>
    <xf numFmtId="0" fontId="76"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71" fillId="0" borderId="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8" fillId="0" borderId="0" applyFont="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20"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5" fontId="78" fillId="0" borderId="0" applyFont="0" applyFill="0" applyBorder="0" applyAlignment="0" applyProtection="0">
      <alignment horizontal="right"/>
    </xf>
    <xf numFmtId="2" fontId="78" fillId="0" borderId="0" applyFont="0" applyFill="0" applyBorder="0" applyAlignment="0" applyProtection="0">
      <alignment horizontal="right"/>
    </xf>
    <xf numFmtId="0" fontId="1" fillId="36" borderId="0" applyNumberFormat="0" applyBorder="0" applyAlignment="0" applyProtection="0"/>
    <xf numFmtId="0" fontId="28"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8"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8"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8" fillId="39" borderId="0" applyNumberFormat="0" applyBorder="0" applyAlignment="0" applyProtection="0"/>
    <xf numFmtId="0" fontId="1" fillId="39" borderId="0" applyNumberFormat="0" applyBorder="0" applyAlignment="0" applyProtection="0"/>
    <xf numFmtId="0" fontId="1" fillId="44" borderId="0" applyNumberFormat="0" applyBorder="0" applyAlignment="0" applyProtection="0"/>
    <xf numFmtId="0" fontId="28" fillId="44" borderId="0" applyNumberFormat="0" applyBorder="0" applyAlignment="0" applyProtection="0"/>
    <xf numFmtId="0" fontId="1" fillId="44" borderId="0" applyNumberFormat="0" applyBorder="0" applyAlignment="0" applyProtection="0"/>
    <xf numFmtId="0" fontId="17" fillId="44" borderId="0" applyNumberFormat="0" applyBorder="0" applyAlignment="0" applyProtection="0"/>
    <xf numFmtId="0" fontId="29" fillId="44"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29" fillId="47" borderId="0" applyNumberFormat="0" applyBorder="0" applyAlignment="0" applyProtection="0"/>
    <xf numFmtId="0" fontId="17" fillId="47" borderId="0" applyNumberFormat="0" applyBorder="0" applyAlignment="0" applyProtection="0"/>
    <xf numFmtId="0" fontId="17" fillId="49" borderId="0" applyNumberFormat="0" applyBorder="0" applyAlignment="0" applyProtection="0"/>
    <xf numFmtId="0" fontId="29" fillId="49" borderId="0" applyNumberFormat="0" applyBorder="0" applyAlignment="0" applyProtection="0"/>
    <xf numFmtId="0" fontId="17" fillId="49" borderId="0" applyNumberFormat="0" applyBorder="0" applyAlignment="0" applyProtection="0"/>
    <xf numFmtId="174" fontId="79" fillId="61" borderId="47">
      <alignment horizontal="center" vertical="center"/>
    </xf>
    <xf numFmtId="175" fontId="70" fillId="61" borderId="47">
      <alignment horizontal="center" vertical="center"/>
    </xf>
    <xf numFmtId="176" fontId="80" fillId="0" borderId="0" applyFill="0" applyBorder="0" applyAlignment="0"/>
    <xf numFmtId="177" fontId="80" fillId="0" borderId="0" applyFill="0" applyBorder="0" applyAlignment="0"/>
    <xf numFmtId="171" fontId="80" fillId="0" borderId="0" applyFill="0" applyBorder="0" applyAlignment="0"/>
    <xf numFmtId="178" fontId="80" fillId="0" borderId="0" applyFill="0" applyBorder="0" applyAlignment="0"/>
    <xf numFmtId="179" fontId="80" fillId="0" borderId="0" applyFill="0" applyBorder="0" applyAlignment="0"/>
    <xf numFmtId="176" fontId="80" fillId="0" borderId="0" applyFill="0" applyBorder="0" applyAlignment="0"/>
    <xf numFmtId="179" fontId="81" fillId="0" borderId="0" applyFill="0" applyBorder="0" applyAlignment="0"/>
    <xf numFmtId="177" fontId="80" fillId="0" borderId="0" applyFill="0" applyBorder="0" applyAlignment="0"/>
    <xf numFmtId="176" fontId="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2" fontId="20" fillId="0" borderId="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3" fontId="20" fillId="0" borderId="0" applyFont="0" applyFill="0" applyBorder="0" applyAlignment="0" applyProtection="0"/>
    <xf numFmtId="3" fontId="78" fillId="0" borderId="0" applyFont="0" applyFill="0" applyBorder="0" applyAlignment="0" applyProtection="0">
      <alignment horizontal="right"/>
    </xf>
    <xf numFmtId="177" fontId="8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82"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3" fontId="20" fillId="0" borderId="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3" fontId="20" fillId="0" borderId="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0" fontId="78" fillId="0" borderId="0"/>
    <xf numFmtId="6" fontId="83" fillId="0" borderId="0">
      <protection locked="0"/>
    </xf>
    <xf numFmtId="14" fontId="84" fillId="0" borderId="0" applyFill="0" applyBorder="0" applyAlignment="0"/>
    <xf numFmtId="180" fontId="20" fillId="0" borderId="48">
      <alignment vertical="center"/>
    </xf>
    <xf numFmtId="176" fontId="80" fillId="0" borderId="0" applyFill="0" applyBorder="0" applyAlignment="0"/>
    <xf numFmtId="177" fontId="80" fillId="0" borderId="0" applyFill="0" applyBorder="0" applyAlignment="0"/>
    <xf numFmtId="176" fontId="80" fillId="0" borderId="0" applyFill="0" applyBorder="0" applyAlignment="0"/>
    <xf numFmtId="179" fontId="81" fillId="0" borderId="0" applyFill="0" applyBorder="0" applyAlignment="0"/>
    <xf numFmtId="177" fontId="80" fillId="0" borderId="0" applyFill="0" applyBorder="0" applyAlignment="0"/>
    <xf numFmtId="181" fontId="20" fillId="0" borderId="0">
      <protection locked="0"/>
    </xf>
    <xf numFmtId="38" fontId="78" fillId="60" borderId="0" applyNumberFormat="0" applyBorder="0" applyAlignment="0" applyProtection="0"/>
    <xf numFmtId="38" fontId="78" fillId="60" borderId="0" applyNumberFormat="0" applyBorder="0" applyAlignment="0" applyProtection="0"/>
    <xf numFmtId="0" fontId="85" fillId="0" borderId="0" applyNumberFormat="0" applyFill="0" applyBorder="0" applyAlignment="0" applyProtection="0"/>
    <xf numFmtId="0" fontId="68" fillId="0" borderId="46" applyNumberFormat="0" applyAlignment="0" applyProtection="0">
      <alignment horizontal="left" vertical="center"/>
    </xf>
    <xf numFmtId="0" fontId="68" fillId="0" borderId="34">
      <alignment horizontal="left" vertical="center"/>
    </xf>
    <xf numFmtId="0" fontId="68" fillId="0" borderId="34">
      <alignment horizontal="left" vertical="center"/>
    </xf>
    <xf numFmtId="182" fontId="20" fillId="0" borderId="0">
      <protection locked="0"/>
    </xf>
    <xf numFmtId="182" fontId="20" fillId="0" borderId="0">
      <protection locked="0"/>
    </xf>
    <xf numFmtId="0" fontId="86" fillId="0" borderId="49" applyNumberFormat="0" applyFill="0" applyAlignment="0" applyProtection="0"/>
    <xf numFmtId="10" fontId="78" fillId="62" borderId="10" applyNumberFormat="0" applyBorder="0" applyAlignment="0" applyProtection="0"/>
    <xf numFmtId="10" fontId="78" fillId="62" borderId="10" applyNumberFormat="0" applyBorder="0" applyAlignment="0" applyProtection="0"/>
    <xf numFmtId="176" fontId="80" fillId="0" borderId="0" applyFill="0" applyBorder="0" applyAlignment="0"/>
    <xf numFmtId="177" fontId="80" fillId="0" borderId="0" applyFill="0" applyBorder="0" applyAlignment="0"/>
    <xf numFmtId="176" fontId="80" fillId="0" borderId="0" applyFill="0" applyBorder="0" applyAlignment="0"/>
    <xf numFmtId="179" fontId="81" fillId="0" borderId="0" applyFill="0" applyBorder="0" applyAlignment="0"/>
    <xf numFmtId="177" fontId="80" fillId="0" borderId="0" applyFill="0" applyBorder="0" applyAlignment="0"/>
    <xf numFmtId="183" fontId="87"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88" fillId="0" borderId="0"/>
    <xf numFmtId="0" fontId="20" fillId="0" borderId="0"/>
    <xf numFmtId="0" fontId="88"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78" fillId="0" borderId="0"/>
    <xf numFmtId="0" fontId="78" fillId="0" borderId="0"/>
    <xf numFmtId="0" fontId="20" fillId="0" borderId="0"/>
    <xf numFmtId="0" fontId="88" fillId="0" borderId="0"/>
    <xf numFmtId="0" fontId="20" fillId="0" borderId="0" applyNumberFormat="0" applyFill="0" applyBorder="0" applyAlignment="0" applyProtection="0"/>
    <xf numFmtId="0" fontId="1" fillId="0" borderId="0"/>
    <xf numFmtId="0" fontId="89" fillId="0" borderId="0"/>
    <xf numFmtId="0" fontId="1" fillId="0" borderId="0"/>
    <xf numFmtId="0" fontId="20" fillId="0" borderId="0" applyNumberFormat="0" applyFill="0" applyBorder="0" applyAlignment="0" applyProtection="0"/>
    <xf numFmtId="0" fontId="20" fillId="0" borderId="0"/>
    <xf numFmtId="0" fontId="20" fillId="0" borderId="0"/>
    <xf numFmtId="0" fontId="20" fillId="0" borderId="0"/>
    <xf numFmtId="0" fontId="1" fillId="0" borderId="0"/>
    <xf numFmtId="0" fontId="1" fillId="0" borderId="0"/>
    <xf numFmtId="0" fontId="1" fillId="0" borderId="0"/>
    <xf numFmtId="0" fontId="38" fillId="41" borderId="66" applyNumberFormat="0" applyAlignment="0" applyProtection="0"/>
    <xf numFmtId="0" fontId="68" fillId="0" borderId="65">
      <alignment horizontal="left" vertical="center"/>
    </xf>
    <xf numFmtId="0" fontId="38" fillId="41" borderId="52" applyNumberFormat="0" applyAlignment="0" applyProtection="0"/>
    <xf numFmtId="0" fontId="68" fillId="0" borderId="51">
      <alignment horizontal="left" vertical="center"/>
    </xf>
    <xf numFmtId="0" fontId="68" fillId="0" borderId="51">
      <alignment horizontal="left" vertical="center"/>
    </xf>
    <xf numFmtId="0" fontId="41" fillId="54" borderId="77" applyNumberFormat="0" applyAlignment="0" applyProtection="0"/>
    <xf numFmtId="0" fontId="41" fillId="54" borderId="73" applyNumberFormat="0" applyAlignment="0" applyProtection="0"/>
    <xf numFmtId="0" fontId="20" fillId="57" borderId="76" applyNumberFormat="0" applyFont="0" applyAlignment="0" applyProtection="0"/>
    <xf numFmtId="0" fontId="41" fillId="54" borderId="64" applyNumberFormat="0" applyAlignment="0" applyProtection="0"/>
    <xf numFmtId="0" fontId="68" fillId="0" borderId="70">
      <alignment horizontal="left" vertical="center"/>
    </xf>
    <xf numFmtId="0" fontId="20" fillId="57" borderId="58" applyNumberFormat="0" applyFont="0" applyAlignment="0" applyProtection="0"/>
    <xf numFmtId="0" fontId="41" fillId="54" borderId="59" applyNumberFormat="0" applyAlignment="0" applyProtection="0"/>
    <xf numFmtId="0" fontId="31" fillId="54" borderId="52" applyNumberFormat="0" applyAlignment="0" applyProtection="0"/>
    <xf numFmtId="0" fontId="20" fillId="57" borderId="63" applyNumberFormat="0" applyFont="0" applyAlignment="0" applyProtection="0"/>
    <xf numFmtId="0" fontId="20" fillId="0" borderId="0"/>
    <xf numFmtId="0" fontId="43" fillId="0" borderId="78" applyNumberFormat="0" applyFill="0" applyAlignment="0" applyProtection="0"/>
    <xf numFmtId="0" fontId="41" fillId="54" borderId="68" applyNumberFormat="0" applyAlignment="0" applyProtection="0"/>
    <xf numFmtId="0" fontId="20" fillId="0" borderId="0"/>
    <xf numFmtId="0" fontId="20" fillId="0" borderId="0"/>
    <xf numFmtId="0" fontId="28" fillId="0" borderId="0"/>
    <xf numFmtId="0" fontId="1" fillId="0" borderId="0"/>
    <xf numFmtId="0" fontId="1" fillId="0" borderId="0"/>
    <xf numFmtId="0" fontId="1" fillId="0" borderId="0"/>
    <xf numFmtId="0" fontId="20" fillId="57" borderId="76" applyNumberFormat="0" applyFont="0" applyAlignment="0" applyProtection="0"/>
    <xf numFmtId="0" fontId="20" fillId="0" borderId="0"/>
    <xf numFmtId="0" fontId="31" fillId="54" borderId="71" applyNumberFormat="0" applyAlignment="0" applyProtection="0"/>
    <xf numFmtId="0" fontId="31" fillId="54" borderId="66" applyNumberFormat="0" applyAlignment="0" applyProtection="0"/>
    <xf numFmtId="0" fontId="1" fillId="0" borderId="0"/>
    <xf numFmtId="0" fontId="28" fillId="8" borderId="8" applyNumberFormat="0" applyFont="0" applyAlignment="0" applyProtection="0"/>
    <xf numFmtId="0" fontId="20" fillId="57" borderId="29" applyNumberFormat="0" applyFont="0" applyAlignment="0" applyProtection="0"/>
    <xf numFmtId="0" fontId="28" fillId="8" borderId="8" applyNumberFormat="0" applyFont="0" applyAlignment="0" applyProtection="0"/>
    <xf numFmtId="0" fontId="90" fillId="0" borderId="22" applyFill="0" applyProtection="0">
      <alignment horizontal="right" wrapText="1"/>
    </xf>
    <xf numFmtId="179" fontId="80" fillId="0" borderId="0" applyFont="0" applyFill="0" applyBorder="0" applyAlignment="0" applyProtection="0"/>
    <xf numFmtId="184"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6" fontId="80" fillId="0" borderId="0" applyFill="0" applyBorder="0" applyAlignment="0"/>
    <xf numFmtId="177" fontId="80" fillId="0" borderId="0" applyFill="0" applyBorder="0" applyAlignment="0"/>
    <xf numFmtId="176" fontId="80" fillId="0" borderId="0" applyFill="0" applyBorder="0" applyAlignment="0"/>
    <xf numFmtId="179" fontId="81" fillId="0" borderId="0" applyFill="0" applyBorder="0" applyAlignment="0"/>
    <xf numFmtId="177" fontId="80" fillId="0" borderId="0" applyFill="0" applyBorder="0" applyAlignment="0"/>
    <xf numFmtId="0" fontId="91" fillId="0" borderId="0" applyFill="0" applyBorder="0" applyProtection="0">
      <alignment horizontal="left" wrapText="1"/>
    </xf>
    <xf numFmtId="49" fontId="84" fillId="0" borderId="0" applyFill="0" applyBorder="0" applyAlignment="0"/>
    <xf numFmtId="185" fontId="20" fillId="0" borderId="0" applyFill="0" applyBorder="0" applyAlignment="0"/>
    <xf numFmtId="186" fontId="20" fillId="0" borderId="0" applyFill="0" applyBorder="0" applyAlignment="0"/>
    <xf numFmtId="182" fontId="20" fillId="0" borderId="50">
      <protection locked="0"/>
    </xf>
    <xf numFmtId="37" fontId="78" fillId="63" borderId="0" applyNumberFormat="0" applyBorder="0" applyAlignment="0" applyProtection="0"/>
    <xf numFmtId="37" fontId="78" fillId="63" borderId="0" applyNumberFormat="0" applyBorder="0" applyAlignment="0" applyProtection="0"/>
    <xf numFmtId="37" fontId="78" fillId="0" borderId="0"/>
    <xf numFmtId="3" fontId="92" fillId="0" borderId="49" applyProtection="0"/>
    <xf numFmtId="0" fontId="68" fillId="0" borderId="65">
      <alignment horizontal="left" vertical="center"/>
    </xf>
    <xf numFmtId="0" fontId="31" fillId="54" borderId="23" applyNumberFormat="0" applyAlignment="0" applyProtection="0"/>
    <xf numFmtId="10" fontId="78" fillId="62" borderId="10" applyNumberFormat="0" applyBorder="0" applyAlignment="0" applyProtection="0"/>
    <xf numFmtId="10" fontId="78" fillId="62" borderId="10" applyNumberFormat="0" applyBorder="0" applyAlignment="0" applyProtection="0"/>
    <xf numFmtId="0" fontId="38" fillId="41" borderId="23" applyNumberFormat="0" applyAlignment="0" applyProtection="0"/>
    <xf numFmtId="0" fontId="38" fillId="41" borderId="23" applyNumberFormat="0" applyAlignment="0" applyProtection="0"/>
    <xf numFmtId="0" fontId="31" fillId="54" borderId="23" applyNumberFormat="0" applyAlignment="0" applyProtection="0"/>
    <xf numFmtId="0" fontId="20" fillId="57" borderId="29" applyNumberFormat="0" applyFont="0" applyAlignment="0" applyProtection="0"/>
    <xf numFmtId="0" fontId="90" fillId="0" borderId="22" applyFill="0" applyProtection="0">
      <alignment horizontal="right" wrapText="1"/>
    </xf>
    <xf numFmtId="0" fontId="41" fillId="54" borderId="30" applyNumberFormat="0" applyAlignment="0" applyProtection="0"/>
    <xf numFmtId="0" fontId="20" fillId="57" borderId="29" applyNumberFormat="0" applyFont="0" applyAlignment="0" applyProtection="0"/>
    <xf numFmtId="0" fontId="90" fillId="0" borderId="22" applyFill="0" applyProtection="0">
      <alignment horizontal="right" wrapText="1"/>
    </xf>
    <xf numFmtId="0" fontId="41" fillId="54" borderId="30" applyNumberFormat="0" applyAlignment="0" applyProtection="0"/>
    <xf numFmtId="0" fontId="43" fillId="0" borderId="74" applyNumberFormat="0" applyFill="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68" fillId="0" borderId="70">
      <alignment horizontal="left" vertical="center"/>
    </xf>
    <xf numFmtId="0" fontId="68" fillId="0" borderId="70">
      <alignment horizontal="left" vertical="center"/>
    </xf>
    <xf numFmtId="0" fontId="68" fillId="0" borderId="61">
      <alignment horizontal="left" vertical="center"/>
    </xf>
    <xf numFmtId="0" fontId="68" fillId="0" borderId="61">
      <alignment horizontal="left" vertical="center"/>
    </xf>
    <xf numFmtId="0" fontId="38" fillId="41" borderId="57" applyNumberFormat="0" applyAlignment="0" applyProtection="0"/>
    <xf numFmtId="0" fontId="68" fillId="0" borderId="56">
      <alignment horizontal="left" vertical="center"/>
    </xf>
    <xf numFmtId="0" fontId="68" fillId="0" borderId="56">
      <alignment horizontal="left" vertical="center"/>
    </xf>
    <xf numFmtId="0" fontId="68" fillId="0" borderId="79">
      <alignment horizontal="left" vertical="center"/>
    </xf>
    <xf numFmtId="0" fontId="68" fillId="0" borderId="79">
      <alignment horizontal="left" vertical="center"/>
    </xf>
    <xf numFmtId="10" fontId="78" fillId="62" borderId="55" applyNumberFormat="0" applyBorder="0" applyAlignment="0" applyProtection="0"/>
    <xf numFmtId="0" fontId="31" fillId="54" borderId="57" applyNumberFormat="0" applyAlignment="0" applyProtection="0"/>
    <xf numFmtId="0" fontId="38" fillId="41" borderId="71" applyNumberFormat="0" applyAlignment="0" applyProtection="0"/>
    <xf numFmtId="0" fontId="31" fillId="54" borderId="57" applyNumberFormat="0" applyAlignment="0" applyProtection="0"/>
    <xf numFmtId="10" fontId="78" fillId="62" borderId="60" applyNumberFormat="0" applyBorder="0" applyAlignment="0" applyProtection="0"/>
    <xf numFmtId="10" fontId="78" fillId="62" borderId="60" applyNumberFormat="0" applyBorder="0" applyAlignment="0" applyProtection="0"/>
    <xf numFmtId="0" fontId="38" fillId="41" borderId="57" applyNumberFormat="0" applyAlignment="0" applyProtection="0"/>
    <xf numFmtId="0" fontId="38" fillId="41" borderId="57" applyNumberFormat="0" applyAlignment="0" applyProtection="0"/>
    <xf numFmtId="0" fontId="20" fillId="57" borderId="53" applyNumberFormat="0" applyFont="0" applyAlignment="0" applyProtection="0"/>
    <xf numFmtId="0" fontId="41" fillId="54" borderId="54" applyNumberFormat="0" applyAlignment="0" applyProtection="0"/>
    <xf numFmtId="0" fontId="20" fillId="57" borderId="72" applyNumberFormat="0" applyFont="0" applyAlignment="0" applyProtection="0"/>
    <xf numFmtId="0" fontId="20" fillId="57" borderId="67" applyNumberFormat="0" applyFont="0" applyAlignment="0" applyProtection="0"/>
    <xf numFmtId="0" fontId="68" fillId="0" borderId="79">
      <alignment horizontal="left" vertical="center"/>
    </xf>
    <xf numFmtId="0" fontId="31" fillId="54" borderId="62" applyNumberFormat="0" applyAlignment="0" applyProtection="0"/>
    <xf numFmtId="0" fontId="68" fillId="0" borderId="79">
      <alignment horizontal="left" vertical="center"/>
    </xf>
    <xf numFmtId="10" fontId="78" fillId="62" borderId="10" applyNumberFormat="0" applyBorder="0" applyAlignment="0" applyProtection="0"/>
    <xf numFmtId="0" fontId="38" fillId="41" borderId="62" applyNumberFormat="0" applyAlignment="0" applyProtection="0"/>
    <xf numFmtId="0" fontId="68" fillId="0" borderId="70">
      <alignment horizontal="left" vertical="center"/>
    </xf>
    <xf numFmtId="10" fontId="78" fillId="62" borderId="55" applyNumberFormat="0" applyBorder="0" applyAlignment="0" applyProtection="0"/>
    <xf numFmtId="0" fontId="31" fillId="54" borderId="52" applyNumberFormat="0" applyAlignment="0" applyProtection="0"/>
    <xf numFmtId="10" fontId="78" fillId="62" borderId="55" applyNumberFormat="0" applyBorder="0" applyAlignment="0" applyProtection="0"/>
    <xf numFmtId="10" fontId="78" fillId="62" borderId="55" applyNumberFormat="0" applyBorder="0" applyAlignment="0" applyProtection="0"/>
    <xf numFmtId="0" fontId="38" fillId="41" borderId="52" applyNumberFormat="0" applyAlignment="0" applyProtection="0"/>
    <xf numFmtId="0" fontId="38" fillId="41" borderId="52" applyNumberFormat="0" applyAlignment="0" applyProtection="0"/>
    <xf numFmtId="0" fontId="31" fillId="54" borderId="52" applyNumberFormat="0" applyAlignment="0" applyProtection="0"/>
    <xf numFmtId="0" fontId="20" fillId="57" borderId="53" applyNumberFormat="0" applyFont="0" applyAlignment="0" applyProtection="0"/>
    <xf numFmtId="0" fontId="41" fillId="54" borderId="54" applyNumberFormat="0" applyAlignment="0" applyProtection="0"/>
    <xf numFmtId="0" fontId="20" fillId="57" borderId="53" applyNumberFormat="0" applyFont="0" applyAlignment="0" applyProtection="0"/>
    <xf numFmtId="0" fontId="41" fillId="54" borderId="54" applyNumberFormat="0" applyAlignment="0" applyProtection="0"/>
    <xf numFmtId="0" fontId="31" fillId="54" borderId="57" applyNumberFormat="0" applyAlignment="0" applyProtection="0"/>
    <xf numFmtId="0" fontId="20" fillId="57" borderId="58" applyNumberFormat="0" applyFont="0" applyAlignment="0" applyProtection="0"/>
    <xf numFmtId="0" fontId="41" fillId="54" borderId="59" applyNumberFormat="0" applyAlignment="0" applyProtection="0"/>
    <xf numFmtId="0" fontId="20" fillId="57" borderId="58" applyNumberFormat="0" applyFont="0" applyAlignment="0" applyProtection="0"/>
    <xf numFmtId="0" fontId="41" fillId="54" borderId="59" applyNumberFormat="0" applyAlignment="0" applyProtection="0"/>
    <xf numFmtId="0" fontId="31" fillId="54" borderId="62" applyNumberFormat="0" applyAlignment="0" applyProtection="0"/>
    <xf numFmtId="0" fontId="38" fillId="41" borderId="62" applyNumberFormat="0" applyAlignment="0" applyProtection="0"/>
    <xf numFmtId="0" fontId="38" fillId="41" borderId="62" applyNumberFormat="0" applyAlignment="0" applyProtection="0"/>
    <xf numFmtId="0" fontId="31" fillId="54" borderId="62" applyNumberFormat="0" applyAlignment="0" applyProtection="0"/>
    <xf numFmtId="0" fontId="20" fillId="57" borderId="63" applyNumberFormat="0" applyFont="0" applyAlignment="0" applyProtection="0"/>
    <xf numFmtId="0" fontId="41" fillId="54" borderId="64" applyNumberFormat="0" applyAlignment="0" applyProtection="0"/>
    <xf numFmtId="0" fontId="20" fillId="57" borderId="63" applyNumberFormat="0" applyFont="0" applyAlignment="0" applyProtection="0"/>
    <xf numFmtId="0" fontId="41" fillId="54" borderId="64" applyNumberFormat="0" applyAlignment="0" applyProtection="0"/>
    <xf numFmtId="0" fontId="31" fillId="54" borderId="66" applyNumberFormat="0" applyAlignment="0" applyProtection="0"/>
    <xf numFmtId="10" fontId="78" fillId="62" borderId="69" applyNumberFormat="0" applyBorder="0" applyAlignment="0" applyProtection="0"/>
    <xf numFmtId="10" fontId="78" fillId="62" borderId="69" applyNumberFormat="0" applyBorder="0" applyAlignment="0" applyProtection="0"/>
    <xf numFmtId="0" fontId="38" fillId="41" borderId="66" applyNumberFormat="0" applyAlignment="0" applyProtection="0"/>
    <xf numFmtId="0" fontId="38" fillId="41" borderId="66" applyNumberFormat="0" applyAlignment="0" applyProtection="0"/>
    <xf numFmtId="0" fontId="31" fillId="54" borderId="66" applyNumberFormat="0" applyAlignment="0" applyProtection="0"/>
    <xf numFmtId="0" fontId="20" fillId="57" borderId="67" applyNumberFormat="0" applyFont="0" applyAlignment="0" applyProtection="0"/>
    <xf numFmtId="0" fontId="41" fillId="54" borderId="68" applyNumberFormat="0" applyAlignment="0" applyProtection="0"/>
    <xf numFmtId="0" fontId="20" fillId="57" borderId="67" applyNumberFormat="0" applyFont="0" applyAlignment="0" applyProtection="0"/>
    <xf numFmtId="0" fontId="41" fillId="54" borderId="68" applyNumberFormat="0" applyAlignment="0" applyProtection="0"/>
    <xf numFmtId="10" fontId="78" fillId="62" borderId="10" applyNumberFormat="0" applyBorder="0" applyAlignment="0" applyProtection="0"/>
    <xf numFmtId="0" fontId="38" fillId="41" borderId="75" applyNumberFormat="0" applyAlignment="0" applyProtection="0"/>
    <xf numFmtId="0" fontId="31" fillId="54" borderId="75" applyNumberFormat="0" applyAlignment="0" applyProtection="0"/>
    <xf numFmtId="0" fontId="31" fillId="54" borderId="71" applyNumberFormat="0" applyAlignment="0" applyProtection="0"/>
    <xf numFmtId="0" fontId="38" fillId="41" borderId="71" applyNumberFormat="0" applyAlignment="0" applyProtection="0"/>
    <xf numFmtId="0" fontId="38" fillId="41" borderId="71" applyNumberFormat="0" applyAlignment="0" applyProtection="0"/>
    <xf numFmtId="0" fontId="31" fillId="54" borderId="71" applyNumberFormat="0" applyAlignment="0" applyProtection="0"/>
    <xf numFmtId="0" fontId="20" fillId="57" borderId="72" applyNumberFormat="0" applyFont="0" applyAlignment="0" applyProtection="0"/>
    <xf numFmtId="0" fontId="41" fillId="54" borderId="73" applyNumberFormat="0" applyAlignment="0" applyProtection="0"/>
    <xf numFmtId="0" fontId="20" fillId="57" borderId="72" applyNumberFormat="0" applyFont="0" applyAlignment="0" applyProtection="0"/>
    <xf numFmtId="0" fontId="41" fillId="54" borderId="73" applyNumberFormat="0" applyAlignment="0" applyProtection="0"/>
    <xf numFmtId="0" fontId="31" fillId="54" borderId="75" applyNumberFormat="0" applyAlignment="0" applyProtection="0"/>
    <xf numFmtId="0" fontId="38" fillId="41" borderId="75" applyNumberFormat="0" applyAlignment="0" applyProtection="0"/>
    <xf numFmtId="0" fontId="38" fillId="41" borderId="75" applyNumberFormat="0" applyAlignment="0" applyProtection="0"/>
    <xf numFmtId="0" fontId="31" fillId="54" borderId="75" applyNumberFormat="0" applyAlignment="0" applyProtection="0"/>
    <xf numFmtId="0" fontId="20" fillId="57" borderId="76" applyNumberFormat="0" applyFont="0" applyAlignment="0" applyProtection="0"/>
    <xf numFmtId="0" fontId="41" fillId="54" borderId="77" applyNumberFormat="0" applyAlignment="0" applyProtection="0"/>
    <xf numFmtId="0" fontId="20" fillId="57" borderId="76" applyNumberFormat="0" applyFont="0" applyAlignment="0" applyProtection="0"/>
    <xf numFmtId="0" fontId="41" fillId="54" borderId="77" applyNumberFormat="0" applyAlignment="0" applyProtection="0"/>
    <xf numFmtId="10" fontId="78" fillId="62" borderId="10" applyNumberFormat="0" applyBorder="0" applyAlignment="0" applyProtection="0"/>
    <xf numFmtId="10" fontId="78" fillId="62" borderId="10" applyNumberFormat="0" applyBorder="0" applyAlignment="0" applyProtection="0"/>
    <xf numFmtId="44" fontId="1" fillId="0" borderId="0" applyFont="0" applyFill="0" applyBorder="0" applyAlignment="0" applyProtection="0"/>
  </cellStyleXfs>
  <cellXfs count="394">
    <xf numFmtId="0" fontId="0" fillId="0" borderId="0" xfId="0"/>
    <xf numFmtId="0" fontId="0" fillId="33" borderId="0" xfId="0" applyFill="1"/>
    <xf numFmtId="0" fontId="23" fillId="33" borderId="0" xfId="43" applyFont="1" applyFill="1" applyAlignment="1" applyProtection="1">
      <alignment horizontal="left" vertical="center" wrapText="1" indent="2"/>
      <protection hidden="1"/>
    </xf>
    <xf numFmtId="0" fontId="16" fillId="33" borderId="0" xfId="0" applyFont="1" applyFill="1" applyAlignment="1">
      <alignment horizontal="left"/>
    </xf>
    <xf numFmtId="0" fontId="24" fillId="0" borderId="0" xfId="43" applyFont="1" applyAlignment="1">
      <alignment vertical="center"/>
    </xf>
    <xf numFmtId="0" fontId="24" fillId="33" borderId="0" xfId="43" applyFont="1" applyFill="1" applyAlignment="1">
      <alignment vertical="center"/>
    </xf>
    <xf numFmtId="0" fontId="17" fillId="33" borderId="0" xfId="0" applyFont="1" applyFill="1"/>
    <xf numFmtId="0" fontId="18" fillId="33" borderId="0" xfId="0" applyFont="1" applyFill="1"/>
    <xf numFmtId="0" fontId="13" fillId="33" borderId="0" xfId="0" applyFont="1" applyFill="1" applyAlignment="1">
      <alignment horizontal="center" wrapText="1"/>
    </xf>
    <xf numFmtId="0" fontId="0" fillId="33" borderId="0" xfId="0" applyFill="1" applyAlignment="1">
      <alignment vertical="top"/>
    </xf>
    <xf numFmtId="0" fontId="0" fillId="33" borderId="0" xfId="0" applyFill="1" applyAlignment="1">
      <alignment horizontal="left" vertical="top"/>
    </xf>
    <xf numFmtId="0" fontId="0" fillId="33" borderId="0" xfId="0" applyFill="1" applyAlignment="1">
      <alignment horizontal="left" vertical="top" wrapText="1"/>
    </xf>
    <xf numFmtId="0" fontId="0" fillId="33" borderId="0" xfId="0" applyFill="1" applyAlignment="1">
      <alignment vertical="top" wrapText="1"/>
    </xf>
    <xf numFmtId="0" fontId="0" fillId="34" borderId="10" xfId="0" applyFill="1" applyBorder="1" applyAlignment="1">
      <alignment horizontal="left" vertical="center" wrapText="1" indent="1"/>
    </xf>
    <xf numFmtId="0" fontId="0" fillId="34" borderId="10" xfId="0" applyFill="1" applyBorder="1" applyAlignment="1">
      <alignment horizontal="left" vertical="center" indent="1"/>
    </xf>
    <xf numFmtId="0" fontId="16" fillId="33" borderId="0" xfId="0" applyFont="1" applyFill="1" applyAlignment="1">
      <alignment vertical="top"/>
    </xf>
    <xf numFmtId="0" fontId="16" fillId="33" borderId="0" xfId="0" applyFont="1" applyFill="1"/>
    <xf numFmtId="2" fontId="0" fillId="34" borderId="10" xfId="0" applyNumberFormat="1" applyFill="1" applyBorder="1" applyAlignment="1">
      <alignment horizontal="left" vertical="center" indent="1"/>
    </xf>
    <xf numFmtId="0" fontId="16" fillId="35" borderId="10" xfId="0" applyFont="1" applyFill="1" applyBorder="1" applyAlignment="1">
      <alignment horizontal="center" vertical="center" wrapText="1"/>
    </xf>
    <xf numFmtId="43" fontId="16" fillId="35" borderId="10" xfId="1" applyFont="1" applyFill="1" applyBorder="1" applyAlignment="1">
      <alignment horizontal="center" vertical="center" wrapText="1"/>
    </xf>
    <xf numFmtId="0" fontId="16" fillId="33" borderId="32" xfId="0" applyFont="1" applyFill="1" applyBorder="1" applyAlignment="1">
      <alignment horizontal="center" vertical="center"/>
    </xf>
    <xf numFmtId="0" fontId="16" fillId="33" borderId="11" xfId="0" applyFont="1" applyFill="1" applyBorder="1" applyAlignment="1">
      <alignment horizontal="center" vertical="center"/>
    </xf>
    <xf numFmtId="0" fontId="16" fillId="33" borderId="33" xfId="0" applyFont="1" applyFill="1" applyBorder="1" applyAlignment="1">
      <alignment horizontal="center" vertical="center"/>
    </xf>
    <xf numFmtId="165" fontId="0" fillId="33" borderId="18" xfId="0" applyNumberFormat="1" applyFill="1" applyBorder="1" applyAlignment="1">
      <alignment horizontal="center" vertical="center"/>
    </xf>
    <xf numFmtId="14" fontId="0" fillId="33" borderId="10" xfId="0" applyNumberFormat="1" applyFill="1" applyBorder="1" applyAlignment="1">
      <alignment horizontal="left" vertical="center" indent="1"/>
    </xf>
    <xf numFmtId="0" fontId="0" fillId="33" borderId="10" xfId="0" applyFill="1" applyBorder="1" applyAlignment="1">
      <alignment horizontal="left" vertical="center" wrapText="1" indent="1"/>
    </xf>
    <xf numFmtId="0" fontId="0" fillId="33" borderId="16" xfId="0" applyFill="1" applyBorder="1" applyAlignment="1">
      <alignment horizontal="left" vertical="center" indent="1"/>
    </xf>
    <xf numFmtId="0" fontId="0" fillId="33" borderId="10" xfId="0" applyFill="1" applyBorder="1" applyAlignment="1">
      <alignment horizontal="left" vertical="center" indent="1"/>
    </xf>
    <xf numFmtId="0" fontId="16" fillId="33" borderId="0" xfId="0" applyFont="1" applyFill="1" applyAlignment="1">
      <alignment horizontal="left" vertical="top"/>
    </xf>
    <xf numFmtId="0" fontId="16" fillId="33" borderId="0" xfId="0" applyFont="1" applyFill="1" applyAlignment="1">
      <alignment horizontal="left" vertical="top" indent="18"/>
    </xf>
    <xf numFmtId="0" fontId="16" fillId="33" borderId="0" xfId="0" applyFont="1" applyFill="1" applyAlignment="1">
      <alignment horizontal="left" vertical="top" wrapText="1" indent="18"/>
    </xf>
    <xf numFmtId="10" fontId="0" fillId="34" borderId="10" xfId="0" applyNumberFormat="1" applyFill="1" applyBorder="1" applyAlignment="1">
      <alignment horizontal="left" vertical="center" indent="1"/>
    </xf>
    <xf numFmtId="0" fontId="0" fillId="34" borderId="10" xfId="0" applyFill="1" applyBorder="1"/>
    <xf numFmtId="0" fontId="13" fillId="33" borderId="0" xfId="0" applyFont="1" applyFill="1"/>
    <xf numFmtId="0" fontId="0" fillId="34" borderId="0" xfId="0" applyFill="1" applyAlignment="1">
      <alignment horizontal="left" vertical="center" indent="1"/>
    </xf>
    <xf numFmtId="3" fontId="0" fillId="34" borderId="10" xfId="0" applyNumberFormat="1" applyFill="1" applyBorder="1" applyAlignment="1">
      <alignment horizontal="left" vertical="center" indent="1"/>
    </xf>
    <xf numFmtId="4" fontId="0" fillId="34" borderId="10" xfId="0" applyNumberFormat="1" applyFill="1" applyBorder="1" applyAlignment="1">
      <alignment horizontal="left" vertical="center" indent="1"/>
    </xf>
    <xf numFmtId="0" fontId="0" fillId="35" borderId="10" xfId="0" applyFill="1" applyBorder="1" applyAlignment="1">
      <alignment horizontal="center" vertical="center"/>
    </xf>
    <xf numFmtId="0" fontId="45" fillId="34" borderId="10" xfId="0" applyFont="1" applyFill="1" applyBorder="1"/>
    <xf numFmtId="0" fontId="27" fillId="34" borderId="10" xfId="0" applyFont="1" applyFill="1" applyBorder="1"/>
    <xf numFmtId="0" fontId="51" fillId="34" borderId="10" xfId="0" applyFont="1" applyFill="1" applyBorder="1"/>
    <xf numFmtId="0" fontId="16" fillId="35" borderId="10" xfId="0" applyFont="1" applyFill="1" applyBorder="1" applyAlignment="1">
      <alignment vertical="center" wrapText="1"/>
    </xf>
    <xf numFmtId="0" fontId="52" fillId="35" borderId="10" xfId="0" applyFont="1" applyFill="1" applyBorder="1" applyAlignment="1">
      <alignment wrapText="1"/>
    </xf>
    <xf numFmtId="0" fontId="52" fillId="34" borderId="10" xfId="0" applyFont="1" applyFill="1" applyBorder="1" applyAlignment="1">
      <alignment wrapText="1"/>
    </xf>
    <xf numFmtId="0" fontId="0" fillId="35" borderId="16" xfId="0" applyFill="1" applyBorder="1" applyAlignment="1">
      <alignment vertical="center"/>
    </xf>
    <xf numFmtId="0" fontId="0" fillId="33" borderId="18" xfId="0" applyFill="1" applyBorder="1" applyAlignment="1">
      <alignment horizontal="center" vertical="center"/>
    </xf>
    <xf numFmtId="0" fontId="16" fillId="33" borderId="32" xfId="0" applyFont="1" applyFill="1" applyBorder="1" applyAlignment="1">
      <alignment horizontal="center"/>
    </xf>
    <xf numFmtId="167" fontId="0" fillId="34" borderId="10" xfId="0" applyNumberFormat="1" applyFill="1" applyBorder="1" applyAlignment="1">
      <alignment horizontal="left" vertical="center" indent="1"/>
    </xf>
    <xf numFmtId="0" fontId="53" fillId="33" borderId="0" xfId="0" applyFont="1" applyFill="1"/>
    <xf numFmtId="10" fontId="0" fillId="33" borderId="0" xfId="0" applyNumberFormat="1" applyFill="1" applyAlignment="1">
      <alignment horizontal="left" vertical="center" indent="1"/>
    </xf>
    <xf numFmtId="4" fontId="0" fillId="33" borderId="0" xfId="0" applyNumberFormat="1" applyFill="1" applyAlignment="1">
      <alignment horizontal="left" vertical="center" indent="1"/>
    </xf>
    <xf numFmtId="0" fontId="55" fillId="34" borderId="10" xfId="0" applyFont="1" applyFill="1" applyBorder="1"/>
    <xf numFmtId="0" fontId="0" fillId="35" borderId="10" xfId="0" applyFill="1" applyBorder="1" applyAlignment="1">
      <alignment vertical="center"/>
    </xf>
    <xf numFmtId="1" fontId="0" fillId="34" borderId="10" xfId="0" applyNumberFormat="1" applyFill="1" applyBorder="1" applyAlignment="1">
      <alignment horizontal="left" vertical="center" indent="1"/>
    </xf>
    <xf numFmtId="0" fontId="51" fillId="0" borderId="0" xfId="0" applyFont="1"/>
    <xf numFmtId="2" fontId="0" fillId="33" borderId="0" xfId="0" applyNumberFormat="1" applyFill="1" applyAlignment="1">
      <alignment horizontal="left" vertical="center" indent="1"/>
    </xf>
    <xf numFmtId="169" fontId="0" fillId="34" borderId="10" xfId="0" applyNumberFormat="1" applyFill="1" applyBorder="1" applyAlignment="1">
      <alignment horizontal="left" vertical="center" indent="1"/>
    </xf>
    <xf numFmtId="0" fontId="14" fillId="33" borderId="0" xfId="0" applyFont="1" applyFill="1"/>
    <xf numFmtId="167" fontId="0" fillId="33" borderId="0" xfId="0" applyNumberFormat="1" applyFill="1"/>
    <xf numFmtId="0" fontId="22" fillId="33" borderId="0" xfId="43" applyFont="1" applyFill="1" applyAlignment="1" applyProtection="1">
      <alignment horizontal="left" vertical="center" wrapText="1"/>
      <protection hidden="1"/>
    </xf>
    <xf numFmtId="0" fontId="22" fillId="33" borderId="0" xfId="43" applyFont="1" applyFill="1" applyAlignment="1" applyProtection="1">
      <alignment horizontal="left" vertical="center" wrapText="1" indent="2"/>
      <protection hidden="1"/>
    </xf>
    <xf numFmtId="0" fontId="58" fillId="33" borderId="0" xfId="0" applyFont="1" applyFill="1"/>
    <xf numFmtId="0" fontId="57" fillId="33" borderId="0" xfId="0" applyFont="1" applyFill="1" applyAlignment="1">
      <alignment horizontal="left"/>
    </xf>
    <xf numFmtId="0" fontId="27" fillId="33" borderId="0" xfId="0" applyFont="1" applyFill="1" applyAlignment="1">
      <alignment horizontal="left"/>
    </xf>
    <xf numFmtId="0" fontId="0" fillId="34" borderId="0" xfId="0" applyFill="1"/>
    <xf numFmtId="0" fontId="27" fillId="34" borderId="0" xfId="0" applyFont="1" applyFill="1" applyAlignment="1">
      <alignment horizontal="left"/>
    </xf>
    <xf numFmtId="0" fontId="26" fillId="34" borderId="0" xfId="0" applyFont="1" applyFill="1"/>
    <xf numFmtId="0" fontId="59" fillId="34" borderId="0" xfId="0" applyFont="1" applyFill="1" applyAlignment="1">
      <alignment horizontal="left" wrapText="1"/>
    </xf>
    <xf numFmtId="0" fontId="62" fillId="33" borderId="0" xfId="43" applyFont="1" applyFill="1" applyAlignment="1" applyProtection="1">
      <alignment horizontal="left" vertical="center" wrapText="1" indent="2"/>
      <protection hidden="1"/>
    </xf>
    <xf numFmtId="0" fontId="63" fillId="33" borderId="0" xfId="43" applyFont="1" applyFill="1" applyAlignment="1" applyProtection="1">
      <alignment horizontal="left" vertical="center" wrapText="1" indent="2"/>
      <protection hidden="1"/>
    </xf>
    <xf numFmtId="0" fontId="64" fillId="33" borderId="0" xfId="0" applyFont="1" applyFill="1"/>
    <xf numFmtId="0" fontId="25" fillId="33" borderId="22" xfId="43" applyFont="1" applyFill="1" applyBorder="1" applyAlignment="1" applyProtection="1">
      <alignment vertical="center"/>
      <protection hidden="1"/>
    </xf>
    <xf numFmtId="0" fontId="14" fillId="0" borderId="0" xfId="0" applyFont="1"/>
    <xf numFmtId="0" fontId="14" fillId="0" borderId="42" xfId="0" applyFont="1" applyBorder="1"/>
    <xf numFmtId="0" fontId="14" fillId="0" borderId="44" xfId="0" applyFont="1" applyBorder="1"/>
    <xf numFmtId="168" fontId="51" fillId="0" borderId="0" xfId="0" applyNumberFormat="1" applyFont="1"/>
    <xf numFmtId="0" fontId="95" fillId="33" borderId="0" xfId="0" applyFont="1" applyFill="1"/>
    <xf numFmtId="43" fontId="13" fillId="33" borderId="0" xfId="1" applyFont="1" applyFill="1" applyBorder="1" applyAlignment="1">
      <alignment horizontal="center" vertical="center" wrapText="1"/>
    </xf>
    <xf numFmtId="0" fontId="17" fillId="33" borderId="0" xfId="0" applyFont="1" applyFill="1" applyAlignment="1">
      <alignment horizontal="left" vertical="center" indent="1"/>
    </xf>
    <xf numFmtId="170" fontId="17" fillId="33" borderId="0" xfId="0" applyNumberFormat="1" applyFont="1" applyFill="1" applyAlignment="1">
      <alignment horizontal="left" vertical="center" indent="1"/>
    </xf>
    <xf numFmtId="0" fontId="51" fillId="0" borderId="39" xfId="0" applyFont="1" applyBorder="1"/>
    <xf numFmtId="0" fontId="51" fillId="0" borderId="40" xfId="0" applyFont="1" applyBorder="1"/>
    <xf numFmtId="168" fontId="51" fillId="0" borderId="40" xfId="0" applyNumberFormat="1" applyFont="1" applyBorder="1"/>
    <xf numFmtId="0" fontId="51" fillId="0" borderId="42" xfId="0" applyFont="1" applyBorder="1"/>
    <xf numFmtId="2" fontId="51" fillId="0" borderId="0" xfId="0" applyNumberFormat="1" applyFont="1"/>
    <xf numFmtId="0" fontId="51" fillId="0" borderId="44" xfId="0" applyFont="1" applyBorder="1"/>
    <xf numFmtId="2" fontId="51" fillId="0" borderId="35" xfId="0" applyNumberFormat="1" applyFont="1" applyBorder="1"/>
    <xf numFmtId="0" fontId="51" fillId="0" borderId="35" xfId="0" applyFont="1" applyBorder="1"/>
    <xf numFmtId="3" fontId="0" fillId="34" borderId="10" xfId="0" applyNumberFormat="1" applyFill="1" applyBorder="1" applyAlignment="1">
      <alignment horizontal="center" vertical="center"/>
    </xf>
    <xf numFmtId="0" fontId="18" fillId="33" borderId="0" xfId="0" applyFont="1" applyFill="1" applyAlignment="1">
      <alignment horizontal="left"/>
    </xf>
    <xf numFmtId="0" fontId="0" fillId="35" borderId="18" xfId="0" applyFill="1" applyBorder="1" applyAlignment="1">
      <alignment vertical="center"/>
    </xf>
    <xf numFmtId="168" fontId="0" fillId="0" borderId="0" xfId="0" applyNumberFormat="1"/>
    <xf numFmtId="3" fontId="51" fillId="0" borderId="0" xfId="0" applyNumberFormat="1" applyFont="1"/>
    <xf numFmtId="0" fontId="16" fillId="33" borderId="0" xfId="0" applyFont="1" applyFill="1" applyAlignment="1">
      <alignment horizontal="center" vertical="center" wrapText="1"/>
    </xf>
    <xf numFmtId="43" fontId="16" fillId="33" borderId="0" xfId="1" applyFont="1" applyFill="1" applyBorder="1" applyAlignment="1">
      <alignment horizontal="center" vertical="center" wrapText="1"/>
    </xf>
    <xf numFmtId="168" fontId="0" fillId="33" borderId="0" xfId="0" applyNumberFormat="1" applyFill="1" applyAlignment="1">
      <alignment horizontal="left" vertical="center" indent="1"/>
    </xf>
    <xf numFmtId="0" fontId="51" fillId="33" borderId="0" xfId="0" applyFont="1" applyFill="1"/>
    <xf numFmtId="0" fontId="14" fillId="33" borderId="0" xfId="0" applyFont="1" applyFill="1" applyAlignment="1">
      <alignment horizontal="left" vertical="center" indent="1"/>
    </xf>
    <xf numFmtId="10" fontId="14" fillId="33" borderId="0" xfId="0" applyNumberFormat="1" applyFont="1" applyFill="1" applyAlignment="1">
      <alignment horizontal="left" vertical="center" indent="1"/>
    </xf>
    <xf numFmtId="4" fontId="14" fillId="33" borderId="0" xfId="0" applyNumberFormat="1" applyFont="1" applyFill="1" applyAlignment="1">
      <alignment horizontal="left" vertical="center" indent="1"/>
    </xf>
    <xf numFmtId="167" fontId="14" fillId="33" borderId="0" xfId="0" applyNumberFormat="1" applyFont="1" applyFill="1" applyAlignment="1">
      <alignment horizontal="left" vertical="center" indent="1"/>
    </xf>
    <xf numFmtId="0" fontId="51" fillId="34" borderId="10" xfId="0" applyFont="1" applyFill="1" applyBorder="1" applyAlignment="1">
      <alignment horizontal="left" vertical="center" indent="1"/>
    </xf>
    <xf numFmtId="10" fontId="51" fillId="34" borderId="10" xfId="0" applyNumberFormat="1" applyFont="1" applyFill="1" applyBorder="1" applyAlignment="1">
      <alignment horizontal="left" vertical="center" indent="1"/>
    </xf>
    <xf numFmtId="4" fontId="51" fillId="34" borderId="10" xfId="0" applyNumberFormat="1" applyFont="1" applyFill="1" applyBorder="1" applyAlignment="1">
      <alignment horizontal="left" vertical="center" indent="1"/>
    </xf>
    <xf numFmtId="167" fontId="51" fillId="34" borderId="10" xfId="0" applyNumberFormat="1" applyFont="1" applyFill="1" applyBorder="1" applyAlignment="1">
      <alignment horizontal="left" vertical="center" indent="1"/>
    </xf>
    <xf numFmtId="0" fontId="51" fillId="34" borderId="10" xfId="0" applyFont="1" applyFill="1" applyBorder="1" applyAlignment="1">
      <alignment horizontal="left" vertical="center" wrapText="1" indent="1"/>
    </xf>
    <xf numFmtId="2" fontId="51" fillId="34" borderId="10" xfId="0" applyNumberFormat="1" applyFont="1" applyFill="1" applyBorder="1" applyAlignment="1">
      <alignment horizontal="center" vertical="center"/>
    </xf>
    <xf numFmtId="167" fontId="51" fillId="34" borderId="10" xfId="0" applyNumberFormat="1" applyFont="1" applyFill="1" applyBorder="1" applyAlignment="1">
      <alignment horizontal="center" vertical="center"/>
    </xf>
    <xf numFmtId="0" fontId="51" fillId="34" borderId="0" xfId="0" applyFont="1" applyFill="1"/>
    <xf numFmtId="0" fontId="52" fillId="0" borderId="39" xfId="0" applyFont="1" applyBorder="1"/>
    <xf numFmtId="0" fontId="51" fillId="58" borderId="0" xfId="0" applyFont="1" applyFill="1"/>
    <xf numFmtId="0" fontId="51" fillId="35" borderId="0" xfId="0" applyFont="1" applyFill="1"/>
    <xf numFmtId="0" fontId="51" fillId="59" borderId="0" xfId="0" applyFont="1" applyFill="1"/>
    <xf numFmtId="43" fontId="51" fillId="0" borderId="40" xfId="0" applyNumberFormat="1" applyFont="1" applyBorder="1"/>
    <xf numFmtId="0" fontId="51" fillId="0" borderId="41" xfId="0" applyFont="1" applyBorder="1"/>
    <xf numFmtId="2" fontId="51" fillId="0" borderId="43" xfId="0" applyNumberFormat="1" applyFont="1" applyBorder="1"/>
    <xf numFmtId="2" fontId="51" fillId="0" borderId="45" xfId="0" applyNumberFormat="1" applyFont="1" applyBorder="1"/>
    <xf numFmtId="0" fontId="52" fillId="34" borderId="10" xfId="0" applyFont="1" applyFill="1" applyBorder="1"/>
    <xf numFmtId="0" fontId="0" fillId="33" borderId="0" xfId="0" applyFill="1" applyAlignment="1">
      <alignment horizontal="left" vertical="center" indent="1"/>
    </xf>
    <xf numFmtId="3" fontId="0" fillId="33" borderId="0" xfId="0" applyNumberFormat="1" applyFill="1" applyAlignment="1">
      <alignment horizontal="left" vertical="center" indent="1"/>
    </xf>
    <xf numFmtId="166" fontId="51" fillId="34" borderId="10" xfId="0" applyNumberFormat="1" applyFont="1" applyFill="1" applyBorder="1" applyAlignment="1">
      <alignment horizontal="left" vertical="center" indent="1"/>
    </xf>
    <xf numFmtId="0" fontId="22" fillId="34" borderId="10" xfId="0" applyFont="1" applyFill="1" applyBorder="1"/>
    <xf numFmtId="0" fontId="51" fillId="35" borderId="10" xfId="0" applyFont="1" applyFill="1" applyBorder="1"/>
    <xf numFmtId="43" fontId="52" fillId="35" borderId="10" xfId="1" applyFont="1" applyFill="1" applyBorder="1" applyAlignment="1">
      <alignment horizontal="center" vertical="center" wrapText="1"/>
    </xf>
    <xf numFmtId="44" fontId="0" fillId="34" borderId="10" xfId="2600" applyFont="1" applyFill="1" applyBorder="1" applyAlignment="1">
      <alignment horizontal="left" vertical="center" indent="1"/>
    </xf>
    <xf numFmtId="188" fontId="0" fillId="34" borderId="10" xfId="2600" applyNumberFormat="1" applyFont="1" applyFill="1" applyBorder="1" applyAlignment="1">
      <alignment horizontal="left" vertical="center" indent="1"/>
    </xf>
    <xf numFmtId="165" fontId="0" fillId="34" borderId="10" xfId="0" applyNumberFormat="1" applyFill="1" applyBorder="1" applyAlignment="1">
      <alignment horizontal="center" vertical="center"/>
    </xf>
    <xf numFmtId="187" fontId="0" fillId="34" borderId="10" xfId="0" applyNumberFormat="1" applyFill="1" applyBorder="1" applyAlignment="1">
      <alignment horizontal="center" vertical="center"/>
    </xf>
    <xf numFmtId="0" fontId="0" fillId="34" borderId="10" xfId="0" applyFill="1" applyBorder="1" applyAlignment="1">
      <alignment horizontal="center" vertical="center"/>
    </xf>
    <xf numFmtId="188" fontId="0" fillId="34" borderId="10" xfId="2600" applyNumberFormat="1" applyFont="1" applyFill="1" applyBorder="1" applyAlignment="1">
      <alignment horizontal="center" vertical="center"/>
    </xf>
    <xf numFmtId="188" fontId="0" fillId="33" borderId="0" xfId="0" applyNumberFormat="1" applyFill="1"/>
    <xf numFmtId="0" fontId="52" fillId="35" borderId="10" xfId="0" applyFont="1" applyFill="1" applyBorder="1" applyAlignment="1">
      <alignment vertical="center" wrapText="1"/>
    </xf>
    <xf numFmtId="0" fontId="52" fillId="35" borderId="11" xfId="0" applyFont="1" applyFill="1" applyBorder="1" applyAlignment="1">
      <alignment vertical="center" wrapText="1"/>
    </xf>
    <xf numFmtId="0" fontId="52" fillId="35" borderId="11" xfId="0" applyFont="1" applyFill="1" applyBorder="1" applyAlignment="1">
      <alignment horizontal="center" vertical="center" wrapText="1"/>
    </xf>
    <xf numFmtId="0" fontId="51" fillId="35" borderId="10" xfId="0" applyFont="1" applyFill="1" applyBorder="1" applyAlignment="1">
      <alignment horizontal="center" vertical="center"/>
    </xf>
    <xf numFmtId="2" fontId="51" fillId="34" borderId="10" xfId="0" applyNumberFormat="1" applyFont="1" applyFill="1" applyBorder="1" applyAlignment="1">
      <alignment horizontal="left" vertical="center" indent="1"/>
    </xf>
    <xf numFmtId="0" fontId="52" fillId="35" borderId="16" xfId="0" applyFont="1" applyFill="1" applyBorder="1" applyAlignment="1">
      <alignment vertical="center"/>
    </xf>
    <xf numFmtId="44" fontId="0" fillId="34" borderId="10" xfId="2600" applyFont="1" applyFill="1" applyBorder="1" applyAlignment="1" applyProtection="1">
      <alignment horizontal="left" vertical="center" indent="1"/>
    </xf>
    <xf numFmtId="168" fontId="0" fillId="34" borderId="10" xfId="0" applyNumberFormat="1" applyFill="1" applyBorder="1" applyAlignment="1">
      <alignment horizontal="left" vertical="center" indent="1"/>
    </xf>
    <xf numFmtId="168" fontId="51" fillId="34" borderId="10" xfId="0" applyNumberFormat="1" applyFont="1" applyFill="1" applyBorder="1" applyAlignment="1">
      <alignment horizontal="left" vertical="center" indent="1"/>
    </xf>
    <xf numFmtId="2" fontId="14" fillId="33" borderId="0" xfId="0" applyNumberFormat="1" applyFont="1" applyFill="1"/>
    <xf numFmtId="0" fontId="0" fillId="0" borderId="40" xfId="0" applyBorder="1"/>
    <xf numFmtId="0" fontId="0" fillId="0" borderId="35" xfId="0" applyBorder="1"/>
    <xf numFmtId="0" fontId="53" fillId="0" borderId="10" xfId="0" applyFont="1" applyBorder="1" applyAlignment="1">
      <alignment vertical="center" wrapText="1"/>
    </xf>
    <xf numFmtId="14" fontId="0" fillId="33" borderId="0" xfId="0" applyNumberFormat="1" applyFill="1"/>
    <xf numFmtId="0" fontId="0" fillId="35" borderId="79" xfId="0" applyFill="1" applyBorder="1" applyAlignment="1">
      <alignment vertical="center"/>
    </xf>
    <xf numFmtId="0" fontId="52" fillId="35" borderId="88" xfId="0" applyFont="1" applyFill="1" applyBorder="1" applyAlignment="1">
      <alignment horizontal="center" vertical="center" wrapText="1"/>
    </xf>
    <xf numFmtId="0" fontId="52" fillId="35" borderId="79" xfId="0" applyFont="1" applyFill="1" applyBorder="1" applyAlignment="1">
      <alignment vertical="center"/>
    </xf>
    <xf numFmtId="0" fontId="0" fillId="33" borderId="88" xfId="0" applyFill="1" applyBorder="1" applyAlignment="1">
      <alignment horizontal="left" vertical="center" indent="1"/>
    </xf>
    <xf numFmtId="0" fontId="16" fillId="35" borderId="10" xfId="1" applyNumberFormat="1" applyFont="1" applyFill="1" applyBorder="1" applyAlignment="1">
      <alignment horizontal="center" vertical="center" wrapText="1"/>
    </xf>
    <xf numFmtId="0" fontId="16" fillId="35" borderId="12" xfId="0" applyFont="1" applyFill="1" applyBorder="1" applyAlignment="1">
      <alignment horizontal="center" vertical="center" wrapText="1"/>
    </xf>
    <xf numFmtId="0" fontId="16" fillId="35" borderId="13" xfId="0" applyFont="1" applyFill="1" applyBorder="1" applyAlignment="1">
      <alignment horizontal="center" vertical="center" wrapText="1"/>
    </xf>
    <xf numFmtId="0" fontId="16" fillId="35" borderId="14" xfId="0" applyFont="1" applyFill="1" applyBorder="1" applyAlignment="1">
      <alignment horizontal="center" vertical="center" wrapText="1"/>
    </xf>
    <xf numFmtId="0" fontId="51" fillId="34" borderId="19" xfId="0" applyFont="1" applyFill="1" applyBorder="1" applyAlignment="1">
      <alignment horizontal="left" vertical="center" indent="1"/>
    </xf>
    <xf numFmtId="0" fontId="51" fillId="34" borderId="20" xfId="0" applyFont="1" applyFill="1" applyBorder="1" applyAlignment="1">
      <alignment horizontal="left" vertical="center" indent="1"/>
    </xf>
    <xf numFmtId="0" fontId="51" fillId="34" borderId="21" xfId="0" applyFont="1" applyFill="1" applyBorder="1" applyAlignment="1">
      <alignment horizontal="left" vertical="center" indent="1"/>
    </xf>
    <xf numFmtId="0" fontId="16" fillId="35" borderId="11" xfId="0" applyFont="1" applyFill="1" applyBorder="1" applyAlignment="1">
      <alignment vertical="center" wrapText="1"/>
    </xf>
    <xf numFmtId="0" fontId="16" fillId="35" borderId="80" xfId="0" applyFont="1" applyFill="1" applyBorder="1" applyAlignment="1">
      <alignment vertical="center" wrapText="1"/>
    </xf>
    <xf numFmtId="0" fontId="16" fillId="35" borderId="33" xfId="0" applyFont="1" applyFill="1" applyBorder="1" applyAlignment="1">
      <alignment vertical="center" wrapText="1"/>
    </xf>
    <xf numFmtId="0" fontId="0" fillId="34" borderId="91" xfId="0" applyFill="1" applyBorder="1" applyAlignment="1">
      <alignment horizontal="left" vertical="center" indent="1"/>
    </xf>
    <xf numFmtId="4" fontId="0" fillId="34" borderId="91" xfId="0" applyNumberFormat="1" applyFill="1" applyBorder="1" applyAlignment="1">
      <alignment horizontal="left" vertical="center" indent="1"/>
    </xf>
    <xf numFmtId="10" fontId="0" fillId="34" borderId="91" xfId="0" applyNumberFormat="1" applyFill="1" applyBorder="1" applyAlignment="1">
      <alignment horizontal="left" vertical="center" indent="1"/>
    </xf>
    <xf numFmtId="3" fontId="0" fillId="34" borderId="91" xfId="0" applyNumberFormat="1" applyFill="1" applyBorder="1" applyAlignment="1">
      <alignment horizontal="left" vertical="center" indent="1"/>
    </xf>
    <xf numFmtId="0" fontId="0" fillId="35" borderId="11" xfId="0" applyFill="1" applyBorder="1" applyAlignment="1">
      <alignment horizontal="center" vertical="center"/>
    </xf>
    <xf numFmtId="0" fontId="16" fillId="35" borderId="18" xfId="0" applyFont="1" applyFill="1" applyBorder="1" applyAlignment="1">
      <alignment horizontal="center" vertical="center" wrapText="1"/>
    </xf>
    <xf numFmtId="0" fontId="0" fillId="35" borderId="89" xfId="0" applyFill="1" applyBorder="1" applyAlignment="1">
      <alignment vertical="center"/>
    </xf>
    <xf numFmtId="0" fontId="52" fillId="35" borderId="90" xfId="0" applyFont="1" applyFill="1" applyBorder="1" applyAlignment="1">
      <alignment vertical="center"/>
    </xf>
    <xf numFmtId="0" fontId="51" fillId="35" borderId="11" xfId="0" applyFont="1" applyFill="1" applyBorder="1" applyAlignment="1">
      <alignment horizontal="center" vertical="center"/>
    </xf>
    <xf numFmtId="0" fontId="16" fillId="35" borderId="91" xfId="0" applyFont="1" applyFill="1" applyBorder="1" applyAlignment="1">
      <alignment vertical="center" wrapText="1"/>
    </xf>
    <xf numFmtId="14" fontId="0" fillId="33" borderId="14" xfId="0" applyNumberFormat="1" applyFill="1" applyBorder="1" applyAlignment="1" applyProtection="1">
      <alignment horizontal="left" vertical="center"/>
      <protection locked="0"/>
    </xf>
    <xf numFmtId="14" fontId="0" fillId="33" borderId="17" xfId="0" applyNumberFormat="1" applyFill="1" applyBorder="1" applyAlignment="1" applyProtection="1">
      <alignment horizontal="left" vertical="center"/>
      <protection locked="0"/>
    </xf>
    <xf numFmtId="0" fontId="13" fillId="65" borderId="13" xfId="0" applyFont="1" applyFill="1" applyBorder="1" applyAlignment="1">
      <alignment horizontal="center" vertical="center"/>
    </xf>
    <xf numFmtId="0" fontId="13" fillId="65" borderId="14" xfId="0" applyFont="1" applyFill="1" applyBorder="1" applyAlignment="1">
      <alignment horizontal="center" vertical="center"/>
    </xf>
    <xf numFmtId="0" fontId="13" fillId="65" borderId="10" xfId="0" applyFont="1" applyFill="1" applyBorder="1" applyAlignment="1">
      <alignment horizontal="center" vertical="center" wrapText="1"/>
    </xf>
    <xf numFmtId="168" fontId="0" fillId="66" borderId="97" xfId="0" applyNumberFormat="1" applyFill="1" applyBorder="1" applyAlignment="1">
      <alignment horizontal="center" vertical="center"/>
    </xf>
    <xf numFmtId="168" fontId="0" fillId="66" borderId="92" xfId="0" applyNumberFormat="1" applyFill="1" applyBorder="1" applyAlignment="1">
      <alignment horizontal="center" vertical="center"/>
    </xf>
    <xf numFmtId="191" fontId="1" fillId="66" borderId="15" xfId="1" applyNumberFormat="1" applyFont="1" applyFill="1" applyBorder="1" applyAlignment="1" applyProtection="1">
      <alignment horizontal="center" vertical="center"/>
    </xf>
    <xf numFmtId="190" fontId="1" fillId="66" borderId="10" xfId="1" applyNumberFormat="1" applyFont="1" applyFill="1" applyBorder="1" applyAlignment="1" applyProtection="1">
      <alignment horizontal="center" vertical="center"/>
    </xf>
    <xf numFmtId="191" fontId="47" fillId="66" borderId="19" xfId="1" applyNumberFormat="1" applyFont="1" applyFill="1" applyBorder="1" applyAlignment="1" applyProtection="1">
      <alignment horizontal="center" vertical="center"/>
    </xf>
    <xf numFmtId="190" fontId="47" fillId="66" borderId="20" xfId="1" applyNumberFormat="1" applyFont="1" applyFill="1" applyBorder="1" applyAlignment="1" applyProtection="1">
      <alignment horizontal="center" vertical="center"/>
    </xf>
    <xf numFmtId="4" fontId="1" fillId="0" borderId="10" xfId="1" applyNumberFormat="1" applyFont="1" applyFill="1" applyBorder="1" applyAlignment="1" applyProtection="1">
      <alignment horizontal="center" vertical="center"/>
      <protection locked="0"/>
    </xf>
    <xf numFmtId="0" fontId="1" fillId="0" borderId="10" xfId="1" applyNumberFormat="1" applyFont="1" applyFill="1" applyBorder="1" applyAlignment="1" applyProtection="1">
      <alignment horizontal="center" vertical="center"/>
      <protection locked="0"/>
    </xf>
    <xf numFmtId="164" fontId="1" fillId="0" borderId="10" xfId="1" applyNumberFormat="1" applyFont="1" applyFill="1" applyBorder="1" applyAlignment="1" applyProtection="1">
      <alignment horizontal="center" vertical="center"/>
      <protection locked="0"/>
    </xf>
    <xf numFmtId="168" fontId="1" fillId="0" borderId="17" xfId="2600" applyNumberFormat="1" applyFont="1" applyFill="1" applyBorder="1" applyAlignment="1" applyProtection="1">
      <alignment horizontal="center" vertical="center"/>
      <protection locked="0"/>
    </xf>
    <xf numFmtId="169" fontId="13" fillId="65" borderId="12" xfId="0" applyNumberFormat="1" applyFont="1" applyFill="1" applyBorder="1" applyAlignment="1">
      <alignment horizontal="center" vertical="center"/>
    </xf>
    <xf numFmtId="169" fontId="13" fillId="65" borderId="98" xfId="0" applyNumberFormat="1" applyFont="1" applyFill="1" applyBorder="1" applyAlignment="1">
      <alignment horizontal="center" vertical="center"/>
    </xf>
    <xf numFmtId="4" fontId="13" fillId="65" borderId="13" xfId="0" applyNumberFormat="1" applyFont="1" applyFill="1" applyBorder="1" applyAlignment="1">
      <alignment horizontal="center" vertical="center"/>
    </xf>
    <xf numFmtId="168" fontId="1" fillId="0" borderId="97" xfId="2600" applyNumberFormat="1" applyFont="1" applyFill="1" applyBorder="1" applyAlignment="1" applyProtection="1">
      <alignment horizontal="center" vertical="center"/>
      <protection locked="0"/>
    </xf>
    <xf numFmtId="168" fontId="1" fillId="0" borderId="10" xfId="2600" applyNumberFormat="1" applyFont="1" applyFill="1" applyBorder="1" applyAlignment="1" applyProtection="1">
      <alignment horizontal="center" vertical="center"/>
      <protection locked="0"/>
    </xf>
    <xf numFmtId="191" fontId="1" fillId="66" borderId="15" xfId="1" applyNumberFormat="1" applyFont="1" applyFill="1" applyBorder="1" applyAlignment="1" applyProtection="1">
      <alignment horizontal="center" vertical="center" wrapText="1"/>
    </xf>
    <xf numFmtId="190" fontId="1" fillId="66" borderId="10" xfId="1" applyNumberFormat="1" applyFont="1" applyFill="1" applyBorder="1" applyAlignment="1" applyProtection="1">
      <alignment horizontal="center" vertical="center" wrapText="1"/>
    </xf>
    <xf numFmtId="4" fontId="1" fillId="33" borderId="10" xfId="1" applyNumberFormat="1" applyFont="1" applyFill="1" applyBorder="1" applyAlignment="1" applyProtection="1">
      <alignment horizontal="center" vertical="center"/>
      <protection locked="0"/>
    </xf>
    <xf numFmtId="0" fontId="1" fillId="33" borderId="10" xfId="1" applyNumberFormat="1" applyFont="1" applyFill="1" applyBorder="1" applyAlignment="1" applyProtection="1">
      <alignment horizontal="center" vertical="center"/>
      <protection locked="0"/>
    </xf>
    <xf numFmtId="164" fontId="1" fillId="33" borderId="10" xfId="1" applyNumberFormat="1" applyFont="1" applyFill="1" applyBorder="1" applyAlignment="1" applyProtection="1">
      <alignment horizontal="center" vertical="center" wrapText="1"/>
      <protection locked="0"/>
    </xf>
    <xf numFmtId="168" fontId="1" fillId="33" borderId="17" xfId="1" applyNumberFormat="1" applyFont="1" applyFill="1" applyBorder="1" applyAlignment="1" applyProtection="1">
      <alignment horizontal="center" vertical="center"/>
      <protection locked="0"/>
    </xf>
    <xf numFmtId="164" fontId="0" fillId="33" borderId="10" xfId="1" applyNumberFormat="1" applyFont="1" applyFill="1" applyBorder="1" applyAlignment="1" applyProtection="1">
      <alignment horizontal="center" vertical="center" wrapText="1"/>
      <protection locked="0"/>
    </xf>
    <xf numFmtId="169" fontId="17" fillId="65" borderId="12" xfId="0" applyNumberFormat="1" applyFont="1" applyFill="1" applyBorder="1" applyAlignment="1">
      <alignment horizontal="center" vertical="center"/>
    </xf>
    <xf numFmtId="169" fontId="17" fillId="65" borderId="98" xfId="0" applyNumberFormat="1" applyFont="1" applyFill="1" applyBorder="1" applyAlignment="1">
      <alignment horizontal="center" vertical="center"/>
    </xf>
    <xf numFmtId="4" fontId="17" fillId="65" borderId="13" xfId="0" applyNumberFormat="1" applyFont="1" applyFill="1" applyBorder="1" applyAlignment="1">
      <alignment horizontal="center" vertical="center"/>
    </xf>
    <xf numFmtId="4" fontId="17" fillId="65" borderId="13" xfId="0" applyNumberFormat="1" applyFont="1" applyFill="1" applyBorder="1" applyAlignment="1">
      <alignment horizontal="center" vertical="center" wrapText="1"/>
    </xf>
    <xf numFmtId="0" fontId="17" fillId="65" borderId="13" xfId="0" applyFont="1" applyFill="1" applyBorder="1" applyAlignment="1">
      <alignment horizontal="center" vertical="center"/>
    </xf>
    <xf numFmtId="1" fontId="1" fillId="0" borderId="10" xfId="1" applyNumberFormat="1" applyFont="1" applyFill="1" applyBorder="1" applyAlignment="1" applyProtection="1">
      <alignment horizontal="center" vertical="center"/>
      <protection locked="0"/>
    </xf>
    <xf numFmtId="168" fontId="1" fillId="0" borderId="17" xfId="1" applyNumberFormat="1" applyFont="1" applyFill="1" applyBorder="1" applyAlignment="1" applyProtection="1">
      <alignment horizontal="center" vertical="center"/>
      <protection locked="0"/>
    </xf>
    <xf numFmtId="1" fontId="0" fillId="0" borderId="10" xfId="1" applyNumberFormat="1" applyFont="1" applyFill="1" applyBorder="1" applyAlignment="1" applyProtection="1">
      <alignment horizontal="center" vertical="center"/>
      <protection locked="0"/>
    </xf>
    <xf numFmtId="164" fontId="0" fillId="0" borderId="10" xfId="1" applyNumberFormat="1" applyFont="1" applyFill="1" applyBorder="1" applyAlignment="1" applyProtection="1">
      <alignment horizontal="center" vertical="center"/>
      <protection locked="0"/>
    </xf>
    <xf numFmtId="14" fontId="1" fillId="0" borderId="10" xfId="1" applyNumberFormat="1" applyFont="1" applyFill="1" applyBorder="1" applyAlignment="1" applyProtection="1">
      <alignment horizontal="center" vertical="center"/>
      <protection locked="0"/>
    </xf>
    <xf numFmtId="4" fontId="13" fillId="65" borderId="13" xfId="0" applyNumberFormat="1" applyFont="1" applyFill="1" applyBorder="1" applyAlignment="1">
      <alignment horizontal="center" vertical="center" wrapText="1"/>
    </xf>
    <xf numFmtId="0" fontId="0" fillId="67" borderId="0" xfId="0" applyFill="1"/>
    <xf numFmtId="0" fontId="0" fillId="67" borderId="22" xfId="0" applyFill="1" applyBorder="1" applyAlignment="1">
      <alignment horizontal="right" vertical="center"/>
    </xf>
    <xf numFmtId="14" fontId="60" fillId="67" borderId="22" xfId="0" applyNumberFormat="1" applyFont="1" applyFill="1" applyBorder="1" applyAlignment="1">
      <alignment horizontal="center"/>
    </xf>
    <xf numFmtId="169" fontId="16" fillId="67" borderId="0" xfId="0" applyNumberFormat="1" applyFont="1" applyFill="1" applyAlignment="1">
      <alignment horizontal="center"/>
    </xf>
    <xf numFmtId="4" fontId="16" fillId="67" borderId="0" xfId="0" applyNumberFormat="1" applyFont="1" applyFill="1" applyAlignment="1">
      <alignment horizontal="center"/>
    </xf>
    <xf numFmtId="169" fontId="98" fillId="67" borderId="0" xfId="0" applyNumberFormat="1" applyFont="1" applyFill="1" applyAlignment="1">
      <alignment horizontal="left"/>
    </xf>
    <xf numFmtId="4" fontId="46" fillId="67" borderId="0" xfId="0" applyNumberFormat="1" applyFont="1" applyFill="1"/>
    <xf numFmtId="0" fontId="46" fillId="67" borderId="0" xfId="0" applyFont="1" applyFill="1"/>
    <xf numFmtId="0" fontId="47" fillId="67" borderId="0" xfId="0" applyFont="1" applyFill="1"/>
    <xf numFmtId="0" fontId="0" fillId="67" borderId="0" xfId="0" applyFill="1" applyAlignment="1">
      <alignment wrapText="1"/>
    </xf>
    <xf numFmtId="0" fontId="17" fillId="67" borderId="0" xfId="0" applyFont="1" applyFill="1"/>
    <xf numFmtId="169" fontId="0" fillId="67" borderId="0" xfId="0" applyNumberFormat="1" applyFill="1"/>
    <xf numFmtId="4" fontId="0" fillId="67" borderId="0" xfId="0" applyNumberFormat="1" applyFill="1"/>
    <xf numFmtId="0" fontId="16" fillId="67" borderId="0" xfId="0" applyFont="1" applyFill="1"/>
    <xf numFmtId="0" fontId="13" fillId="67" borderId="0" xfId="0" applyFont="1" applyFill="1"/>
    <xf numFmtId="0" fontId="48" fillId="67" borderId="0" xfId="0" applyFont="1" applyFill="1" applyAlignment="1">
      <alignment vertical="top" wrapText="1"/>
    </xf>
    <xf numFmtId="4" fontId="66" fillId="67" borderId="0" xfId="0" applyNumberFormat="1" applyFont="1" applyFill="1"/>
    <xf numFmtId="0" fontId="66" fillId="67" borderId="0" xfId="0" applyFont="1" applyFill="1"/>
    <xf numFmtId="0" fontId="51" fillId="67" borderId="0" xfId="0" applyFont="1" applyFill="1" applyAlignment="1">
      <alignment horizontal="center" vertical="center"/>
    </xf>
    <xf numFmtId="164" fontId="51" fillId="67" borderId="0" xfId="1" applyNumberFormat="1" applyFont="1" applyFill="1" applyBorder="1" applyAlignment="1" applyProtection="1">
      <alignment horizontal="center" vertical="center"/>
      <protection locked="0"/>
    </xf>
    <xf numFmtId="0" fontId="97" fillId="67" borderId="0" xfId="0" applyFont="1" applyFill="1" applyAlignment="1">
      <alignment vertical="center"/>
    </xf>
    <xf numFmtId="0" fontId="54" fillId="67" borderId="0" xfId="0" applyFont="1" applyFill="1" applyAlignment="1">
      <alignment wrapText="1"/>
    </xf>
    <xf numFmtId="0" fontId="14" fillId="67" borderId="0" xfId="0" applyFont="1" applyFill="1"/>
    <xf numFmtId="0" fontId="51" fillId="67" borderId="0" xfId="0" applyFont="1" applyFill="1"/>
    <xf numFmtId="0" fontId="60" fillId="67" borderId="0" xfId="0" applyFont="1" applyFill="1"/>
    <xf numFmtId="0" fontId="61" fillId="67" borderId="22" xfId="0" applyFont="1" applyFill="1" applyBorder="1" applyAlignment="1">
      <alignment horizontal="right"/>
    </xf>
    <xf numFmtId="0" fontId="61" fillId="67" borderId="0" xfId="0" applyFont="1" applyFill="1" applyAlignment="1">
      <alignment horizontal="right"/>
    </xf>
    <xf numFmtId="14" fontId="60" fillId="67" borderId="0" xfId="0" applyNumberFormat="1" applyFont="1" applyFill="1" applyAlignment="1">
      <alignment horizontal="center"/>
    </xf>
    <xf numFmtId="0" fontId="0" fillId="67" borderId="0" xfId="0" applyFill="1" applyAlignment="1">
      <alignment vertical="center"/>
    </xf>
    <xf numFmtId="0" fontId="102" fillId="33" borderId="0" xfId="1899" applyFont="1" applyFill="1" applyAlignment="1" applyProtection="1">
      <alignment vertical="center"/>
      <protection hidden="1"/>
    </xf>
    <xf numFmtId="0" fontId="103" fillId="33" borderId="0" xfId="43" applyFont="1" applyFill="1" applyAlignment="1" applyProtection="1">
      <alignment vertical="center"/>
      <protection hidden="1"/>
    </xf>
    <xf numFmtId="0" fontId="104" fillId="33" borderId="0" xfId="43" applyFont="1" applyFill="1" applyAlignment="1" applyProtection="1">
      <alignment horizontal="left" vertical="center" indent="2"/>
      <protection hidden="1"/>
    </xf>
    <xf numFmtId="0" fontId="102" fillId="33" borderId="0" xfId="43" applyFont="1" applyFill="1" applyAlignment="1" applyProtection="1">
      <alignment horizontal="left" vertical="center" wrapText="1" indent="2"/>
      <protection hidden="1"/>
    </xf>
    <xf numFmtId="0" fontId="105" fillId="33" borderId="0" xfId="43" applyFont="1" applyFill="1" applyAlignment="1" applyProtection="1">
      <alignment horizontal="left" vertical="center" wrapText="1" indent="2"/>
      <protection hidden="1"/>
    </xf>
    <xf numFmtId="0" fontId="1" fillId="33" borderId="0" xfId="0" applyFont="1" applyFill="1"/>
    <xf numFmtId="0" fontId="106" fillId="68" borderId="10" xfId="0" applyFont="1" applyFill="1" applyBorder="1" applyAlignment="1">
      <alignment horizontal="left" vertical="center" wrapText="1" indent="1"/>
    </xf>
    <xf numFmtId="0" fontId="109" fillId="69" borderId="0" xfId="0" applyFont="1" applyFill="1" applyAlignment="1">
      <alignment vertical="center"/>
    </xf>
    <xf numFmtId="0" fontId="110" fillId="69" borderId="0" xfId="0" applyFont="1" applyFill="1" applyAlignment="1">
      <alignment vertical="center"/>
    </xf>
    <xf numFmtId="0" fontId="52" fillId="69" borderId="0" xfId="0" applyFont="1" applyFill="1" applyAlignment="1">
      <alignment horizontal="left"/>
    </xf>
    <xf numFmtId="0" fontId="106" fillId="68" borderId="10" xfId="0" applyFont="1" applyFill="1" applyBorder="1" applyAlignment="1">
      <alignment horizontal="left" vertical="center" indent="1"/>
    </xf>
    <xf numFmtId="0" fontId="107" fillId="69" borderId="16" xfId="0" applyFont="1" applyFill="1" applyBorder="1" applyAlignment="1">
      <alignment horizontal="left" vertical="center" wrapText="1"/>
    </xf>
    <xf numFmtId="0" fontId="107" fillId="69" borderId="18" xfId="0" applyFont="1" applyFill="1" applyBorder="1" applyAlignment="1">
      <alignment horizontal="left" vertical="center" wrapText="1"/>
    </xf>
    <xf numFmtId="0" fontId="111" fillId="69" borderId="0" xfId="0" applyFont="1" applyFill="1" applyAlignment="1">
      <alignment horizontal="left"/>
    </xf>
    <xf numFmtId="0" fontId="112" fillId="69" borderId="0" xfId="0" applyFont="1" applyFill="1" applyAlignment="1">
      <alignment vertical="center"/>
    </xf>
    <xf numFmtId="0" fontId="107" fillId="69" borderId="0" xfId="0" applyFont="1" applyFill="1"/>
    <xf numFmtId="0" fontId="51" fillId="34" borderId="91" xfId="0" applyFont="1" applyFill="1" applyBorder="1"/>
    <xf numFmtId="166" fontId="51" fillId="34" borderId="91" xfId="0" applyNumberFormat="1" applyFont="1" applyFill="1" applyBorder="1" applyAlignment="1">
      <alignment horizontal="left" vertical="center" indent="1"/>
    </xf>
    <xf numFmtId="0" fontId="52" fillId="35" borderId="91" xfId="0" applyFont="1" applyFill="1" applyBorder="1" applyAlignment="1">
      <alignment vertical="center" wrapText="1"/>
    </xf>
    <xf numFmtId="0" fontId="52" fillId="35" borderId="91" xfId="0" applyFont="1" applyFill="1" applyBorder="1" applyAlignment="1">
      <alignment horizontal="center" vertical="center" wrapText="1"/>
    </xf>
    <xf numFmtId="0" fontId="0" fillId="33" borderId="91" xfId="0" applyFill="1" applyBorder="1" applyAlignment="1">
      <alignment horizontal="left" vertical="center" indent="1"/>
    </xf>
    <xf numFmtId="0" fontId="13" fillId="65" borderId="17" xfId="0" applyFont="1" applyFill="1" applyBorder="1" applyAlignment="1">
      <alignment horizontal="center" vertical="center"/>
    </xf>
    <xf numFmtId="0" fontId="13" fillId="65" borderId="10" xfId="0" applyFont="1" applyFill="1" applyBorder="1" applyAlignment="1">
      <alignment horizontal="center" vertical="center"/>
    </xf>
    <xf numFmtId="0" fontId="113" fillId="33" borderId="0" xfId="0" applyFont="1" applyFill="1"/>
    <xf numFmtId="0" fontId="114" fillId="33" borderId="0" xfId="0" applyFont="1" applyFill="1" applyAlignment="1">
      <alignment horizontal="left"/>
    </xf>
    <xf numFmtId="0" fontId="115" fillId="33" borderId="0" xfId="0" applyFont="1" applyFill="1"/>
    <xf numFmtId="0" fontId="116" fillId="33" borderId="0" xfId="0" applyFont="1" applyFill="1"/>
    <xf numFmtId="0" fontId="114" fillId="33" borderId="0" xfId="0" applyFont="1" applyFill="1" applyAlignment="1">
      <alignment horizontal="left" wrapText="1"/>
    </xf>
    <xf numFmtId="0" fontId="13" fillId="65" borderId="97" xfId="0" applyFont="1" applyFill="1" applyBorder="1" applyAlignment="1">
      <alignment horizontal="center" vertical="center"/>
    </xf>
    <xf numFmtId="0" fontId="13" fillId="65" borderId="12" xfId="0" applyFont="1" applyFill="1" applyBorder="1" applyAlignment="1">
      <alignment horizontal="right" vertical="center" indent="1"/>
    </xf>
    <xf numFmtId="0" fontId="13" fillId="65" borderId="15" xfId="0" applyFont="1" applyFill="1" applyBorder="1" applyAlignment="1">
      <alignment horizontal="right" vertical="center" indent="1"/>
    </xf>
    <xf numFmtId="0" fontId="13" fillId="65" borderId="19" xfId="0" applyFont="1" applyFill="1" applyBorder="1" applyAlignment="1">
      <alignment horizontal="right" vertical="center" indent="1"/>
    </xf>
    <xf numFmtId="0" fontId="60" fillId="67" borderId="0" xfId="0" applyFont="1" applyFill="1" applyAlignment="1">
      <alignment wrapText="1"/>
    </xf>
    <xf numFmtId="2" fontId="0" fillId="33" borderId="18" xfId="0" applyNumberFormat="1" applyFill="1" applyBorder="1" applyAlignment="1">
      <alignment horizontal="center" vertical="center"/>
    </xf>
    <xf numFmtId="2" fontId="0" fillId="33" borderId="0" xfId="0" applyNumberFormat="1" applyFill="1"/>
    <xf numFmtId="2" fontId="60" fillId="67" borderId="22" xfId="0" applyNumberFormat="1" applyFont="1" applyFill="1" applyBorder="1" applyAlignment="1">
      <alignment horizontal="center"/>
    </xf>
    <xf numFmtId="7" fontId="0" fillId="66" borderId="83" xfId="2600" applyNumberFormat="1" applyFont="1" applyFill="1" applyBorder="1" applyAlignment="1" applyProtection="1">
      <alignment horizontal="center" vertical="center"/>
      <protection hidden="1"/>
    </xf>
    <xf numFmtId="190" fontId="0" fillId="66" borderId="97" xfId="0" applyNumberFormat="1" applyFill="1" applyBorder="1" applyAlignment="1" applyProtection="1">
      <alignment horizontal="center" vertical="center"/>
      <protection hidden="1"/>
    </xf>
    <xf numFmtId="189" fontId="0" fillId="66" borderId="10" xfId="0" applyNumberFormat="1" applyFill="1" applyBorder="1" applyAlignment="1" applyProtection="1">
      <alignment horizontal="center" vertical="center"/>
      <protection hidden="1"/>
    </xf>
    <xf numFmtId="189" fontId="0" fillId="66" borderId="17" xfId="0" applyNumberFormat="1" applyFill="1" applyBorder="1" applyAlignment="1" applyProtection="1">
      <alignment horizontal="center" vertical="center"/>
      <protection hidden="1"/>
    </xf>
    <xf numFmtId="7" fontId="0" fillId="66" borderId="84" xfId="2600" applyNumberFormat="1" applyFont="1" applyFill="1" applyBorder="1" applyAlignment="1" applyProtection="1">
      <alignment horizontal="center" vertical="center"/>
      <protection hidden="1"/>
    </xf>
    <xf numFmtId="190" fontId="0" fillId="66" borderId="92" xfId="0" applyNumberFormat="1" applyFill="1" applyBorder="1" applyAlignment="1" applyProtection="1">
      <alignment horizontal="center" vertical="center"/>
      <protection hidden="1"/>
    </xf>
    <xf numFmtId="189" fontId="0" fillId="66" borderId="20" xfId="0" applyNumberFormat="1" applyFill="1" applyBorder="1" applyAlignment="1" applyProtection="1">
      <alignment horizontal="center" vertical="center"/>
      <protection hidden="1"/>
    </xf>
    <xf numFmtId="189" fontId="0" fillId="66" borderId="21" xfId="0" applyNumberFormat="1" applyFill="1" applyBorder="1" applyAlignment="1" applyProtection="1">
      <alignment horizontal="center" vertical="center"/>
      <protection hidden="1"/>
    </xf>
    <xf numFmtId="168" fontId="0" fillId="66" borderId="84" xfId="0" applyNumberFormat="1" applyFill="1" applyBorder="1" applyAlignment="1" applyProtection="1">
      <alignment horizontal="center" vertical="center"/>
      <protection hidden="1"/>
    </xf>
    <xf numFmtId="190" fontId="0" fillId="66" borderId="99" xfId="0" applyNumberFormat="1" applyFill="1" applyBorder="1" applyAlignment="1" applyProtection="1">
      <alignment horizontal="center" vertical="center"/>
      <protection hidden="1"/>
    </xf>
    <xf numFmtId="191" fontId="0" fillId="66" borderId="20" xfId="0" applyNumberFormat="1" applyFill="1" applyBorder="1" applyAlignment="1" applyProtection="1">
      <alignment horizontal="center" vertical="center"/>
      <protection hidden="1"/>
    </xf>
    <xf numFmtId="191" fontId="0" fillId="66" borderId="21" xfId="0" applyNumberFormat="1" applyFill="1" applyBorder="1" applyAlignment="1" applyProtection="1">
      <alignment horizontal="center" vertical="center"/>
      <protection hidden="1"/>
    </xf>
    <xf numFmtId="168" fontId="1" fillId="0" borderId="10" xfId="1" applyNumberFormat="1" applyFont="1" applyFill="1" applyBorder="1" applyAlignment="1" applyProtection="1">
      <alignment horizontal="center" vertical="center"/>
      <protection locked="0"/>
    </xf>
    <xf numFmtId="2" fontId="1" fillId="0" borderId="10" xfId="1" applyNumberFormat="1" applyFont="1" applyFill="1" applyBorder="1" applyAlignment="1" applyProtection="1">
      <alignment horizontal="center" vertical="center"/>
      <protection locked="0"/>
    </xf>
    <xf numFmtId="168" fontId="0" fillId="33" borderId="21" xfId="0" applyNumberFormat="1" applyFill="1" applyBorder="1" applyAlignment="1" applyProtection="1">
      <alignment horizontal="left" vertical="center"/>
      <protection locked="0"/>
    </xf>
    <xf numFmtId="2" fontId="1" fillId="33" borderId="10" xfId="1" applyNumberFormat="1" applyFont="1" applyFill="1" applyBorder="1" applyAlignment="1" applyProtection="1">
      <alignment horizontal="center" vertical="center" wrapText="1"/>
      <protection locked="0"/>
    </xf>
    <xf numFmtId="164" fontId="1" fillId="0" borderId="10" xfId="1" applyNumberFormat="1" applyFont="1" applyFill="1" applyBorder="1" applyAlignment="1" applyProtection="1">
      <alignment horizontal="left" vertical="center"/>
      <protection locked="0"/>
    </xf>
    <xf numFmtId="2" fontId="0" fillId="33" borderId="89" xfId="0" applyNumberFormat="1" applyFill="1" applyBorder="1" applyAlignment="1">
      <alignment horizontal="left" vertical="center"/>
    </xf>
    <xf numFmtId="189" fontId="51" fillId="0" borderId="41" xfId="0" applyNumberFormat="1" applyFont="1" applyBorder="1"/>
    <xf numFmtId="0" fontId="51" fillId="0" borderId="43" xfId="0" applyFont="1" applyBorder="1"/>
    <xf numFmtId="189" fontId="51" fillId="0" borderId="43" xfId="0" applyNumberFormat="1" applyFont="1" applyBorder="1"/>
    <xf numFmtId="0" fontId="51" fillId="0" borderId="45" xfId="0" applyFont="1" applyBorder="1"/>
    <xf numFmtId="0" fontId="53" fillId="0" borderId="91" xfId="0" applyFont="1" applyBorder="1" applyAlignment="1">
      <alignment horizontal="left" vertical="center" wrapText="1"/>
    </xf>
    <xf numFmtId="0" fontId="0" fillId="0" borderId="0" xfId="0" applyAlignment="1">
      <alignment horizontal="left" vertical="center"/>
    </xf>
    <xf numFmtId="0" fontId="51" fillId="0" borderId="10" xfId="0" applyFont="1" applyBorder="1" applyAlignment="1">
      <alignment horizontal="left" vertical="center" wrapText="1"/>
    </xf>
    <xf numFmtId="0" fontId="53" fillId="0" borderId="10" xfId="0" applyFont="1" applyBorder="1" applyAlignment="1">
      <alignment horizontal="left" vertical="center" wrapText="1"/>
    </xf>
    <xf numFmtId="0" fontId="53" fillId="0" borderId="0" xfId="0" applyFont="1" applyAlignment="1">
      <alignment horizontal="left" vertical="center" wrapText="1"/>
    </xf>
    <xf numFmtId="0" fontId="53" fillId="0" borderId="11" xfId="0" applyFont="1" applyBorder="1" applyAlignment="1">
      <alignment horizontal="left" vertical="center" wrapText="1"/>
    </xf>
    <xf numFmtId="0" fontId="51" fillId="0" borderId="10" xfId="0" applyFont="1" applyBorder="1" applyAlignment="1">
      <alignment vertical="center" wrapText="1"/>
    </xf>
    <xf numFmtId="0" fontId="53" fillId="0" borderId="102" xfId="0" applyFont="1" applyBorder="1" applyAlignment="1">
      <alignment horizontal="left" vertical="center" wrapText="1"/>
    </xf>
    <xf numFmtId="0" fontId="0" fillId="0" borderId="46" xfId="0" applyBorder="1" applyAlignment="1">
      <alignment vertical="center" wrapText="1"/>
    </xf>
    <xf numFmtId="0" fontId="118" fillId="0" borderId="0" xfId="0" applyFont="1" applyAlignment="1">
      <alignment vertical="center" wrapText="1"/>
    </xf>
    <xf numFmtId="0" fontId="0" fillId="0" borderId="0" xfId="0" applyAlignment="1">
      <alignment vertical="center"/>
    </xf>
    <xf numFmtId="0" fontId="13" fillId="65" borderId="14" xfId="0" applyFont="1" applyFill="1" applyBorder="1" applyAlignment="1">
      <alignment horizontal="center" vertical="center" wrapText="1"/>
    </xf>
    <xf numFmtId="0" fontId="0" fillId="71" borderId="0" xfId="0" applyFill="1" applyAlignment="1">
      <alignment vertical="center"/>
    </xf>
    <xf numFmtId="0" fontId="121" fillId="67" borderId="0" xfId="0" applyFont="1" applyFill="1" applyAlignment="1">
      <alignment vertical="top"/>
    </xf>
    <xf numFmtId="0" fontId="119" fillId="65" borderId="13" xfId="0" applyFont="1" applyFill="1" applyBorder="1" applyAlignment="1">
      <alignment horizontal="center" vertical="center"/>
    </xf>
    <xf numFmtId="0" fontId="17" fillId="65" borderId="14" xfId="0" applyFont="1" applyFill="1" applyBorder="1" applyAlignment="1">
      <alignment horizontal="center" vertical="center" wrapText="1"/>
    </xf>
    <xf numFmtId="0" fontId="107" fillId="69" borderId="16" xfId="0" applyFont="1" applyFill="1" applyBorder="1" applyAlignment="1">
      <alignment horizontal="left" vertical="center" wrapText="1" indent="1"/>
    </xf>
    <xf numFmtId="0" fontId="107" fillId="69" borderId="18" xfId="0" applyFont="1" applyFill="1" applyBorder="1" applyAlignment="1">
      <alignment horizontal="left" vertical="center" wrapText="1" indent="1"/>
    </xf>
    <xf numFmtId="0" fontId="107" fillId="69" borderId="16" xfId="0" applyFont="1" applyFill="1" applyBorder="1" applyAlignment="1">
      <alignment horizontal="left" vertical="center" wrapText="1"/>
    </xf>
    <xf numFmtId="0" fontId="107" fillId="69" borderId="79" xfId="0" applyFont="1" applyFill="1" applyBorder="1" applyAlignment="1">
      <alignment horizontal="left" vertical="center" wrapText="1"/>
    </xf>
    <xf numFmtId="0" fontId="107" fillId="69" borderId="18" xfId="0" applyFont="1" applyFill="1" applyBorder="1" applyAlignment="1">
      <alignment horizontal="left" vertical="center" wrapText="1"/>
    </xf>
    <xf numFmtId="0" fontId="93" fillId="64" borderId="0" xfId="0" applyFont="1" applyFill="1" applyAlignment="1" applyProtection="1">
      <alignment horizontal="center"/>
      <protection hidden="1"/>
    </xf>
    <xf numFmtId="0" fontId="108" fillId="0" borderId="0" xfId="0" applyFont="1" applyAlignment="1" applyProtection="1">
      <alignment horizontal="center" vertical="center"/>
      <protection hidden="1"/>
    </xf>
    <xf numFmtId="0" fontId="94" fillId="33" borderId="10" xfId="0" applyFont="1" applyFill="1" applyBorder="1" applyAlignment="1">
      <alignment horizontal="left" vertical="center" indent="1"/>
    </xf>
    <xf numFmtId="0" fontId="45" fillId="33" borderId="0" xfId="43" applyFont="1" applyFill="1" applyAlignment="1" applyProtection="1">
      <alignment horizontal="left" vertical="center" wrapText="1" indent="2"/>
      <protection hidden="1"/>
    </xf>
    <xf numFmtId="0" fontId="22" fillId="33" borderId="0" xfId="43" applyFont="1" applyFill="1" applyAlignment="1" applyProtection="1">
      <alignment horizontal="left" vertical="center" wrapText="1" indent="2"/>
      <protection hidden="1"/>
    </xf>
    <xf numFmtId="0" fontId="22" fillId="33" borderId="0" xfId="43" applyFont="1" applyFill="1" applyAlignment="1" applyProtection="1">
      <alignment horizontal="left" vertical="top" wrapText="1"/>
      <protection hidden="1"/>
    </xf>
    <xf numFmtId="0" fontId="0" fillId="66" borderId="10" xfId="0" applyFill="1" applyBorder="1" applyAlignment="1">
      <alignment horizontal="left" vertical="center" indent="1"/>
    </xf>
    <xf numFmtId="0" fontId="0" fillId="66" borderId="94" xfId="0" applyFill="1" applyBorder="1" applyAlignment="1">
      <alignment horizontal="left" vertical="center"/>
    </xf>
    <xf numFmtId="0" fontId="0" fillId="66" borderId="97" xfId="0" applyFill="1" applyBorder="1" applyAlignment="1">
      <alignment horizontal="left" vertical="center"/>
    </xf>
    <xf numFmtId="0" fontId="0" fillId="66" borderId="95" xfId="0" applyFill="1" applyBorder="1" applyAlignment="1">
      <alignment horizontal="left" vertical="center"/>
    </xf>
    <xf numFmtId="0" fontId="0" fillId="66" borderId="92" xfId="0" applyFill="1" applyBorder="1" applyAlignment="1">
      <alignment horizontal="left" vertical="center"/>
    </xf>
    <xf numFmtId="0" fontId="13" fillId="65" borderId="85" xfId="0" applyFont="1" applyFill="1" applyBorder="1" applyAlignment="1">
      <alignment horizontal="center" vertical="center" wrapText="1"/>
    </xf>
    <xf numFmtId="0" fontId="13" fillId="65" borderId="104" xfId="0" applyFont="1" applyFill="1" applyBorder="1" applyAlignment="1">
      <alignment horizontal="center" vertical="center" wrapText="1"/>
    </xf>
    <xf numFmtId="0" fontId="13" fillId="65" borderId="96" xfId="0" applyFont="1" applyFill="1" applyBorder="1" applyAlignment="1">
      <alignment horizontal="center" vertical="center"/>
    </xf>
    <xf numFmtId="0" fontId="13" fillId="65" borderId="97" xfId="0" applyFont="1" applyFill="1" applyBorder="1" applyAlignment="1">
      <alignment horizontal="center" vertical="center"/>
    </xf>
    <xf numFmtId="0" fontId="13" fillId="65" borderId="82" xfId="0" applyFont="1" applyFill="1" applyBorder="1" applyAlignment="1">
      <alignment horizontal="center" vertical="center"/>
    </xf>
    <xf numFmtId="0" fontId="13" fillId="65" borderId="83" xfId="0" applyFont="1" applyFill="1" applyBorder="1" applyAlignment="1">
      <alignment horizontal="center" vertical="center"/>
    </xf>
    <xf numFmtId="0" fontId="13" fillId="65" borderId="100" xfId="0" applyFont="1" applyFill="1" applyBorder="1" applyAlignment="1">
      <alignment horizontal="center" vertical="center"/>
    </xf>
    <xf numFmtId="0" fontId="13" fillId="65" borderId="98" xfId="0" applyFont="1" applyFill="1" applyBorder="1" applyAlignment="1">
      <alignment horizontal="center" vertical="center" wrapText="1"/>
    </xf>
    <xf numFmtId="0" fontId="13" fillId="65" borderId="18" xfId="0" applyFont="1" applyFill="1" applyBorder="1" applyAlignment="1">
      <alignment horizontal="center" vertical="center" wrapText="1"/>
    </xf>
    <xf numFmtId="0" fontId="13" fillId="65" borderId="82" xfId="0" applyFont="1" applyFill="1" applyBorder="1" applyAlignment="1">
      <alignment horizontal="center" vertical="center" wrapText="1"/>
    </xf>
    <xf numFmtId="0" fontId="13" fillId="65" borderId="83" xfId="0" applyFont="1" applyFill="1" applyBorder="1" applyAlignment="1">
      <alignment horizontal="center" vertical="center" wrapText="1"/>
    </xf>
    <xf numFmtId="0" fontId="13" fillId="65" borderId="14" xfId="0" applyFont="1" applyFill="1" applyBorder="1" applyAlignment="1">
      <alignment horizontal="center" vertical="center" wrapText="1"/>
    </xf>
    <xf numFmtId="0" fontId="13" fillId="65" borderId="17" xfId="0" applyFont="1" applyFill="1" applyBorder="1" applyAlignment="1">
      <alignment horizontal="center" vertical="center" wrapText="1"/>
    </xf>
    <xf numFmtId="0" fontId="13" fillId="65" borderId="101" xfId="0" applyFont="1" applyFill="1" applyBorder="1" applyAlignment="1">
      <alignment horizontal="center" vertical="center" wrapText="1"/>
    </xf>
    <xf numFmtId="0" fontId="13" fillId="65" borderId="11" xfId="0" applyFont="1" applyFill="1" applyBorder="1" applyAlignment="1">
      <alignment horizontal="center" vertical="center" wrapText="1"/>
    </xf>
    <xf numFmtId="0" fontId="13" fillId="65" borderId="39" xfId="0" applyFont="1" applyFill="1" applyBorder="1" applyAlignment="1">
      <alignment horizontal="center" vertical="center"/>
    </xf>
    <xf numFmtId="0" fontId="13" fillId="65" borderId="41" xfId="0" applyFont="1" applyFill="1" applyBorder="1" applyAlignment="1">
      <alignment horizontal="center" vertical="center"/>
    </xf>
    <xf numFmtId="0" fontId="13" fillId="65" borderId="93" xfId="0" applyFont="1" applyFill="1" applyBorder="1" applyAlignment="1">
      <alignment horizontal="center" vertical="center"/>
    </xf>
    <xf numFmtId="0" fontId="13" fillId="65" borderId="103" xfId="0" applyFont="1" applyFill="1" applyBorder="1" applyAlignment="1">
      <alignment horizontal="center" vertical="center"/>
    </xf>
    <xf numFmtId="0" fontId="0" fillId="67" borderId="40" xfId="0" applyFill="1" applyBorder="1" applyAlignment="1">
      <alignment horizontal="left" vertical="top" wrapText="1"/>
    </xf>
    <xf numFmtId="169" fontId="13" fillId="65" borderId="101" xfId="0" applyNumberFormat="1" applyFont="1" applyFill="1" applyBorder="1" applyAlignment="1">
      <alignment horizontal="center" vertical="center"/>
    </xf>
    <xf numFmtId="169" fontId="13" fillId="65" borderId="11" xfId="0" applyNumberFormat="1" applyFont="1" applyFill="1" applyBorder="1" applyAlignment="1">
      <alignment horizontal="center" vertical="center"/>
    </xf>
    <xf numFmtId="0" fontId="99" fillId="65" borderId="20" xfId="0" applyFont="1" applyFill="1" applyBorder="1" applyAlignment="1">
      <alignment horizontal="left" vertical="center"/>
    </xf>
    <xf numFmtId="0" fontId="99" fillId="65" borderId="21" xfId="0" applyFont="1" applyFill="1" applyBorder="1" applyAlignment="1">
      <alignment horizontal="left" vertical="center"/>
    </xf>
    <xf numFmtId="0" fontId="100" fillId="67" borderId="0" xfId="0" applyFont="1" applyFill="1" applyAlignment="1">
      <alignment horizontal="left" vertical="center"/>
    </xf>
    <xf numFmtId="169" fontId="13" fillId="65" borderId="38" xfId="0" applyNumberFormat="1" applyFont="1" applyFill="1" applyBorder="1" applyAlignment="1">
      <alignment horizontal="center" vertical="center"/>
    </xf>
    <xf numFmtId="169" fontId="13" fillId="65" borderId="37" xfId="0" applyNumberFormat="1" applyFont="1" applyFill="1" applyBorder="1" applyAlignment="1">
      <alignment horizontal="center" vertical="center"/>
    </xf>
    <xf numFmtId="4" fontId="13" fillId="65" borderId="13" xfId="0" applyNumberFormat="1" applyFont="1" applyFill="1" applyBorder="1" applyAlignment="1">
      <alignment horizontal="center" vertical="center"/>
    </xf>
    <xf numFmtId="4" fontId="13" fillId="65" borderId="10" xfId="0" applyNumberFormat="1" applyFont="1" applyFill="1" applyBorder="1" applyAlignment="1">
      <alignment horizontal="center" vertical="center"/>
    </xf>
    <xf numFmtId="0" fontId="13" fillId="65" borderId="13" xfId="0" applyFont="1" applyFill="1" applyBorder="1" applyAlignment="1">
      <alignment horizontal="center" vertical="center"/>
    </xf>
    <xf numFmtId="0" fontId="13" fillId="65" borderId="10" xfId="0" applyFont="1" applyFill="1" applyBorder="1" applyAlignment="1">
      <alignment horizontal="center" vertical="center"/>
    </xf>
    <xf numFmtId="0" fontId="0" fillId="67" borderId="0" xfId="0" applyFill="1" applyAlignment="1">
      <alignment horizontal="left" vertical="center" wrapText="1"/>
    </xf>
    <xf numFmtId="0" fontId="13" fillId="65" borderId="13" xfId="0" applyFont="1" applyFill="1" applyBorder="1" applyAlignment="1">
      <alignment horizontal="center" vertical="center" wrapText="1"/>
    </xf>
    <xf numFmtId="0" fontId="13" fillId="65" borderId="10" xfId="0" applyFont="1" applyFill="1" applyBorder="1" applyAlignment="1">
      <alignment horizontal="center" vertical="center" wrapText="1"/>
    </xf>
    <xf numFmtId="0" fontId="0" fillId="0" borderId="85" xfId="0" applyBorder="1" applyAlignment="1">
      <alignment horizontal="center" vertical="center" wrapText="1"/>
    </xf>
    <xf numFmtId="0" fontId="0" fillId="0" borderId="87" xfId="0" applyBorder="1" applyAlignment="1">
      <alignment horizontal="center" vertical="center" wrapText="1"/>
    </xf>
    <xf numFmtId="0" fontId="0" fillId="0" borderId="86" xfId="0" applyBorder="1" applyAlignment="1">
      <alignment horizontal="center" vertical="center" wrapText="1"/>
    </xf>
    <xf numFmtId="0" fontId="16" fillId="35" borderId="80" xfId="0" applyFont="1" applyFill="1" applyBorder="1" applyAlignment="1">
      <alignment horizontal="center" vertical="center" wrapText="1"/>
    </xf>
    <xf numFmtId="0" fontId="16" fillId="35" borderId="33" xfId="0" applyFont="1" applyFill="1" applyBorder="1" applyAlignment="1">
      <alignment horizontal="center" vertical="center" wrapText="1"/>
    </xf>
    <xf numFmtId="0" fontId="16" fillId="35" borderId="10" xfId="0" applyFont="1" applyFill="1" applyBorder="1" applyAlignment="1">
      <alignment horizontal="center" vertical="center" wrapText="1"/>
    </xf>
    <xf numFmtId="0" fontId="16" fillId="35" borderId="91" xfId="0" applyFont="1" applyFill="1" applyBorder="1" applyAlignment="1">
      <alignment horizontal="center" vertical="center" wrapText="1"/>
    </xf>
    <xf numFmtId="0" fontId="16" fillId="35" borderId="36" xfId="0" applyFont="1" applyFill="1" applyBorder="1" applyAlignment="1">
      <alignment horizontal="center" vertical="center" wrapText="1"/>
    </xf>
    <xf numFmtId="0" fontId="16" fillId="35" borderId="11" xfId="0" applyFont="1" applyFill="1" applyBorder="1" applyAlignment="1">
      <alignment horizontal="center" vertical="center" wrapText="1"/>
    </xf>
    <xf numFmtId="0" fontId="0" fillId="35" borderId="16" xfId="0" applyFill="1" applyBorder="1" applyAlignment="1">
      <alignment horizontal="center" vertical="center"/>
    </xf>
    <xf numFmtId="0" fontId="0" fillId="35" borderId="79" xfId="0" applyFill="1" applyBorder="1" applyAlignment="1">
      <alignment horizontal="center" vertical="center"/>
    </xf>
    <xf numFmtId="0" fontId="0" fillId="35" borderId="18" xfId="0" applyFill="1" applyBorder="1" applyAlignment="1">
      <alignment horizontal="center" vertical="center"/>
    </xf>
    <xf numFmtId="0" fontId="16" fillId="35" borderId="16" xfId="0" applyFont="1" applyFill="1" applyBorder="1" applyAlignment="1">
      <alignment horizontal="center" vertical="center" wrapText="1"/>
    </xf>
    <xf numFmtId="0" fontId="16" fillId="35" borderId="79" xfId="0" applyFont="1" applyFill="1" applyBorder="1" applyAlignment="1">
      <alignment horizontal="center" vertical="center" wrapText="1"/>
    </xf>
    <xf numFmtId="0" fontId="16" fillId="35" borderId="18" xfId="0" applyFont="1" applyFill="1" applyBorder="1" applyAlignment="1">
      <alignment horizontal="center" vertical="center" wrapText="1"/>
    </xf>
    <xf numFmtId="0" fontId="48" fillId="33" borderId="35" xfId="0" applyFont="1" applyFill="1" applyBorder="1" applyAlignment="1">
      <alignment horizontal="left"/>
    </xf>
    <xf numFmtId="43" fontId="16" fillId="35" borderId="91" xfId="1" applyFont="1" applyFill="1" applyBorder="1" applyAlignment="1">
      <alignment horizontal="center" vertical="center" wrapText="1"/>
    </xf>
    <xf numFmtId="43" fontId="16" fillId="35" borderId="11" xfId="1" applyFont="1" applyFill="1" applyBorder="1" applyAlignment="1">
      <alignment horizontal="center" vertical="center" wrapText="1"/>
    </xf>
    <xf numFmtId="0" fontId="0" fillId="35" borderId="91" xfId="0" applyFill="1" applyBorder="1" applyAlignment="1">
      <alignment horizontal="center" vertical="center"/>
    </xf>
    <xf numFmtId="0" fontId="0" fillId="35" borderId="11" xfId="0" applyFill="1" applyBorder="1" applyAlignment="1">
      <alignment horizontal="center" vertical="center"/>
    </xf>
    <xf numFmtId="0" fontId="0" fillId="35" borderId="10" xfId="0" applyFill="1" applyBorder="1" applyAlignment="1">
      <alignment horizontal="center" vertical="center"/>
    </xf>
    <xf numFmtId="0" fontId="52" fillId="35" borderId="10" xfId="0" applyFont="1" applyFill="1" applyBorder="1" applyAlignment="1">
      <alignment horizontal="center" wrapText="1"/>
    </xf>
    <xf numFmtId="0" fontId="52" fillId="35" borderId="90" xfId="0" applyFont="1" applyFill="1" applyBorder="1" applyAlignment="1">
      <alignment horizontal="center" wrapText="1"/>
    </xf>
    <xf numFmtId="0" fontId="52" fillId="35" borderId="0" xfId="0" applyFont="1" applyFill="1" applyAlignment="1">
      <alignment horizontal="center" wrapText="1"/>
    </xf>
    <xf numFmtId="0" fontId="51" fillId="33" borderId="0" xfId="0" applyFont="1" applyFill="1" applyAlignment="1">
      <alignment horizontal="center" wrapText="1"/>
    </xf>
    <xf numFmtId="0" fontId="0" fillId="33" borderId="90" xfId="0" applyFill="1" applyBorder="1" applyAlignment="1">
      <alignment horizontal="center"/>
    </xf>
    <xf numFmtId="0" fontId="52" fillId="35" borderId="88" xfId="0" applyFont="1" applyFill="1" applyBorder="1" applyAlignment="1">
      <alignment horizontal="center" vertical="center" wrapText="1"/>
    </xf>
    <xf numFmtId="0" fontId="52" fillId="35" borderId="89" xfId="0" applyFont="1" applyFill="1" applyBorder="1" applyAlignment="1">
      <alignment horizontal="center" vertical="center" wrapText="1"/>
    </xf>
    <xf numFmtId="0" fontId="52" fillId="35" borderId="80" xfId="0" applyFont="1" applyFill="1" applyBorder="1" applyAlignment="1">
      <alignment horizontal="center" vertical="center" wrapText="1"/>
    </xf>
    <xf numFmtId="0" fontId="52" fillId="35" borderId="81" xfId="0" applyFont="1" applyFill="1" applyBorder="1" applyAlignment="1">
      <alignment horizontal="center" vertical="center" wrapText="1"/>
    </xf>
    <xf numFmtId="0" fontId="25" fillId="33" borderId="0" xfId="43" applyFont="1" applyFill="1" applyAlignment="1" applyProtection="1">
      <alignment horizontal="left" vertical="center"/>
      <protection hidden="1"/>
    </xf>
    <xf numFmtId="0" fontId="0" fillId="33" borderId="22" xfId="0" applyFill="1" applyBorder="1" applyAlignment="1">
      <alignment horizontal="center" vertical="top"/>
    </xf>
    <xf numFmtId="0" fontId="0" fillId="33" borderId="22" xfId="0" applyFill="1" applyBorder="1" applyAlignment="1">
      <alignment horizontal="left" vertical="top"/>
    </xf>
    <xf numFmtId="168" fontId="0" fillId="70" borderId="21" xfId="0" applyNumberFormat="1" applyFill="1" applyBorder="1" applyAlignment="1" applyProtection="1">
      <alignment horizontal="left" vertical="center"/>
      <protection hidden="1"/>
    </xf>
  </cellXfs>
  <cellStyles count="2601">
    <cellStyle name="_x0010_“+ˆÉ•?pý¤" xfId="2127" xr:uid="{00000000-0005-0000-0000-000000000000}"/>
    <cellStyle name="_x0010_“+ˆÉ•?pý¤ 2" xfId="2128" xr:uid="{00000000-0005-0000-0000-000001000000}"/>
    <cellStyle name="1" xfId="2129" xr:uid="{00000000-0005-0000-0000-000002000000}"/>
    <cellStyle name="2" xfId="2130" xr:uid="{00000000-0005-0000-0000-000003000000}"/>
    <cellStyle name="20% - Accent1" xfId="20" builtinId="30" customBuiltin="1"/>
    <cellStyle name="20% - Accent1 2" xfId="56" xr:uid="{00000000-0005-0000-0000-000001000000}"/>
    <cellStyle name="20% - Accent1 2 2" xfId="2132" xr:uid="{00000000-0005-0000-0000-000005000000}"/>
    <cellStyle name="20% - Accent1 2 3" xfId="2131" xr:uid="{00000000-0005-0000-0000-000004000000}"/>
    <cellStyle name="20% - Accent1 3" xfId="2133" xr:uid="{00000000-0005-0000-0000-000006000000}"/>
    <cellStyle name="20% - Accent2" xfId="24" builtinId="34" customBuiltin="1"/>
    <cellStyle name="20% - Accent2 2" xfId="57" xr:uid="{00000000-0005-0000-0000-000003000000}"/>
    <cellStyle name="20% - Accent2 2 2" xfId="2135" xr:uid="{00000000-0005-0000-0000-000008000000}"/>
    <cellStyle name="20% - Accent2 2 3" xfId="2134" xr:uid="{00000000-0005-0000-0000-000007000000}"/>
    <cellStyle name="20% - Accent2 3" xfId="2136" xr:uid="{00000000-0005-0000-0000-000009000000}"/>
    <cellStyle name="20% - Accent3" xfId="28" builtinId="38" customBuiltin="1"/>
    <cellStyle name="20% - Accent3 2" xfId="58" xr:uid="{00000000-0005-0000-0000-000005000000}"/>
    <cellStyle name="20% - Accent3 2 2" xfId="2138" xr:uid="{00000000-0005-0000-0000-00000B000000}"/>
    <cellStyle name="20% - Accent3 2 3" xfId="2137" xr:uid="{00000000-0005-0000-0000-00000A000000}"/>
    <cellStyle name="20% - Accent3 3" xfId="2139" xr:uid="{00000000-0005-0000-0000-00000C000000}"/>
    <cellStyle name="20% - Accent4" xfId="32" builtinId="42" customBuiltin="1"/>
    <cellStyle name="20% - Accent4 2" xfId="59" xr:uid="{00000000-0005-0000-0000-000007000000}"/>
    <cellStyle name="20% - Accent4 2 2" xfId="2141" xr:uid="{00000000-0005-0000-0000-00000E000000}"/>
    <cellStyle name="20% - Accent4 2 3" xfId="2140" xr:uid="{00000000-0005-0000-0000-00000D000000}"/>
    <cellStyle name="20% - Accent4 3" xfId="2142" xr:uid="{00000000-0005-0000-0000-00000F000000}"/>
    <cellStyle name="20% - Accent5" xfId="36" builtinId="46" customBuiltin="1"/>
    <cellStyle name="20% - Accent5 2" xfId="60" xr:uid="{00000000-0005-0000-0000-000009000000}"/>
    <cellStyle name="20% - Accent6" xfId="40" builtinId="50" customBuiltin="1"/>
    <cellStyle name="20% - Accent6 2" xfId="61" xr:uid="{00000000-0005-0000-0000-00000B000000}"/>
    <cellStyle name="40% - Accent1" xfId="21" builtinId="31" customBuiltin="1"/>
    <cellStyle name="40% - Accent1 2" xfId="62" xr:uid="{00000000-0005-0000-0000-00000D000000}"/>
    <cellStyle name="40% - Accent2" xfId="25" builtinId="35" customBuiltin="1"/>
    <cellStyle name="40% - Accent2 2" xfId="63" xr:uid="{00000000-0005-0000-0000-00000F000000}"/>
    <cellStyle name="40% - Accent3" xfId="29" builtinId="39" customBuiltin="1"/>
    <cellStyle name="40% - Accent3 2" xfId="64" xr:uid="{00000000-0005-0000-0000-000011000000}"/>
    <cellStyle name="40% - Accent3 2 2" xfId="2144" xr:uid="{00000000-0005-0000-0000-000015000000}"/>
    <cellStyle name="40% - Accent3 2 3" xfId="2143" xr:uid="{00000000-0005-0000-0000-000014000000}"/>
    <cellStyle name="40% - Accent3 3" xfId="2145" xr:uid="{00000000-0005-0000-0000-000016000000}"/>
    <cellStyle name="40% - Accent4" xfId="33" builtinId="43" customBuiltin="1"/>
    <cellStyle name="40% - Accent4 2" xfId="65" xr:uid="{00000000-0005-0000-0000-000013000000}"/>
    <cellStyle name="40% - Accent5" xfId="37" builtinId="47" customBuiltin="1"/>
    <cellStyle name="40% - Accent5 2" xfId="66" xr:uid="{00000000-0005-0000-0000-000015000000}"/>
    <cellStyle name="40% - Accent6" xfId="41" builtinId="51" customBuiltin="1"/>
    <cellStyle name="40% - Accent6 2" xfId="67" xr:uid="{00000000-0005-0000-0000-000017000000}"/>
    <cellStyle name="60% - Accent1" xfId="22" builtinId="32" customBuiltin="1"/>
    <cellStyle name="60% - Accent1 2" xfId="68" xr:uid="{00000000-0005-0000-0000-000019000000}"/>
    <cellStyle name="60% - Accent2" xfId="26" builtinId="36" customBuiltin="1"/>
    <cellStyle name="60% - Accent2 2" xfId="69" xr:uid="{00000000-0005-0000-0000-00001B000000}"/>
    <cellStyle name="60% - Accent3" xfId="30" builtinId="40" customBuiltin="1"/>
    <cellStyle name="60% - Accent3 2" xfId="70" xr:uid="{00000000-0005-0000-0000-00001D000000}"/>
    <cellStyle name="60% - Accent3 2 2" xfId="2147" xr:uid="{00000000-0005-0000-0000-00001D000000}"/>
    <cellStyle name="60% - Accent3 2 3" xfId="2146" xr:uid="{00000000-0005-0000-0000-00001C000000}"/>
    <cellStyle name="60% - Accent3 3" xfId="2148" xr:uid="{00000000-0005-0000-0000-00001E000000}"/>
    <cellStyle name="60% - Accent4" xfId="34" builtinId="44" customBuiltin="1"/>
    <cellStyle name="60% - Accent4 2" xfId="71" xr:uid="{00000000-0005-0000-0000-00001F000000}"/>
    <cellStyle name="60% - Accent4 2 2" xfId="2150" xr:uid="{00000000-0005-0000-0000-000020000000}"/>
    <cellStyle name="60% - Accent4 2 3" xfId="2149" xr:uid="{00000000-0005-0000-0000-00001F000000}"/>
    <cellStyle name="60% - Accent4 3" xfId="2151" xr:uid="{00000000-0005-0000-0000-000021000000}"/>
    <cellStyle name="60% - Accent5" xfId="38" builtinId="48" customBuiltin="1"/>
    <cellStyle name="60% - Accent5 2" xfId="72" xr:uid="{00000000-0005-0000-0000-000021000000}"/>
    <cellStyle name="60% - Accent6" xfId="42" builtinId="52" customBuiltin="1"/>
    <cellStyle name="60% - Accent6 2" xfId="73" xr:uid="{00000000-0005-0000-0000-000023000000}"/>
    <cellStyle name="60% - Accent6 2 2" xfId="2153" xr:uid="{00000000-0005-0000-0000-000024000000}"/>
    <cellStyle name="60% - Accent6 2 3" xfId="2152" xr:uid="{00000000-0005-0000-0000-000023000000}"/>
    <cellStyle name="60% - Accent6 3" xfId="2154" xr:uid="{00000000-0005-0000-0000-000025000000}"/>
    <cellStyle name="Accent1" xfId="19" builtinId="29" customBuiltin="1"/>
    <cellStyle name="Accent1 2" xfId="74" xr:uid="{00000000-0005-0000-0000-000025000000}"/>
    <cellStyle name="Accent2" xfId="23" builtinId="33" customBuiltin="1"/>
    <cellStyle name="Accent2 2" xfId="75" xr:uid="{00000000-0005-0000-0000-000027000000}"/>
    <cellStyle name="Accent3" xfId="27" builtinId="37" customBuiltin="1"/>
    <cellStyle name="Accent3 2" xfId="76" xr:uid="{00000000-0005-0000-0000-000029000000}"/>
    <cellStyle name="Accent4" xfId="31" builtinId="41" customBuiltin="1"/>
    <cellStyle name="Accent4 2" xfId="77" xr:uid="{00000000-0005-0000-0000-00002B000000}"/>
    <cellStyle name="Accent5" xfId="35" builtinId="45" customBuiltin="1"/>
    <cellStyle name="Accent5 2" xfId="78" xr:uid="{00000000-0005-0000-0000-00002D000000}"/>
    <cellStyle name="Accent6" xfId="39" builtinId="49" customBuiltin="1"/>
    <cellStyle name="Accent6 2" xfId="79" xr:uid="{00000000-0005-0000-0000-00002F000000}"/>
    <cellStyle name="Actual Date" xfId="2155" xr:uid="{00000000-0005-0000-0000-00002C000000}"/>
    <cellStyle name="Actual Date 2" xfId="2156" xr:uid="{00000000-0005-0000-0000-00002D000000}"/>
    <cellStyle name="Bad" xfId="8" builtinId="27" customBuiltin="1"/>
    <cellStyle name="Bad 2" xfId="80" xr:uid="{00000000-0005-0000-0000-000031000000}"/>
    <cellStyle name="Calc Currency (0)" xfId="2157" xr:uid="{00000000-0005-0000-0000-00002F000000}"/>
    <cellStyle name="Calc Currency (2)" xfId="2158" xr:uid="{00000000-0005-0000-0000-000030000000}"/>
    <cellStyle name="Calc Percent (0)" xfId="2159" xr:uid="{00000000-0005-0000-0000-000031000000}"/>
    <cellStyle name="Calc Percent (1)" xfId="2160" xr:uid="{00000000-0005-0000-0000-000032000000}"/>
    <cellStyle name="Calc Percent (2)" xfId="2161" xr:uid="{00000000-0005-0000-0000-000033000000}"/>
    <cellStyle name="Calc Units (0)" xfId="2162" xr:uid="{00000000-0005-0000-0000-000034000000}"/>
    <cellStyle name="Calc Units (1)" xfId="2163" xr:uid="{00000000-0005-0000-0000-000035000000}"/>
    <cellStyle name="Calc Units (2)" xfId="2164" xr:uid="{00000000-0005-0000-0000-000036000000}"/>
    <cellStyle name="Calculation" xfId="12" builtinId="22" customBuiltin="1"/>
    <cellStyle name="Calculation 2" xfId="81" xr:uid="{00000000-0005-0000-0000-000033000000}"/>
    <cellStyle name="Calculation 2 2" xfId="2493" xr:uid="{00000000-0005-0000-0000-000038000000}"/>
    <cellStyle name="Calculation 2 2 2" xfId="2546" xr:uid="{00000000-0005-0000-0000-000038000000}"/>
    <cellStyle name="Calculation 2 2 3" xfId="2530" xr:uid="{00000000-0005-0000-0000-000038000000}"/>
    <cellStyle name="Calculation 2 2 4" xfId="2561" xr:uid="{00000000-0005-0000-0000-000038000000}"/>
    <cellStyle name="Calculation 2 2 5" xfId="2569" xr:uid="{00000000-0005-0000-0000-000038000000}"/>
    <cellStyle name="Calculation 2 2 6" xfId="2582" xr:uid="{00000000-0005-0000-0000-000038000000}"/>
    <cellStyle name="Calculation 2 2 7" xfId="2590" xr:uid="{00000000-0005-0000-0000-000038000000}"/>
    <cellStyle name="Calculation 2 3" xfId="2498" xr:uid="{00000000-0005-0000-0000-000039000000}"/>
    <cellStyle name="Calculation 2 3 2" xfId="2551" xr:uid="{00000000-0005-0000-0000-000039000000}"/>
    <cellStyle name="Calculation 2 3 3" xfId="2556" xr:uid="{00000000-0005-0000-0000-000039000000}"/>
    <cellStyle name="Calculation 2 3 4" xfId="2564" xr:uid="{00000000-0005-0000-0000-000039000000}"/>
    <cellStyle name="Calculation 2 3 5" xfId="2574" xr:uid="{00000000-0005-0000-0000-000039000000}"/>
    <cellStyle name="Calculation 2 3 6" xfId="2585" xr:uid="{00000000-0005-0000-0000-000039000000}"/>
    <cellStyle name="Calculation 2 3 7" xfId="2593" xr:uid="{00000000-0005-0000-0000-000039000000}"/>
    <cellStyle name="Calculation 2 4" xfId="2398" xr:uid="{00000000-0005-0000-0000-000037000000}"/>
    <cellStyle name="Calculation 2 5" xfId="2528" xr:uid="{00000000-0005-0000-0000-000037000000}"/>
    <cellStyle name="Calculation 2 6" xfId="2540" xr:uid="{00000000-0005-0000-0000-000037000000}"/>
    <cellStyle name="Calculation 2 7" xfId="2412" xr:uid="{00000000-0005-0000-0000-000037000000}"/>
    <cellStyle name="Calculation 2 8" xfId="2411" xr:uid="{00000000-0005-0000-0000-000037000000}"/>
    <cellStyle name="Calculation 2 9" xfId="2581" xr:uid="{00000000-0005-0000-0000-000033000000}"/>
    <cellStyle name="Check Cell" xfId="14" builtinId="23" customBuiltin="1"/>
    <cellStyle name="Check Cell 2" xfId="82" xr:uid="{00000000-0005-0000-0000-000035000000}"/>
    <cellStyle name="Comma" xfId="1" builtinId="3"/>
    <cellStyle name="Comma [00]" xfId="2165" xr:uid="{00000000-0005-0000-0000-00003B000000}"/>
    <cellStyle name="Comma 10" xfId="2003" xr:uid="{00000000-0005-0000-0000-00003C000000}"/>
    <cellStyle name="Comma 10 2" xfId="2166" xr:uid="{00000000-0005-0000-0000-00003D000000}"/>
    <cellStyle name="Comma 11" xfId="2004" xr:uid="{00000000-0005-0000-0000-00003E000000}"/>
    <cellStyle name="Comma 11 2" xfId="2005" xr:uid="{00000000-0005-0000-0000-00003F000000}"/>
    <cellStyle name="Comma 12" xfId="2006" xr:uid="{00000000-0005-0000-0000-000040000000}"/>
    <cellStyle name="Comma 12 2" xfId="2007" xr:uid="{00000000-0005-0000-0000-000041000000}"/>
    <cellStyle name="Comma 13" xfId="2008" xr:uid="{00000000-0005-0000-0000-000042000000}"/>
    <cellStyle name="Comma 13 2" xfId="2167" xr:uid="{00000000-0005-0000-0000-000043000000}"/>
    <cellStyle name="Comma 13 2 2" xfId="2168" xr:uid="{00000000-0005-0000-0000-000044000000}"/>
    <cellStyle name="Comma 13 3" xfId="2169" xr:uid="{00000000-0005-0000-0000-000045000000}"/>
    <cellStyle name="Comma 14" xfId="2124" xr:uid="{00000000-0005-0000-0000-000046000000}"/>
    <cellStyle name="Comma 14 2" xfId="2170" xr:uid="{00000000-0005-0000-0000-000047000000}"/>
    <cellStyle name="Comma 15 2" xfId="2171" xr:uid="{00000000-0005-0000-0000-000048000000}"/>
    <cellStyle name="Comma 16" xfId="2172" xr:uid="{00000000-0005-0000-0000-000049000000}"/>
    <cellStyle name="Comma 16 2" xfId="2173" xr:uid="{00000000-0005-0000-0000-00004A000000}"/>
    <cellStyle name="Comma 17 2" xfId="2174" xr:uid="{00000000-0005-0000-0000-00004B000000}"/>
    <cellStyle name="Comma 18" xfId="2175" xr:uid="{00000000-0005-0000-0000-00004C000000}"/>
    <cellStyle name="Comma 19" xfId="2176" xr:uid="{00000000-0005-0000-0000-00004D000000}"/>
    <cellStyle name="Comma 2" xfId="45" xr:uid="{00000000-0005-0000-0000-000037000000}"/>
    <cellStyle name="Comma 2 10" xfId="2507" xr:uid="{00000000-0005-0000-0000-000037000000}"/>
    <cellStyle name="Comma 2 106" xfId="2177" xr:uid="{00000000-0005-0000-0000-00004F000000}"/>
    <cellStyle name="Comma 2 2" xfId="46" xr:uid="{00000000-0005-0000-0000-000038000000}"/>
    <cellStyle name="Comma 2 2 2" xfId="2011" xr:uid="{00000000-0005-0000-0000-000051000000}"/>
    <cellStyle name="Comma 2 2 2 2" xfId="2178" xr:uid="{00000000-0005-0000-0000-000052000000}"/>
    <cellStyle name="Comma 2 2 2 3" xfId="2179" xr:uid="{00000000-0005-0000-0000-000053000000}"/>
    <cellStyle name="Comma 2 2 3" xfId="2012" xr:uid="{00000000-0005-0000-0000-000054000000}"/>
    <cellStyle name="Comma 2 2 4" xfId="2180" xr:uid="{00000000-0005-0000-0000-000055000000}"/>
    <cellStyle name="Comma 2 2 5" xfId="2181" xr:uid="{00000000-0005-0000-0000-000056000000}"/>
    <cellStyle name="Comma 2 2 6" xfId="2010" xr:uid="{00000000-0005-0000-0000-000050000000}"/>
    <cellStyle name="Comma 2 2 7" xfId="2514" xr:uid="{00000000-0005-0000-0000-000038000000}"/>
    <cellStyle name="Comma 2 2 8" xfId="2508" xr:uid="{00000000-0005-0000-0000-000038000000}"/>
    <cellStyle name="Comma 2 3" xfId="2013" xr:uid="{00000000-0005-0000-0000-000057000000}"/>
    <cellStyle name="Comma 2 3 2" xfId="2014" xr:uid="{00000000-0005-0000-0000-000058000000}"/>
    <cellStyle name="Comma 2 3 2 2" xfId="2182" xr:uid="{00000000-0005-0000-0000-000059000000}"/>
    <cellStyle name="Comma 2 3 3" xfId="2183" xr:uid="{00000000-0005-0000-0000-00005A000000}"/>
    <cellStyle name="Comma 2 4" xfId="2015" xr:uid="{00000000-0005-0000-0000-00005B000000}"/>
    <cellStyle name="Comma 2 4 2" xfId="2184" xr:uid="{00000000-0005-0000-0000-00005C000000}"/>
    <cellStyle name="Comma 2 4 3" xfId="2185" xr:uid="{00000000-0005-0000-0000-00005D000000}"/>
    <cellStyle name="Comma 2 4 3 2" xfId="2186" xr:uid="{00000000-0005-0000-0000-00005E000000}"/>
    <cellStyle name="Comma 2 4 4" xfId="2187" xr:uid="{00000000-0005-0000-0000-00005F000000}"/>
    <cellStyle name="Comma 2 4 5" xfId="2188" xr:uid="{00000000-0005-0000-0000-000060000000}"/>
    <cellStyle name="Comma 2 4 6" xfId="2189" xr:uid="{00000000-0005-0000-0000-000061000000}"/>
    <cellStyle name="Comma 2 5" xfId="2016" xr:uid="{00000000-0005-0000-0000-000062000000}"/>
    <cellStyle name="Comma 2 5 2" xfId="2190" xr:uid="{00000000-0005-0000-0000-000063000000}"/>
    <cellStyle name="Comma 2 6" xfId="2017" xr:uid="{00000000-0005-0000-0000-000064000000}"/>
    <cellStyle name="Comma 2 7" xfId="2191" xr:uid="{00000000-0005-0000-0000-000065000000}"/>
    <cellStyle name="Comma 2 8" xfId="2009" xr:uid="{00000000-0005-0000-0000-00004E000000}"/>
    <cellStyle name="Comma 2 9" xfId="2513" xr:uid="{00000000-0005-0000-0000-000037000000}"/>
    <cellStyle name="Comma 20" xfId="2192" xr:uid="{00000000-0005-0000-0000-000066000000}"/>
    <cellStyle name="Comma 21" xfId="2193" xr:uid="{00000000-0005-0000-0000-000067000000}"/>
    <cellStyle name="Comma 22" xfId="2194" xr:uid="{00000000-0005-0000-0000-000068000000}"/>
    <cellStyle name="Comma 3" xfId="47" xr:uid="{00000000-0005-0000-0000-000039000000}"/>
    <cellStyle name="Comma 3 10" xfId="2515" xr:uid="{00000000-0005-0000-0000-000039000000}"/>
    <cellStyle name="Comma 3 11" xfId="2509" xr:uid="{00000000-0005-0000-0000-000039000000}"/>
    <cellStyle name="Comma 3 2" xfId="2019" xr:uid="{00000000-0005-0000-0000-00006A000000}"/>
    <cellStyle name="Comma 3 2 10" xfId="2195" xr:uid="{00000000-0005-0000-0000-00006B000000}"/>
    <cellStyle name="Comma 3 2 11" xfId="2196" xr:uid="{00000000-0005-0000-0000-00006C000000}"/>
    <cellStyle name="Comma 3 2 2" xfId="2197" xr:uid="{00000000-0005-0000-0000-00006D000000}"/>
    <cellStyle name="Comma 3 2 2 2" xfId="2198" xr:uid="{00000000-0005-0000-0000-00006E000000}"/>
    <cellStyle name="Comma 3 2 3" xfId="2199" xr:uid="{00000000-0005-0000-0000-00006F000000}"/>
    <cellStyle name="Comma 3 2 4" xfId="2200" xr:uid="{00000000-0005-0000-0000-000070000000}"/>
    <cellStyle name="Comma 3 2 5" xfId="2201" xr:uid="{00000000-0005-0000-0000-000071000000}"/>
    <cellStyle name="Comma 3 2 6" xfId="2202" xr:uid="{00000000-0005-0000-0000-000072000000}"/>
    <cellStyle name="Comma 3 2 6 2" xfId="2203" xr:uid="{00000000-0005-0000-0000-000073000000}"/>
    <cellStyle name="Comma 3 2 7" xfId="2204" xr:uid="{00000000-0005-0000-0000-000074000000}"/>
    <cellStyle name="Comma 3 2 7 2" xfId="2205" xr:uid="{00000000-0005-0000-0000-000075000000}"/>
    <cellStyle name="Comma 3 2 8" xfId="2206" xr:uid="{00000000-0005-0000-0000-000076000000}"/>
    <cellStyle name="Comma 3 2 8 2" xfId="2207" xr:uid="{00000000-0005-0000-0000-000077000000}"/>
    <cellStyle name="Comma 3 2 9" xfId="2208" xr:uid="{00000000-0005-0000-0000-000078000000}"/>
    <cellStyle name="Comma 3 2 9 2" xfId="2209" xr:uid="{00000000-0005-0000-0000-000079000000}"/>
    <cellStyle name="Comma 3 3" xfId="2210" xr:uid="{00000000-0005-0000-0000-00007A000000}"/>
    <cellStyle name="Comma 3 3 2" xfId="2211" xr:uid="{00000000-0005-0000-0000-00007B000000}"/>
    <cellStyle name="Comma 3 3 3" xfId="2212" xr:uid="{00000000-0005-0000-0000-00007C000000}"/>
    <cellStyle name="Comma 3 3 4" xfId="2213" xr:uid="{00000000-0005-0000-0000-00007D000000}"/>
    <cellStyle name="Comma 3 3 5" xfId="2214" xr:uid="{00000000-0005-0000-0000-00007E000000}"/>
    <cellStyle name="Comma 3 3 6" xfId="2215" xr:uid="{00000000-0005-0000-0000-00007F000000}"/>
    <cellStyle name="Comma 3 4" xfId="2216" xr:uid="{00000000-0005-0000-0000-000080000000}"/>
    <cellStyle name="Comma 3 5" xfId="2217" xr:uid="{00000000-0005-0000-0000-000081000000}"/>
    <cellStyle name="Comma 3 6" xfId="2218" xr:uid="{00000000-0005-0000-0000-000082000000}"/>
    <cellStyle name="Comma 3 7" xfId="2219" xr:uid="{00000000-0005-0000-0000-000083000000}"/>
    <cellStyle name="Comma 3 8" xfId="2220" xr:uid="{00000000-0005-0000-0000-000084000000}"/>
    <cellStyle name="Comma 3 9" xfId="2018" xr:uid="{00000000-0005-0000-0000-000069000000}"/>
    <cellStyle name="Comma 4" xfId="48" xr:uid="{00000000-0005-0000-0000-00003A000000}"/>
    <cellStyle name="Comma 4 10" xfId="2020" xr:uid="{00000000-0005-0000-0000-000085000000}"/>
    <cellStyle name="Comma 4 2" xfId="2021" xr:uid="{00000000-0005-0000-0000-000086000000}"/>
    <cellStyle name="Comma 4 2 2" xfId="2022" xr:uid="{00000000-0005-0000-0000-000087000000}"/>
    <cellStyle name="Comma 4 2 2 2" xfId="2023" xr:uid="{00000000-0005-0000-0000-000088000000}"/>
    <cellStyle name="Comma 4 2 3" xfId="2024" xr:uid="{00000000-0005-0000-0000-000089000000}"/>
    <cellStyle name="Comma 4 3" xfId="2025" xr:uid="{00000000-0005-0000-0000-00008A000000}"/>
    <cellStyle name="Comma 4 3 2" xfId="2026" xr:uid="{00000000-0005-0000-0000-00008B000000}"/>
    <cellStyle name="Comma 4 4" xfId="2027" xr:uid="{00000000-0005-0000-0000-00008C000000}"/>
    <cellStyle name="Comma 4 5" xfId="2028" xr:uid="{00000000-0005-0000-0000-00008D000000}"/>
    <cellStyle name="Comma 4 5 2" xfId="2029" xr:uid="{00000000-0005-0000-0000-00008E000000}"/>
    <cellStyle name="Comma 4 6" xfId="2221" xr:uid="{00000000-0005-0000-0000-00008F000000}"/>
    <cellStyle name="Comma 4 7" xfId="2222" xr:uid="{00000000-0005-0000-0000-000090000000}"/>
    <cellStyle name="Comma 4 8" xfId="2223" xr:uid="{00000000-0005-0000-0000-000091000000}"/>
    <cellStyle name="Comma 4 9" xfId="2224" xr:uid="{00000000-0005-0000-0000-000092000000}"/>
    <cellStyle name="Comma 5" xfId="44" xr:uid="{00000000-0005-0000-0000-00003B000000}"/>
    <cellStyle name="Comma 5 2" xfId="2031" xr:uid="{00000000-0005-0000-0000-000094000000}"/>
    <cellStyle name="Comma 5 2 2" xfId="2032" xr:uid="{00000000-0005-0000-0000-000095000000}"/>
    <cellStyle name="Comma 5 2 2 2" xfId="2033" xr:uid="{00000000-0005-0000-0000-000096000000}"/>
    <cellStyle name="Comma 5 2 3" xfId="2034" xr:uid="{00000000-0005-0000-0000-000097000000}"/>
    <cellStyle name="Comma 5 3" xfId="2035" xr:uid="{00000000-0005-0000-0000-000098000000}"/>
    <cellStyle name="Comma 5 3 2" xfId="2036" xr:uid="{00000000-0005-0000-0000-000099000000}"/>
    <cellStyle name="Comma 5 4" xfId="2037" xr:uid="{00000000-0005-0000-0000-00009A000000}"/>
    <cellStyle name="Comma 5 5" xfId="2038" xr:uid="{00000000-0005-0000-0000-00009B000000}"/>
    <cellStyle name="Comma 5 6" xfId="2039" xr:uid="{00000000-0005-0000-0000-00009C000000}"/>
    <cellStyle name="Comma 5 7" xfId="2030" xr:uid="{00000000-0005-0000-0000-000093000000}"/>
    <cellStyle name="Comma 5 8" xfId="2512" xr:uid="{00000000-0005-0000-0000-00003B000000}"/>
    <cellStyle name="Comma 5 9" xfId="2506" xr:uid="{00000000-0005-0000-0000-00003B000000}"/>
    <cellStyle name="Comma 6" xfId="2040" xr:uid="{00000000-0005-0000-0000-00009D000000}"/>
    <cellStyle name="Comma 6 2" xfId="2041" xr:uid="{00000000-0005-0000-0000-00009E000000}"/>
    <cellStyle name="Comma 6 2 2" xfId="2042" xr:uid="{00000000-0005-0000-0000-00009F000000}"/>
    <cellStyle name="Comma 6 3" xfId="2043" xr:uid="{00000000-0005-0000-0000-0000A0000000}"/>
    <cellStyle name="Comma 6 3 2" xfId="2225" xr:uid="{00000000-0005-0000-0000-0000A1000000}"/>
    <cellStyle name="Comma 6 3 3" xfId="2226" xr:uid="{00000000-0005-0000-0000-0000A2000000}"/>
    <cellStyle name="Comma 6 4" xfId="2044" xr:uid="{00000000-0005-0000-0000-0000A3000000}"/>
    <cellStyle name="Comma 7" xfId="2045" xr:uid="{00000000-0005-0000-0000-0000A4000000}"/>
    <cellStyle name="Comma 7 2" xfId="2046" xr:uid="{00000000-0005-0000-0000-0000A5000000}"/>
    <cellStyle name="Comma 7 3" xfId="2227" xr:uid="{00000000-0005-0000-0000-0000A6000000}"/>
    <cellStyle name="Comma 7 4" xfId="2228" xr:uid="{00000000-0005-0000-0000-0000A7000000}"/>
    <cellStyle name="Comma 8" xfId="2047" xr:uid="{00000000-0005-0000-0000-0000A8000000}"/>
    <cellStyle name="Comma 8 2" xfId="2229" xr:uid="{00000000-0005-0000-0000-0000A9000000}"/>
    <cellStyle name="Comma 9" xfId="2002" xr:uid="{00000000-0005-0000-0000-0000AA000000}"/>
    <cellStyle name="Comma 9 2" xfId="2230" xr:uid="{00000000-0005-0000-0000-0000AB000000}"/>
    <cellStyle name="Comma 9 2 2" xfId="2231" xr:uid="{00000000-0005-0000-0000-0000AC000000}"/>
    <cellStyle name="Comma 9 3" xfId="2232" xr:uid="{00000000-0005-0000-0000-0000AD000000}"/>
    <cellStyle name="Comma 9 4" xfId="2233" xr:uid="{00000000-0005-0000-0000-0000AE000000}"/>
    <cellStyle name="Comma0" xfId="2234" xr:uid="{00000000-0005-0000-0000-0000AF000000}"/>
    <cellStyle name="CommaSimple" xfId="2235" xr:uid="{00000000-0005-0000-0000-0000B0000000}"/>
    <cellStyle name="Currency" xfId="2600" builtinId="4"/>
    <cellStyle name="Currency [00]" xfId="2236" xr:uid="{00000000-0005-0000-0000-0000B1000000}"/>
    <cellStyle name="Currency 10" xfId="2237" xr:uid="{00000000-0005-0000-0000-0000B2000000}"/>
    <cellStyle name="Currency 11" xfId="2238" xr:uid="{00000000-0005-0000-0000-0000B3000000}"/>
    <cellStyle name="Currency 11 2" xfId="2239" xr:uid="{00000000-0005-0000-0000-0000B4000000}"/>
    <cellStyle name="Currency 11 2 2" xfId="2240" xr:uid="{00000000-0005-0000-0000-0000B5000000}"/>
    <cellStyle name="Currency 12" xfId="2241" xr:uid="{00000000-0005-0000-0000-0000B6000000}"/>
    <cellStyle name="Currency 13" xfId="2242" xr:uid="{00000000-0005-0000-0000-0000B7000000}"/>
    <cellStyle name="Currency 13 2" xfId="2243" xr:uid="{00000000-0005-0000-0000-0000B8000000}"/>
    <cellStyle name="Currency 14" xfId="2244" xr:uid="{00000000-0005-0000-0000-0000B9000000}"/>
    <cellStyle name="Currency 14 2" xfId="2245" xr:uid="{00000000-0005-0000-0000-0000BA000000}"/>
    <cellStyle name="Currency 15" xfId="2246" xr:uid="{00000000-0005-0000-0000-0000BB000000}"/>
    <cellStyle name="Currency 15 2" xfId="2247" xr:uid="{00000000-0005-0000-0000-0000BC000000}"/>
    <cellStyle name="Currency 16 2" xfId="2248" xr:uid="{00000000-0005-0000-0000-0000BD000000}"/>
    <cellStyle name="Currency 17" xfId="2249" xr:uid="{00000000-0005-0000-0000-0000BE000000}"/>
    <cellStyle name="Currency 17 2" xfId="2250" xr:uid="{00000000-0005-0000-0000-0000BF000000}"/>
    <cellStyle name="Currency 18" xfId="2251" xr:uid="{00000000-0005-0000-0000-0000C0000000}"/>
    <cellStyle name="Currency 19" xfId="2252" xr:uid="{00000000-0005-0000-0000-0000C1000000}"/>
    <cellStyle name="Currency 2" xfId="83" xr:uid="{00000000-0005-0000-0000-00003C000000}"/>
    <cellStyle name="Currency 2 2" xfId="2049" xr:uid="{00000000-0005-0000-0000-0000C3000000}"/>
    <cellStyle name="Currency 2 2 2" xfId="2253" xr:uid="{00000000-0005-0000-0000-0000C4000000}"/>
    <cellStyle name="Currency 2 2 3" xfId="2254" xr:uid="{00000000-0005-0000-0000-0000C5000000}"/>
    <cellStyle name="Currency 2 2 4" xfId="2255" xr:uid="{00000000-0005-0000-0000-0000C6000000}"/>
    <cellStyle name="Currency 2 3" xfId="2050" xr:uid="{00000000-0005-0000-0000-0000C7000000}"/>
    <cellStyle name="Currency 2 3 2" xfId="2256" xr:uid="{00000000-0005-0000-0000-0000C8000000}"/>
    <cellStyle name="Currency 2 3 3" xfId="2257" xr:uid="{00000000-0005-0000-0000-0000C9000000}"/>
    <cellStyle name="Currency 2 4" xfId="2051" xr:uid="{00000000-0005-0000-0000-0000CA000000}"/>
    <cellStyle name="Currency 2 4 2" xfId="2258" xr:uid="{00000000-0005-0000-0000-0000CB000000}"/>
    <cellStyle name="Currency 2 4 3" xfId="2259" xr:uid="{00000000-0005-0000-0000-0000CC000000}"/>
    <cellStyle name="Currency 2 4 3 2" xfId="2260" xr:uid="{00000000-0005-0000-0000-0000CD000000}"/>
    <cellStyle name="Currency 2 4 4" xfId="2261" xr:uid="{00000000-0005-0000-0000-0000CE000000}"/>
    <cellStyle name="Currency 2 5" xfId="2262" xr:uid="{00000000-0005-0000-0000-0000CF000000}"/>
    <cellStyle name="Currency 2 5 2" xfId="2263" xr:uid="{00000000-0005-0000-0000-0000D0000000}"/>
    <cellStyle name="Currency 2 6" xfId="2264" xr:uid="{00000000-0005-0000-0000-0000D1000000}"/>
    <cellStyle name="Currency 2 7" xfId="2265" xr:uid="{00000000-0005-0000-0000-0000D2000000}"/>
    <cellStyle name="Currency 2 8" xfId="2266" xr:uid="{00000000-0005-0000-0000-0000D3000000}"/>
    <cellStyle name="Currency 2 9" xfId="2048" xr:uid="{00000000-0005-0000-0000-0000C2000000}"/>
    <cellStyle name="Currency 20" xfId="2267" xr:uid="{00000000-0005-0000-0000-0000D4000000}"/>
    <cellStyle name="Currency 21" xfId="2268" xr:uid="{00000000-0005-0000-0000-0000D5000000}"/>
    <cellStyle name="Currency 22" xfId="2269" xr:uid="{00000000-0005-0000-0000-0000D6000000}"/>
    <cellStyle name="Currency 24" xfId="2270" xr:uid="{00000000-0005-0000-0000-0000D7000000}"/>
    <cellStyle name="Currency 3" xfId="84" xr:uid="{00000000-0005-0000-0000-00003D000000}"/>
    <cellStyle name="Currency 3 2" xfId="2053" xr:uid="{00000000-0005-0000-0000-0000D9000000}"/>
    <cellStyle name="Currency 3 2 2" xfId="2271" xr:uid="{00000000-0005-0000-0000-0000DA000000}"/>
    <cellStyle name="Currency 3 3" xfId="2054" xr:uid="{00000000-0005-0000-0000-0000DB000000}"/>
    <cellStyle name="Currency 3 4" xfId="2052" xr:uid="{00000000-0005-0000-0000-0000D8000000}"/>
    <cellStyle name="Currency 4" xfId="2055" xr:uid="{00000000-0005-0000-0000-0000DC000000}"/>
    <cellStyle name="Currency 4 2" xfId="2272" xr:uid="{00000000-0005-0000-0000-0000DD000000}"/>
    <cellStyle name="Currency 4 2 10" xfId="2273" xr:uid="{00000000-0005-0000-0000-0000DE000000}"/>
    <cellStyle name="Currency 4 2 10 2" xfId="2274" xr:uid="{00000000-0005-0000-0000-0000DF000000}"/>
    <cellStyle name="Currency 4 2 11" xfId="2275" xr:uid="{00000000-0005-0000-0000-0000E0000000}"/>
    <cellStyle name="Currency 4 2 2" xfId="2276" xr:uid="{00000000-0005-0000-0000-0000E1000000}"/>
    <cellStyle name="Currency 4 2 2 2" xfId="2277" xr:uid="{00000000-0005-0000-0000-0000E2000000}"/>
    <cellStyle name="Currency 4 2 3" xfId="2278" xr:uid="{00000000-0005-0000-0000-0000E3000000}"/>
    <cellStyle name="Currency 4 2 4" xfId="2279" xr:uid="{00000000-0005-0000-0000-0000E4000000}"/>
    <cellStyle name="Currency 4 2 5" xfId="2280" xr:uid="{00000000-0005-0000-0000-0000E5000000}"/>
    <cellStyle name="Currency 4 2 6" xfId="2281" xr:uid="{00000000-0005-0000-0000-0000E6000000}"/>
    <cellStyle name="Currency 4 2 6 2" xfId="2282" xr:uid="{00000000-0005-0000-0000-0000E7000000}"/>
    <cellStyle name="Currency 4 2 7" xfId="2283" xr:uid="{00000000-0005-0000-0000-0000E8000000}"/>
    <cellStyle name="Currency 4 2 7 2" xfId="2284" xr:uid="{00000000-0005-0000-0000-0000E9000000}"/>
    <cellStyle name="Currency 4 2 8" xfId="2285" xr:uid="{00000000-0005-0000-0000-0000EA000000}"/>
    <cellStyle name="Currency 4 2 8 2" xfId="2286" xr:uid="{00000000-0005-0000-0000-0000EB000000}"/>
    <cellStyle name="Currency 4 2 9" xfId="2287" xr:uid="{00000000-0005-0000-0000-0000EC000000}"/>
    <cellStyle name="Currency 4 2 9 2" xfId="2288" xr:uid="{00000000-0005-0000-0000-0000ED000000}"/>
    <cellStyle name="Currency 4 3" xfId="2289" xr:uid="{00000000-0005-0000-0000-0000EE000000}"/>
    <cellStyle name="Currency 4 3 2" xfId="2290" xr:uid="{00000000-0005-0000-0000-0000EF000000}"/>
    <cellStyle name="Currency 4 3 3" xfId="2291" xr:uid="{00000000-0005-0000-0000-0000F0000000}"/>
    <cellStyle name="Currency 4 3 4" xfId="2292" xr:uid="{00000000-0005-0000-0000-0000F1000000}"/>
    <cellStyle name="Currency 4 3 5" xfId="2293" xr:uid="{00000000-0005-0000-0000-0000F2000000}"/>
    <cellStyle name="Currency 4 4" xfId="2294" xr:uid="{00000000-0005-0000-0000-0000F3000000}"/>
    <cellStyle name="Currency 4 5" xfId="2295" xr:uid="{00000000-0005-0000-0000-0000F4000000}"/>
    <cellStyle name="Currency 5" xfId="2056" xr:uid="{00000000-0005-0000-0000-0000F5000000}"/>
    <cellStyle name="Currency 5 2" xfId="2296" xr:uid="{00000000-0005-0000-0000-0000F6000000}"/>
    <cellStyle name="Currency 5 3" xfId="2297" xr:uid="{00000000-0005-0000-0000-0000F7000000}"/>
    <cellStyle name="Currency 5 4" xfId="2298" xr:uid="{00000000-0005-0000-0000-0000F8000000}"/>
    <cellStyle name="Currency 5 5" xfId="2299" xr:uid="{00000000-0005-0000-0000-0000F9000000}"/>
    <cellStyle name="Currency 5 6" xfId="2300" xr:uid="{00000000-0005-0000-0000-0000FA000000}"/>
    <cellStyle name="Currency 6" xfId="2301" xr:uid="{00000000-0005-0000-0000-0000FB000000}"/>
    <cellStyle name="Currency 6 2" xfId="2302" xr:uid="{00000000-0005-0000-0000-0000FC000000}"/>
    <cellStyle name="Currency 6 2 2" xfId="2303" xr:uid="{00000000-0005-0000-0000-0000FD000000}"/>
    <cellStyle name="Currency 7" xfId="2304" xr:uid="{00000000-0005-0000-0000-0000FE000000}"/>
    <cellStyle name="Currency 7 2" xfId="2305" xr:uid="{00000000-0005-0000-0000-0000FF000000}"/>
    <cellStyle name="Currency 8" xfId="2306" xr:uid="{00000000-0005-0000-0000-000000010000}"/>
    <cellStyle name="Currency 8 2" xfId="2307" xr:uid="{00000000-0005-0000-0000-000001010000}"/>
    <cellStyle name="Currency 8 3" xfId="2308" xr:uid="{00000000-0005-0000-0000-000002010000}"/>
    <cellStyle name="Currency 8 4" xfId="2309" xr:uid="{00000000-0005-0000-0000-000003010000}"/>
    <cellStyle name="Currency 8 5" xfId="2310" xr:uid="{00000000-0005-0000-0000-000004010000}"/>
    <cellStyle name="Currency 8 6" xfId="2311" xr:uid="{00000000-0005-0000-0000-000005010000}"/>
    <cellStyle name="Currency 9" xfId="2312" xr:uid="{00000000-0005-0000-0000-000006010000}"/>
    <cellStyle name="Currency 9 2" xfId="2313" xr:uid="{00000000-0005-0000-0000-000007010000}"/>
    <cellStyle name="Currency 9 3" xfId="2314" xr:uid="{00000000-0005-0000-0000-000008010000}"/>
    <cellStyle name="Currency Simple" xfId="2315" xr:uid="{00000000-0005-0000-0000-000009010000}"/>
    <cellStyle name="Date" xfId="2316" xr:uid="{00000000-0005-0000-0000-00000A010000}"/>
    <cellStyle name="Date Short" xfId="2317" xr:uid="{00000000-0005-0000-0000-00000B010000}"/>
    <cellStyle name="DELTA" xfId="2318" xr:uid="{00000000-0005-0000-0000-00000C010000}"/>
    <cellStyle name="Enter Currency (0)" xfId="2319" xr:uid="{00000000-0005-0000-0000-00000D010000}"/>
    <cellStyle name="Enter Currency (2)" xfId="2320" xr:uid="{00000000-0005-0000-0000-00000E010000}"/>
    <cellStyle name="Enter Units (0)" xfId="2321" xr:uid="{00000000-0005-0000-0000-00000F010000}"/>
    <cellStyle name="Enter Units (1)" xfId="2322" xr:uid="{00000000-0005-0000-0000-000010010000}"/>
    <cellStyle name="Enter Units (2)" xfId="2323" xr:uid="{00000000-0005-0000-0000-000011010000}"/>
    <cellStyle name="Explanatory Text" xfId="17" builtinId="53" customBuiltin="1"/>
    <cellStyle name="Explanatory Text 2" xfId="85" xr:uid="{00000000-0005-0000-0000-00003F000000}"/>
    <cellStyle name="Fixed" xfId="2324" xr:uid="{00000000-0005-0000-0000-000013010000}"/>
    <cellStyle name="Good" xfId="7" builtinId="26" customBuiltin="1"/>
    <cellStyle name="Good 2" xfId="86" xr:uid="{00000000-0005-0000-0000-000041000000}"/>
    <cellStyle name="Grey" xfId="2325" xr:uid="{00000000-0005-0000-0000-000015010000}"/>
    <cellStyle name="Grey 2" xfId="2326" xr:uid="{00000000-0005-0000-0000-000016010000}"/>
    <cellStyle name="HEADER" xfId="2327" xr:uid="{00000000-0005-0000-0000-000017010000}"/>
    <cellStyle name="Header1" xfId="2328" xr:uid="{00000000-0005-0000-0000-000018010000}"/>
    <cellStyle name="Header2" xfId="2329" xr:uid="{00000000-0005-0000-0000-000019010000}"/>
    <cellStyle name="Header2 2" xfId="2330" xr:uid="{00000000-0005-0000-0000-00001A010000}"/>
    <cellStyle name="Header2 2 2" xfId="2389" xr:uid="{00000000-0005-0000-0000-00001A010000}"/>
    <cellStyle name="Header2 2 2 2" xfId="2544" xr:uid="{00000000-0005-0000-0000-00001A010000}"/>
    <cellStyle name="Header2 2 2 3" xfId="2539" xr:uid="{00000000-0005-0000-0000-00001A010000}"/>
    <cellStyle name="Header2 2 3" xfId="2523" xr:uid="{00000000-0005-0000-0000-00001A010000}"/>
    <cellStyle name="Header2 2 4" xfId="2520" xr:uid="{00000000-0005-0000-0000-00001A010000}"/>
    <cellStyle name="Header2 2 5" xfId="2387" xr:uid="{00000000-0005-0000-0000-00001A010000}"/>
    <cellStyle name="Header2 2 6" xfId="2518" xr:uid="{00000000-0005-0000-0000-00001A010000}"/>
    <cellStyle name="Header2 2 7" xfId="2525" xr:uid="{00000000-0005-0000-0000-00001A010000}"/>
    <cellStyle name="Header2 3" xfId="2390" xr:uid="{00000000-0005-0000-0000-000019010000}"/>
    <cellStyle name="Header2 3 2" xfId="2395" xr:uid="{00000000-0005-0000-0000-000019010000}"/>
    <cellStyle name="Header2 3 3" xfId="2541" xr:uid="{00000000-0005-0000-0000-000019010000}"/>
    <cellStyle name="Header2 4" xfId="2524" xr:uid="{00000000-0005-0000-0000-000019010000}"/>
    <cellStyle name="Header2 5" xfId="2521" xr:uid="{00000000-0005-0000-0000-000019010000}"/>
    <cellStyle name="Header2 6" xfId="2492" xr:uid="{00000000-0005-0000-0000-000019010000}"/>
    <cellStyle name="Header2 7" xfId="2519" xr:uid="{00000000-0005-0000-0000-000019010000}"/>
    <cellStyle name="Header2 8" xfId="2526" xr:uid="{00000000-0005-0000-0000-000019010000}"/>
    <cellStyle name="Heading 1" xfId="3" builtinId="16" customBuiltin="1"/>
    <cellStyle name="Heading 1 2" xfId="87" xr:uid="{00000000-0005-0000-0000-000043000000}"/>
    <cellStyle name="Heading 2" xfId="4" builtinId="17" customBuiltin="1"/>
    <cellStyle name="Heading 2 2" xfId="88" xr:uid="{00000000-0005-0000-0000-000045000000}"/>
    <cellStyle name="Heading 3" xfId="5" builtinId="18" customBuiltin="1"/>
    <cellStyle name="Heading 3 2" xfId="89" xr:uid="{00000000-0005-0000-0000-000047000000}"/>
    <cellStyle name="Heading 4" xfId="6" builtinId="19" customBuiltin="1"/>
    <cellStyle name="Heading 4 2" xfId="90" xr:uid="{00000000-0005-0000-0000-000049000000}"/>
    <cellStyle name="Heading1" xfId="2331" xr:uid="{00000000-0005-0000-0000-00001F010000}"/>
    <cellStyle name="Heading2" xfId="2332" xr:uid="{00000000-0005-0000-0000-000020010000}"/>
    <cellStyle name="HIGHLIGHT" xfId="2333" xr:uid="{00000000-0005-0000-0000-000021010000}"/>
    <cellStyle name="Hyperlink 2" xfId="2057" xr:uid="{00000000-0005-0000-0000-000022010000}"/>
    <cellStyle name="Hyperlink 3" xfId="2058" xr:uid="{00000000-0005-0000-0000-000023010000}"/>
    <cellStyle name="Hyperlink 4" xfId="2059" xr:uid="{00000000-0005-0000-0000-000024010000}"/>
    <cellStyle name="Hyperlink 5" xfId="2125" xr:uid="{00000000-0005-0000-0000-000025010000}"/>
    <cellStyle name="Input" xfId="10" builtinId="20" customBuiltin="1"/>
    <cellStyle name="Input [yellow]" xfId="2334" xr:uid="{00000000-0005-0000-0000-000026010000}"/>
    <cellStyle name="Input [yellow] 2" xfId="2335" xr:uid="{00000000-0005-0000-0000-000027010000}"/>
    <cellStyle name="Input [yellow] 2 2" xfId="2495" xr:uid="{00000000-0005-0000-0000-000028010000}"/>
    <cellStyle name="Input [yellow] 2 2 2" xfId="2548" xr:uid="{00000000-0005-0000-0000-000028010000}"/>
    <cellStyle name="Input [yellow] 2 2 2 2" xfId="2599" xr:uid="{00000000-0005-0000-0000-000028010000}"/>
    <cellStyle name="Input [yellow] 2 2 3" xfId="2532" xr:uid="{00000000-0005-0000-0000-000028010000}"/>
    <cellStyle name="Input [yellow] 2 2 4" xfId="2571" xr:uid="{00000000-0005-0000-0000-000028010000}"/>
    <cellStyle name="Input [yellow] 2 3" xfId="2545" xr:uid="{00000000-0005-0000-0000-000027010000}"/>
    <cellStyle name="Input [yellow] 2 3 2" xfId="2579" xr:uid="{00000000-0005-0000-0000-000027010000}"/>
    <cellStyle name="Input [yellow] 3" xfId="2494" xr:uid="{00000000-0005-0000-0000-000029010000}"/>
    <cellStyle name="Input [yellow] 3 2" xfId="2547" xr:uid="{00000000-0005-0000-0000-000029010000}"/>
    <cellStyle name="Input [yellow] 3 2 2" xfId="2598" xr:uid="{00000000-0005-0000-0000-000029010000}"/>
    <cellStyle name="Input [yellow] 3 3" xfId="2531" xr:uid="{00000000-0005-0000-0000-000029010000}"/>
    <cellStyle name="Input [yellow] 3 4" xfId="2570" xr:uid="{00000000-0005-0000-0000-000029010000}"/>
    <cellStyle name="Input [yellow] 4" xfId="2527" xr:uid="{00000000-0005-0000-0000-000026010000}"/>
    <cellStyle name="Input [yellow] 4 2" xfId="2542" xr:uid="{00000000-0005-0000-0000-000026010000}"/>
    <cellStyle name="Input 2" xfId="91" xr:uid="{00000000-0005-0000-0000-00004B000000}"/>
    <cellStyle name="Input 2 2" xfId="2496" xr:uid="{00000000-0005-0000-0000-00002B010000}"/>
    <cellStyle name="Input 2 2 2" xfId="2549" xr:uid="{00000000-0005-0000-0000-00002B010000}"/>
    <cellStyle name="Input 2 2 3" xfId="2533" xr:uid="{00000000-0005-0000-0000-00002B010000}"/>
    <cellStyle name="Input 2 2 4" xfId="2562" xr:uid="{00000000-0005-0000-0000-00002B010000}"/>
    <cellStyle name="Input 2 2 5" xfId="2572" xr:uid="{00000000-0005-0000-0000-00002B010000}"/>
    <cellStyle name="Input 2 2 6" xfId="2583" xr:uid="{00000000-0005-0000-0000-00002B010000}"/>
    <cellStyle name="Input 2 2 7" xfId="2591" xr:uid="{00000000-0005-0000-0000-00002B010000}"/>
    <cellStyle name="Input 2 3" xfId="2497" xr:uid="{00000000-0005-0000-0000-00002C010000}"/>
    <cellStyle name="Input 2 3 2" xfId="2550" xr:uid="{00000000-0005-0000-0000-00002C010000}"/>
    <cellStyle name="Input 2 3 3" xfId="2534" xr:uid="{00000000-0005-0000-0000-00002C010000}"/>
    <cellStyle name="Input 2 3 4" xfId="2563" xr:uid="{00000000-0005-0000-0000-00002C010000}"/>
    <cellStyle name="Input 2 3 5" xfId="2573" xr:uid="{00000000-0005-0000-0000-00002C010000}"/>
    <cellStyle name="Input 2 3 6" xfId="2584" xr:uid="{00000000-0005-0000-0000-00002C010000}"/>
    <cellStyle name="Input 2 3 7" xfId="2592" xr:uid="{00000000-0005-0000-0000-00002C010000}"/>
    <cellStyle name="Input 2 4" xfId="2388" xr:uid="{00000000-0005-0000-0000-00002A010000}"/>
    <cellStyle name="Input 2 5" xfId="2522" xr:uid="{00000000-0005-0000-0000-00002A010000}"/>
    <cellStyle name="Input 2 6" xfId="2543" xr:uid="{00000000-0005-0000-0000-00002A010000}"/>
    <cellStyle name="Input 2 7" xfId="2386" xr:uid="{00000000-0005-0000-0000-00002A010000}"/>
    <cellStyle name="Input 2 8" xfId="2529" xr:uid="{00000000-0005-0000-0000-00002A010000}"/>
    <cellStyle name="Input 2 9" xfId="2580" xr:uid="{00000000-0005-0000-0000-00004C000000}"/>
    <cellStyle name="Link Currency (0)" xfId="2336" xr:uid="{00000000-0005-0000-0000-00002D010000}"/>
    <cellStyle name="Link Currency (2)" xfId="2337" xr:uid="{00000000-0005-0000-0000-00002E010000}"/>
    <cellStyle name="Link Units (0)" xfId="2338" xr:uid="{00000000-0005-0000-0000-00002F010000}"/>
    <cellStyle name="Link Units (1)" xfId="2339" xr:uid="{00000000-0005-0000-0000-000030010000}"/>
    <cellStyle name="Link Units (2)" xfId="2340" xr:uid="{00000000-0005-0000-0000-000031010000}"/>
    <cellStyle name="Linked Cell" xfId="13" builtinId="24" customBuiltin="1"/>
    <cellStyle name="Linked Cell 2" xfId="92" xr:uid="{00000000-0005-0000-0000-00004D000000}"/>
    <cellStyle name="Neutral" xfId="9" builtinId="28" customBuiltin="1"/>
    <cellStyle name="Neutral 2" xfId="93" xr:uid="{00000000-0005-0000-0000-00004F000000}"/>
    <cellStyle name="no dec" xfId="2060" xr:uid="{00000000-0005-0000-0000-000034010000}"/>
    <cellStyle name="Normal" xfId="0" builtinId="0"/>
    <cellStyle name="Normal - Style1" xfId="2341" xr:uid="{00000000-0005-0000-0000-000036010000}"/>
    <cellStyle name="Normal 10" xfId="2061" xr:uid="{00000000-0005-0000-0000-000037010000}"/>
    <cellStyle name="Normal 10 2" xfId="1998" xr:uid="{00000000-0005-0000-0000-000038010000}"/>
    <cellStyle name="Normal 10 3" xfId="2342" xr:uid="{00000000-0005-0000-0000-000039010000}"/>
    <cellStyle name="Normal 11" xfId="2062" xr:uid="{00000000-0005-0000-0000-00003A010000}"/>
    <cellStyle name="Normal 11 2" xfId="2343" xr:uid="{00000000-0005-0000-0000-00003B010000}"/>
    <cellStyle name="Normal 12" xfId="2001" xr:uid="{00000000-0005-0000-0000-00003C010000}"/>
    <cellStyle name="Normal 12 2" xfId="2344" xr:uid="{00000000-0005-0000-0000-00003D010000}"/>
    <cellStyle name="Normal 13" xfId="2345" xr:uid="{00000000-0005-0000-0000-00003E010000}"/>
    <cellStyle name="Normal 13 2" xfId="2346" xr:uid="{00000000-0005-0000-0000-00003F010000}"/>
    <cellStyle name="Normal 14" xfId="2347" xr:uid="{00000000-0005-0000-0000-000040010000}"/>
    <cellStyle name="Normal 14 2" xfId="2348" xr:uid="{00000000-0005-0000-0000-000041010000}"/>
    <cellStyle name="Normal 15" xfId="2349" xr:uid="{00000000-0005-0000-0000-000042010000}"/>
    <cellStyle name="Normal 15 2" xfId="2350" xr:uid="{00000000-0005-0000-0000-000043010000}"/>
    <cellStyle name="Normal 15 3" xfId="2351" xr:uid="{00000000-0005-0000-0000-000044010000}"/>
    <cellStyle name="Normal 16" xfId="2352" xr:uid="{00000000-0005-0000-0000-000045010000}"/>
    <cellStyle name="Normal 16 2" xfId="2353" xr:uid="{00000000-0005-0000-0000-000046010000}"/>
    <cellStyle name="Normal 17" xfId="2354" xr:uid="{00000000-0005-0000-0000-000047010000}"/>
    <cellStyle name="Normal 18" xfId="2355" xr:uid="{00000000-0005-0000-0000-000048010000}"/>
    <cellStyle name="Normal 18 2" xfId="2356" xr:uid="{00000000-0005-0000-0000-000049010000}"/>
    <cellStyle name="Normal 19" xfId="2357" xr:uid="{00000000-0005-0000-0000-00004A010000}"/>
    <cellStyle name="Normal 19 2" xfId="2358" xr:uid="{00000000-0005-0000-0000-00004B010000}"/>
    <cellStyle name="Normal 2" xfId="49" xr:uid="{00000000-0005-0000-0000-000051000000}"/>
    <cellStyle name="Normal 2 10" xfId="94" xr:uid="{00000000-0005-0000-0000-000052000000}"/>
    <cellStyle name="Normal 2 10 10" xfId="95" xr:uid="{00000000-0005-0000-0000-000053000000}"/>
    <cellStyle name="Normal 2 10 11" xfId="96" xr:uid="{00000000-0005-0000-0000-000054000000}"/>
    <cellStyle name="Normal 2 10 12" xfId="97" xr:uid="{00000000-0005-0000-0000-000055000000}"/>
    <cellStyle name="Normal 2 10 13" xfId="98" xr:uid="{00000000-0005-0000-0000-000056000000}"/>
    <cellStyle name="Normal 2 10 14" xfId="99" xr:uid="{00000000-0005-0000-0000-000057000000}"/>
    <cellStyle name="Normal 2 10 15" xfId="100" xr:uid="{00000000-0005-0000-0000-000058000000}"/>
    <cellStyle name="Normal 2 10 16" xfId="101" xr:uid="{00000000-0005-0000-0000-000059000000}"/>
    <cellStyle name="Normal 2 10 17" xfId="102" xr:uid="{00000000-0005-0000-0000-00005A000000}"/>
    <cellStyle name="Normal 2 10 18" xfId="103" xr:uid="{00000000-0005-0000-0000-00005B000000}"/>
    <cellStyle name="Normal 2 10 19" xfId="104" xr:uid="{00000000-0005-0000-0000-00005C000000}"/>
    <cellStyle name="Normal 2 10 2" xfId="105" xr:uid="{00000000-0005-0000-0000-00005D000000}"/>
    <cellStyle name="Normal 2 10 20" xfId="106" xr:uid="{00000000-0005-0000-0000-00005E000000}"/>
    <cellStyle name="Normal 2 10 21" xfId="107" xr:uid="{00000000-0005-0000-0000-00005F000000}"/>
    <cellStyle name="Normal 2 10 22" xfId="108" xr:uid="{00000000-0005-0000-0000-000060000000}"/>
    <cellStyle name="Normal 2 10 23" xfId="109" xr:uid="{00000000-0005-0000-0000-000061000000}"/>
    <cellStyle name="Normal 2 10 3" xfId="110" xr:uid="{00000000-0005-0000-0000-000062000000}"/>
    <cellStyle name="Normal 2 10 4" xfId="111" xr:uid="{00000000-0005-0000-0000-000063000000}"/>
    <cellStyle name="Normal 2 10 5" xfId="112" xr:uid="{00000000-0005-0000-0000-000064000000}"/>
    <cellStyle name="Normal 2 10 6" xfId="113" xr:uid="{00000000-0005-0000-0000-000065000000}"/>
    <cellStyle name="Normal 2 10 7" xfId="114" xr:uid="{00000000-0005-0000-0000-000066000000}"/>
    <cellStyle name="Normal 2 10 8" xfId="115" xr:uid="{00000000-0005-0000-0000-000067000000}"/>
    <cellStyle name="Normal 2 10 9" xfId="116" xr:uid="{00000000-0005-0000-0000-000068000000}"/>
    <cellStyle name="Normal 2 11" xfId="117" xr:uid="{00000000-0005-0000-0000-000069000000}"/>
    <cellStyle name="Normal 2 11 10" xfId="118" xr:uid="{00000000-0005-0000-0000-00006A000000}"/>
    <cellStyle name="Normal 2 11 11" xfId="119" xr:uid="{00000000-0005-0000-0000-00006B000000}"/>
    <cellStyle name="Normal 2 11 12" xfId="120" xr:uid="{00000000-0005-0000-0000-00006C000000}"/>
    <cellStyle name="Normal 2 11 13" xfId="121" xr:uid="{00000000-0005-0000-0000-00006D000000}"/>
    <cellStyle name="Normal 2 11 14" xfId="122" xr:uid="{00000000-0005-0000-0000-00006E000000}"/>
    <cellStyle name="Normal 2 11 15" xfId="123" xr:uid="{00000000-0005-0000-0000-00006F000000}"/>
    <cellStyle name="Normal 2 11 16" xfId="124" xr:uid="{00000000-0005-0000-0000-000070000000}"/>
    <cellStyle name="Normal 2 11 17" xfId="125" xr:uid="{00000000-0005-0000-0000-000071000000}"/>
    <cellStyle name="Normal 2 11 18" xfId="126" xr:uid="{00000000-0005-0000-0000-000072000000}"/>
    <cellStyle name="Normal 2 11 19" xfId="127" xr:uid="{00000000-0005-0000-0000-000073000000}"/>
    <cellStyle name="Normal 2 11 2" xfId="128" xr:uid="{00000000-0005-0000-0000-000074000000}"/>
    <cellStyle name="Normal 2 11 20" xfId="129" xr:uid="{00000000-0005-0000-0000-000075000000}"/>
    <cellStyle name="Normal 2 11 21" xfId="130" xr:uid="{00000000-0005-0000-0000-000076000000}"/>
    <cellStyle name="Normal 2 11 22" xfId="131" xr:uid="{00000000-0005-0000-0000-000077000000}"/>
    <cellStyle name="Normal 2 11 23" xfId="132" xr:uid="{00000000-0005-0000-0000-000078000000}"/>
    <cellStyle name="Normal 2 11 3" xfId="133" xr:uid="{00000000-0005-0000-0000-000079000000}"/>
    <cellStyle name="Normal 2 11 4" xfId="134" xr:uid="{00000000-0005-0000-0000-00007A000000}"/>
    <cellStyle name="Normal 2 11 5" xfId="135" xr:uid="{00000000-0005-0000-0000-00007B000000}"/>
    <cellStyle name="Normal 2 11 6" xfId="136" xr:uid="{00000000-0005-0000-0000-00007C000000}"/>
    <cellStyle name="Normal 2 11 7" xfId="137" xr:uid="{00000000-0005-0000-0000-00007D000000}"/>
    <cellStyle name="Normal 2 11 8" xfId="138" xr:uid="{00000000-0005-0000-0000-00007E000000}"/>
    <cellStyle name="Normal 2 11 9" xfId="139" xr:uid="{00000000-0005-0000-0000-00007F000000}"/>
    <cellStyle name="Normal 2 12" xfId="140" xr:uid="{00000000-0005-0000-0000-000080000000}"/>
    <cellStyle name="Normal 2 12 10" xfId="141" xr:uid="{00000000-0005-0000-0000-000081000000}"/>
    <cellStyle name="Normal 2 12 11" xfId="142" xr:uid="{00000000-0005-0000-0000-000082000000}"/>
    <cellStyle name="Normal 2 12 12" xfId="143" xr:uid="{00000000-0005-0000-0000-000083000000}"/>
    <cellStyle name="Normal 2 12 13" xfId="144" xr:uid="{00000000-0005-0000-0000-000084000000}"/>
    <cellStyle name="Normal 2 12 14" xfId="145" xr:uid="{00000000-0005-0000-0000-000085000000}"/>
    <cellStyle name="Normal 2 12 15" xfId="146" xr:uid="{00000000-0005-0000-0000-000086000000}"/>
    <cellStyle name="Normal 2 12 16" xfId="147" xr:uid="{00000000-0005-0000-0000-000087000000}"/>
    <cellStyle name="Normal 2 12 17" xfId="148" xr:uid="{00000000-0005-0000-0000-000088000000}"/>
    <cellStyle name="Normal 2 12 18" xfId="149" xr:uid="{00000000-0005-0000-0000-000089000000}"/>
    <cellStyle name="Normal 2 12 19" xfId="150" xr:uid="{00000000-0005-0000-0000-00008A000000}"/>
    <cellStyle name="Normal 2 12 2" xfId="151" xr:uid="{00000000-0005-0000-0000-00008B000000}"/>
    <cellStyle name="Normal 2 12 20" xfId="152" xr:uid="{00000000-0005-0000-0000-00008C000000}"/>
    <cellStyle name="Normal 2 12 21" xfId="153" xr:uid="{00000000-0005-0000-0000-00008D000000}"/>
    <cellStyle name="Normal 2 12 22" xfId="154" xr:uid="{00000000-0005-0000-0000-00008E000000}"/>
    <cellStyle name="Normal 2 12 23" xfId="155" xr:uid="{00000000-0005-0000-0000-00008F000000}"/>
    <cellStyle name="Normal 2 12 3" xfId="156" xr:uid="{00000000-0005-0000-0000-000090000000}"/>
    <cellStyle name="Normal 2 12 4" xfId="157" xr:uid="{00000000-0005-0000-0000-000091000000}"/>
    <cellStyle name="Normal 2 12 5" xfId="158" xr:uid="{00000000-0005-0000-0000-000092000000}"/>
    <cellStyle name="Normal 2 12 6" xfId="159" xr:uid="{00000000-0005-0000-0000-000093000000}"/>
    <cellStyle name="Normal 2 12 7" xfId="160" xr:uid="{00000000-0005-0000-0000-000094000000}"/>
    <cellStyle name="Normal 2 12 8" xfId="161" xr:uid="{00000000-0005-0000-0000-000095000000}"/>
    <cellStyle name="Normal 2 12 9" xfId="162" xr:uid="{00000000-0005-0000-0000-000096000000}"/>
    <cellStyle name="Normal 2 13" xfId="163" xr:uid="{00000000-0005-0000-0000-000097000000}"/>
    <cellStyle name="Normal 2 13 10" xfId="164" xr:uid="{00000000-0005-0000-0000-000098000000}"/>
    <cellStyle name="Normal 2 13 11" xfId="165" xr:uid="{00000000-0005-0000-0000-000099000000}"/>
    <cellStyle name="Normal 2 13 12" xfId="166" xr:uid="{00000000-0005-0000-0000-00009A000000}"/>
    <cellStyle name="Normal 2 13 13" xfId="167" xr:uid="{00000000-0005-0000-0000-00009B000000}"/>
    <cellStyle name="Normal 2 13 14" xfId="168" xr:uid="{00000000-0005-0000-0000-00009C000000}"/>
    <cellStyle name="Normal 2 13 15" xfId="169" xr:uid="{00000000-0005-0000-0000-00009D000000}"/>
    <cellStyle name="Normal 2 13 16" xfId="170" xr:uid="{00000000-0005-0000-0000-00009E000000}"/>
    <cellStyle name="Normal 2 13 17" xfId="171" xr:uid="{00000000-0005-0000-0000-00009F000000}"/>
    <cellStyle name="Normal 2 13 18" xfId="172" xr:uid="{00000000-0005-0000-0000-0000A0000000}"/>
    <cellStyle name="Normal 2 13 19" xfId="173" xr:uid="{00000000-0005-0000-0000-0000A1000000}"/>
    <cellStyle name="Normal 2 13 2" xfId="174" xr:uid="{00000000-0005-0000-0000-0000A2000000}"/>
    <cellStyle name="Normal 2 13 20" xfId="175" xr:uid="{00000000-0005-0000-0000-0000A3000000}"/>
    <cellStyle name="Normal 2 13 21" xfId="176" xr:uid="{00000000-0005-0000-0000-0000A4000000}"/>
    <cellStyle name="Normal 2 13 22" xfId="177" xr:uid="{00000000-0005-0000-0000-0000A5000000}"/>
    <cellStyle name="Normal 2 13 23" xfId="178" xr:uid="{00000000-0005-0000-0000-0000A6000000}"/>
    <cellStyle name="Normal 2 13 3" xfId="179" xr:uid="{00000000-0005-0000-0000-0000A7000000}"/>
    <cellStyle name="Normal 2 13 4" xfId="180" xr:uid="{00000000-0005-0000-0000-0000A8000000}"/>
    <cellStyle name="Normal 2 13 5" xfId="181" xr:uid="{00000000-0005-0000-0000-0000A9000000}"/>
    <cellStyle name="Normal 2 13 6" xfId="182" xr:uid="{00000000-0005-0000-0000-0000AA000000}"/>
    <cellStyle name="Normal 2 13 7" xfId="183" xr:uid="{00000000-0005-0000-0000-0000AB000000}"/>
    <cellStyle name="Normal 2 13 8" xfId="184" xr:uid="{00000000-0005-0000-0000-0000AC000000}"/>
    <cellStyle name="Normal 2 13 9" xfId="185" xr:uid="{00000000-0005-0000-0000-0000AD000000}"/>
    <cellStyle name="Normal 2 14" xfId="186" xr:uid="{00000000-0005-0000-0000-0000AE000000}"/>
    <cellStyle name="Normal 2 14 10" xfId="187" xr:uid="{00000000-0005-0000-0000-0000AF000000}"/>
    <cellStyle name="Normal 2 14 11" xfId="188" xr:uid="{00000000-0005-0000-0000-0000B0000000}"/>
    <cellStyle name="Normal 2 14 12" xfId="189" xr:uid="{00000000-0005-0000-0000-0000B1000000}"/>
    <cellStyle name="Normal 2 14 13" xfId="190" xr:uid="{00000000-0005-0000-0000-0000B2000000}"/>
    <cellStyle name="Normal 2 14 14" xfId="191" xr:uid="{00000000-0005-0000-0000-0000B3000000}"/>
    <cellStyle name="Normal 2 14 15" xfId="192" xr:uid="{00000000-0005-0000-0000-0000B4000000}"/>
    <cellStyle name="Normal 2 14 16" xfId="193" xr:uid="{00000000-0005-0000-0000-0000B5000000}"/>
    <cellStyle name="Normal 2 14 17" xfId="194" xr:uid="{00000000-0005-0000-0000-0000B6000000}"/>
    <cellStyle name="Normal 2 14 18" xfId="195" xr:uid="{00000000-0005-0000-0000-0000B7000000}"/>
    <cellStyle name="Normal 2 14 19" xfId="196" xr:uid="{00000000-0005-0000-0000-0000B8000000}"/>
    <cellStyle name="Normal 2 14 2" xfId="197" xr:uid="{00000000-0005-0000-0000-0000B9000000}"/>
    <cellStyle name="Normal 2 14 20" xfId="198" xr:uid="{00000000-0005-0000-0000-0000BA000000}"/>
    <cellStyle name="Normal 2 14 21" xfId="199" xr:uid="{00000000-0005-0000-0000-0000BB000000}"/>
    <cellStyle name="Normal 2 14 22" xfId="200" xr:uid="{00000000-0005-0000-0000-0000BC000000}"/>
    <cellStyle name="Normal 2 14 23" xfId="201" xr:uid="{00000000-0005-0000-0000-0000BD000000}"/>
    <cellStyle name="Normal 2 14 3" xfId="202" xr:uid="{00000000-0005-0000-0000-0000BE000000}"/>
    <cellStyle name="Normal 2 14 4" xfId="203" xr:uid="{00000000-0005-0000-0000-0000BF000000}"/>
    <cellStyle name="Normal 2 14 5" xfId="204" xr:uid="{00000000-0005-0000-0000-0000C0000000}"/>
    <cellStyle name="Normal 2 14 6" xfId="205" xr:uid="{00000000-0005-0000-0000-0000C1000000}"/>
    <cellStyle name="Normal 2 14 7" xfId="206" xr:uid="{00000000-0005-0000-0000-0000C2000000}"/>
    <cellStyle name="Normal 2 14 8" xfId="207" xr:uid="{00000000-0005-0000-0000-0000C3000000}"/>
    <cellStyle name="Normal 2 14 9" xfId="208" xr:uid="{00000000-0005-0000-0000-0000C4000000}"/>
    <cellStyle name="Normal 2 15" xfId="209" xr:uid="{00000000-0005-0000-0000-0000C5000000}"/>
    <cellStyle name="Normal 2 15 10" xfId="210" xr:uid="{00000000-0005-0000-0000-0000C6000000}"/>
    <cellStyle name="Normal 2 15 11" xfId="211" xr:uid="{00000000-0005-0000-0000-0000C7000000}"/>
    <cellStyle name="Normal 2 15 12" xfId="212" xr:uid="{00000000-0005-0000-0000-0000C8000000}"/>
    <cellStyle name="Normal 2 15 13" xfId="213" xr:uid="{00000000-0005-0000-0000-0000C9000000}"/>
    <cellStyle name="Normal 2 15 14" xfId="214" xr:uid="{00000000-0005-0000-0000-0000CA000000}"/>
    <cellStyle name="Normal 2 15 15" xfId="215" xr:uid="{00000000-0005-0000-0000-0000CB000000}"/>
    <cellStyle name="Normal 2 15 16" xfId="216" xr:uid="{00000000-0005-0000-0000-0000CC000000}"/>
    <cellStyle name="Normal 2 15 17" xfId="217" xr:uid="{00000000-0005-0000-0000-0000CD000000}"/>
    <cellStyle name="Normal 2 15 18" xfId="218" xr:uid="{00000000-0005-0000-0000-0000CE000000}"/>
    <cellStyle name="Normal 2 15 19" xfId="219" xr:uid="{00000000-0005-0000-0000-0000CF000000}"/>
    <cellStyle name="Normal 2 15 2" xfId="220" xr:uid="{00000000-0005-0000-0000-0000D0000000}"/>
    <cellStyle name="Normal 2 15 20" xfId="221" xr:uid="{00000000-0005-0000-0000-0000D1000000}"/>
    <cellStyle name="Normal 2 15 21" xfId="222" xr:uid="{00000000-0005-0000-0000-0000D2000000}"/>
    <cellStyle name="Normal 2 15 22" xfId="223" xr:uid="{00000000-0005-0000-0000-0000D3000000}"/>
    <cellStyle name="Normal 2 15 23" xfId="224" xr:uid="{00000000-0005-0000-0000-0000D4000000}"/>
    <cellStyle name="Normal 2 15 3" xfId="225" xr:uid="{00000000-0005-0000-0000-0000D5000000}"/>
    <cellStyle name="Normal 2 15 4" xfId="226" xr:uid="{00000000-0005-0000-0000-0000D6000000}"/>
    <cellStyle name="Normal 2 15 5" xfId="227" xr:uid="{00000000-0005-0000-0000-0000D7000000}"/>
    <cellStyle name="Normal 2 15 6" xfId="228" xr:uid="{00000000-0005-0000-0000-0000D8000000}"/>
    <cellStyle name="Normal 2 15 7" xfId="229" xr:uid="{00000000-0005-0000-0000-0000D9000000}"/>
    <cellStyle name="Normal 2 15 8" xfId="230" xr:uid="{00000000-0005-0000-0000-0000DA000000}"/>
    <cellStyle name="Normal 2 15 9" xfId="231" xr:uid="{00000000-0005-0000-0000-0000DB000000}"/>
    <cellStyle name="Normal 2 16" xfId="232" xr:uid="{00000000-0005-0000-0000-0000DC000000}"/>
    <cellStyle name="Normal 2 16 10" xfId="233" xr:uid="{00000000-0005-0000-0000-0000DD000000}"/>
    <cellStyle name="Normal 2 16 11" xfId="234" xr:uid="{00000000-0005-0000-0000-0000DE000000}"/>
    <cellStyle name="Normal 2 16 12" xfId="235" xr:uid="{00000000-0005-0000-0000-0000DF000000}"/>
    <cellStyle name="Normal 2 16 13" xfId="236" xr:uid="{00000000-0005-0000-0000-0000E0000000}"/>
    <cellStyle name="Normal 2 16 14" xfId="237" xr:uid="{00000000-0005-0000-0000-0000E1000000}"/>
    <cellStyle name="Normal 2 16 15" xfId="238" xr:uid="{00000000-0005-0000-0000-0000E2000000}"/>
    <cellStyle name="Normal 2 16 16" xfId="239" xr:uid="{00000000-0005-0000-0000-0000E3000000}"/>
    <cellStyle name="Normal 2 16 17" xfId="240" xr:uid="{00000000-0005-0000-0000-0000E4000000}"/>
    <cellStyle name="Normal 2 16 18" xfId="241" xr:uid="{00000000-0005-0000-0000-0000E5000000}"/>
    <cellStyle name="Normal 2 16 19" xfId="242" xr:uid="{00000000-0005-0000-0000-0000E6000000}"/>
    <cellStyle name="Normal 2 16 2" xfId="243" xr:uid="{00000000-0005-0000-0000-0000E7000000}"/>
    <cellStyle name="Normal 2 16 20" xfId="244" xr:uid="{00000000-0005-0000-0000-0000E8000000}"/>
    <cellStyle name="Normal 2 16 21" xfId="245" xr:uid="{00000000-0005-0000-0000-0000E9000000}"/>
    <cellStyle name="Normal 2 16 22" xfId="246" xr:uid="{00000000-0005-0000-0000-0000EA000000}"/>
    <cellStyle name="Normal 2 16 23" xfId="247" xr:uid="{00000000-0005-0000-0000-0000EB000000}"/>
    <cellStyle name="Normal 2 16 3" xfId="248" xr:uid="{00000000-0005-0000-0000-0000EC000000}"/>
    <cellStyle name="Normal 2 16 4" xfId="249" xr:uid="{00000000-0005-0000-0000-0000ED000000}"/>
    <cellStyle name="Normal 2 16 5" xfId="250" xr:uid="{00000000-0005-0000-0000-0000EE000000}"/>
    <cellStyle name="Normal 2 16 6" xfId="251" xr:uid="{00000000-0005-0000-0000-0000EF000000}"/>
    <cellStyle name="Normal 2 16 7" xfId="252" xr:uid="{00000000-0005-0000-0000-0000F0000000}"/>
    <cellStyle name="Normal 2 16 8" xfId="253" xr:uid="{00000000-0005-0000-0000-0000F1000000}"/>
    <cellStyle name="Normal 2 16 9" xfId="254" xr:uid="{00000000-0005-0000-0000-0000F2000000}"/>
    <cellStyle name="Normal 2 17" xfId="255" xr:uid="{00000000-0005-0000-0000-0000F3000000}"/>
    <cellStyle name="Normal 2 17 10" xfId="256" xr:uid="{00000000-0005-0000-0000-0000F4000000}"/>
    <cellStyle name="Normal 2 17 11" xfId="257" xr:uid="{00000000-0005-0000-0000-0000F5000000}"/>
    <cellStyle name="Normal 2 17 12" xfId="258" xr:uid="{00000000-0005-0000-0000-0000F6000000}"/>
    <cellStyle name="Normal 2 17 13" xfId="259" xr:uid="{00000000-0005-0000-0000-0000F7000000}"/>
    <cellStyle name="Normal 2 17 14" xfId="260" xr:uid="{00000000-0005-0000-0000-0000F8000000}"/>
    <cellStyle name="Normal 2 17 15" xfId="261" xr:uid="{00000000-0005-0000-0000-0000F9000000}"/>
    <cellStyle name="Normal 2 17 16" xfId="262" xr:uid="{00000000-0005-0000-0000-0000FA000000}"/>
    <cellStyle name="Normal 2 17 17" xfId="263" xr:uid="{00000000-0005-0000-0000-0000FB000000}"/>
    <cellStyle name="Normal 2 17 18" xfId="264" xr:uid="{00000000-0005-0000-0000-0000FC000000}"/>
    <cellStyle name="Normal 2 17 19" xfId="265" xr:uid="{00000000-0005-0000-0000-0000FD000000}"/>
    <cellStyle name="Normal 2 17 2" xfId="266" xr:uid="{00000000-0005-0000-0000-0000FE000000}"/>
    <cellStyle name="Normal 2 17 20" xfId="267" xr:uid="{00000000-0005-0000-0000-0000FF000000}"/>
    <cellStyle name="Normal 2 17 21" xfId="268" xr:uid="{00000000-0005-0000-0000-000000010000}"/>
    <cellStyle name="Normal 2 17 22" xfId="269" xr:uid="{00000000-0005-0000-0000-000001010000}"/>
    <cellStyle name="Normal 2 17 23" xfId="270" xr:uid="{00000000-0005-0000-0000-000002010000}"/>
    <cellStyle name="Normal 2 17 3" xfId="271" xr:uid="{00000000-0005-0000-0000-000003010000}"/>
    <cellStyle name="Normal 2 17 4" xfId="272" xr:uid="{00000000-0005-0000-0000-000004010000}"/>
    <cellStyle name="Normal 2 17 5" xfId="273" xr:uid="{00000000-0005-0000-0000-000005010000}"/>
    <cellStyle name="Normal 2 17 6" xfId="274" xr:uid="{00000000-0005-0000-0000-000006010000}"/>
    <cellStyle name="Normal 2 17 7" xfId="275" xr:uid="{00000000-0005-0000-0000-000007010000}"/>
    <cellStyle name="Normal 2 17 8" xfId="276" xr:uid="{00000000-0005-0000-0000-000008010000}"/>
    <cellStyle name="Normal 2 17 9" xfId="277" xr:uid="{00000000-0005-0000-0000-000009010000}"/>
    <cellStyle name="Normal 2 18" xfId="278" xr:uid="{00000000-0005-0000-0000-00000A010000}"/>
    <cellStyle name="Normal 2 18 10" xfId="279" xr:uid="{00000000-0005-0000-0000-00000B010000}"/>
    <cellStyle name="Normal 2 18 11" xfId="280" xr:uid="{00000000-0005-0000-0000-00000C010000}"/>
    <cellStyle name="Normal 2 18 12" xfId="281" xr:uid="{00000000-0005-0000-0000-00000D010000}"/>
    <cellStyle name="Normal 2 18 13" xfId="282" xr:uid="{00000000-0005-0000-0000-00000E010000}"/>
    <cellStyle name="Normal 2 18 14" xfId="283" xr:uid="{00000000-0005-0000-0000-00000F010000}"/>
    <cellStyle name="Normal 2 18 15" xfId="284" xr:uid="{00000000-0005-0000-0000-000010010000}"/>
    <cellStyle name="Normal 2 18 16" xfId="285" xr:uid="{00000000-0005-0000-0000-000011010000}"/>
    <cellStyle name="Normal 2 18 17" xfId="286" xr:uid="{00000000-0005-0000-0000-000012010000}"/>
    <cellStyle name="Normal 2 18 18" xfId="287" xr:uid="{00000000-0005-0000-0000-000013010000}"/>
    <cellStyle name="Normal 2 18 19" xfId="288" xr:uid="{00000000-0005-0000-0000-000014010000}"/>
    <cellStyle name="Normal 2 18 2" xfId="289" xr:uid="{00000000-0005-0000-0000-000015010000}"/>
    <cellStyle name="Normal 2 18 20" xfId="290" xr:uid="{00000000-0005-0000-0000-000016010000}"/>
    <cellStyle name="Normal 2 18 21" xfId="291" xr:uid="{00000000-0005-0000-0000-000017010000}"/>
    <cellStyle name="Normal 2 18 22" xfId="292" xr:uid="{00000000-0005-0000-0000-000018010000}"/>
    <cellStyle name="Normal 2 18 23" xfId="293" xr:uid="{00000000-0005-0000-0000-000019010000}"/>
    <cellStyle name="Normal 2 18 3" xfId="294" xr:uid="{00000000-0005-0000-0000-00001A010000}"/>
    <cellStyle name="Normal 2 18 4" xfId="295" xr:uid="{00000000-0005-0000-0000-00001B010000}"/>
    <cellStyle name="Normal 2 18 5" xfId="296" xr:uid="{00000000-0005-0000-0000-00001C010000}"/>
    <cellStyle name="Normal 2 18 6" xfId="297" xr:uid="{00000000-0005-0000-0000-00001D010000}"/>
    <cellStyle name="Normal 2 18 7" xfId="298" xr:uid="{00000000-0005-0000-0000-00001E010000}"/>
    <cellStyle name="Normal 2 18 8" xfId="299" xr:uid="{00000000-0005-0000-0000-00001F010000}"/>
    <cellStyle name="Normal 2 18 9" xfId="300" xr:uid="{00000000-0005-0000-0000-000020010000}"/>
    <cellStyle name="Normal 2 19" xfId="301" xr:uid="{00000000-0005-0000-0000-000021010000}"/>
    <cellStyle name="Normal 2 19 10" xfId="302" xr:uid="{00000000-0005-0000-0000-000022010000}"/>
    <cellStyle name="Normal 2 19 11" xfId="303" xr:uid="{00000000-0005-0000-0000-000023010000}"/>
    <cellStyle name="Normal 2 19 12" xfId="304" xr:uid="{00000000-0005-0000-0000-000024010000}"/>
    <cellStyle name="Normal 2 19 13" xfId="305" xr:uid="{00000000-0005-0000-0000-000025010000}"/>
    <cellStyle name="Normal 2 19 14" xfId="306" xr:uid="{00000000-0005-0000-0000-000026010000}"/>
    <cellStyle name="Normal 2 19 15" xfId="307" xr:uid="{00000000-0005-0000-0000-000027010000}"/>
    <cellStyle name="Normal 2 19 16" xfId="308" xr:uid="{00000000-0005-0000-0000-000028010000}"/>
    <cellStyle name="Normal 2 19 17" xfId="309" xr:uid="{00000000-0005-0000-0000-000029010000}"/>
    <cellStyle name="Normal 2 19 18" xfId="310" xr:uid="{00000000-0005-0000-0000-00002A010000}"/>
    <cellStyle name="Normal 2 19 19" xfId="311" xr:uid="{00000000-0005-0000-0000-00002B010000}"/>
    <cellStyle name="Normal 2 19 2" xfId="312" xr:uid="{00000000-0005-0000-0000-00002C010000}"/>
    <cellStyle name="Normal 2 19 20" xfId="313" xr:uid="{00000000-0005-0000-0000-00002D010000}"/>
    <cellStyle name="Normal 2 19 21" xfId="314" xr:uid="{00000000-0005-0000-0000-00002E010000}"/>
    <cellStyle name="Normal 2 19 22" xfId="315" xr:uid="{00000000-0005-0000-0000-00002F010000}"/>
    <cellStyle name="Normal 2 19 23" xfId="316" xr:uid="{00000000-0005-0000-0000-000030010000}"/>
    <cellStyle name="Normal 2 19 3" xfId="317" xr:uid="{00000000-0005-0000-0000-000031010000}"/>
    <cellStyle name="Normal 2 19 4" xfId="318" xr:uid="{00000000-0005-0000-0000-000032010000}"/>
    <cellStyle name="Normal 2 19 5" xfId="319" xr:uid="{00000000-0005-0000-0000-000033010000}"/>
    <cellStyle name="Normal 2 19 6" xfId="320" xr:uid="{00000000-0005-0000-0000-000034010000}"/>
    <cellStyle name="Normal 2 19 7" xfId="321" xr:uid="{00000000-0005-0000-0000-000035010000}"/>
    <cellStyle name="Normal 2 19 8" xfId="322" xr:uid="{00000000-0005-0000-0000-000036010000}"/>
    <cellStyle name="Normal 2 19 9" xfId="323" xr:uid="{00000000-0005-0000-0000-000037010000}"/>
    <cellStyle name="Normal 2 2" xfId="50" xr:uid="{00000000-0005-0000-0000-000038010000}"/>
    <cellStyle name="Normal 2 2 2" xfId="324" xr:uid="{00000000-0005-0000-0000-000039010000}"/>
    <cellStyle name="Normal 2 2 2 2" xfId="2359" xr:uid="{00000000-0005-0000-0000-000035020000}"/>
    <cellStyle name="Normal 2 2 2 3" xfId="2360" xr:uid="{00000000-0005-0000-0000-000036020000}"/>
    <cellStyle name="Normal 2 2 2 4" xfId="2361" xr:uid="{00000000-0005-0000-0000-000037020000}"/>
    <cellStyle name="Normal 2 2 3" xfId="2362" xr:uid="{00000000-0005-0000-0000-000038020000}"/>
    <cellStyle name="Normal 2 2 4" xfId="2363" xr:uid="{00000000-0005-0000-0000-000039020000}"/>
    <cellStyle name="Normal 2 2 5" xfId="2064" xr:uid="{00000000-0005-0000-0000-000033020000}"/>
    <cellStyle name="Normal 2 2_Summary" xfId="2364" xr:uid="{00000000-0005-0000-0000-00003A020000}"/>
    <cellStyle name="Normal 2 20" xfId="325" xr:uid="{00000000-0005-0000-0000-00003A010000}"/>
    <cellStyle name="Normal 2 20 10" xfId="326" xr:uid="{00000000-0005-0000-0000-00003B010000}"/>
    <cellStyle name="Normal 2 20 11" xfId="327" xr:uid="{00000000-0005-0000-0000-00003C010000}"/>
    <cellStyle name="Normal 2 20 12" xfId="328" xr:uid="{00000000-0005-0000-0000-00003D010000}"/>
    <cellStyle name="Normal 2 20 13" xfId="329" xr:uid="{00000000-0005-0000-0000-00003E010000}"/>
    <cellStyle name="Normal 2 20 14" xfId="330" xr:uid="{00000000-0005-0000-0000-00003F010000}"/>
    <cellStyle name="Normal 2 20 15" xfId="331" xr:uid="{00000000-0005-0000-0000-000040010000}"/>
    <cellStyle name="Normal 2 20 16" xfId="332" xr:uid="{00000000-0005-0000-0000-000041010000}"/>
    <cellStyle name="Normal 2 20 17" xfId="333" xr:uid="{00000000-0005-0000-0000-000042010000}"/>
    <cellStyle name="Normal 2 20 18" xfId="334" xr:uid="{00000000-0005-0000-0000-000043010000}"/>
    <cellStyle name="Normal 2 20 19" xfId="335" xr:uid="{00000000-0005-0000-0000-000044010000}"/>
    <cellStyle name="Normal 2 20 2" xfId="336" xr:uid="{00000000-0005-0000-0000-000045010000}"/>
    <cellStyle name="Normal 2 20 20" xfId="337" xr:uid="{00000000-0005-0000-0000-000046010000}"/>
    <cellStyle name="Normal 2 20 21" xfId="338" xr:uid="{00000000-0005-0000-0000-000047010000}"/>
    <cellStyle name="Normal 2 20 22" xfId="339" xr:uid="{00000000-0005-0000-0000-000048010000}"/>
    <cellStyle name="Normal 2 20 23" xfId="340" xr:uid="{00000000-0005-0000-0000-000049010000}"/>
    <cellStyle name="Normal 2 20 3" xfId="341" xr:uid="{00000000-0005-0000-0000-00004A010000}"/>
    <cellStyle name="Normal 2 20 4" xfId="342" xr:uid="{00000000-0005-0000-0000-00004B010000}"/>
    <cellStyle name="Normal 2 20 5" xfId="343" xr:uid="{00000000-0005-0000-0000-00004C010000}"/>
    <cellStyle name="Normal 2 20 6" xfId="344" xr:uid="{00000000-0005-0000-0000-00004D010000}"/>
    <cellStyle name="Normal 2 20 7" xfId="345" xr:uid="{00000000-0005-0000-0000-00004E010000}"/>
    <cellStyle name="Normal 2 20 8" xfId="346" xr:uid="{00000000-0005-0000-0000-00004F010000}"/>
    <cellStyle name="Normal 2 20 9" xfId="347" xr:uid="{00000000-0005-0000-0000-000050010000}"/>
    <cellStyle name="Normal 2 21" xfId="348" xr:uid="{00000000-0005-0000-0000-000051010000}"/>
    <cellStyle name="Normal 2 21 10" xfId="349" xr:uid="{00000000-0005-0000-0000-000052010000}"/>
    <cellStyle name="Normal 2 21 11" xfId="350" xr:uid="{00000000-0005-0000-0000-000053010000}"/>
    <cellStyle name="Normal 2 21 12" xfId="351" xr:uid="{00000000-0005-0000-0000-000054010000}"/>
    <cellStyle name="Normal 2 21 13" xfId="352" xr:uid="{00000000-0005-0000-0000-000055010000}"/>
    <cellStyle name="Normal 2 21 14" xfId="353" xr:uid="{00000000-0005-0000-0000-000056010000}"/>
    <cellStyle name="Normal 2 21 15" xfId="354" xr:uid="{00000000-0005-0000-0000-000057010000}"/>
    <cellStyle name="Normal 2 21 16" xfId="355" xr:uid="{00000000-0005-0000-0000-000058010000}"/>
    <cellStyle name="Normal 2 21 17" xfId="356" xr:uid="{00000000-0005-0000-0000-000059010000}"/>
    <cellStyle name="Normal 2 21 18" xfId="357" xr:uid="{00000000-0005-0000-0000-00005A010000}"/>
    <cellStyle name="Normal 2 21 19" xfId="358" xr:uid="{00000000-0005-0000-0000-00005B010000}"/>
    <cellStyle name="Normal 2 21 2" xfId="359" xr:uid="{00000000-0005-0000-0000-00005C010000}"/>
    <cellStyle name="Normal 2 21 20" xfId="360" xr:uid="{00000000-0005-0000-0000-00005D010000}"/>
    <cellStyle name="Normal 2 21 21" xfId="361" xr:uid="{00000000-0005-0000-0000-00005E010000}"/>
    <cellStyle name="Normal 2 21 22" xfId="362" xr:uid="{00000000-0005-0000-0000-00005F010000}"/>
    <cellStyle name="Normal 2 21 23" xfId="363" xr:uid="{00000000-0005-0000-0000-000060010000}"/>
    <cellStyle name="Normal 2 21 3" xfId="364" xr:uid="{00000000-0005-0000-0000-000061010000}"/>
    <cellStyle name="Normal 2 21 4" xfId="365" xr:uid="{00000000-0005-0000-0000-000062010000}"/>
    <cellStyle name="Normal 2 21 5" xfId="366" xr:uid="{00000000-0005-0000-0000-000063010000}"/>
    <cellStyle name="Normal 2 21 6" xfId="367" xr:uid="{00000000-0005-0000-0000-000064010000}"/>
    <cellStyle name="Normal 2 21 7" xfId="368" xr:uid="{00000000-0005-0000-0000-000065010000}"/>
    <cellStyle name="Normal 2 21 8" xfId="369" xr:uid="{00000000-0005-0000-0000-000066010000}"/>
    <cellStyle name="Normal 2 21 9" xfId="370" xr:uid="{00000000-0005-0000-0000-000067010000}"/>
    <cellStyle name="Normal 2 22" xfId="371" xr:uid="{00000000-0005-0000-0000-000068010000}"/>
    <cellStyle name="Normal 2 22 10" xfId="372" xr:uid="{00000000-0005-0000-0000-000069010000}"/>
    <cellStyle name="Normal 2 22 11" xfId="373" xr:uid="{00000000-0005-0000-0000-00006A010000}"/>
    <cellStyle name="Normal 2 22 12" xfId="374" xr:uid="{00000000-0005-0000-0000-00006B010000}"/>
    <cellStyle name="Normal 2 22 13" xfId="375" xr:uid="{00000000-0005-0000-0000-00006C010000}"/>
    <cellStyle name="Normal 2 22 14" xfId="376" xr:uid="{00000000-0005-0000-0000-00006D010000}"/>
    <cellStyle name="Normal 2 22 15" xfId="377" xr:uid="{00000000-0005-0000-0000-00006E010000}"/>
    <cellStyle name="Normal 2 22 16" xfId="378" xr:uid="{00000000-0005-0000-0000-00006F010000}"/>
    <cellStyle name="Normal 2 22 17" xfId="379" xr:uid="{00000000-0005-0000-0000-000070010000}"/>
    <cellStyle name="Normal 2 22 18" xfId="380" xr:uid="{00000000-0005-0000-0000-000071010000}"/>
    <cellStyle name="Normal 2 22 19" xfId="381" xr:uid="{00000000-0005-0000-0000-000072010000}"/>
    <cellStyle name="Normal 2 22 2" xfId="382" xr:uid="{00000000-0005-0000-0000-000073010000}"/>
    <cellStyle name="Normal 2 22 20" xfId="383" xr:uid="{00000000-0005-0000-0000-000074010000}"/>
    <cellStyle name="Normal 2 22 21" xfId="384" xr:uid="{00000000-0005-0000-0000-000075010000}"/>
    <cellStyle name="Normal 2 22 22" xfId="385" xr:uid="{00000000-0005-0000-0000-000076010000}"/>
    <cellStyle name="Normal 2 22 23" xfId="386" xr:uid="{00000000-0005-0000-0000-000077010000}"/>
    <cellStyle name="Normal 2 22 3" xfId="387" xr:uid="{00000000-0005-0000-0000-000078010000}"/>
    <cellStyle name="Normal 2 22 4" xfId="388" xr:uid="{00000000-0005-0000-0000-000079010000}"/>
    <cellStyle name="Normal 2 22 5" xfId="389" xr:uid="{00000000-0005-0000-0000-00007A010000}"/>
    <cellStyle name="Normal 2 22 6" xfId="390" xr:uid="{00000000-0005-0000-0000-00007B010000}"/>
    <cellStyle name="Normal 2 22 7" xfId="391" xr:uid="{00000000-0005-0000-0000-00007C010000}"/>
    <cellStyle name="Normal 2 22 8" xfId="392" xr:uid="{00000000-0005-0000-0000-00007D010000}"/>
    <cellStyle name="Normal 2 22 9" xfId="393" xr:uid="{00000000-0005-0000-0000-00007E010000}"/>
    <cellStyle name="Normal 2 23" xfId="394" xr:uid="{00000000-0005-0000-0000-00007F010000}"/>
    <cellStyle name="Normal 2 23 10" xfId="395" xr:uid="{00000000-0005-0000-0000-000080010000}"/>
    <cellStyle name="Normal 2 23 11" xfId="396" xr:uid="{00000000-0005-0000-0000-000081010000}"/>
    <cellStyle name="Normal 2 23 12" xfId="397" xr:uid="{00000000-0005-0000-0000-000082010000}"/>
    <cellStyle name="Normal 2 23 13" xfId="398" xr:uid="{00000000-0005-0000-0000-000083010000}"/>
    <cellStyle name="Normal 2 23 14" xfId="399" xr:uid="{00000000-0005-0000-0000-000084010000}"/>
    <cellStyle name="Normal 2 23 15" xfId="400" xr:uid="{00000000-0005-0000-0000-000085010000}"/>
    <cellStyle name="Normal 2 23 16" xfId="401" xr:uid="{00000000-0005-0000-0000-000086010000}"/>
    <cellStyle name="Normal 2 23 17" xfId="402" xr:uid="{00000000-0005-0000-0000-000087010000}"/>
    <cellStyle name="Normal 2 23 18" xfId="403" xr:uid="{00000000-0005-0000-0000-000088010000}"/>
    <cellStyle name="Normal 2 23 19" xfId="404" xr:uid="{00000000-0005-0000-0000-000089010000}"/>
    <cellStyle name="Normal 2 23 2" xfId="405" xr:uid="{00000000-0005-0000-0000-00008A010000}"/>
    <cellStyle name="Normal 2 23 20" xfId="406" xr:uid="{00000000-0005-0000-0000-00008B010000}"/>
    <cellStyle name="Normal 2 23 21" xfId="407" xr:uid="{00000000-0005-0000-0000-00008C010000}"/>
    <cellStyle name="Normal 2 23 22" xfId="408" xr:uid="{00000000-0005-0000-0000-00008D010000}"/>
    <cellStyle name="Normal 2 23 23" xfId="409" xr:uid="{00000000-0005-0000-0000-00008E010000}"/>
    <cellStyle name="Normal 2 23 3" xfId="410" xr:uid="{00000000-0005-0000-0000-00008F010000}"/>
    <cellStyle name="Normal 2 23 4" xfId="411" xr:uid="{00000000-0005-0000-0000-000090010000}"/>
    <cellStyle name="Normal 2 23 5" xfId="412" xr:uid="{00000000-0005-0000-0000-000091010000}"/>
    <cellStyle name="Normal 2 23 6" xfId="413" xr:uid="{00000000-0005-0000-0000-000092010000}"/>
    <cellStyle name="Normal 2 23 7" xfId="414" xr:uid="{00000000-0005-0000-0000-000093010000}"/>
    <cellStyle name="Normal 2 23 8" xfId="415" xr:uid="{00000000-0005-0000-0000-000094010000}"/>
    <cellStyle name="Normal 2 23 9" xfId="416" xr:uid="{00000000-0005-0000-0000-000095010000}"/>
    <cellStyle name="Normal 2 24" xfId="417" xr:uid="{00000000-0005-0000-0000-000096010000}"/>
    <cellStyle name="Normal 2 24 10" xfId="418" xr:uid="{00000000-0005-0000-0000-000097010000}"/>
    <cellStyle name="Normal 2 24 11" xfId="419" xr:uid="{00000000-0005-0000-0000-000098010000}"/>
    <cellStyle name="Normal 2 24 12" xfId="420" xr:uid="{00000000-0005-0000-0000-000099010000}"/>
    <cellStyle name="Normal 2 24 13" xfId="421" xr:uid="{00000000-0005-0000-0000-00009A010000}"/>
    <cellStyle name="Normal 2 24 14" xfId="422" xr:uid="{00000000-0005-0000-0000-00009B010000}"/>
    <cellStyle name="Normal 2 24 15" xfId="423" xr:uid="{00000000-0005-0000-0000-00009C010000}"/>
    <cellStyle name="Normal 2 24 16" xfId="424" xr:uid="{00000000-0005-0000-0000-00009D010000}"/>
    <cellStyle name="Normal 2 24 17" xfId="425" xr:uid="{00000000-0005-0000-0000-00009E010000}"/>
    <cellStyle name="Normal 2 24 18" xfId="426" xr:uid="{00000000-0005-0000-0000-00009F010000}"/>
    <cellStyle name="Normal 2 24 19" xfId="427" xr:uid="{00000000-0005-0000-0000-0000A0010000}"/>
    <cellStyle name="Normal 2 24 2" xfId="428" xr:uid="{00000000-0005-0000-0000-0000A1010000}"/>
    <cellStyle name="Normal 2 24 20" xfId="429" xr:uid="{00000000-0005-0000-0000-0000A2010000}"/>
    <cellStyle name="Normal 2 24 21" xfId="430" xr:uid="{00000000-0005-0000-0000-0000A3010000}"/>
    <cellStyle name="Normal 2 24 22" xfId="431" xr:uid="{00000000-0005-0000-0000-0000A4010000}"/>
    <cellStyle name="Normal 2 24 23" xfId="432" xr:uid="{00000000-0005-0000-0000-0000A5010000}"/>
    <cellStyle name="Normal 2 24 3" xfId="433" xr:uid="{00000000-0005-0000-0000-0000A6010000}"/>
    <cellStyle name="Normal 2 24 4" xfId="434" xr:uid="{00000000-0005-0000-0000-0000A7010000}"/>
    <cellStyle name="Normal 2 24 5" xfId="435" xr:uid="{00000000-0005-0000-0000-0000A8010000}"/>
    <cellStyle name="Normal 2 24 6" xfId="436" xr:uid="{00000000-0005-0000-0000-0000A9010000}"/>
    <cellStyle name="Normal 2 24 7" xfId="437" xr:uid="{00000000-0005-0000-0000-0000AA010000}"/>
    <cellStyle name="Normal 2 24 8" xfId="438" xr:uid="{00000000-0005-0000-0000-0000AB010000}"/>
    <cellStyle name="Normal 2 24 9" xfId="439" xr:uid="{00000000-0005-0000-0000-0000AC010000}"/>
    <cellStyle name="Normal 2 25" xfId="440" xr:uid="{00000000-0005-0000-0000-0000AD010000}"/>
    <cellStyle name="Normal 2 25 10" xfId="441" xr:uid="{00000000-0005-0000-0000-0000AE010000}"/>
    <cellStyle name="Normal 2 25 11" xfId="442" xr:uid="{00000000-0005-0000-0000-0000AF010000}"/>
    <cellStyle name="Normal 2 25 12" xfId="443" xr:uid="{00000000-0005-0000-0000-0000B0010000}"/>
    <cellStyle name="Normal 2 25 13" xfId="444" xr:uid="{00000000-0005-0000-0000-0000B1010000}"/>
    <cellStyle name="Normal 2 25 14" xfId="445" xr:uid="{00000000-0005-0000-0000-0000B2010000}"/>
    <cellStyle name="Normal 2 25 15" xfId="446" xr:uid="{00000000-0005-0000-0000-0000B3010000}"/>
    <cellStyle name="Normal 2 25 16" xfId="447" xr:uid="{00000000-0005-0000-0000-0000B4010000}"/>
    <cellStyle name="Normal 2 25 17" xfId="448" xr:uid="{00000000-0005-0000-0000-0000B5010000}"/>
    <cellStyle name="Normal 2 25 18" xfId="449" xr:uid="{00000000-0005-0000-0000-0000B6010000}"/>
    <cellStyle name="Normal 2 25 19" xfId="450" xr:uid="{00000000-0005-0000-0000-0000B7010000}"/>
    <cellStyle name="Normal 2 25 2" xfId="451" xr:uid="{00000000-0005-0000-0000-0000B8010000}"/>
    <cellStyle name="Normal 2 25 20" xfId="452" xr:uid="{00000000-0005-0000-0000-0000B9010000}"/>
    <cellStyle name="Normal 2 25 21" xfId="453" xr:uid="{00000000-0005-0000-0000-0000BA010000}"/>
    <cellStyle name="Normal 2 25 22" xfId="454" xr:uid="{00000000-0005-0000-0000-0000BB010000}"/>
    <cellStyle name="Normal 2 25 23" xfId="455" xr:uid="{00000000-0005-0000-0000-0000BC010000}"/>
    <cellStyle name="Normal 2 25 3" xfId="456" xr:uid="{00000000-0005-0000-0000-0000BD010000}"/>
    <cellStyle name="Normal 2 25 4" xfId="457" xr:uid="{00000000-0005-0000-0000-0000BE010000}"/>
    <cellStyle name="Normal 2 25 5" xfId="458" xr:uid="{00000000-0005-0000-0000-0000BF010000}"/>
    <cellStyle name="Normal 2 25 6" xfId="459" xr:uid="{00000000-0005-0000-0000-0000C0010000}"/>
    <cellStyle name="Normal 2 25 7" xfId="460" xr:uid="{00000000-0005-0000-0000-0000C1010000}"/>
    <cellStyle name="Normal 2 25 8" xfId="461" xr:uid="{00000000-0005-0000-0000-0000C2010000}"/>
    <cellStyle name="Normal 2 25 9" xfId="462" xr:uid="{00000000-0005-0000-0000-0000C3010000}"/>
    <cellStyle name="Normal 2 26" xfId="463" xr:uid="{00000000-0005-0000-0000-0000C4010000}"/>
    <cellStyle name="Normal 2 26 10" xfId="464" xr:uid="{00000000-0005-0000-0000-0000C5010000}"/>
    <cellStyle name="Normal 2 26 11" xfId="465" xr:uid="{00000000-0005-0000-0000-0000C6010000}"/>
    <cellStyle name="Normal 2 26 12" xfId="466" xr:uid="{00000000-0005-0000-0000-0000C7010000}"/>
    <cellStyle name="Normal 2 26 13" xfId="467" xr:uid="{00000000-0005-0000-0000-0000C8010000}"/>
    <cellStyle name="Normal 2 26 14" xfId="468" xr:uid="{00000000-0005-0000-0000-0000C9010000}"/>
    <cellStyle name="Normal 2 26 15" xfId="469" xr:uid="{00000000-0005-0000-0000-0000CA010000}"/>
    <cellStyle name="Normal 2 26 16" xfId="470" xr:uid="{00000000-0005-0000-0000-0000CB010000}"/>
    <cellStyle name="Normal 2 26 17" xfId="471" xr:uid="{00000000-0005-0000-0000-0000CC010000}"/>
    <cellStyle name="Normal 2 26 18" xfId="472" xr:uid="{00000000-0005-0000-0000-0000CD010000}"/>
    <cellStyle name="Normal 2 26 19" xfId="473" xr:uid="{00000000-0005-0000-0000-0000CE010000}"/>
    <cellStyle name="Normal 2 26 2" xfId="474" xr:uid="{00000000-0005-0000-0000-0000CF010000}"/>
    <cellStyle name="Normal 2 26 20" xfId="475" xr:uid="{00000000-0005-0000-0000-0000D0010000}"/>
    <cellStyle name="Normal 2 26 21" xfId="476" xr:uid="{00000000-0005-0000-0000-0000D1010000}"/>
    <cellStyle name="Normal 2 26 22" xfId="477" xr:uid="{00000000-0005-0000-0000-0000D2010000}"/>
    <cellStyle name="Normal 2 26 23" xfId="478" xr:uid="{00000000-0005-0000-0000-0000D3010000}"/>
    <cellStyle name="Normal 2 26 3" xfId="479" xr:uid="{00000000-0005-0000-0000-0000D4010000}"/>
    <cellStyle name="Normal 2 26 4" xfId="480" xr:uid="{00000000-0005-0000-0000-0000D5010000}"/>
    <cellStyle name="Normal 2 26 5" xfId="481" xr:uid="{00000000-0005-0000-0000-0000D6010000}"/>
    <cellStyle name="Normal 2 26 6" xfId="482" xr:uid="{00000000-0005-0000-0000-0000D7010000}"/>
    <cellStyle name="Normal 2 26 7" xfId="483" xr:uid="{00000000-0005-0000-0000-0000D8010000}"/>
    <cellStyle name="Normal 2 26 8" xfId="484" xr:uid="{00000000-0005-0000-0000-0000D9010000}"/>
    <cellStyle name="Normal 2 26 9" xfId="485" xr:uid="{00000000-0005-0000-0000-0000DA010000}"/>
    <cellStyle name="Normal 2 27" xfId="486" xr:uid="{00000000-0005-0000-0000-0000DB010000}"/>
    <cellStyle name="Normal 2 27 10" xfId="487" xr:uid="{00000000-0005-0000-0000-0000DC010000}"/>
    <cellStyle name="Normal 2 27 11" xfId="488" xr:uid="{00000000-0005-0000-0000-0000DD010000}"/>
    <cellStyle name="Normal 2 27 12" xfId="489" xr:uid="{00000000-0005-0000-0000-0000DE010000}"/>
    <cellStyle name="Normal 2 27 13" xfId="490" xr:uid="{00000000-0005-0000-0000-0000DF010000}"/>
    <cellStyle name="Normal 2 27 14" xfId="491" xr:uid="{00000000-0005-0000-0000-0000E0010000}"/>
    <cellStyle name="Normal 2 27 15" xfId="492" xr:uid="{00000000-0005-0000-0000-0000E1010000}"/>
    <cellStyle name="Normal 2 27 16" xfId="493" xr:uid="{00000000-0005-0000-0000-0000E2010000}"/>
    <cellStyle name="Normal 2 27 17" xfId="494" xr:uid="{00000000-0005-0000-0000-0000E3010000}"/>
    <cellStyle name="Normal 2 27 18" xfId="495" xr:uid="{00000000-0005-0000-0000-0000E4010000}"/>
    <cellStyle name="Normal 2 27 19" xfId="496" xr:uid="{00000000-0005-0000-0000-0000E5010000}"/>
    <cellStyle name="Normal 2 27 2" xfId="497" xr:uid="{00000000-0005-0000-0000-0000E6010000}"/>
    <cellStyle name="Normal 2 27 20" xfId="498" xr:uid="{00000000-0005-0000-0000-0000E7010000}"/>
    <cellStyle name="Normal 2 27 21" xfId="499" xr:uid="{00000000-0005-0000-0000-0000E8010000}"/>
    <cellStyle name="Normal 2 27 22" xfId="500" xr:uid="{00000000-0005-0000-0000-0000E9010000}"/>
    <cellStyle name="Normal 2 27 23" xfId="501" xr:uid="{00000000-0005-0000-0000-0000EA010000}"/>
    <cellStyle name="Normal 2 27 3" xfId="502" xr:uid="{00000000-0005-0000-0000-0000EB010000}"/>
    <cellStyle name="Normal 2 27 4" xfId="503" xr:uid="{00000000-0005-0000-0000-0000EC010000}"/>
    <cellStyle name="Normal 2 27 5" xfId="504" xr:uid="{00000000-0005-0000-0000-0000ED010000}"/>
    <cellStyle name="Normal 2 27 6" xfId="505" xr:uid="{00000000-0005-0000-0000-0000EE010000}"/>
    <cellStyle name="Normal 2 27 7" xfId="506" xr:uid="{00000000-0005-0000-0000-0000EF010000}"/>
    <cellStyle name="Normal 2 27 8" xfId="507" xr:uid="{00000000-0005-0000-0000-0000F0010000}"/>
    <cellStyle name="Normal 2 27 9" xfId="508" xr:uid="{00000000-0005-0000-0000-0000F1010000}"/>
    <cellStyle name="Normal 2 28" xfId="509" xr:uid="{00000000-0005-0000-0000-0000F2010000}"/>
    <cellStyle name="Normal 2 28 10" xfId="510" xr:uid="{00000000-0005-0000-0000-0000F3010000}"/>
    <cellStyle name="Normal 2 28 11" xfId="511" xr:uid="{00000000-0005-0000-0000-0000F4010000}"/>
    <cellStyle name="Normal 2 28 12" xfId="512" xr:uid="{00000000-0005-0000-0000-0000F5010000}"/>
    <cellStyle name="Normal 2 28 13" xfId="513" xr:uid="{00000000-0005-0000-0000-0000F6010000}"/>
    <cellStyle name="Normal 2 28 14" xfId="514" xr:uid="{00000000-0005-0000-0000-0000F7010000}"/>
    <cellStyle name="Normal 2 28 15" xfId="515" xr:uid="{00000000-0005-0000-0000-0000F8010000}"/>
    <cellStyle name="Normal 2 28 16" xfId="516" xr:uid="{00000000-0005-0000-0000-0000F9010000}"/>
    <cellStyle name="Normal 2 28 17" xfId="517" xr:uid="{00000000-0005-0000-0000-0000FA010000}"/>
    <cellStyle name="Normal 2 28 18" xfId="518" xr:uid="{00000000-0005-0000-0000-0000FB010000}"/>
    <cellStyle name="Normal 2 28 19" xfId="519" xr:uid="{00000000-0005-0000-0000-0000FC010000}"/>
    <cellStyle name="Normal 2 28 2" xfId="520" xr:uid="{00000000-0005-0000-0000-0000FD010000}"/>
    <cellStyle name="Normal 2 28 20" xfId="521" xr:uid="{00000000-0005-0000-0000-0000FE010000}"/>
    <cellStyle name="Normal 2 28 21" xfId="522" xr:uid="{00000000-0005-0000-0000-0000FF010000}"/>
    <cellStyle name="Normal 2 28 22" xfId="523" xr:uid="{00000000-0005-0000-0000-000000020000}"/>
    <cellStyle name="Normal 2 28 23" xfId="524" xr:uid="{00000000-0005-0000-0000-000001020000}"/>
    <cellStyle name="Normal 2 28 3" xfId="525" xr:uid="{00000000-0005-0000-0000-000002020000}"/>
    <cellStyle name="Normal 2 28 4" xfId="526" xr:uid="{00000000-0005-0000-0000-000003020000}"/>
    <cellStyle name="Normal 2 28 5" xfId="527" xr:uid="{00000000-0005-0000-0000-000004020000}"/>
    <cellStyle name="Normal 2 28 6" xfId="528" xr:uid="{00000000-0005-0000-0000-000005020000}"/>
    <cellStyle name="Normal 2 28 7" xfId="529" xr:uid="{00000000-0005-0000-0000-000006020000}"/>
    <cellStyle name="Normal 2 28 8" xfId="530" xr:uid="{00000000-0005-0000-0000-000007020000}"/>
    <cellStyle name="Normal 2 28 9" xfId="531" xr:uid="{00000000-0005-0000-0000-000008020000}"/>
    <cellStyle name="Normal 2 29" xfId="532" xr:uid="{00000000-0005-0000-0000-000009020000}"/>
    <cellStyle name="Normal 2 29 10" xfId="533" xr:uid="{00000000-0005-0000-0000-00000A020000}"/>
    <cellStyle name="Normal 2 29 11" xfId="534" xr:uid="{00000000-0005-0000-0000-00000B020000}"/>
    <cellStyle name="Normal 2 29 12" xfId="535" xr:uid="{00000000-0005-0000-0000-00000C020000}"/>
    <cellStyle name="Normal 2 29 13" xfId="536" xr:uid="{00000000-0005-0000-0000-00000D020000}"/>
    <cellStyle name="Normal 2 29 14" xfId="537" xr:uid="{00000000-0005-0000-0000-00000E020000}"/>
    <cellStyle name="Normal 2 29 15" xfId="538" xr:uid="{00000000-0005-0000-0000-00000F020000}"/>
    <cellStyle name="Normal 2 29 16" xfId="539" xr:uid="{00000000-0005-0000-0000-000010020000}"/>
    <cellStyle name="Normal 2 29 17" xfId="540" xr:uid="{00000000-0005-0000-0000-000011020000}"/>
    <cellStyle name="Normal 2 29 18" xfId="541" xr:uid="{00000000-0005-0000-0000-000012020000}"/>
    <cellStyle name="Normal 2 29 19" xfId="542" xr:uid="{00000000-0005-0000-0000-000013020000}"/>
    <cellStyle name="Normal 2 29 2" xfId="543" xr:uid="{00000000-0005-0000-0000-000014020000}"/>
    <cellStyle name="Normal 2 29 20" xfId="544" xr:uid="{00000000-0005-0000-0000-000015020000}"/>
    <cellStyle name="Normal 2 29 21" xfId="545" xr:uid="{00000000-0005-0000-0000-000016020000}"/>
    <cellStyle name="Normal 2 29 22" xfId="546" xr:uid="{00000000-0005-0000-0000-000017020000}"/>
    <cellStyle name="Normal 2 29 23" xfId="547" xr:uid="{00000000-0005-0000-0000-000018020000}"/>
    <cellStyle name="Normal 2 29 3" xfId="548" xr:uid="{00000000-0005-0000-0000-000019020000}"/>
    <cellStyle name="Normal 2 29 4" xfId="549" xr:uid="{00000000-0005-0000-0000-00001A020000}"/>
    <cellStyle name="Normal 2 29 5" xfId="550" xr:uid="{00000000-0005-0000-0000-00001B020000}"/>
    <cellStyle name="Normal 2 29 6" xfId="551" xr:uid="{00000000-0005-0000-0000-00001C020000}"/>
    <cellStyle name="Normal 2 29 7" xfId="552" xr:uid="{00000000-0005-0000-0000-00001D020000}"/>
    <cellStyle name="Normal 2 29 8" xfId="553" xr:uid="{00000000-0005-0000-0000-00001E020000}"/>
    <cellStyle name="Normal 2 29 9" xfId="554" xr:uid="{00000000-0005-0000-0000-00001F020000}"/>
    <cellStyle name="Normal 2 3" xfId="555" xr:uid="{00000000-0005-0000-0000-000020020000}"/>
    <cellStyle name="Normal 2 3 2" xfId="2365" xr:uid="{00000000-0005-0000-0000-000022030000}"/>
    <cellStyle name="Normal 2 3 2 2" xfId="2366" xr:uid="{00000000-0005-0000-0000-000023030000}"/>
    <cellStyle name="Normal 2 3 3" xfId="2367" xr:uid="{00000000-0005-0000-0000-000024030000}"/>
    <cellStyle name="Normal 2 3 4" xfId="2368" xr:uid="{00000000-0005-0000-0000-000025030000}"/>
    <cellStyle name="Normal 2 3 5" xfId="2369" xr:uid="{00000000-0005-0000-0000-000026030000}"/>
    <cellStyle name="Normal 2 3_Summary" xfId="2370" xr:uid="{00000000-0005-0000-0000-000027030000}"/>
    <cellStyle name="Normal 2 30" xfId="556" xr:uid="{00000000-0005-0000-0000-000021020000}"/>
    <cellStyle name="Normal 2 30 10" xfId="557" xr:uid="{00000000-0005-0000-0000-000022020000}"/>
    <cellStyle name="Normal 2 30 11" xfId="558" xr:uid="{00000000-0005-0000-0000-000023020000}"/>
    <cellStyle name="Normal 2 30 12" xfId="559" xr:uid="{00000000-0005-0000-0000-000024020000}"/>
    <cellStyle name="Normal 2 30 13" xfId="560" xr:uid="{00000000-0005-0000-0000-000025020000}"/>
    <cellStyle name="Normal 2 30 14" xfId="561" xr:uid="{00000000-0005-0000-0000-000026020000}"/>
    <cellStyle name="Normal 2 30 15" xfId="562" xr:uid="{00000000-0005-0000-0000-000027020000}"/>
    <cellStyle name="Normal 2 30 16" xfId="563" xr:uid="{00000000-0005-0000-0000-000028020000}"/>
    <cellStyle name="Normal 2 30 17" xfId="564" xr:uid="{00000000-0005-0000-0000-000029020000}"/>
    <cellStyle name="Normal 2 30 18" xfId="565" xr:uid="{00000000-0005-0000-0000-00002A020000}"/>
    <cellStyle name="Normal 2 30 19" xfId="566" xr:uid="{00000000-0005-0000-0000-00002B020000}"/>
    <cellStyle name="Normal 2 30 2" xfId="567" xr:uid="{00000000-0005-0000-0000-00002C020000}"/>
    <cellStyle name="Normal 2 30 20" xfId="568" xr:uid="{00000000-0005-0000-0000-00002D020000}"/>
    <cellStyle name="Normal 2 30 21" xfId="569" xr:uid="{00000000-0005-0000-0000-00002E020000}"/>
    <cellStyle name="Normal 2 30 22" xfId="570" xr:uid="{00000000-0005-0000-0000-00002F020000}"/>
    <cellStyle name="Normal 2 30 23" xfId="571" xr:uid="{00000000-0005-0000-0000-000030020000}"/>
    <cellStyle name="Normal 2 30 24" xfId="2372" xr:uid="{00000000-0005-0000-0000-000038030000}"/>
    <cellStyle name="Normal 2 30 25" xfId="2373" xr:uid="{00000000-0005-0000-0000-000039030000}"/>
    <cellStyle name="Normal 2 30 26" xfId="2371" xr:uid="{00000000-0005-0000-0000-000028030000}"/>
    <cellStyle name="Normal 2 30 3" xfId="572" xr:uid="{00000000-0005-0000-0000-000031020000}"/>
    <cellStyle name="Normal 2 30 4" xfId="573" xr:uid="{00000000-0005-0000-0000-000032020000}"/>
    <cellStyle name="Normal 2 30 5" xfId="574" xr:uid="{00000000-0005-0000-0000-000033020000}"/>
    <cellStyle name="Normal 2 30 6" xfId="575" xr:uid="{00000000-0005-0000-0000-000034020000}"/>
    <cellStyle name="Normal 2 30 7" xfId="576" xr:uid="{00000000-0005-0000-0000-000035020000}"/>
    <cellStyle name="Normal 2 30 8" xfId="577" xr:uid="{00000000-0005-0000-0000-000036020000}"/>
    <cellStyle name="Normal 2 30 9" xfId="578" xr:uid="{00000000-0005-0000-0000-000037020000}"/>
    <cellStyle name="Normal 2 31" xfId="579" xr:uid="{00000000-0005-0000-0000-000038020000}"/>
    <cellStyle name="Normal 2 31 10" xfId="580" xr:uid="{00000000-0005-0000-0000-000039020000}"/>
    <cellStyle name="Normal 2 31 11" xfId="581" xr:uid="{00000000-0005-0000-0000-00003A020000}"/>
    <cellStyle name="Normal 2 31 12" xfId="582" xr:uid="{00000000-0005-0000-0000-00003B020000}"/>
    <cellStyle name="Normal 2 31 13" xfId="583" xr:uid="{00000000-0005-0000-0000-00003C020000}"/>
    <cellStyle name="Normal 2 31 14" xfId="584" xr:uid="{00000000-0005-0000-0000-00003D020000}"/>
    <cellStyle name="Normal 2 31 15" xfId="585" xr:uid="{00000000-0005-0000-0000-00003E020000}"/>
    <cellStyle name="Normal 2 31 16" xfId="586" xr:uid="{00000000-0005-0000-0000-00003F020000}"/>
    <cellStyle name="Normal 2 31 17" xfId="587" xr:uid="{00000000-0005-0000-0000-000040020000}"/>
    <cellStyle name="Normal 2 31 18" xfId="588" xr:uid="{00000000-0005-0000-0000-000041020000}"/>
    <cellStyle name="Normal 2 31 19" xfId="589" xr:uid="{00000000-0005-0000-0000-000042020000}"/>
    <cellStyle name="Normal 2 31 2" xfId="590" xr:uid="{00000000-0005-0000-0000-000043020000}"/>
    <cellStyle name="Normal 2 31 20" xfId="591" xr:uid="{00000000-0005-0000-0000-000044020000}"/>
    <cellStyle name="Normal 2 31 21" xfId="592" xr:uid="{00000000-0005-0000-0000-000045020000}"/>
    <cellStyle name="Normal 2 31 22" xfId="593" xr:uid="{00000000-0005-0000-0000-000046020000}"/>
    <cellStyle name="Normal 2 31 23" xfId="594" xr:uid="{00000000-0005-0000-0000-000047020000}"/>
    <cellStyle name="Normal 2 31 3" xfId="595" xr:uid="{00000000-0005-0000-0000-000048020000}"/>
    <cellStyle name="Normal 2 31 4" xfId="596" xr:uid="{00000000-0005-0000-0000-000049020000}"/>
    <cellStyle name="Normal 2 31 5" xfId="597" xr:uid="{00000000-0005-0000-0000-00004A020000}"/>
    <cellStyle name="Normal 2 31 6" xfId="598" xr:uid="{00000000-0005-0000-0000-00004B020000}"/>
    <cellStyle name="Normal 2 31 7" xfId="599" xr:uid="{00000000-0005-0000-0000-00004C020000}"/>
    <cellStyle name="Normal 2 31 8" xfId="600" xr:uid="{00000000-0005-0000-0000-00004D020000}"/>
    <cellStyle name="Normal 2 31 9" xfId="601" xr:uid="{00000000-0005-0000-0000-00004E020000}"/>
    <cellStyle name="Normal 2 32" xfId="602" xr:uid="{00000000-0005-0000-0000-00004F020000}"/>
    <cellStyle name="Normal 2 32 10" xfId="603" xr:uid="{00000000-0005-0000-0000-000050020000}"/>
    <cellStyle name="Normal 2 32 11" xfId="604" xr:uid="{00000000-0005-0000-0000-000051020000}"/>
    <cellStyle name="Normal 2 32 12" xfId="605" xr:uid="{00000000-0005-0000-0000-000052020000}"/>
    <cellStyle name="Normal 2 32 13" xfId="606" xr:uid="{00000000-0005-0000-0000-000053020000}"/>
    <cellStyle name="Normal 2 32 14" xfId="607" xr:uid="{00000000-0005-0000-0000-000054020000}"/>
    <cellStyle name="Normal 2 32 15" xfId="608" xr:uid="{00000000-0005-0000-0000-000055020000}"/>
    <cellStyle name="Normal 2 32 16" xfId="609" xr:uid="{00000000-0005-0000-0000-000056020000}"/>
    <cellStyle name="Normal 2 32 17" xfId="610" xr:uid="{00000000-0005-0000-0000-000057020000}"/>
    <cellStyle name="Normal 2 32 18" xfId="611" xr:uid="{00000000-0005-0000-0000-000058020000}"/>
    <cellStyle name="Normal 2 32 19" xfId="612" xr:uid="{00000000-0005-0000-0000-000059020000}"/>
    <cellStyle name="Normal 2 32 2" xfId="613" xr:uid="{00000000-0005-0000-0000-00005A020000}"/>
    <cellStyle name="Normal 2 32 20" xfId="614" xr:uid="{00000000-0005-0000-0000-00005B020000}"/>
    <cellStyle name="Normal 2 32 21" xfId="615" xr:uid="{00000000-0005-0000-0000-00005C020000}"/>
    <cellStyle name="Normal 2 32 22" xfId="616" xr:uid="{00000000-0005-0000-0000-00005D020000}"/>
    <cellStyle name="Normal 2 32 23" xfId="617" xr:uid="{00000000-0005-0000-0000-00005E020000}"/>
    <cellStyle name="Normal 2 32 3" xfId="618" xr:uid="{00000000-0005-0000-0000-00005F020000}"/>
    <cellStyle name="Normal 2 32 4" xfId="619" xr:uid="{00000000-0005-0000-0000-000060020000}"/>
    <cellStyle name="Normal 2 32 5" xfId="620" xr:uid="{00000000-0005-0000-0000-000061020000}"/>
    <cellStyle name="Normal 2 32 6" xfId="621" xr:uid="{00000000-0005-0000-0000-000062020000}"/>
    <cellStyle name="Normal 2 32 7" xfId="622" xr:uid="{00000000-0005-0000-0000-000063020000}"/>
    <cellStyle name="Normal 2 32 8" xfId="623" xr:uid="{00000000-0005-0000-0000-000064020000}"/>
    <cellStyle name="Normal 2 32 9" xfId="624" xr:uid="{00000000-0005-0000-0000-000065020000}"/>
    <cellStyle name="Normal 2 33" xfId="625" xr:uid="{00000000-0005-0000-0000-000066020000}"/>
    <cellStyle name="Normal 2 33 10" xfId="626" xr:uid="{00000000-0005-0000-0000-000067020000}"/>
    <cellStyle name="Normal 2 33 11" xfId="627" xr:uid="{00000000-0005-0000-0000-000068020000}"/>
    <cellStyle name="Normal 2 33 12" xfId="628" xr:uid="{00000000-0005-0000-0000-000069020000}"/>
    <cellStyle name="Normal 2 33 13" xfId="629" xr:uid="{00000000-0005-0000-0000-00006A020000}"/>
    <cellStyle name="Normal 2 33 14" xfId="630" xr:uid="{00000000-0005-0000-0000-00006B020000}"/>
    <cellStyle name="Normal 2 33 15" xfId="631" xr:uid="{00000000-0005-0000-0000-00006C020000}"/>
    <cellStyle name="Normal 2 33 16" xfId="632" xr:uid="{00000000-0005-0000-0000-00006D020000}"/>
    <cellStyle name="Normal 2 33 17" xfId="633" xr:uid="{00000000-0005-0000-0000-00006E020000}"/>
    <cellStyle name="Normal 2 33 18" xfId="634" xr:uid="{00000000-0005-0000-0000-00006F020000}"/>
    <cellStyle name="Normal 2 33 19" xfId="635" xr:uid="{00000000-0005-0000-0000-000070020000}"/>
    <cellStyle name="Normal 2 33 2" xfId="636" xr:uid="{00000000-0005-0000-0000-000071020000}"/>
    <cellStyle name="Normal 2 33 20" xfId="637" xr:uid="{00000000-0005-0000-0000-000072020000}"/>
    <cellStyle name="Normal 2 33 21" xfId="638" xr:uid="{00000000-0005-0000-0000-000073020000}"/>
    <cellStyle name="Normal 2 33 22" xfId="639" xr:uid="{00000000-0005-0000-0000-000074020000}"/>
    <cellStyle name="Normal 2 33 23" xfId="640" xr:uid="{00000000-0005-0000-0000-000075020000}"/>
    <cellStyle name="Normal 2 33 3" xfId="641" xr:uid="{00000000-0005-0000-0000-000076020000}"/>
    <cellStyle name="Normal 2 33 4" xfId="642" xr:uid="{00000000-0005-0000-0000-000077020000}"/>
    <cellStyle name="Normal 2 33 5" xfId="643" xr:uid="{00000000-0005-0000-0000-000078020000}"/>
    <cellStyle name="Normal 2 33 6" xfId="644" xr:uid="{00000000-0005-0000-0000-000079020000}"/>
    <cellStyle name="Normal 2 33 7" xfId="645" xr:uid="{00000000-0005-0000-0000-00007A020000}"/>
    <cellStyle name="Normal 2 33 8" xfId="646" xr:uid="{00000000-0005-0000-0000-00007B020000}"/>
    <cellStyle name="Normal 2 33 9" xfId="647" xr:uid="{00000000-0005-0000-0000-00007C020000}"/>
    <cellStyle name="Normal 2 34" xfId="648" xr:uid="{00000000-0005-0000-0000-00007D020000}"/>
    <cellStyle name="Normal 2 34 10" xfId="649" xr:uid="{00000000-0005-0000-0000-00007E020000}"/>
    <cellStyle name="Normal 2 34 11" xfId="650" xr:uid="{00000000-0005-0000-0000-00007F020000}"/>
    <cellStyle name="Normal 2 34 12" xfId="651" xr:uid="{00000000-0005-0000-0000-000080020000}"/>
    <cellStyle name="Normal 2 34 13" xfId="652" xr:uid="{00000000-0005-0000-0000-000081020000}"/>
    <cellStyle name="Normal 2 34 14" xfId="653" xr:uid="{00000000-0005-0000-0000-000082020000}"/>
    <cellStyle name="Normal 2 34 15" xfId="654" xr:uid="{00000000-0005-0000-0000-000083020000}"/>
    <cellStyle name="Normal 2 34 16" xfId="655" xr:uid="{00000000-0005-0000-0000-000084020000}"/>
    <cellStyle name="Normal 2 34 17" xfId="656" xr:uid="{00000000-0005-0000-0000-000085020000}"/>
    <cellStyle name="Normal 2 34 18" xfId="657" xr:uid="{00000000-0005-0000-0000-000086020000}"/>
    <cellStyle name="Normal 2 34 19" xfId="658" xr:uid="{00000000-0005-0000-0000-000087020000}"/>
    <cellStyle name="Normal 2 34 2" xfId="659" xr:uid="{00000000-0005-0000-0000-000088020000}"/>
    <cellStyle name="Normal 2 34 20" xfId="660" xr:uid="{00000000-0005-0000-0000-000089020000}"/>
    <cellStyle name="Normal 2 34 21" xfId="661" xr:uid="{00000000-0005-0000-0000-00008A020000}"/>
    <cellStyle name="Normal 2 34 22" xfId="662" xr:uid="{00000000-0005-0000-0000-00008B020000}"/>
    <cellStyle name="Normal 2 34 23" xfId="663" xr:uid="{00000000-0005-0000-0000-00008C020000}"/>
    <cellStyle name="Normal 2 34 3" xfId="664" xr:uid="{00000000-0005-0000-0000-00008D020000}"/>
    <cellStyle name="Normal 2 34 4" xfId="665" xr:uid="{00000000-0005-0000-0000-00008E020000}"/>
    <cellStyle name="Normal 2 34 5" xfId="666" xr:uid="{00000000-0005-0000-0000-00008F020000}"/>
    <cellStyle name="Normal 2 34 6" xfId="667" xr:uid="{00000000-0005-0000-0000-000090020000}"/>
    <cellStyle name="Normal 2 34 7" xfId="668" xr:uid="{00000000-0005-0000-0000-000091020000}"/>
    <cellStyle name="Normal 2 34 8" xfId="669" xr:uid="{00000000-0005-0000-0000-000092020000}"/>
    <cellStyle name="Normal 2 34 9" xfId="670" xr:uid="{00000000-0005-0000-0000-000093020000}"/>
    <cellStyle name="Normal 2 35" xfId="671" xr:uid="{00000000-0005-0000-0000-000094020000}"/>
    <cellStyle name="Normal 2 35 10" xfId="672" xr:uid="{00000000-0005-0000-0000-000095020000}"/>
    <cellStyle name="Normal 2 35 11" xfId="673" xr:uid="{00000000-0005-0000-0000-000096020000}"/>
    <cellStyle name="Normal 2 35 12" xfId="674" xr:uid="{00000000-0005-0000-0000-000097020000}"/>
    <cellStyle name="Normal 2 35 13" xfId="675" xr:uid="{00000000-0005-0000-0000-000098020000}"/>
    <cellStyle name="Normal 2 35 14" xfId="676" xr:uid="{00000000-0005-0000-0000-000099020000}"/>
    <cellStyle name="Normal 2 35 15" xfId="677" xr:uid="{00000000-0005-0000-0000-00009A020000}"/>
    <cellStyle name="Normal 2 35 16" xfId="678" xr:uid="{00000000-0005-0000-0000-00009B020000}"/>
    <cellStyle name="Normal 2 35 17" xfId="679" xr:uid="{00000000-0005-0000-0000-00009C020000}"/>
    <cellStyle name="Normal 2 35 18" xfId="680" xr:uid="{00000000-0005-0000-0000-00009D020000}"/>
    <cellStyle name="Normal 2 35 19" xfId="681" xr:uid="{00000000-0005-0000-0000-00009E020000}"/>
    <cellStyle name="Normal 2 35 2" xfId="682" xr:uid="{00000000-0005-0000-0000-00009F020000}"/>
    <cellStyle name="Normal 2 35 20" xfId="683" xr:uid="{00000000-0005-0000-0000-0000A0020000}"/>
    <cellStyle name="Normal 2 35 21" xfId="684" xr:uid="{00000000-0005-0000-0000-0000A1020000}"/>
    <cellStyle name="Normal 2 35 22" xfId="685" xr:uid="{00000000-0005-0000-0000-0000A2020000}"/>
    <cellStyle name="Normal 2 35 23" xfId="686" xr:uid="{00000000-0005-0000-0000-0000A3020000}"/>
    <cellStyle name="Normal 2 35 3" xfId="687" xr:uid="{00000000-0005-0000-0000-0000A4020000}"/>
    <cellStyle name="Normal 2 35 4" xfId="688" xr:uid="{00000000-0005-0000-0000-0000A5020000}"/>
    <cellStyle name="Normal 2 35 5" xfId="689" xr:uid="{00000000-0005-0000-0000-0000A6020000}"/>
    <cellStyle name="Normal 2 35 6" xfId="690" xr:uid="{00000000-0005-0000-0000-0000A7020000}"/>
    <cellStyle name="Normal 2 35 7" xfId="691" xr:uid="{00000000-0005-0000-0000-0000A8020000}"/>
    <cellStyle name="Normal 2 35 8" xfId="692" xr:uid="{00000000-0005-0000-0000-0000A9020000}"/>
    <cellStyle name="Normal 2 35 9" xfId="693" xr:uid="{00000000-0005-0000-0000-0000AA020000}"/>
    <cellStyle name="Normal 2 36" xfId="694" xr:uid="{00000000-0005-0000-0000-0000AB020000}"/>
    <cellStyle name="Normal 2 36 10" xfId="695" xr:uid="{00000000-0005-0000-0000-0000AC020000}"/>
    <cellStyle name="Normal 2 36 11" xfId="696" xr:uid="{00000000-0005-0000-0000-0000AD020000}"/>
    <cellStyle name="Normal 2 36 12" xfId="697" xr:uid="{00000000-0005-0000-0000-0000AE020000}"/>
    <cellStyle name="Normal 2 36 13" xfId="698" xr:uid="{00000000-0005-0000-0000-0000AF020000}"/>
    <cellStyle name="Normal 2 36 14" xfId="699" xr:uid="{00000000-0005-0000-0000-0000B0020000}"/>
    <cellStyle name="Normal 2 36 15" xfId="700" xr:uid="{00000000-0005-0000-0000-0000B1020000}"/>
    <cellStyle name="Normal 2 36 16" xfId="701" xr:uid="{00000000-0005-0000-0000-0000B2020000}"/>
    <cellStyle name="Normal 2 36 17" xfId="702" xr:uid="{00000000-0005-0000-0000-0000B3020000}"/>
    <cellStyle name="Normal 2 36 18" xfId="703" xr:uid="{00000000-0005-0000-0000-0000B4020000}"/>
    <cellStyle name="Normal 2 36 19" xfId="704" xr:uid="{00000000-0005-0000-0000-0000B5020000}"/>
    <cellStyle name="Normal 2 36 2" xfId="705" xr:uid="{00000000-0005-0000-0000-0000B6020000}"/>
    <cellStyle name="Normal 2 36 20" xfId="706" xr:uid="{00000000-0005-0000-0000-0000B7020000}"/>
    <cellStyle name="Normal 2 36 21" xfId="707" xr:uid="{00000000-0005-0000-0000-0000B8020000}"/>
    <cellStyle name="Normal 2 36 22" xfId="708" xr:uid="{00000000-0005-0000-0000-0000B9020000}"/>
    <cellStyle name="Normal 2 36 23" xfId="709" xr:uid="{00000000-0005-0000-0000-0000BA020000}"/>
    <cellStyle name="Normal 2 36 3" xfId="710" xr:uid="{00000000-0005-0000-0000-0000BB020000}"/>
    <cellStyle name="Normal 2 36 4" xfId="711" xr:uid="{00000000-0005-0000-0000-0000BC020000}"/>
    <cellStyle name="Normal 2 36 5" xfId="712" xr:uid="{00000000-0005-0000-0000-0000BD020000}"/>
    <cellStyle name="Normal 2 36 6" xfId="713" xr:uid="{00000000-0005-0000-0000-0000BE020000}"/>
    <cellStyle name="Normal 2 36 7" xfId="714" xr:uid="{00000000-0005-0000-0000-0000BF020000}"/>
    <cellStyle name="Normal 2 36 8" xfId="715" xr:uid="{00000000-0005-0000-0000-0000C0020000}"/>
    <cellStyle name="Normal 2 36 9" xfId="716" xr:uid="{00000000-0005-0000-0000-0000C1020000}"/>
    <cellStyle name="Normal 2 37" xfId="717" xr:uid="{00000000-0005-0000-0000-0000C2020000}"/>
    <cellStyle name="Normal 2 37 10" xfId="718" xr:uid="{00000000-0005-0000-0000-0000C3020000}"/>
    <cellStyle name="Normal 2 37 11" xfId="719" xr:uid="{00000000-0005-0000-0000-0000C4020000}"/>
    <cellStyle name="Normal 2 37 12" xfId="720" xr:uid="{00000000-0005-0000-0000-0000C5020000}"/>
    <cellStyle name="Normal 2 37 13" xfId="721" xr:uid="{00000000-0005-0000-0000-0000C6020000}"/>
    <cellStyle name="Normal 2 37 14" xfId="722" xr:uid="{00000000-0005-0000-0000-0000C7020000}"/>
    <cellStyle name="Normal 2 37 15" xfId="723" xr:uid="{00000000-0005-0000-0000-0000C8020000}"/>
    <cellStyle name="Normal 2 37 16" xfId="724" xr:uid="{00000000-0005-0000-0000-0000C9020000}"/>
    <cellStyle name="Normal 2 37 17" xfId="725" xr:uid="{00000000-0005-0000-0000-0000CA020000}"/>
    <cellStyle name="Normal 2 37 18" xfId="726" xr:uid="{00000000-0005-0000-0000-0000CB020000}"/>
    <cellStyle name="Normal 2 37 19" xfId="727" xr:uid="{00000000-0005-0000-0000-0000CC020000}"/>
    <cellStyle name="Normal 2 37 2" xfId="728" xr:uid="{00000000-0005-0000-0000-0000CD020000}"/>
    <cellStyle name="Normal 2 37 20" xfId="729" xr:uid="{00000000-0005-0000-0000-0000CE020000}"/>
    <cellStyle name="Normal 2 37 21" xfId="730" xr:uid="{00000000-0005-0000-0000-0000CF020000}"/>
    <cellStyle name="Normal 2 37 22" xfId="731" xr:uid="{00000000-0005-0000-0000-0000D0020000}"/>
    <cellStyle name="Normal 2 37 23" xfId="732" xr:uid="{00000000-0005-0000-0000-0000D1020000}"/>
    <cellStyle name="Normal 2 37 3" xfId="733" xr:uid="{00000000-0005-0000-0000-0000D2020000}"/>
    <cellStyle name="Normal 2 37 4" xfId="734" xr:uid="{00000000-0005-0000-0000-0000D3020000}"/>
    <cellStyle name="Normal 2 37 5" xfId="735" xr:uid="{00000000-0005-0000-0000-0000D4020000}"/>
    <cellStyle name="Normal 2 37 6" xfId="736" xr:uid="{00000000-0005-0000-0000-0000D5020000}"/>
    <cellStyle name="Normal 2 37 7" xfId="737" xr:uid="{00000000-0005-0000-0000-0000D6020000}"/>
    <cellStyle name="Normal 2 37 8" xfId="738" xr:uid="{00000000-0005-0000-0000-0000D7020000}"/>
    <cellStyle name="Normal 2 37 9" xfId="739" xr:uid="{00000000-0005-0000-0000-0000D8020000}"/>
    <cellStyle name="Normal 2 38" xfId="740" xr:uid="{00000000-0005-0000-0000-0000D9020000}"/>
    <cellStyle name="Normal 2 38 10" xfId="741" xr:uid="{00000000-0005-0000-0000-0000DA020000}"/>
    <cellStyle name="Normal 2 38 11" xfId="742" xr:uid="{00000000-0005-0000-0000-0000DB020000}"/>
    <cellStyle name="Normal 2 38 12" xfId="743" xr:uid="{00000000-0005-0000-0000-0000DC020000}"/>
    <cellStyle name="Normal 2 38 13" xfId="744" xr:uid="{00000000-0005-0000-0000-0000DD020000}"/>
    <cellStyle name="Normal 2 38 14" xfId="745" xr:uid="{00000000-0005-0000-0000-0000DE020000}"/>
    <cellStyle name="Normal 2 38 15" xfId="746" xr:uid="{00000000-0005-0000-0000-0000DF020000}"/>
    <cellStyle name="Normal 2 38 16" xfId="747" xr:uid="{00000000-0005-0000-0000-0000E0020000}"/>
    <cellStyle name="Normal 2 38 17" xfId="748" xr:uid="{00000000-0005-0000-0000-0000E1020000}"/>
    <cellStyle name="Normal 2 38 18" xfId="749" xr:uid="{00000000-0005-0000-0000-0000E2020000}"/>
    <cellStyle name="Normal 2 38 19" xfId="750" xr:uid="{00000000-0005-0000-0000-0000E3020000}"/>
    <cellStyle name="Normal 2 38 2" xfId="751" xr:uid="{00000000-0005-0000-0000-0000E4020000}"/>
    <cellStyle name="Normal 2 38 20" xfId="752" xr:uid="{00000000-0005-0000-0000-0000E5020000}"/>
    <cellStyle name="Normal 2 38 21" xfId="753" xr:uid="{00000000-0005-0000-0000-0000E6020000}"/>
    <cellStyle name="Normal 2 38 22" xfId="754" xr:uid="{00000000-0005-0000-0000-0000E7020000}"/>
    <cellStyle name="Normal 2 38 23" xfId="755" xr:uid="{00000000-0005-0000-0000-0000E8020000}"/>
    <cellStyle name="Normal 2 38 3" xfId="756" xr:uid="{00000000-0005-0000-0000-0000E9020000}"/>
    <cellStyle name="Normal 2 38 4" xfId="757" xr:uid="{00000000-0005-0000-0000-0000EA020000}"/>
    <cellStyle name="Normal 2 38 5" xfId="758" xr:uid="{00000000-0005-0000-0000-0000EB020000}"/>
    <cellStyle name="Normal 2 38 6" xfId="759" xr:uid="{00000000-0005-0000-0000-0000EC020000}"/>
    <cellStyle name="Normal 2 38 7" xfId="760" xr:uid="{00000000-0005-0000-0000-0000ED020000}"/>
    <cellStyle name="Normal 2 38 8" xfId="761" xr:uid="{00000000-0005-0000-0000-0000EE020000}"/>
    <cellStyle name="Normal 2 38 9" xfId="762" xr:uid="{00000000-0005-0000-0000-0000EF020000}"/>
    <cellStyle name="Normal 2 39" xfId="763" xr:uid="{00000000-0005-0000-0000-0000F0020000}"/>
    <cellStyle name="Normal 2 39 10" xfId="764" xr:uid="{00000000-0005-0000-0000-0000F1020000}"/>
    <cellStyle name="Normal 2 39 11" xfId="765" xr:uid="{00000000-0005-0000-0000-0000F2020000}"/>
    <cellStyle name="Normal 2 39 12" xfId="766" xr:uid="{00000000-0005-0000-0000-0000F3020000}"/>
    <cellStyle name="Normal 2 39 13" xfId="767" xr:uid="{00000000-0005-0000-0000-0000F4020000}"/>
    <cellStyle name="Normal 2 39 14" xfId="768" xr:uid="{00000000-0005-0000-0000-0000F5020000}"/>
    <cellStyle name="Normal 2 39 15" xfId="769" xr:uid="{00000000-0005-0000-0000-0000F6020000}"/>
    <cellStyle name="Normal 2 39 16" xfId="770" xr:uid="{00000000-0005-0000-0000-0000F7020000}"/>
    <cellStyle name="Normal 2 39 17" xfId="771" xr:uid="{00000000-0005-0000-0000-0000F8020000}"/>
    <cellStyle name="Normal 2 39 18" xfId="772" xr:uid="{00000000-0005-0000-0000-0000F9020000}"/>
    <cellStyle name="Normal 2 39 19" xfId="773" xr:uid="{00000000-0005-0000-0000-0000FA020000}"/>
    <cellStyle name="Normal 2 39 2" xfId="774" xr:uid="{00000000-0005-0000-0000-0000FB020000}"/>
    <cellStyle name="Normal 2 39 20" xfId="775" xr:uid="{00000000-0005-0000-0000-0000FC020000}"/>
    <cellStyle name="Normal 2 39 21" xfId="776" xr:uid="{00000000-0005-0000-0000-0000FD020000}"/>
    <cellStyle name="Normal 2 39 22" xfId="777" xr:uid="{00000000-0005-0000-0000-0000FE020000}"/>
    <cellStyle name="Normal 2 39 23" xfId="778" xr:uid="{00000000-0005-0000-0000-0000FF020000}"/>
    <cellStyle name="Normal 2 39 3" xfId="779" xr:uid="{00000000-0005-0000-0000-000000030000}"/>
    <cellStyle name="Normal 2 39 4" xfId="780" xr:uid="{00000000-0005-0000-0000-000001030000}"/>
    <cellStyle name="Normal 2 39 5" xfId="781" xr:uid="{00000000-0005-0000-0000-000002030000}"/>
    <cellStyle name="Normal 2 39 6" xfId="782" xr:uid="{00000000-0005-0000-0000-000003030000}"/>
    <cellStyle name="Normal 2 39 7" xfId="783" xr:uid="{00000000-0005-0000-0000-000004030000}"/>
    <cellStyle name="Normal 2 39 8" xfId="784" xr:uid="{00000000-0005-0000-0000-000005030000}"/>
    <cellStyle name="Normal 2 39 9" xfId="785" xr:uid="{00000000-0005-0000-0000-000006030000}"/>
    <cellStyle name="Normal 2 4" xfId="786" xr:uid="{00000000-0005-0000-0000-000007030000}"/>
    <cellStyle name="Normal 2 4 2" xfId="2374" xr:uid="{00000000-0005-0000-0000-000011040000}"/>
    <cellStyle name="Normal 2 4 3" xfId="2375" xr:uid="{00000000-0005-0000-0000-000012040000}"/>
    <cellStyle name="Normal 2 40" xfId="787" xr:uid="{00000000-0005-0000-0000-000008030000}"/>
    <cellStyle name="Normal 2 41" xfId="788" xr:uid="{00000000-0005-0000-0000-000009030000}"/>
    <cellStyle name="Normal 2 42" xfId="789" xr:uid="{00000000-0005-0000-0000-00000A030000}"/>
    <cellStyle name="Normal 2 43" xfId="790" xr:uid="{00000000-0005-0000-0000-00000B030000}"/>
    <cellStyle name="Normal 2 44" xfId="791" xr:uid="{00000000-0005-0000-0000-00000C030000}"/>
    <cellStyle name="Normal 2 45" xfId="792" xr:uid="{00000000-0005-0000-0000-00000D030000}"/>
    <cellStyle name="Normal 2 46" xfId="793" xr:uid="{00000000-0005-0000-0000-00000E030000}"/>
    <cellStyle name="Normal 2 47" xfId="794" xr:uid="{00000000-0005-0000-0000-00000F030000}"/>
    <cellStyle name="Normal 2 48" xfId="795" xr:uid="{00000000-0005-0000-0000-000010030000}"/>
    <cellStyle name="Normal 2 49" xfId="796" xr:uid="{00000000-0005-0000-0000-000011030000}"/>
    <cellStyle name="Normal 2 5" xfId="797" xr:uid="{00000000-0005-0000-0000-000012030000}"/>
    <cellStyle name="Normal 2 5 10" xfId="798" xr:uid="{00000000-0005-0000-0000-000013030000}"/>
    <cellStyle name="Normal 2 5 11" xfId="799" xr:uid="{00000000-0005-0000-0000-000014030000}"/>
    <cellStyle name="Normal 2 5 12" xfId="800" xr:uid="{00000000-0005-0000-0000-000015030000}"/>
    <cellStyle name="Normal 2 5 13" xfId="801" xr:uid="{00000000-0005-0000-0000-000016030000}"/>
    <cellStyle name="Normal 2 5 14" xfId="802" xr:uid="{00000000-0005-0000-0000-000017030000}"/>
    <cellStyle name="Normal 2 5 15" xfId="803" xr:uid="{00000000-0005-0000-0000-000018030000}"/>
    <cellStyle name="Normal 2 5 16" xfId="804" xr:uid="{00000000-0005-0000-0000-000019030000}"/>
    <cellStyle name="Normal 2 5 17" xfId="805" xr:uid="{00000000-0005-0000-0000-00001A030000}"/>
    <cellStyle name="Normal 2 5 18" xfId="806" xr:uid="{00000000-0005-0000-0000-00001B030000}"/>
    <cellStyle name="Normal 2 5 19" xfId="807" xr:uid="{00000000-0005-0000-0000-00001C030000}"/>
    <cellStyle name="Normal 2 5 2" xfId="808" xr:uid="{00000000-0005-0000-0000-00001D030000}"/>
    <cellStyle name="Normal 2 5 2 10" xfId="809" xr:uid="{00000000-0005-0000-0000-00001E030000}"/>
    <cellStyle name="Normal 2 5 2 11" xfId="810" xr:uid="{00000000-0005-0000-0000-00001F030000}"/>
    <cellStyle name="Normal 2 5 2 12" xfId="811" xr:uid="{00000000-0005-0000-0000-000020030000}"/>
    <cellStyle name="Normal 2 5 2 13" xfId="812" xr:uid="{00000000-0005-0000-0000-000021030000}"/>
    <cellStyle name="Normal 2 5 2 14" xfId="813" xr:uid="{00000000-0005-0000-0000-000022030000}"/>
    <cellStyle name="Normal 2 5 2 15" xfId="814" xr:uid="{00000000-0005-0000-0000-000023030000}"/>
    <cellStyle name="Normal 2 5 2 16" xfId="815" xr:uid="{00000000-0005-0000-0000-000024030000}"/>
    <cellStyle name="Normal 2 5 2 17" xfId="816" xr:uid="{00000000-0005-0000-0000-000025030000}"/>
    <cellStyle name="Normal 2 5 2 18" xfId="817" xr:uid="{00000000-0005-0000-0000-000026030000}"/>
    <cellStyle name="Normal 2 5 2 19" xfId="818" xr:uid="{00000000-0005-0000-0000-000027030000}"/>
    <cellStyle name="Normal 2 5 2 2" xfId="819" xr:uid="{00000000-0005-0000-0000-000028030000}"/>
    <cellStyle name="Normal 2 5 2 2 10" xfId="820" xr:uid="{00000000-0005-0000-0000-000029030000}"/>
    <cellStyle name="Normal 2 5 2 2 11" xfId="821" xr:uid="{00000000-0005-0000-0000-00002A030000}"/>
    <cellStyle name="Normal 2 5 2 2 12" xfId="822" xr:uid="{00000000-0005-0000-0000-00002B030000}"/>
    <cellStyle name="Normal 2 5 2 2 13" xfId="823" xr:uid="{00000000-0005-0000-0000-00002C030000}"/>
    <cellStyle name="Normal 2 5 2 2 14" xfId="824" xr:uid="{00000000-0005-0000-0000-00002D030000}"/>
    <cellStyle name="Normal 2 5 2 2 15" xfId="825" xr:uid="{00000000-0005-0000-0000-00002E030000}"/>
    <cellStyle name="Normal 2 5 2 2 16" xfId="826" xr:uid="{00000000-0005-0000-0000-00002F030000}"/>
    <cellStyle name="Normal 2 5 2 2 17" xfId="827" xr:uid="{00000000-0005-0000-0000-000030030000}"/>
    <cellStyle name="Normal 2 5 2 2 18" xfId="828" xr:uid="{00000000-0005-0000-0000-000031030000}"/>
    <cellStyle name="Normal 2 5 2 2 19" xfId="829" xr:uid="{00000000-0005-0000-0000-000032030000}"/>
    <cellStyle name="Normal 2 5 2 2 2" xfId="830" xr:uid="{00000000-0005-0000-0000-000033030000}"/>
    <cellStyle name="Normal 2 5 2 2 20" xfId="831" xr:uid="{00000000-0005-0000-0000-000034030000}"/>
    <cellStyle name="Normal 2 5 2 2 21" xfId="832" xr:uid="{00000000-0005-0000-0000-000035030000}"/>
    <cellStyle name="Normal 2 5 2 2 22" xfId="833" xr:uid="{00000000-0005-0000-0000-000036030000}"/>
    <cellStyle name="Normal 2 5 2 2 23" xfId="834" xr:uid="{00000000-0005-0000-0000-000037030000}"/>
    <cellStyle name="Normal 2 5 2 2 24" xfId="835" xr:uid="{00000000-0005-0000-0000-000038030000}"/>
    <cellStyle name="Normal 2 5 2 2 25" xfId="836" xr:uid="{00000000-0005-0000-0000-000039030000}"/>
    <cellStyle name="Normal 2 5 2 2 26" xfId="837" xr:uid="{00000000-0005-0000-0000-00003A030000}"/>
    <cellStyle name="Normal 2 5 2 2 27" xfId="838" xr:uid="{00000000-0005-0000-0000-00003B030000}"/>
    <cellStyle name="Normal 2 5 2 2 28" xfId="839" xr:uid="{00000000-0005-0000-0000-00003C030000}"/>
    <cellStyle name="Normal 2 5 2 2 29" xfId="840" xr:uid="{00000000-0005-0000-0000-00003D030000}"/>
    <cellStyle name="Normal 2 5 2 2 3" xfId="841" xr:uid="{00000000-0005-0000-0000-00003E030000}"/>
    <cellStyle name="Normal 2 5 2 2 30" xfId="842" xr:uid="{00000000-0005-0000-0000-00003F030000}"/>
    <cellStyle name="Normal 2 5 2 2 31" xfId="843" xr:uid="{00000000-0005-0000-0000-000040030000}"/>
    <cellStyle name="Normal 2 5 2 2 32" xfId="844" xr:uid="{00000000-0005-0000-0000-000041030000}"/>
    <cellStyle name="Normal 2 5 2 2 33" xfId="845" xr:uid="{00000000-0005-0000-0000-000042030000}"/>
    <cellStyle name="Normal 2 5 2 2 34" xfId="846" xr:uid="{00000000-0005-0000-0000-000043030000}"/>
    <cellStyle name="Normal 2 5 2 2 35" xfId="847" xr:uid="{00000000-0005-0000-0000-000044030000}"/>
    <cellStyle name="Normal 2 5 2 2 36" xfId="848" xr:uid="{00000000-0005-0000-0000-000045030000}"/>
    <cellStyle name="Normal 2 5 2 2 37" xfId="849" xr:uid="{00000000-0005-0000-0000-000046030000}"/>
    <cellStyle name="Normal 2 5 2 2 38" xfId="850" xr:uid="{00000000-0005-0000-0000-000047030000}"/>
    <cellStyle name="Normal 2 5 2 2 39" xfId="851" xr:uid="{00000000-0005-0000-0000-000048030000}"/>
    <cellStyle name="Normal 2 5 2 2 4" xfId="852" xr:uid="{00000000-0005-0000-0000-000049030000}"/>
    <cellStyle name="Normal 2 5 2 2 40" xfId="853" xr:uid="{00000000-0005-0000-0000-00004A030000}"/>
    <cellStyle name="Normal 2 5 2 2 41" xfId="854" xr:uid="{00000000-0005-0000-0000-00004B030000}"/>
    <cellStyle name="Normal 2 5 2 2 42" xfId="855" xr:uid="{00000000-0005-0000-0000-00004C030000}"/>
    <cellStyle name="Normal 2 5 2 2 43" xfId="856" xr:uid="{00000000-0005-0000-0000-00004D030000}"/>
    <cellStyle name="Normal 2 5 2 2 44" xfId="857" xr:uid="{00000000-0005-0000-0000-00004E030000}"/>
    <cellStyle name="Normal 2 5 2 2 45" xfId="858" xr:uid="{00000000-0005-0000-0000-00004F030000}"/>
    <cellStyle name="Normal 2 5 2 2 46" xfId="859" xr:uid="{00000000-0005-0000-0000-000050030000}"/>
    <cellStyle name="Normal 2 5 2 2 47" xfId="860" xr:uid="{00000000-0005-0000-0000-000051030000}"/>
    <cellStyle name="Normal 2 5 2 2 48" xfId="861" xr:uid="{00000000-0005-0000-0000-000052030000}"/>
    <cellStyle name="Normal 2 5 2 2 49" xfId="862" xr:uid="{00000000-0005-0000-0000-000053030000}"/>
    <cellStyle name="Normal 2 5 2 2 5" xfId="863" xr:uid="{00000000-0005-0000-0000-000054030000}"/>
    <cellStyle name="Normal 2 5 2 2 50" xfId="864" xr:uid="{00000000-0005-0000-0000-000055030000}"/>
    <cellStyle name="Normal 2 5 2 2 51" xfId="865" xr:uid="{00000000-0005-0000-0000-000056030000}"/>
    <cellStyle name="Normal 2 5 2 2 52" xfId="866" xr:uid="{00000000-0005-0000-0000-000057030000}"/>
    <cellStyle name="Normal 2 5 2 2 53" xfId="867" xr:uid="{00000000-0005-0000-0000-000058030000}"/>
    <cellStyle name="Normal 2 5 2 2 54" xfId="868" xr:uid="{00000000-0005-0000-0000-000059030000}"/>
    <cellStyle name="Normal 2 5 2 2 55" xfId="869" xr:uid="{00000000-0005-0000-0000-00005A030000}"/>
    <cellStyle name="Normal 2 5 2 2 6" xfId="870" xr:uid="{00000000-0005-0000-0000-00005B030000}"/>
    <cellStyle name="Normal 2 5 2 2 7" xfId="871" xr:uid="{00000000-0005-0000-0000-00005C030000}"/>
    <cellStyle name="Normal 2 5 2 2 8" xfId="872" xr:uid="{00000000-0005-0000-0000-00005D030000}"/>
    <cellStyle name="Normal 2 5 2 2 9" xfId="873" xr:uid="{00000000-0005-0000-0000-00005E030000}"/>
    <cellStyle name="Normal 2 5 2 20" xfId="874" xr:uid="{00000000-0005-0000-0000-00005F030000}"/>
    <cellStyle name="Normal 2 5 2 21" xfId="875" xr:uid="{00000000-0005-0000-0000-000060030000}"/>
    <cellStyle name="Normal 2 5 2 22" xfId="876" xr:uid="{00000000-0005-0000-0000-000061030000}"/>
    <cellStyle name="Normal 2 5 2 23" xfId="877" xr:uid="{00000000-0005-0000-0000-000062030000}"/>
    <cellStyle name="Normal 2 5 2 24" xfId="878" xr:uid="{00000000-0005-0000-0000-000063030000}"/>
    <cellStyle name="Normal 2 5 2 25" xfId="879" xr:uid="{00000000-0005-0000-0000-000064030000}"/>
    <cellStyle name="Normal 2 5 2 26" xfId="880" xr:uid="{00000000-0005-0000-0000-000065030000}"/>
    <cellStyle name="Normal 2 5 2 27" xfId="881" xr:uid="{00000000-0005-0000-0000-000066030000}"/>
    <cellStyle name="Normal 2 5 2 28" xfId="882" xr:uid="{00000000-0005-0000-0000-000067030000}"/>
    <cellStyle name="Normal 2 5 2 29" xfId="883" xr:uid="{00000000-0005-0000-0000-000068030000}"/>
    <cellStyle name="Normal 2 5 2 3" xfId="884" xr:uid="{00000000-0005-0000-0000-000069030000}"/>
    <cellStyle name="Normal 2 5 2 30" xfId="885" xr:uid="{00000000-0005-0000-0000-00006A030000}"/>
    <cellStyle name="Normal 2 5 2 31" xfId="886" xr:uid="{00000000-0005-0000-0000-00006B030000}"/>
    <cellStyle name="Normal 2 5 2 32" xfId="887" xr:uid="{00000000-0005-0000-0000-00006C030000}"/>
    <cellStyle name="Normal 2 5 2 33" xfId="888" xr:uid="{00000000-0005-0000-0000-00006D030000}"/>
    <cellStyle name="Normal 2 5 2 4" xfId="889" xr:uid="{00000000-0005-0000-0000-00006E030000}"/>
    <cellStyle name="Normal 2 5 2 5" xfId="890" xr:uid="{00000000-0005-0000-0000-00006F030000}"/>
    <cellStyle name="Normal 2 5 2 6" xfId="891" xr:uid="{00000000-0005-0000-0000-000070030000}"/>
    <cellStyle name="Normal 2 5 2 7" xfId="892" xr:uid="{00000000-0005-0000-0000-000071030000}"/>
    <cellStyle name="Normal 2 5 2 8" xfId="893" xr:uid="{00000000-0005-0000-0000-000072030000}"/>
    <cellStyle name="Normal 2 5 2 9" xfId="894" xr:uid="{00000000-0005-0000-0000-000073030000}"/>
    <cellStyle name="Normal 2 5 20" xfId="895" xr:uid="{00000000-0005-0000-0000-000074030000}"/>
    <cellStyle name="Normal 2 5 21" xfId="896" xr:uid="{00000000-0005-0000-0000-000075030000}"/>
    <cellStyle name="Normal 2 5 22" xfId="897" xr:uid="{00000000-0005-0000-0000-000076030000}"/>
    <cellStyle name="Normal 2 5 23" xfId="898" xr:uid="{00000000-0005-0000-0000-000077030000}"/>
    <cellStyle name="Normal 2 5 24" xfId="899" xr:uid="{00000000-0005-0000-0000-000078030000}"/>
    <cellStyle name="Normal 2 5 25" xfId="900" xr:uid="{00000000-0005-0000-0000-000079030000}"/>
    <cellStyle name="Normal 2 5 26" xfId="901" xr:uid="{00000000-0005-0000-0000-00007A030000}"/>
    <cellStyle name="Normal 2 5 27" xfId="902" xr:uid="{00000000-0005-0000-0000-00007B030000}"/>
    <cellStyle name="Normal 2 5 28" xfId="903" xr:uid="{00000000-0005-0000-0000-00007C030000}"/>
    <cellStyle name="Normal 2 5 29" xfId="904" xr:uid="{00000000-0005-0000-0000-00007D030000}"/>
    <cellStyle name="Normal 2 5 3" xfId="905" xr:uid="{00000000-0005-0000-0000-00007E030000}"/>
    <cellStyle name="Normal 2 5 30" xfId="906" xr:uid="{00000000-0005-0000-0000-00007F030000}"/>
    <cellStyle name="Normal 2 5 31" xfId="907" xr:uid="{00000000-0005-0000-0000-000080030000}"/>
    <cellStyle name="Normal 2 5 32" xfId="908" xr:uid="{00000000-0005-0000-0000-000081030000}"/>
    <cellStyle name="Normal 2 5 33" xfId="909" xr:uid="{00000000-0005-0000-0000-000082030000}"/>
    <cellStyle name="Normal 2 5 34" xfId="910" xr:uid="{00000000-0005-0000-0000-000083030000}"/>
    <cellStyle name="Normal 2 5 35" xfId="911" xr:uid="{00000000-0005-0000-0000-000084030000}"/>
    <cellStyle name="Normal 2 5 36" xfId="912" xr:uid="{00000000-0005-0000-0000-000085030000}"/>
    <cellStyle name="Normal 2 5 37" xfId="913" xr:uid="{00000000-0005-0000-0000-000086030000}"/>
    <cellStyle name="Normal 2 5 38" xfId="914" xr:uid="{00000000-0005-0000-0000-000087030000}"/>
    <cellStyle name="Normal 2 5 39" xfId="915" xr:uid="{00000000-0005-0000-0000-000088030000}"/>
    <cellStyle name="Normal 2 5 4" xfId="916" xr:uid="{00000000-0005-0000-0000-000089030000}"/>
    <cellStyle name="Normal 2 5 40" xfId="917" xr:uid="{00000000-0005-0000-0000-00008A030000}"/>
    <cellStyle name="Normal 2 5 41" xfId="918" xr:uid="{00000000-0005-0000-0000-00008B030000}"/>
    <cellStyle name="Normal 2 5 42" xfId="919" xr:uid="{00000000-0005-0000-0000-00008C030000}"/>
    <cellStyle name="Normal 2 5 43" xfId="920" xr:uid="{00000000-0005-0000-0000-00008D030000}"/>
    <cellStyle name="Normal 2 5 44" xfId="921" xr:uid="{00000000-0005-0000-0000-00008E030000}"/>
    <cellStyle name="Normal 2 5 45" xfId="922" xr:uid="{00000000-0005-0000-0000-00008F030000}"/>
    <cellStyle name="Normal 2 5 46" xfId="923" xr:uid="{00000000-0005-0000-0000-000090030000}"/>
    <cellStyle name="Normal 2 5 47" xfId="924" xr:uid="{00000000-0005-0000-0000-000091030000}"/>
    <cellStyle name="Normal 2 5 48" xfId="925" xr:uid="{00000000-0005-0000-0000-000092030000}"/>
    <cellStyle name="Normal 2 5 49" xfId="926" xr:uid="{00000000-0005-0000-0000-000093030000}"/>
    <cellStyle name="Normal 2 5 5" xfId="927" xr:uid="{00000000-0005-0000-0000-000094030000}"/>
    <cellStyle name="Normal 2 5 50" xfId="928" xr:uid="{00000000-0005-0000-0000-000095030000}"/>
    <cellStyle name="Normal 2 5 51" xfId="929" xr:uid="{00000000-0005-0000-0000-000096030000}"/>
    <cellStyle name="Normal 2 5 52" xfId="930" xr:uid="{00000000-0005-0000-0000-000097030000}"/>
    <cellStyle name="Normal 2 5 53" xfId="931" xr:uid="{00000000-0005-0000-0000-000098030000}"/>
    <cellStyle name="Normal 2 5 54" xfId="932" xr:uid="{00000000-0005-0000-0000-000099030000}"/>
    <cellStyle name="Normal 2 5 55" xfId="933" xr:uid="{00000000-0005-0000-0000-00009A030000}"/>
    <cellStyle name="Normal 2 5 56" xfId="934" xr:uid="{00000000-0005-0000-0000-00009B030000}"/>
    <cellStyle name="Normal 2 5 57" xfId="935" xr:uid="{00000000-0005-0000-0000-00009C030000}"/>
    <cellStyle name="Normal 2 5 58" xfId="936" xr:uid="{00000000-0005-0000-0000-00009D030000}"/>
    <cellStyle name="Normal 2 5 59" xfId="937" xr:uid="{00000000-0005-0000-0000-00009E030000}"/>
    <cellStyle name="Normal 2 5 6" xfId="938" xr:uid="{00000000-0005-0000-0000-00009F030000}"/>
    <cellStyle name="Normal 2 5 60" xfId="939" xr:uid="{00000000-0005-0000-0000-0000A0030000}"/>
    <cellStyle name="Normal 2 5 61" xfId="940" xr:uid="{00000000-0005-0000-0000-0000A1030000}"/>
    <cellStyle name="Normal 2 5 62" xfId="941" xr:uid="{00000000-0005-0000-0000-0000A2030000}"/>
    <cellStyle name="Normal 2 5 63" xfId="942" xr:uid="{00000000-0005-0000-0000-0000A3030000}"/>
    <cellStyle name="Normal 2 5 64" xfId="943" xr:uid="{00000000-0005-0000-0000-0000A4030000}"/>
    <cellStyle name="Normal 2 5 65" xfId="944" xr:uid="{00000000-0005-0000-0000-0000A5030000}"/>
    <cellStyle name="Normal 2 5 66" xfId="945" xr:uid="{00000000-0005-0000-0000-0000A6030000}"/>
    <cellStyle name="Normal 2 5 67" xfId="946" xr:uid="{00000000-0005-0000-0000-0000A7030000}"/>
    <cellStyle name="Normal 2 5 68" xfId="947" xr:uid="{00000000-0005-0000-0000-0000A8030000}"/>
    <cellStyle name="Normal 2 5 69" xfId="948" xr:uid="{00000000-0005-0000-0000-0000A9030000}"/>
    <cellStyle name="Normal 2 5 7" xfId="949" xr:uid="{00000000-0005-0000-0000-0000AA030000}"/>
    <cellStyle name="Normal 2 5 70" xfId="950" xr:uid="{00000000-0005-0000-0000-0000AB030000}"/>
    <cellStyle name="Normal 2 5 71" xfId="951" xr:uid="{00000000-0005-0000-0000-0000AC030000}"/>
    <cellStyle name="Normal 2 5 72" xfId="952" xr:uid="{00000000-0005-0000-0000-0000AD030000}"/>
    <cellStyle name="Normal 2 5 73" xfId="953" xr:uid="{00000000-0005-0000-0000-0000AE030000}"/>
    <cellStyle name="Normal 2 5 74" xfId="954" xr:uid="{00000000-0005-0000-0000-0000AF030000}"/>
    <cellStyle name="Normal 2 5 75" xfId="955" xr:uid="{00000000-0005-0000-0000-0000B0030000}"/>
    <cellStyle name="Normal 2 5 76" xfId="956" xr:uid="{00000000-0005-0000-0000-0000B1030000}"/>
    <cellStyle name="Normal 2 5 77" xfId="957" xr:uid="{00000000-0005-0000-0000-0000B2030000}"/>
    <cellStyle name="Normal 2 5 78" xfId="958" xr:uid="{00000000-0005-0000-0000-0000B3030000}"/>
    <cellStyle name="Normal 2 5 79" xfId="959" xr:uid="{00000000-0005-0000-0000-0000B4030000}"/>
    <cellStyle name="Normal 2 5 8" xfId="960" xr:uid="{00000000-0005-0000-0000-0000B5030000}"/>
    <cellStyle name="Normal 2 5 80" xfId="961" xr:uid="{00000000-0005-0000-0000-0000B6030000}"/>
    <cellStyle name="Normal 2 5 81" xfId="962" xr:uid="{00000000-0005-0000-0000-0000B7030000}"/>
    <cellStyle name="Normal 2 5 82" xfId="963" xr:uid="{00000000-0005-0000-0000-0000B8030000}"/>
    <cellStyle name="Normal 2 5 83" xfId="964" xr:uid="{00000000-0005-0000-0000-0000B9030000}"/>
    <cellStyle name="Normal 2 5 84" xfId="965" xr:uid="{00000000-0005-0000-0000-0000BA030000}"/>
    <cellStyle name="Normal 2 5 85" xfId="966" xr:uid="{00000000-0005-0000-0000-0000BB030000}"/>
    <cellStyle name="Normal 2 5 86" xfId="967" xr:uid="{00000000-0005-0000-0000-0000BC030000}"/>
    <cellStyle name="Normal 2 5 87" xfId="968" xr:uid="{00000000-0005-0000-0000-0000BD030000}"/>
    <cellStyle name="Normal 2 5 88" xfId="2376" xr:uid="{00000000-0005-0000-0000-0000C9040000}"/>
    <cellStyle name="Normal 2 5 9" xfId="969" xr:uid="{00000000-0005-0000-0000-0000BE030000}"/>
    <cellStyle name="Normal 2 5_DEER 032008 Cost Summary Delivery - Rev 4 (2)" xfId="970" xr:uid="{00000000-0005-0000-0000-0000BF030000}"/>
    <cellStyle name="Normal 2 50" xfId="971" xr:uid="{00000000-0005-0000-0000-0000C0030000}"/>
    <cellStyle name="Normal 2 51" xfId="972" xr:uid="{00000000-0005-0000-0000-0000C1030000}"/>
    <cellStyle name="Normal 2 52" xfId="973" xr:uid="{00000000-0005-0000-0000-0000C2030000}"/>
    <cellStyle name="Normal 2 53" xfId="974" xr:uid="{00000000-0005-0000-0000-0000C3030000}"/>
    <cellStyle name="Normal 2 54" xfId="975" xr:uid="{00000000-0005-0000-0000-0000C4030000}"/>
    <cellStyle name="Normal 2 55" xfId="976" xr:uid="{00000000-0005-0000-0000-0000C5030000}"/>
    <cellStyle name="Normal 2 56" xfId="977" xr:uid="{00000000-0005-0000-0000-0000C6030000}"/>
    <cellStyle name="Normal 2 57" xfId="978" xr:uid="{00000000-0005-0000-0000-0000C7030000}"/>
    <cellStyle name="Normal 2 58" xfId="979" xr:uid="{00000000-0005-0000-0000-0000C8030000}"/>
    <cellStyle name="Normal 2 59" xfId="980" xr:uid="{00000000-0005-0000-0000-0000C9030000}"/>
    <cellStyle name="Normal 2 6" xfId="981" xr:uid="{00000000-0005-0000-0000-0000CA030000}"/>
    <cellStyle name="Normal 2 6 2" xfId="2377" xr:uid="{00000000-0005-0000-0000-0000D7040000}"/>
    <cellStyle name="Normal 2 60" xfId="982" xr:uid="{00000000-0005-0000-0000-0000CB030000}"/>
    <cellStyle name="Normal 2 61" xfId="983" xr:uid="{00000000-0005-0000-0000-0000CC030000}"/>
    <cellStyle name="Normal 2 62" xfId="984" xr:uid="{00000000-0005-0000-0000-0000CD030000}"/>
    <cellStyle name="Normal 2 63" xfId="985" xr:uid="{00000000-0005-0000-0000-0000CE030000}"/>
    <cellStyle name="Normal 2 64" xfId="986" xr:uid="{00000000-0005-0000-0000-0000CF030000}"/>
    <cellStyle name="Normal 2 65" xfId="987" xr:uid="{00000000-0005-0000-0000-0000D0030000}"/>
    <cellStyle name="Normal 2 66" xfId="988" xr:uid="{00000000-0005-0000-0000-0000D1030000}"/>
    <cellStyle name="Normal 2 67" xfId="989" xr:uid="{00000000-0005-0000-0000-0000D2030000}"/>
    <cellStyle name="Normal 2 68" xfId="990" xr:uid="{00000000-0005-0000-0000-0000D3030000}"/>
    <cellStyle name="Normal 2 69" xfId="991" xr:uid="{00000000-0005-0000-0000-0000D4030000}"/>
    <cellStyle name="Normal 2 7" xfId="992" xr:uid="{00000000-0005-0000-0000-0000D5030000}"/>
    <cellStyle name="Normal 2 70" xfId="993" xr:uid="{00000000-0005-0000-0000-0000D6030000}"/>
    <cellStyle name="Normal 2 71" xfId="994" xr:uid="{00000000-0005-0000-0000-0000D7030000}"/>
    <cellStyle name="Normal 2 72" xfId="995" xr:uid="{00000000-0005-0000-0000-0000D8030000}"/>
    <cellStyle name="Normal 2 73" xfId="996" xr:uid="{00000000-0005-0000-0000-0000D9030000}"/>
    <cellStyle name="Normal 2 74" xfId="997" xr:uid="{00000000-0005-0000-0000-0000DA030000}"/>
    <cellStyle name="Normal 2 75" xfId="998" xr:uid="{00000000-0005-0000-0000-0000DB030000}"/>
    <cellStyle name="Normal 2 76" xfId="999" xr:uid="{00000000-0005-0000-0000-0000DC030000}"/>
    <cellStyle name="Normal 2 77" xfId="1000" xr:uid="{00000000-0005-0000-0000-0000DD030000}"/>
    <cellStyle name="Normal 2 78" xfId="1001" xr:uid="{00000000-0005-0000-0000-0000DE030000}"/>
    <cellStyle name="Normal 2 79" xfId="1002" xr:uid="{00000000-0005-0000-0000-0000DF030000}"/>
    <cellStyle name="Normal 2 8" xfId="1003" xr:uid="{00000000-0005-0000-0000-0000E0030000}"/>
    <cellStyle name="Normal 2 8 10" xfId="1004" xr:uid="{00000000-0005-0000-0000-0000E1030000}"/>
    <cellStyle name="Normal 2 8 11" xfId="1005" xr:uid="{00000000-0005-0000-0000-0000E2030000}"/>
    <cellStyle name="Normal 2 8 12" xfId="1006" xr:uid="{00000000-0005-0000-0000-0000E3030000}"/>
    <cellStyle name="Normal 2 8 13" xfId="1007" xr:uid="{00000000-0005-0000-0000-0000E4030000}"/>
    <cellStyle name="Normal 2 8 14" xfId="1008" xr:uid="{00000000-0005-0000-0000-0000E5030000}"/>
    <cellStyle name="Normal 2 8 15" xfId="1009" xr:uid="{00000000-0005-0000-0000-0000E6030000}"/>
    <cellStyle name="Normal 2 8 16" xfId="1010" xr:uid="{00000000-0005-0000-0000-0000E7030000}"/>
    <cellStyle name="Normal 2 8 17" xfId="1011" xr:uid="{00000000-0005-0000-0000-0000E8030000}"/>
    <cellStyle name="Normal 2 8 18" xfId="1012" xr:uid="{00000000-0005-0000-0000-0000E9030000}"/>
    <cellStyle name="Normal 2 8 19" xfId="1013" xr:uid="{00000000-0005-0000-0000-0000EA030000}"/>
    <cellStyle name="Normal 2 8 2" xfId="1014" xr:uid="{00000000-0005-0000-0000-0000EB030000}"/>
    <cellStyle name="Normal 2 8 20" xfId="1015" xr:uid="{00000000-0005-0000-0000-0000EC030000}"/>
    <cellStyle name="Normal 2 8 21" xfId="1016" xr:uid="{00000000-0005-0000-0000-0000ED030000}"/>
    <cellStyle name="Normal 2 8 22" xfId="1017" xr:uid="{00000000-0005-0000-0000-0000EE030000}"/>
    <cellStyle name="Normal 2 8 23" xfId="1018" xr:uid="{00000000-0005-0000-0000-0000EF030000}"/>
    <cellStyle name="Normal 2 8 3" xfId="1019" xr:uid="{00000000-0005-0000-0000-0000F0030000}"/>
    <cellStyle name="Normal 2 8 4" xfId="1020" xr:uid="{00000000-0005-0000-0000-0000F1030000}"/>
    <cellStyle name="Normal 2 8 5" xfId="1021" xr:uid="{00000000-0005-0000-0000-0000F2030000}"/>
    <cellStyle name="Normal 2 8 6" xfId="1022" xr:uid="{00000000-0005-0000-0000-0000F3030000}"/>
    <cellStyle name="Normal 2 8 7" xfId="1023" xr:uid="{00000000-0005-0000-0000-0000F4030000}"/>
    <cellStyle name="Normal 2 8 8" xfId="1024" xr:uid="{00000000-0005-0000-0000-0000F5030000}"/>
    <cellStyle name="Normal 2 8 9" xfId="1025" xr:uid="{00000000-0005-0000-0000-0000F6030000}"/>
    <cellStyle name="Normal 2 80" xfId="1026" xr:uid="{00000000-0005-0000-0000-0000F7030000}"/>
    <cellStyle name="Normal 2 81" xfId="1027" xr:uid="{00000000-0005-0000-0000-0000F8030000}"/>
    <cellStyle name="Normal 2 82" xfId="1028" xr:uid="{00000000-0005-0000-0000-0000F9030000}"/>
    <cellStyle name="Normal 2 83" xfId="1029" xr:uid="{00000000-0005-0000-0000-0000FA030000}"/>
    <cellStyle name="Normal 2 84" xfId="1030" xr:uid="{00000000-0005-0000-0000-0000FB030000}"/>
    <cellStyle name="Normal 2 85" xfId="1031" xr:uid="{00000000-0005-0000-0000-0000FC030000}"/>
    <cellStyle name="Normal 2 86" xfId="1032" xr:uid="{00000000-0005-0000-0000-0000FD030000}"/>
    <cellStyle name="Normal 2 87" xfId="1033" xr:uid="{00000000-0005-0000-0000-0000FE030000}"/>
    <cellStyle name="Normal 2 88" xfId="1034" xr:uid="{00000000-0005-0000-0000-0000FF030000}"/>
    <cellStyle name="Normal 2 89" xfId="1035" xr:uid="{00000000-0005-0000-0000-000000040000}"/>
    <cellStyle name="Normal 2 9" xfId="1036" xr:uid="{00000000-0005-0000-0000-000001040000}"/>
    <cellStyle name="Normal 2 9 10" xfId="1037" xr:uid="{00000000-0005-0000-0000-000002040000}"/>
    <cellStyle name="Normal 2 9 11" xfId="1038" xr:uid="{00000000-0005-0000-0000-000003040000}"/>
    <cellStyle name="Normal 2 9 12" xfId="1039" xr:uid="{00000000-0005-0000-0000-000004040000}"/>
    <cellStyle name="Normal 2 9 13" xfId="1040" xr:uid="{00000000-0005-0000-0000-000005040000}"/>
    <cellStyle name="Normal 2 9 14" xfId="1041" xr:uid="{00000000-0005-0000-0000-000006040000}"/>
    <cellStyle name="Normal 2 9 15" xfId="1042" xr:uid="{00000000-0005-0000-0000-000007040000}"/>
    <cellStyle name="Normal 2 9 16" xfId="1043" xr:uid="{00000000-0005-0000-0000-000008040000}"/>
    <cellStyle name="Normal 2 9 17" xfId="1044" xr:uid="{00000000-0005-0000-0000-000009040000}"/>
    <cellStyle name="Normal 2 9 18" xfId="1045" xr:uid="{00000000-0005-0000-0000-00000A040000}"/>
    <cellStyle name="Normal 2 9 19" xfId="1046" xr:uid="{00000000-0005-0000-0000-00000B040000}"/>
    <cellStyle name="Normal 2 9 2" xfId="1047" xr:uid="{00000000-0005-0000-0000-00000C040000}"/>
    <cellStyle name="Normal 2 9 20" xfId="1048" xr:uid="{00000000-0005-0000-0000-00000D040000}"/>
    <cellStyle name="Normal 2 9 21" xfId="1049" xr:uid="{00000000-0005-0000-0000-00000E040000}"/>
    <cellStyle name="Normal 2 9 22" xfId="1050" xr:uid="{00000000-0005-0000-0000-00000F040000}"/>
    <cellStyle name="Normal 2 9 23" xfId="1051" xr:uid="{00000000-0005-0000-0000-000010040000}"/>
    <cellStyle name="Normal 2 9 3" xfId="1052" xr:uid="{00000000-0005-0000-0000-000011040000}"/>
    <cellStyle name="Normal 2 9 4" xfId="1053" xr:uid="{00000000-0005-0000-0000-000012040000}"/>
    <cellStyle name="Normal 2 9 5" xfId="1054" xr:uid="{00000000-0005-0000-0000-000013040000}"/>
    <cellStyle name="Normal 2 9 6" xfId="1055" xr:uid="{00000000-0005-0000-0000-000014040000}"/>
    <cellStyle name="Normal 2 9 7" xfId="1056" xr:uid="{00000000-0005-0000-0000-000015040000}"/>
    <cellStyle name="Normal 2 9 8" xfId="1057" xr:uid="{00000000-0005-0000-0000-000016040000}"/>
    <cellStyle name="Normal 2 9 9" xfId="1058" xr:uid="{00000000-0005-0000-0000-000017040000}"/>
    <cellStyle name="Normal 2 90" xfId="1059" xr:uid="{00000000-0005-0000-0000-000018040000}"/>
    <cellStyle name="Normal 2 91" xfId="1060" xr:uid="{00000000-0005-0000-0000-000019040000}"/>
    <cellStyle name="Normal 2 92" xfId="1061" xr:uid="{00000000-0005-0000-0000-00001A040000}"/>
    <cellStyle name="Normal 2 93" xfId="1062" xr:uid="{00000000-0005-0000-0000-00001B040000}"/>
    <cellStyle name="Normal 2 94" xfId="55" xr:uid="{00000000-0005-0000-0000-00001C040000}"/>
    <cellStyle name="Normal 2 95" xfId="2063" xr:uid="{00000000-0005-0000-0000-00004C010000}"/>
    <cellStyle name="Normal 2_DEER 032008 Cost Summary Delivery - Rev 4 (2)" xfId="1063" xr:uid="{00000000-0005-0000-0000-00001D040000}"/>
    <cellStyle name="Normal 20" xfId="2378" xr:uid="{00000000-0005-0000-0000-00002B050000}"/>
    <cellStyle name="Normal 21" xfId="2379" xr:uid="{00000000-0005-0000-0000-00002C050000}"/>
    <cellStyle name="Normal 22" xfId="2380" xr:uid="{00000000-0005-0000-0000-00002D050000}"/>
    <cellStyle name="Normal 23" xfId="2381" xr:uid="{00000000-0005-0000-0000-00002E050000}"/>
    <cellStyle name="Normal 24" xfId="2382" xr:uid="{00000000-0005-0000-0000-00002F050000}"/>
    <cellStyle name="Normal 3" xfId="51" xr:uid="{00000000-0005-0000-0000-00001E040000}"/>
    <cellStyle name="Normal 3 10" xfId="1065" xr:uid="{00000000-0005-0000-0000-00001F040000}"/>
    <cellStyle name="Normal 3 10 10" xfId="1066" xr:uid="{00000000-0005-0000-0000-000020040000}"/>
    <cellStyle name="Normal 3 10 11" xfId="1067" xr:uid="{00000000-0005-0000-0000-000021040000}"/>
    <cellStyle name="Normal 3 10 12" xfId="1068" xr:uid="{00000000-0005-0000-0000-000022040000}"/>
    <cellStyle name="Normal 3 10 13" xfId="1069" xr:uid="{00000000-0005-0000-0000-000023040000}"/>
    <cellStyle name="Normal 3 10 14" xfId="1070" xr:uid="{00000000-0005-0000-0000-000024040000}"/>
    <cellStyle name="Normal 3 10 15" xfId="1071" xr:uid="{00000000-0005-0000-0000-000025040000}"/>
    <cellStyle name="Normal 3 10 16" xfId="1072" xr:uid="{00000000-0005-0000-0000-000026040000}"/>
    <cellStyle name="Normal 3 10 17" xfId="1073" xr:uid="{00000000-0005-0000-0000-000027040000}"/>
    <cellStyle name="Normal 3 10 18" xfId="1074" xr:uid="{00000000-0005-0000-0000-000028040000}"/>
    <cellStyle name="Normal 3 10 19" xfId="1075" xr:uid="{00000000-0005-0000-0000-000029040000}"/>
    <cellStyle name="Normal 3 10 2" xfId="1076" xr:uid="{00000000-0005-0000-0000-00002A040000}"/>
    <cellStyle name="Normal 3 10 20" xfId="1077" xr:uid="{00000000-0005-0000-0000-00002B040000}"/>
    <cellStyle name="Normal 3 10 21" xfId="1078" xr:uid="{00000000-0005-0000-0000-00002C040000}"/>
    <cellStyle name="Normal 3 10 22" xfId="1079" xr:uid="{00000000-0005-0000-0000-00002D040000}"/>
    <cellStyle name="Normal 3 10 23" xfId="1080" xr:uid="{00000000-0005-0000-0000-00002E040000}"/>
    <cellStyle name="Normal 3 10 3" xfId="1081" xr:uid="{00000000-0005-0000-0000-00002F040000}"/>
    <cellStyle name="Normal 3 10 4" xfId="1082" xr:uid="{00000000-0005-0000-0000-000030040000}"/>
    <cellStyle name="Normal 3 10 5" xfId="1083" xr:uid="{00000000-0005-0000-0000-000031040000}"/>
    <cellStyle name="Normal 3 10 6" xfId="1084" xr:uid="{00000000-0005-0000-0000-000032040000}"/>
    <cellStyle name="Normal 3 10 7" xfId="1085" xr:uid="{00000000-0005-0000-0000-000033040000}"/>
    <cellStyle name="Normal 3 10 8" xfId="1086" xr:uid="{00000000-0005-0000-0000-000034040000}"/>
    <cellStyle name="Normal 3 10 9" xfId="1087" xr:uid="{00000000-0005-0000-0000-000035040000}"/>
    <cellStyle name="Normal 3 11" xfId="1088" xr:uid="{00000000-0005-0000-0000-000036040000}"/>
    <cellStyle name="Normal 3 11 10" xfId="1089" xr:uid="{00000000-0005-0000-0000-000037040000}"/>
    <cellStyle name="Normal 3 11 11" xfId="1090" xr:uid="{00000000-0005-0000-0000-000038040000}"/>
    <cellStyle name="Normal 3 11 12" xfId="1091" xr:uid="{00000000-0005-0000-0000-000039040000}"/>
    <cellStyle name="Normal 3 11 13" xfId="1092" xr:uid="{00000000-0005-0000-0000-00003A040000}"/>
    <cellStyle name="Normal 3 11 14" xfId="1093" xr:uid="{00000000-0005-0000-0000-00003B040000}"/>
    <cellStyle name="Normal 3 11 15" xfId="1094" xr:uid="{00000000-0005-0000-0000-00003C040000}"/>
    <cellStyle name="Normal 3 11 16" xfId="1095" xr:uid="{00000000-0005-0000-0000-00003D040000}"/>
    <cellStyle name="Normal 3 11 17" xfId="1096" xr:uid="{00000000-0005-0000-0000-00003E040000}"/>
    <cellStyle name="Normal 3 11 18" xfId="1097" xr:uid="{00000000-0005-0000-0000-00003F040000}"/>
    <cellStyle name="Normal 3 11 19" xfId="1098" xr:uid="{00000000-0005-0000-0000-000040040000}"/>
    <cellStyle name="Normal 3 11 2" xfId="1099" xr:uid="{00000000-0005-0000-0000-000041040000}"/>
    <cellStyle name="Normal 3 11 20" xfId="1100" xr:uid="{00000000-0005-0000-0000-000042040000}"/>
    <cellStyle name="Normal 3 11 21" xfId="1101" xr:uid="{00000000-0005-0000-0000-000043040000}"/>
    <cellStyle name="Normal 3 11 22" xfId="1102" xr:uid="{00000000-0005-0000-0000-000044040000}"/>
    <cellStyle name="Normal 3 11 23" xfId="1103" xr:uid="{00000000-0005-0000-0000-000045040000}"/>
    <cellStyle name="Normal 3 11 24" xfId="2383" xr:uid="{00000000-0005-0000-0000-000048050000}"/>
    <cellStyle name="Normal 3 11 3" xfId="1104" xr:uid="{00000000-0005-0000-0000-000046040000}"/>
    <cellStyle name="Normal 3 11 4" xfId="1105" xr:uid="{00000000-0005-0000-0000-000047040000}"/>
    <cellStyle name="Normal 3 11 5" xfId="1106" xr:uid="{00000000-0005-0000-0000-000048040000}"/>
    <cellStyle name="Normal 3 11 6" xfId="1107" xr:uid="{00000000-0005-0000-0000-000049040000}"/>
    <cellStyle name="Normal 3 11 7" xfId="1108" xr:uid="{00000000-0005-0000-0000-00004A040000}"/>
    <cellStyle name="Normal 3 11 8" xfId="1109" xr:uid="{00000000-0005-0000-0000-00004B040000}"/>
    <cellStyle name="Normal 3 11 9" xfId="1110" xr:uid="{00000000-0005-0000-0000-00004C040000}"/>
    <cellStyle name="Normal 3 12" xfId="1111" xr:uid="{00000000-0005-0000-0000-00004D040000}"/>
    <cellStyle name="Normal 3 12 10" xfId="1112" xr:uid="{00000000-0005-0000-0000-00004E040000}"/>
    <cellStyle name="Normal 3 12 11" xfId="1113" xr:uid="{00000000-0005-0000-0000-00004F040000}"/>
    <cellStyle name="Normal 3 12 12" xfId="1114" xr:uid="{00000000-0005-0000-0000-000050040000}"/>
    <cellStyle name="Normal 3 12 13" xfId="1115" xr:uid="{00000000-0005-0000-0000-000051040000}"/>
    <cellStyle name="Normal 3 12 14" xfId="1116" xr:uid="{00000000-0005-0000-0000-000052040000}"/>
    <cellStyle name="Normal 3 12 15" xfId="1117" xr:uid="{00000000-0005-0000-0000-000053040000}"/>
    <cellStyle name="Normal 3 12 16" xfId="1118" xr:uid="{00000000-0005-0000-0000-000054040000}"/>
    <cellStyle name="Normal 3 12 17" xfId="1119" xr:uid="{00000000-0005-0000-0000-000055040000}"/>
    <cellStyle name="Normal 3 12 18" xfId="1120" xr:uid="{00000000-0005-0000-0000-000056040000}"/>
    <cellStyle name="Normal 3 12 19" xfId="1121" xr:uid="{00000000-0005-0000-0000-000057040000}"/>
    <cellStyle name="Normal 3 12 2" xfId="1122" xr:uid="{00000000-0005-0000-0000-000058040000}"/>
    <cellStyle name="Normal 3 12 20" xfId="1123" xr:uid="{00000000-0005-0000-0000-000059040000}"/>
    <cellStyle name="Normal 3 12 21" xfId="1124" xr:uid="{00000000-0005-0000-0000-00005A040000}"/>
    <cellStyle name="Normal 3 12 22" xfId="1125" xr:uid="{00000000-0005-0000-0000-00005B040000}"/>
    <cellStyle name="Normal 3 12 23" xfId="1126" xr:uid="{00000000-0005-0000-0000-00005C040000}"/>
    <cellStyle name="Normal 3 12 3" xfId="1127" xr:uid="{00000000-0005-0000-0000-00005D040000}"/>
    <cellStyle name="Normal 3 12 4" xfId="1128" xr:uid="{00000000-0005-0000-0000-00005E040000}"/>
    <cellStyle name="Normal 3 12 5" xfId="1129" xr:uid="{00000000-0005-0000-0000-00005F040000}"/>
    <cellStyle name="Normal 3 12 6" xfId="1130" xr:uid="{00000000-0005-0000-0000-000060040000}"/>
    <cellStyle name="Normal 3 12 7" xfId="1131" xr:uid="{00000000-0005-0000-0000-000061040000}"/>
    <cellStyle name="Normal 3 12 8" xfId="1132" xr:uid="{00000000-0005-0000-0000-000062040000}"/>
    <cellStyle name="Normal 3 12 9" xfId="1133" xr:uid="{00000000-0005-0000-0000-000063040000}"/>
    <cellStyle name="Normal 3 13" xfId="1134" xr:uid="{00000000-0005-0000-0000-000064040000}"/>
    <cellStyle name="Normal 3 13 10" xfId="1135" xr:uid="{00000000-0005-0000-0000-000065040000}"/>
    <cellStyle name="Normal 3 13 11" xfId="1136" xr:uid="{00000000-0005-0000-0000-000066040000}"/>
    <cellStyle name="Normal 3 13 12" xfId="1137" xr:uid="{00000000-0005-0000-0000-000067040000}"/>
    <cellStyle name="Normal 3 13 13" xfId="1138" xr:uid="{00000000-0005-0000-0000-000068040000}"/>
    <cellStyle name="Normal 3 13 14" xfId="1139" xr:uid="{00000000-0005-0000-0000-000069040000}"/>
    <cellStyle name="Normal 3 13 15" xfId="1140" xr:uid="{00000000-0005-0000-0000-00006A040000}"/>
    <cellStyle name="Normal 3 13 16" xfId="1141" xr:uid="{00000000-0005-0000-0000-00006B040000}"/>
    <cellStyle name="Normal 3 13 17" xfId="1142" xr:uid="{00000000-0005-0000-0000-00006C040000}"/>
    <cellStyle name="Normal 3 13 18" xfId="1143" xr:uid="{00000000-0005-0000-0000-00006D040000}"/>
    <cellStyle name="Normal 3 13 19" xfId="1144" xr:uid="{00000000-0005-0000-0000-00006E040000}"/>
    <cellStyle name="Normal 3 13 2" xfId="1145" xr:uid="{00000000-0005-0000-0000-00006F040000}"/>
    <cellStyle name="Normal 3 13 20" xfId="1146" xr:uid="{00000000-0005-0000-0000-000070040000}"/>
    <cellStyle name="Normal 3 13 21" xfId="1147" xr:uid="{00000000-0005-0000-0000-000071040000}"/>
    <cellStyle name="Normal 3 13 22" xfId="1148" xr:uid="{00000000-0005-0000-0000-000072040000}"/>
    <cellStyle name="Normal 3 13 23" xfId="1149" xr:uid="{00000000-0005-0000-0000-000073040000}"/>
    <cellStyle name="Normal 3 13 3" xfId="1150" xr:uid="{00000000-0005-0000-0000-000074040000}"/>
    <cellStyle name="Normal 3 13 4" xfId="1151" xr:uid="{00000000-0005-0000-0000-000075040000}"/>
    <cellStyle name="Normal 3 13 5" xfId="1152" xr:uid="{00000000-0005-0000-0000-000076040000}"/>
    <cellStyle name="Normal 3 13 6" xfId="1153" xr:uid="{00000000-0005-0000-0000-000077040000}"/>
    <cellStyle name="Normal 3 13 7" xfId="1154" xr:uid="{00000000-0005-0000-0000-000078040000}"/>
    <cellStyle name="Normal 3 13 8" xfId="1155" xr:uid="{00000000-0005-0000-0000-000079040000}"/>
    <cellStyle name="Normal 3 13 9" xfId="1156" xr:uid="{00000000-0005-0000-0000-00007A040000}"/>
    <cellStyle name="Normal 3 14" xfId="1157" xr:uid="{00000000-0005-0000-0000-00007B040000}"/>
    <cellStyle name="Normal 3 14 10" xfId="1158" xr:uid="{00000000-0005-0000-0000-00007C040000}"/>
    <cellStyle name="Normal 3 14 11" xfId="1159" xr:uid="{00000000-0005-0000-0000-00007D040000}"/>
    <cellStyle name="Normal 3 14 12" xfId="1160" xr:uid="{00000000-0005-0000-0000-00007E040000}"/>
    <cellStyle name="Normal 3 14 13" xfId="1161" xr:uid="{00000000-0005-0000-0000-00007F040000}"/>
    <cellStyle name="Normal 3 14 14" xfId="1162" xr:uid="{00000000-0005-0000-0000-000080040000}"/>
    <cellStyle name="Normal 3 14 15" xfId="1163" xr:uid="{00000000-0005-0000-0000-000081040000}"/>
    <cellStyle name="Normal 3 14 16" xfId="1164" xr:uid="{00000000-0005-0000-0000-000082040000}"/>
    <cellStyle name="Normal 3 14 17" xfId="1165" xr:uid="{00000000-0005-0000-0000-000083040000}"/>
    <cellStyle name="Normal 3 14 18" xfId="1166" xr:uid="{00000000-0005-0000-0000-000084040000}"/>
    <cellStyle name="Normal 3 14 19" xfId="1167" xr:uid="{00000000-0005-0000-0000-000085040000}"/>
    <cellStyle name="Normal 3 14 2" xfId="1168" xr:uid="{00000000-0005-0000-0000-000086040000}"/>
    <cellStyle name="Normal 3 14 20" xfId="1169" xr:uid="{00000000-0005-0000-0000-000087040000}"/>
    <cellStyle name="Normal 3 14 21" xfId="1170" xr:uid="{00000000-0005-0000-0000-000088040000}"/>
    <cellStyle name="Normal 3 14 22" xfId="1171" xr:uid="{00000000-0005-0000-0000-000089040000}"/>
    <cellStyle name="Normal 3 14 23" xfId="1172" xr:uid="{00000000-0005-0000-0000-00008A040000}"/>
    <cellStyle name="Normal 3 14 24" xfId="2384" xr:uid="{00000000-0005-0000-0000-00008D050000}"/>
    <cellStyle name="Normal 3 14 3" xfId="1173" xr:uid="{00000000-0005-0000-0000-00008B040000}"/>
    <cellStyle name="Normal 3 14 4" xfId="1174" xr:uid="{00000000-0005-0000-0000-00008C040000}"/>
    <cellStyle name="Normal 3 14 5" xfId="1175" xr:uid="{00000000-0005-0000-0000-00008D040000}"/>
    <cellStyle name="Normal 3 14 6" xfId="1176" xr:uid="{00000000-0005-0000-0000-00008E040000}"/>
    <cellStyle name="Normal 3 14 7" xfId="1177" xr:uid="{00000000-0005-0000-0000-00008F040000}"/>
    <cellStyle name="Normal 3 14 8" xfId="1178" xr:uid="{00000000-0005-0000-0000-000090040000}"/>
    <cellStyle name="Normal 3 14 9" xfId="1179" xr:uid="{00000000-0005-0000-0000-000091040000}"/>
    <cellStyle name="Normal 3 15" xfId="1180" xr:uid="{00000000-0005-0000-0000-000092040000}"/>
    <cellStyle name="Normal 3 15 10" xfId="1181" xr:uid="{00000000-0005-0000-0000-000093040000}"/>
    <cellStyle name="Normal 3 15 11" xfId="1182" xr:uid="{00000000-0005-0000-0000-000094040000}"/>
    <cellStyle name="Normal 3 15 12" xfId="1183" xr:uid="{00000000-0005-0000-0000-000095040000}"/>
    <cellStyle name="Normal 3 15 13" xfId="1184" xr:uid="{00000000-0005-0000-0000-000096040000}"/>
    <cellStyle name="Normal 3 15 14" xfId="1185" xr:uid="{00000000-0005-0000-0000-000097040000}"/>
    <cellStyle name="Normal 3 15 15" xfId="1186" xr:uid="{00000000-0005-0000-0000-000098040000}"/>
    <cellStyle name="Normal 3 15 16" xfId="1187" xr:uid="{00000000-0005-0000-0000-000099040000}"/>
    <cellStyle name="Normal 3 15 17" xfId="1188" xr:uid="{00000000-0005-0000-0000-00009A040000}"/>
    <cellStyle name="Normal 3 15 18" xfId="1189" xr:uid="{00000000-0005-0000-0000-00009B040000}"/>
    <cellStyle name="Normal 3 15 19" xfId="1190" xr:uid="{00000000-0005-0000-0000-00009C040000}"/>
    <cellStyle name="Normal 3 15 2" xfId="1191" xr:uid="{00000000-0005-0000-0000-00009D040000}"/>
    <cellStyle name="Normal 3 15 20" xfId="1192" xr:uid="{00000000-0005-0000-0000-00009E040000}"/>
    <cellStyle name="Normal 3 15 21" xfId="1193" xr:uid="{00000000-0005-0000-0000-00009F040000}"/>
    <cellStyle name="Normal 3 15 22" xfId="1194" xr:uid="{00000000-0005-0000-0000-0000A0040000}"/>
    <cellStyle name="Normal 3 15 23" xfId="1195" xr:uid="{00000000-0005-0000-0000-0000A1040000}"/>
    <cellStyle name="Normal 3 15 3" xfId="1196" xr:uid="{00000000-0005-0000-0000-0000A2040000}"/>
    <cellStyle name="Normal 3 15 4" xfId="1197" xr:uid="{00000000-0005-0000-0000-0000A3040000}"/>
    <cellStyle name="Normal 3 15 5" xfId="1198" xr:uid="{00000000-0005-0000-0000-0000A4040000}"/>
    <cellStyle name="Normal 3 15 6" xfId="1199" xr:uid="{00000000-0005-0000-0000-0000A5040000}"/>
    <cellStyle name="Normal 3 15 7" xfId="1200" xr:uid="{00000000-0005-0000-0000-0000A6040000}"/>
    <cellStyle name="Normal 3 15 8" xfId="1201" xr:uid="{00000000-0005-0000-0000-0000A7040000}"/>
    <cellStyle name="Normal 3 15 9" xfId="1202" xr:uid="{00000000-0005-0000-0000-0000A8040000}"/>
    <cellStyle name="Normal 3 16" xfId="1203" xr:uid="{00000000-0005-0000-0000-0000A9040000}"/>
    <cellStyle name="Normal 3 16 10" xfId="1204" xr:uid="{00000000-0005-0000-0000-0000AA040000}"/>
    <cellStyle name="Normal 3 16 11" xfId="1205" xr:uid="{00000000-0005-0000-0000-0000AB040000}"/>
    <cellStyle name="Normal 3 16 12" xfId="1206" xr:uid="{00000000-0005-0000-0000-0000AC040000}"/>
    <cellStyle name="Normal 3 16 13" xfId="1207" xr:uid="{00000000-0005-0000-0000-0000AD040000}"/>
    <cellStyle name="Normal 3 16 14" xfId="1208" xr:uid="{00000000-0005-0000-0000-0000AE040000}"/>
    <cellStyle name="Normal 3 16 15" xfId="1209" xr:uid="{00000000-0005-0000-0000-0000AF040000}"/>
    <cellStyle name="Normal 3 16 16" xfId="1210" xr:uid="{00000000-0005-0000-0000-0000B0040000}"/>
    <cellStyle name="Normal 3 16 17" xfId="1211" xr:uid="{00000000-0005-0000-0000-0000B1040000}"/>
    <cellStyle name="Normal 3 16 18" xfId="1212" xr:uid="{00000000-0005-0000-0000-0000B2040000}"/>
    <cellStyle name="Normal 3 16 19" xfId="1213" xr:uid="{00000000-0005-0000-0000-0000B3040000}"/>
    <cellStyle name="Normal 3 16 2" xfId="1214" xr:uid="{00000000-0005-0000-0000-0000B4040000}"/>
    <cellStyle name="Normal 3 16 20" xfId="1215" xr:uid="{00000000-0005-0000-0000-0000B5040000}"/>
    <cellStyle name="Normal 3 16 21" xfId="1216" xr:uid="{00000000-0005-0000-0000-0000B6040000}"/>
    <cellStyle name="Normal 3 16 22" xfId="1217" xr:uid="{00000000-0005-0000-0000-0000B7040000}"/>
    <cellStyle name="Normal 3 16 23" xfId="1218" xr:uid="{00000000-0005-0000-0000-0000B8040000}"/>
    <cellStyle name="Normal 3 16 3" xfId="1219" xr:uid="{00000000-0005-0000-0000-0000B9040000}"/>
    <cellStyle name="Normal 3 16 4" xfId="1220" xr:uid="{00000000-0005-0000-0000-0000BA040000}"/>
    <cellStyle name="Normal 3 16 5" xfId="1221" xr:uid="{00000000-0005-0000-0000-0000BB040000}"/>
    <cellStyle name="Normal 3 16 6" xfId="1222" xr:uid="{00000000-0005-0000-0000-0000BC040000}"/>
    <cellStyle name="Normal 3 16 7" xfId="1223" xr:uid="{00000000-0005-0000-0000-0000BD040000}"/>
    <cellStyle name="Normal 3 16 8" xfId="1224" xr:uid="{00000000-0005-0000-0000-0000BE040000}"/>
    <cellStyle name="Normal 3 16 9" xfId="1225" xr:uid="{00000000-0005-0000-0000-0000BF040000}"/>
    <cellStyle name="Normal 3 17" xfId="1226" xr:uid="{00000000-0005-0000-0000-0000C0040000}"/>
    <cellStyle name="Normal 3 17 10" xfId="1227" xr:uid="{00000000-0005-0000-0000-0000C1040000}"/>
    <cellStyle name="Normal 3 17 11" xfId="1228" xr:uid="{00000000-0005-0000-0000-0000C2040000}"/>
    <cellStyle name="Normal 3 17 12" xfId="1229" xr:uid="{00000000-0005-0000-0000-0000C3040000}"/>
    <cellStyle name="Normal 3 17 13" xfId="1230" xr:uid="{00000000-0005-0000-0000-0000C4040000}"/>
    <cellStyle name="Normal 3 17 14" xfId="1231" xr:uid="{00000000-0005-0000-0000-0000C5040000}"/>
    <cellStyle name="Normal 3 17 15" xfId="1232" xr:uid="{00000000-0005-0000-0000-0000C6040000}"/>
    <cellStyle name="Normal 3 17 16" xfId="1233" xr:uid="{00000000-0005-0000-0000-0000C7040000}"/>
    <cellStyle name="Normal 3 17 17" xfId="1234" xr:uid="{00000000-0005-0000-0000-0000C8040000}"/>
    <cellStyle name="Normal 3 17 18" xfId="1235" xr:uid="{00000000-0005-0000-0000-0000C9040000}"/>
    <cellStyle name="Normal 3 17 19" xfId="1236" xr:uid="{00000000-0005-0000-0000-0000CA040000}"/>
    <cellStyle name="Normal 3 17 2" xfId="1237" xr:uid="{00000000-0005-0000-0000-0000CB040000}"/>
    <cellStyle name="Normal 3 17 20" xfId="1238" xr:uid="{00000000-0005-0000-0000-0000CC040000}"/>
    <cellStyle name="Normal 3 17 21" xfId="1239" xr:uid="{00000000-0005-0000-0000-0000CD040000}"/>
    <cellStyle name="Normal 3 17 22" xfId="1240" xr:uid="{00000000-0005-0000-0000-0000CE040000}"/>
    <cellStyle name="Normal 3 17 23" xfId="1241" xr:uid="{00000000-0005-0000-0000-0000CF040000}"/>
    <cellStyle name="Normal 3 17 3" xfId="1242" xr:uid="{00000000-0005-0000-0000-0000D0040000}"/>
    <cellStyle name="Normal 3 17 4" xfId="1243" xr:uid="{00000000-0005-0000-0000-0000D1040000}"/>
    <cellStyle name="Normal 3 17 5" xfId="1244" xr:uid="{00000000-0005-0000-0000-0000D2040000}"/>
    <cellStyle name="Normal 3 17 6" xfId="1245" xr:uid="{00000000-0005-0000-0000-0000D3040000}"/>
    <cellStyle name="Normal 3 17 7" xfId="1246" xr:uid="{00000000-0005-0000-0000-0000D4040000}"/>
    <cellStyle name="Normal 3 17 8" xfId="1247" xr:uid="{00000000-0005-0000-0000-0000D5040000}"/>
    <cellStyle name="Normal 3 17 9" xfId="1248" xr:uid="{00000000-0005-0000-0000-0000D6040000}"/>
    <cellStyle name="Normal 3 18" xfId="1249" xr:uid="{00000000-0005-0000-0000-0000D7040000}"/>
    <cellStyle name="Normal 3 18 10" xfId="1250" xr:uid="{00000000-0005-0000-0000-0000D8040000}"/>
    <cellStyle name="Normal 3 18 11" xfId="1251" xr:uid="{00000000-0005-0000-0000-0000D9040000}"/>
    <cellStyle name="Normal 3 18 12" xfId="1252" xr:uid="{00000000-0005-0000-0000-0000DA040000}"/>
    <cellStyle name="Normal 3 18 13" xfId="1253" xr:uid="{00000000-0005-0000-0000-0000DB040000}"/>
    <cellStyle name="Normal 3 18 14" xfId="1254" xr:uid="{00000000-0005-0000-0000-0000DC040000}"/>
    <cellStyle name="Normal 3 18 15" xfId="1255" xr:uid="{00000000-0005-0000-0000-0000DD040000}"/>
    <cellStyle name="Normal 3 18 16" xfId="1256" xr:uid="{00000000-0005-0000-0000-0000DE040000}"/>
    <cellStyle name="Normal 3 18 17" xfId="1257" xr:uid="{00000000-0005-0000-0000-0000DF040000}"/>
    <cellStyle name="Normal 3 18 18" xfId="1258" xr:uid="{00000000-0005-0000-0000-0000E0040000}"/>
    <cellStyle name="Normal 3 18 19" xfId="1259" xr:uid="{00000000-0005-0000-0000-0000E1040000}"/>
    <cellStyle name="Normal 3 18 2" xfId="1260" xr:uid="{00000000-0005-0000-0000-0000E2040000}"/>
    <cellStyle name="Normal 3 18 20" xfId="1261" xr:uid="{00000000-0005-0000-0000-0000E3040000}"/>
    <cellStyle name="Normal 3 18 21" xfId="1262" xr:uid="{00000000-0005-0000-0000-0000E4040000}"/>
    <cellStyle name="Normal 3 18 22" xfId="1263" xr:uid="{00000000-0005-0000-0000-0000E5040000}"/>
    <cellStyle name="Normal 3 18 23" xfId="1264" xr:uid="{00000000-0005-0000-0000-0000E6040000}"/>
    <cellStyle name="Normal 3 18 3" xfId="1265" xr:uid="{00000000-0005-0000-0000-0000E7040000}"/>
    <cellStyle name="Normal 3 18 4" xfId="1266" xr:uid="{00000000-0005-0000-0000-0000E8040000}"/>
    <cellStyle name="Normal 3 18 5" xfId="1267" xr:uid="{00000000-0005-0000-0000-0000E9040000}"/>
    <cellStyle name="Normal 3 18 6" xfId="1268" xr:uid="{00000000-0005-0000-0000-0000EA040000}"/>
    <cellStyle name="Normal 3 18 7" xfId="1269" xr:uid="{00000000-0005-0000-0000-0000EB040000}"/>
    <cellStyle name="Normal 3 18 8" xfId="1270" xr:uid="{00000000-0005-0000-0000-0000EC040000}"/>
    <cellStyle name="Normal 3 18 9" xfId="1271" xr:uid="{00000000-0005-0000-0000-0000ED040000}"/>
    <cellStyle name="Normal 3 19" xfId="1272" xr:uid="{00000000-0005-0000-0000-0000EE040000}"/>
    <cellStyle name="Normal 3 19 10" xfId="1273" xr:uid="{00000000-0005-0000-0000-0000EF040000}"/>
    <cellStyle name="Normal 3 19 11" xfId="1274" xr:uid="{00000000-0005-0000-0000-0000F0040000}"/>
    <cellStyle name="Normal 3 19 12" xfId="1275" xr:uid="{00000000-0005-0000-0000-0000F1040000}"/>
    <cellStyle name="Normal 3 19 13" xfId="1276" xr:uid="{00000000-0005-0000-0000-0000F2040000}"/>
    <cellStyle name="Normal 3 19 14" xfId="1277" xr:uid="{00000000-0005-0000-0000-0000F3040000}"/>
    <cellStyle name="Normal 3 19 15" xfId="1278" xr:uid="{00000000-0005-0000-0000-0000F4040000}"/>
    <cellStyle name="Normal 3 19 16" xfId="1279" xr:uid="{00000000-0005-0000-0000-0000F5040000}"/>
    <cellStyle name="Normal 3 19 17" xfId="1280" xr:uid="{00000000-0005-0000-0000-0000F6040000}"/>
    <cellStyle name="Normal 3 19 18" xfId="1281" xr:uid="{00000000-0005-0000-0000-0000F7040000}"/>
    <cellStyle name="Normal 3 19 19" xfId="1282" xr:uid="{00000000-0005-0000-0000-0000F8040000}"/>
    <cellStyle name="Normal 3 19 2" xfId="1283" xr:uid="{00000000-0005-0000-0000-0000F9040000}"/>
    <cellStyle name="Normal 3 19 20" xfId="1284" xr:uid="{00000000-0005-0000-0000-0000FA040000}"/>
    <cellStyle name="Normal 3 19 21" xfId="1285" xr:uid="{00000000-0005-0000-0000-0000FB040000}"/>
    <cellStyle name="Normal 3 19 22" xfId="1286" xr:uid="{00000000-0005-0000-0000-0000FC040000}"/>
    <cellStyle name="Normal 3 19 23" xfId="1287" xr:uid="{00000000-0005-0000-0000-0000FD040000}"/>
    <cellStyle name="Normal 3 19 3" xfId="1288" xr:uid="{00000000-0005-0000-0000-0000FE040000}"/>
    <cellStyle name="Normal 3 19 4" xfId="1289" xr:uid="{00000000-0005-0000-0000-0000FF040000}"/>
    <cellStyle name="Normal 3 19 5" xfId="1290" xr:uid="{00000000-0005-0000-0000-000000050000}"/>
    <cellStyle name="Normal 3 19 6" xfId="1291" xr:uid="{00000000-0005-0000-0000-000001050000}"/>
    <cellStyle name="Normal 3 19 7" xfId="1292" xr:uid="{00000000-0005-0000-0000-000002050000}"/>
    <cellStyle name="Normal 3 19 8" xfId="1293" xr:uid="{00000000-0005-0000-0000-000003050000}"/>
    <cellStyle name="Normal 3 19 9" xfId="1294" xr:uid="{00000000-0005-0000-0000-000004050000}"/>
    <cellStyle name="Normal 3 2" xfId="1295" xr:uid="{00000000-0005-0000-0000-000005050000}"/>
    <cellStyle name="Normal 3 2 10" xfId="1296" xr:uid="{00000000-0005-0000-0000-000006050000}"/>
    <cellStyle name="Normal 3 2 11" xfId="1297" xr:uid="{00000000-0005-0000-0000-000007050000}"/>
    <cellStyle name="Normal 3 2 12" xfId="1298" xr:uid="{00000000-0005-0000-0000-000008050000}"/>
    <cellStyle name="Normal 3 2 13" xfId="1299" xr:uid="{00000000-0005-0000-0000-000009050000}"/>
    <cellStyle name="Normal 3 2 14" xfId="1300" xr:uid="{00000000-0005-0000-0000-00000A050000}"/>
    <cellStyle name="Normal 3 2 15" xfId="1301" xr:uid="{00000000-0005-0000-0000-00000B050000}"/>
    <cellStyle name="Normal 3 2 16" xfId="1302" xr:uid="{00000000-0005-0000-0000-00000C050000}"/>
    <cellStyle name="Normal 3 2 17" xfId="1303" xr:uid="{00000000-0005-0000-0000-00000D050000}"/>
    <cellStyle name="Normal 3 2 18" xfId="1304" xr:uid="{00000000-0005-0000-0000-00000E050000}"/>
    <cellStyle name="Normal 3 2 19" xfId="1305" xr:uid="{00000000-0005-0000-0000-00000F050000}"/>
    <cellStyle name="Normal 3 2 2" xfId="1306" xr:uid="{00000000-0005-0000-0000-000010050000}"/>
    <cellStyle name="Normal 3 2 2 10" xfId="1307" xr:uid="{00000000-0005-0000-0000-000011050000}"/>
    <cellStyle name="Normal 3 2 2 11" xfId="1308" xr:uid="{00000000-0005-0000-0000-000012050000}"/>
    <cellStyle name="Normal 3 2 2 12" xfId="1309" xr:uid="{00000000-0005-0000-0000-000013050000}"/>
    <cellStyle name="Normal 3 2 2 13" xfId="1310" xr:uid="{00000000-0005-0000-0000-000014050000}"/>
    <cellStyle name="Normal 3 2 2 14" xfId="1311" xr:uid="{00000000-0005-0000-0000-000015050000}"/>
    <cellStyle name="Normal 3 2 2 15" xfId="1312" xr:uid="{00000000-0005-0000-0000-000016050000}"/>
    <cellStyle name="Normal 3 2 2 16" xfId="1313" xr:uid="{00000000-0005-0000-0000-000017050000}"/>
    <cellStyle name="Normal 3 2 2 17" xfId="1314" xr:uid="{00000000-0005-0000-0000-000018050000}"/>
    <cellStyle name="Normal 3 2 2 18" xfId="1315" xr:uid="{00000000-0005-0000-0000-000019050000}"/>
    <cellStyle name="Normal 3 2 2 19" xfId="1316" xr:uid="{00000000-0005-0000-0000-00001A050000}"/>
    <cellStyle name="Normal 3 2 2 2" xfId="1317" xr:uid="{00000000-0005-0000-0000-00001B050000}"/>
    <cellStyle name="Normal 3 2 2 20" xfId="1318" xr:uid="{00000000-0005-0000-0000-00001C050000}"/>
    <cellStyle name="Normal 3 2 2 21" xfId="1319" xr:uid="{00000000-0005-0000-0000-00001D050000}"/>
    <cellStyle name="Normal 3 2 2 22" xfId="1320" xr:uid="{00000000-0005-0000-0000-00001E050000}"/>
    <cellStyle name="Normal 3 2 2 23" xfId="1321" xr:uid="{00000000-0005-0000-0000-00001F050000}"/>
    <cellStyle name="Normal 3 2 2 24" xfId="1322" xr:uid="{00000000-0005-0000-0000-000020050000}"/>
    <cellStyle name="Normal 3 2 2 25" xfId="1323" xr:uid="{00000000-0005-0000-0000-000021050000}"/>
    <cellStyle name="Normal 3 2 2 26" xfId="1324" xr:uid="{00000000-0005-0000-0000-000022050000}"/>
    <cellStyle name="Normal 3 2 2 27" xfId="1325" xr:uid="{00000000-0005-0000-0000-000023050000}"/>
    <cellStyle name="Normal 3 2 2 28" xfId="1326" xr:uid="{00000000-0005-0000-0000-000024050000}"/>
    <cellStyle name="Normal 3 2 2 29" xfId="1327" xr:uid="{00000000-0005-0000-0000-000025050000}"/>
    <cellStyle name="Normal 3 2 2 3" xfId="1328" xr:uid="{00000000-0005-0000-0000-000026050000}"/>
    <cellStyle name="Normal 3 2 2 30" xfId="1329" xr:uid="{00000000-0005-0000-0000-000027050000}"/>
    <cellStyle name="Normal 3 2 2 31" xfId="1330" xr:uid="{00000000-0005-0000-0000-000028050000}"/>
    <cellStyle name="Normal 3 2 2 32" xfId="1331" xr:uid="{00000000-0005-0000-0000-000029050000}"/>
    <cellStyle name="Normal 3 2 2 33" xfId="1332" xr:uid="{00000000-0005-0000-0000-00002A050000}"/>
    <cellStyle name="Normal 3 2 2 4" xfId="1333" xr:uid="{00000000-0005-0000-0000-00002B050000}"/>
    <cellStyle name="Normal 3 2 2 5" xfId="1334" xr:uid="{00000000-0005-0000-0000-00002C050000}"/>
    <cellStyle name="Normal 3 2 2 6" xfId="1335" xr:uid="{00000000-0005-0000-0000-00002D050000}"/>
    <cellStyle name="Normal 3 2 2 7" xfId="1336" xr:uid="{00000000-0005-0000-0000-00002E050000}"/>
    <cellStyle name="Normal 3 2 2 8" xfId="1337" xr:uid="{00000000-0005-0000-0000-00002F050000}"/>
    <cellStyle name="Normal 3 2 2 9" xfId="1338" xr:uid="{00000000-0005-0000-0000-000030050000}"/>
    <cellStyle name="Normal 3 2 20" xfId="1339" xr:uid="{00000000-0005-0000-0000-000031050000}"/>
    <cellStyle name="Normal 3 2 21" xfId="1340" xr:uid="{00000000-0005-0000-0000-000032050000}"/>
    <cellStyle name="Normal 3 2 22" xfId="1341" xr:uid="{00000000-0005-0000-0000-000033050000}"/>
    <cellStyle name="Normal 3 2 23" xfId="1342" xr:uid="{00000000-0005-0000-0000-000034050000}"/>
    <cellStyle name="Normal 3 2 24" xfId="1343" xr:uid="{00000000-0005-0000-0000-000035050000}"/>
    <cellStyle name="Normal 3 2 25" xfId="1344" xr:uid="{00000000-0005-0000-0000-000036050000}"/>
    <cellStyle name="Normal 3 2 26" xfId="1345" xr:uid="{00000000-0005-0000-0000-000037050000}"/>
    <cellStyle name="Normal 3 2 27" xfId="1346" xr:uid="{00000000-0005-0000-0000-000038050000}"/>
    <cellStyle name="Normal 3 2 28" xfId="1347" xr:uid="{00000000-0005-0000-0000-000039050000}"/>
    <cellStyle name="Normal 3 2 29" xfId="1348" xr:uid="{00000000-0005-0000-0000-00003A050000}"/>
    <cellStyle name="Normal 3 2 3" xfId="1349" xr:uid="{00000000-0005-0000-0000-00003B050000}"/>
    <cellStyle name="Normal 3 2 30" xfId="1350" xr:uid="{00000000-0005-0000-0000-00003C050000}"/>
    <cellStyle name="Normal 3 2 31" xfId="1351" xr:uid="{00000000-0005-0000-0000-00003D050000}"/>
    <cellStyle name="Normal 3 2 32" xfId="1352" xr:uid="{00000000-0005-0000-0000-00003E050000}"/>
    <cellStyle name="Normal 3 2 33" xfId="1353" xr:uid="{00000000-0005-0000-0000-00003F050000}"/>
    <cellStyle name="Normal 3 2 34" xfId="1354" xr:uid="{00000000-0005-0000-0000-000040050000}"/>
    <cellStyle name="Normal 3 2 35" xfId="1355" xr:uid="{00000000-0005-0000-0000-000041050000}"/>
    <cellStyle name="Normal 3 2 36" xfId="1356" xr:uid="{00000000-0005-0000-0000-000042050000}"/>
    <cellStyle name="Normal 3 2 37" xfId="1357" xr:uid="{00000000-0005-0000-0000-000043050000}"/>
    <cellStyle name="Normal 3 2 38" xfId="1358" xr:uid="{00000000-0005-0000-0000-000044050000}"/>
    <cellStyle name="Normal 3 2 39" xfId="1359" xr:uid="{00000000-0005-0000-0000-000045050000}"/>
    <cellStyle name="Normal 3 2 4" xfId="1360" xr:uid="{00000000-0005-0000-0000-000046050000}"/>
    <cellStyle name="Normal 3 2 40" xfId="1361" xr:uid="{00000000-0005-0000-0000-000047050000}"/>
    <cellStyle name="Normal 3 2 41" xfId="1362" xr:uid="{00000000-0005-0000-0000-000048050000}"/>
    <cellStyle name="Normal 3 2 42" xfId="1363" xr:uid="{00000000-0005-0000-0000-000049050000}"/>
    <cellStyle name="Normal 3 2 43" xfId="1364" xr:uid="{00000000-0005-0000-0000-00004A050000}"/>
    <cellStyle name="Normal 3 2 44" xfId="1365" xr:uid="{00000000-0005-0000-0000-00004B050000}"/>
    <cellStyle name="Normal 3 2 45" xfId="1366" xr:uid="{00000000-0005-0000-0000-00004C050000}"/>
    <cellStyle name="Normal 3 2 46" xfId="1367" xr:uid="{00000000-0005-0000-0000-00004D050000}"/>
    <cellStyle name="Normal 3 2 47" xfId="1368" xr:uid="{00000000-0005-0000-0000-00004E050000}"/>
    <cellStyle name="Normal 3 2 48" xfId="1369" xr:uid="{00000000-0005-0000-0000-00004F050000}"/>
    <cellStyle name="Normal 3 2 49" xfId="1370" xr:uid="{00000000-0005-0000-0000-000050050000}"/>
    <cellStyle name="Normal 3 2 5" xfId="1371" xr:uid="{00000000-0005-0000-0000-000051050000}"/>
    <cellStyle name="Normal 3 2 50" xfId="1372" xr:uid="{00000000-0005-0000-0000-000052050000}"/>
    <cellStyle name="Normal 3 2 51" xfId="1373" xr:uid="{00000000-0005-0000-0000-000053050000}"/>
    <cellStyle name="Normal 3 2 52" xfId="1374" xr:uid="{00000000-0005-0000-0000-000054050000}"/>
    <cellStyle name="Normal 3 2 53" xfId="1375" xr:uid="{00000000-0005-0000-0000-000055050000}"/>
    <cellStyle name="Normal 3 2 54" xfId="1376" xr:uid="{00000000-0005-0000-0000-000056050000}"/>
    <cellStyle name="Normal 3 2 55" xfId="1377" xr:uid="{00000000-0005-0000-0000-000057050000}"/>
    <cellStyle name="Normal 3 2 56" xfId="2385" xr:uid="{00000000-0005-0000-0000-00006A060000}"/>
    <cellStyle name="Normal 3 2 6" xfId="1378" xr:uid="{00000000-0005-0000-0000-000058050000}"/>
    <cellStyle name="Normal 3 2 7" xfId="1379" xr:uid="{00000000-0005-0000-0000-000059050000}"/>
    <cellStyle name="Normal 3 2 8" xfId="1380" xr:uid="{00000000-0005-0000-0000-00005A050000}"/>
    <cellStyle name="Normal 3 2 9" xfId="1381" xr:uid="{00000000-0005-0000-0000-00005B050000}"/>
    <cellStyle name="Normal 3 20" xfId="1382" xr:uid="{00000000-0005-0000-0000-00005C050000}"/>
    <cellStyle name="Normal 3 20 10" xfId="1383" xr:uid="{00000000-0005-0000-0000-00005D050000}"/>
    <cellStyle name="Normal 3 20 11" xfId="1384" xr:uid="{00000000-0005-0000-0000-00005E050000}"/>
    <cellStyle name="Normal 3 20 12" xfId="1385" xr:uid="{00000000-0005-0000-0000-00005F050000}"/>
    <cellStyle name="Normal 3 20 13" xfId="1386" xr:uid="{00000000-0005-0000-0000-000060050000}"/>
    <cellStyle name="Normal 3 20 14" xfId="1387" xr:uid="{00000000-0005-0000-0000-000061050000}"/>
    <cellStyle name="Normal 3 20 15" xfId="1388" xr:uid="{00000000-0005-0000-0000-000062050000}"/>
    <cellStyle name="Normal 3 20 16" xfId="1389" xr:uid="{00000000-0005-0000-0000-000063050000}"/>
    <cellStyle name="Normal 3 20 17" xfId="1390" xr:uid="{00000000-0005-0000-0000-000064050000}"/>
    <cellStyle name="Normal 3 20 18" xfId="1391" xr:uid="{00000000-0005-0000-0000-000065050000}"/>
    <cellStyle name="Normal 3 20 19" xfId="1392" xr:uid="{00000000-0005-0000-0000-000066050000}"/>
    <cellStyle name="Normal 3 20 2" xfId="1393" xr:uid="{00000000-0005-0000-0000-000067050000}"/>
    <cellStyle name="Normal 3 20 20" xfId="1394" xr:uid="{00000000-0005-0000-0000-000068050000}"/>
    <cellStyle name="Normal 3 20 21" xfId="1395" xr:uid="{00000000-0005-0000-0000-000069050000}"/>
    <cellStyle name="Normal 3 20 22" xfId="1396" xr:uid="{00000000-0005-0000-0000-00006A050000}"/>
    <cellStyle name="Normal 3 20 23" xfId="1397" xr:uid="{00000000-0005-0000-0000-00006B050000}"/>
    <cellStyle name="Normal 3 20 3" xfId="1398" xr:uid="{00000000-0005-0000-0000-00006C050000}"/>
    <cellStyle name="Normal 3 20 4" xfId="1399" xr:uid="{00000000-0005-0000-0000-00006D050000}"/>
    <cellStyle name="Normal 3 20 5" xfId="1400" xr:uid="{00000000-0005-0000-0000-00006E050000}"/>
    <cellStyle name="Normal 3 20 6" xfId="1401" xr:uid="{00000000-0005-0000-0000-00006F050000}"/>
    <cellStyle name="Normal 3 20 7" xfId="1402" xr:uid="{00000000-0005-0000-0000-000070050000}"/>
    <cellStyle name="Normal 3 20 8" xfId="1403" xr:uid="{00000000-0005-0000-0000-000071050000}"/>
    <cellStyle name="Normal 3 20 9" xfId="1404" xr:uid="{00000000-0005-0000-0000-000072050000}"/>
    <cellStyle name="Normal 3 21" xfId="1405" xr:uid="{00000000-0005-0000-0000-000073050000}"/>
    <cellStyle name="Normal 3 21 10" xfId="1406" xr:uid="{00000000-0005-0000-0000-000074050000}"/>
    <cellStyle name="Normal 3 21 11" xfId="1407" xr:uid="{00000000-0005-0000-0000-000075050000}"/>
    <cellStyle name="Normal 3 21 12" xfId="1408" xr:uid="{00000000-0005-0000-0000-000076050000}"/>
    <cellStyle name="Normal 3 21 13" xfId="1409" xr:uid="{00000000-0005-0000-0000-000077050000}"/>
    <cellStyle name="Normal 3 21 14" xfId="1410" xr:uid="{00000000-0005-0000-0000-000078050000}"/>
    <cellStyle name="Normal 3 21 15" xfId="1411" xr:uid="{00000000-0005-0000-0000-000079050000}"/>
    <cellStyle name="Normal 3 21 16" xfId="1412" xr:uid="{00000000-0005-0000-0000-00007A050000}"/>
    <cellStyle name="Normal 3 21 17" xfId="1413" xr:uid="{00000000-0005-0000-0000-00007B050000}"/>
    <cellStyle name="Normal 3 21 18" xfId="1414" xr:uid="{00000000-0005-0000-0000-00007C050000}"/>
    <cellStyle name="Normal 3 21 19" xfId="1415" xr:uid="{00000000-0005-0000-0000-00007D050000}"/>
    <cellStyle name="Normal 3 21 2" xfId="1416" xr:uid="{00000000-0005-0000-0000-00007E050000}"/>
    <cellStyle name="Normal 3 21 20" xfId="1417" xr:uid="{00000000-0005-0000-0000-00007F050000}"/>
    <cellStyle name="Normal 3 21 21" xfId="1418" xr:uid="{00000000-0005-0000-0000-000080050000}"/>
    <cellStyle name="Normal 3 21 22" xfId="1419" xr:uid="{00000000-0005-0000-0000-000081050000}"/>
    <cellStyle name="Normal 3 21 23" xfId="1420" xr:uid="{00000000-0005-0000-0000-000082050000}"/>
    <cellStyle name="Normal 3 21 3" xfId="1421" xr:uid="{00000000-0005-0000-0000-000083050000}"/>
    <cellStyle name="Normal 3 21 4" xfId="1422" xr:uid="{00000000-0005-0000-0000-000084050000}"/>
    <cellStyle name="Normal 3 21 5" xfId="1423" xr:uid="{00000000-0005-0000-0000-000085050000}"/>
    <cellStyle name="Normal 3 21 6" xfId="1424" xr:uid="{00000000-0005-0000-0000-000086050000}"/>
    <cellStyle name="Normal 3 21 7" xfId="1425" xr:uid="{00000000-0005-0000-0000-000087050000}"/>
    <cellStyle name="Normal 3 21 8" xfId="1426" xr:uid="{00000000-0005-0000-0000-000088050000}"/>
    <cellStyle name="Normal 3 21 9" xfId="1427" xr:uid="{00000000-0005-0000-0000-000089050000}"/>
    <cellStyle name="Normal 3 22" xfId="1428" xr:uid="{00000000-0005-0000-0000-00008A050000}"/>
    <cellStyle name="Normal 3 22 10" xfId="1429" xr:uid="{00000000-0005-0000-0000-00008B050000}"/>
    <cellStyle name="Normal 3 22 11" xfId="1430" xr:uid="{00000000-0005-0000-0000-00008C050000}"/>
    <cellStyle name="Normal 3 22 12" xfId="1431" xr:uid="{00000000-0005-0000-0000-00008D050000}"/>
    <cellStyle name="Normal 3 22 13" xfId="1432" xr:uid="{00000000-0005-0000-0000-00008E050000}"/>
    <cellStyle name="Normal 3 22 14" xfId="1433" xr:uid="{00000000-0005-0000-0000-00008F050000}"/>
    <cellStyle name="Normal 3 22 15" xfId="1434" xr:uid="{00000000-0005-0000-0000-000090050000}"/>
    <cellStyle name="Normal 3 22 16" xfId="1435" xr:uid="{00000000-0005-0000-0000-000091050000}"/>
    <cellStyle name="Normal 3 22 17" xfId="1436" xr:uid="{00000000-0005-0000-0000-000092050000}"/>
    <cellStyle name="Normal 3 22 18" xfId="1437" xr:uid="{00000000-0005-0000-0000-000093050000}"/>
    <cellStyle name="Normal 3 22 19" xfId="1438" xr:uid="{00000000-0005-0000-0000-000094050000}"/>
    <cellStyle name="Normal 3 22 2" xfId="1439" xr:uid="{00000000-0005-0000-0000-000095050000}"/>
    <cellStyle name="Normal 3 22 20" xfId="1440" xr:uid="{00000000-0005-0000-0000-000096050000}"/>
    <cellStyle name="Normal 3 22 21" xfId="1441" xr:uid="{00000000-0005-0000-0000-000097050000}"/>
    <cellStyle name="Normal 3 22 22" xfId="1442" xr:uid="{00000000-0005-0000-0000-000098050000}"/>
    <cellStyle name="Normal 3 22 23" xfId="1443" xr:uid="{00000000-0005-0000-0000-000099050000}"/>
    <cellStyle name="Normal 3 22 3" xfId="1444" xr:uid="{00000000-0005-0000-0000-00009A050000}"/>
    <cellStyle name="Normal 3 22 4" xfId="1445" xr:uid="{00000000-0005-0000-0000-00009B050000}"/>
    <cellStyle name="Normal 3 22 5" xfId="1446" xr:uid="{00000000-0005-0000-0000-00009C050000}"/>
    <cellStyle name="Normal 3 22 6" xfId="1447" xr:uid="{00000000-0005-0000-0000-00009D050000}"/>
    <cellStyle name="Normal 3 22 7" xfId="1448" xr:uid="{00000000-0005-0000-0000-00009E050000}"/>
    <cellStyle name="Normal 3 22 8" xfId="1449" xr:uid="{00000000-0005-0000-0000-00009F050000}"/>
    <cellStyle name="Normal 3 22 9" xfId="1450" xr:uid="{00000000-0005-0000-0000-0000A0050000}"/>
    <cellStyle name="Normal 3 23" xfId="1451" xr:uid="{00000000-0005-0000-0000-0000A1050000}"/>
    <cellStyle name="Normal 3 23 10" xfId="1452" xr:uid="{00000000-0005-0000-0000-0000A2050000}"/>
    <cellStyle name="Normal 3 23 11" xfId="1453" xr:uid="{00000000-0005-0000-0000-0000A3050000}"/>
    <cellStyle name="Normal 3 23 12" xfId="1454" xr:uid="{00000000-0005-0000-0000-0000A4050000}"/>
    <cellStyle name="Normal 3 23 13" xfId="1455" xr:uid="{00000000-0005-0000-0000-0000A5050000}"/>
    <cellStyle name="Normal 3 23 14" xfId="1456" xr:uid="{00000000-0005-0000-0000-0000A6050000}"/>
    <cellStyle name="Normal 3 23 15" xfId="1457" xr:uid="{00000000-0005-0000-0000-0000A7050000}"/>
    <cellStyle name="Normal 3 23 16" xfId="1458" xr:uid="{00000000-0005-0000-0000-0000A8050000}"/>
    <cellStyle name="Normal 3 23 17" xfId="1459" xr:uid="{00000000-0005-0000-0000-0000A9050000}"/>
    <cellStyle name="Normal 3 23 18" xfId="1460" xr:uid="{00000000-0005-0000-0000-0000AA050000}"/>
    <cellStyle name="Normal 3 23 19" xfId="1461" xr:uid="{00000000-0005-0000-0000-0000AB050000}"/>
    <cellStyle name="Normal 3 23 2" xfId="1462" xr:uid="{00000000-0005-0000-0000-0000AC050000}"/>
    <cellStyle name="Normal 3 23 20" xfId="1463" xr:uid="{00000000-0005-0000-0000-0000AD050000}"/>
    <cellStyle name="Normal 3 23 21" xfId="1464" xr:uid="{00000000-0005-0000-0000-0000AE050000}"/>
    <cellStyle name="Normal 3 23 22" xfId="1465" xr:uid="{00000000-0005-0000-0000-0000AF050000}"/>
    <cellStyle name="Normal 3 23 23" xfId="1466" xr:uid="{00000000-0005-0000-0000-0000B0050000}"/>
    <cellStyle name="Normal 3 23 3" xfId="1467" xr:uid="{00000000-0005-0000-0000-0000B1050000}"/>
    <cellStyle name="Normal 3 23 4" xfId="1468" xr:uid="{00000000-0005-0000-0000-0000B2050000}"/>
    <cellStyle name="Normal 3 23 5" xfId="1469" xr:uid="{00000000-0005-0000-0000-0000B3050000}"/>
    <cellStyle name="Normal 3 23 6" xfId="1470" xr:uid="{00000000-0005-0000-0000-0000B4050000}"/>
    <cellStyle name="Normal 3 23 7" xfId="1471" xr:uid="{00000000-0005-0000-0000-0000B5050000}"/>
    <cellStyle name="Normal 3 23 8" xfId="1472" xr:uid="{00000000-0005-0000-0000-0000B6050000}"/>
    <cellStyle name="Normal 3 23 9" xfId="1473" xr:uid="{00000000-0005-0000-0000-0000B7050000}"/>
    <cellStyle name="Normal 3 24" xfId="1474" xr:uid="{00000000-0005-0000-0000-0000B8050000}"/>
    <cellStyle name="Normal 3 24 10" xfId="1475" xr:uid="{00000000-0005-0000-0000-0000B9050000}"/>
    <cellStyle name="Normal 3 24 11" xfId="1476" xr:uid="{00000000-0005-0000-0000-0000BA050000}"/>
    <cellStyle name="Normal 3 24 12" xfId="1477" xr:uid="{00000000-0005-0000-0000-0000BB050000}"/>
    <cellStyle name="Normal 3 24 13" xfId="1478" xr:uid="{00000000-0005-0000-0000-0000BC050000}"/>
    <cellStyle name="Normal 3 24 14" xfId="1479" xr:uid="{00000000-0005-0000-0000-0000BD050000}"/>
    <cellStyle name="Normal 3 24 15" xfId="1480" xr:uid="{00000000-0005-0000-0000-0000BE050000}"/>
    <cellStyle name="Normal 3 24 16" xfId="1481" xr:uid="{00000000-0005-0000-0000-0000BF050000}"/>
    <cellStyle name="Normal 3 24 17" xfId="1482" xr:uid="{00000000-0005-0000-0000-0000C0050000}"/>
    <cellStyle name="Normal 3 24 18" xfId="1483" xr:uid="{00000000-0005-0000-0000-0000C1050000}"/>
    <cellStyle name="Normal 3 24 19" xfId="1484" xr:uid="{00000000-0005-0000-0000-0000C2050000}"/>
    <cellStyle name="Normal 3 24 2" xfId="1485" xr:uid="{00000000-0005-0000-0000-0000C3050000}"/>
    <cellStyle name="Normal 3 24 20" xfId="1486" xr:uid="{00000000-0005-0000-0000-0000C4050000}"/>
    <cellStyle name="Normal 3 24 21" xfId="1487" xr:uid="{00000000-0005-0000-0000-0000C5050000}"/>
    <cellStyle name="Normal 3 24 22" xfId="1488" xr:uid="{00000000-0005-0000-0000-0000C6050000}"/>
    <cellStyle name="Normal 3 24 23" xfId="1489" xr:uid="{00000000-0005-0000-0000-0000C7050000}"/>
    <cellStyle name="Normal 3 24 3" xfId="1490" xr:uid="{00000000-0005-0000-0000-0000C8050000}"/>
    <cellStyle name="Normal 3 24 4" xfId="1491" xr:uid="{00000000-0005-0000-0000-0000C9050000}"/>
    <cellStyle name="Normal 3 24 5" xfId="1492" xr:uid="{00000000-0005-0000-0000-0000CA050000}"/>
    <cellStyle name="Normal 3 24 6" xfId="1493" xr:uid="{00000000-0005-0000-0000-0000CB050000}"/>
    <cellStyle name="Normal 3 24 7" xfId="1494" xr:uid="{00000000-0005-0000-0000-0000CC050000}"/>
    <cellStyle name="Normal 3 24 8" xfId="1495" xr:uid="{00000000-0005-0000-0000-0000CD050000}"/>
    <cellStyle name="Normal 3 24 9" xfId="1496" xr:uid="{00000000-0005-0000-0000-0000CE050000}"/>
    <cellStyle name="Normal 3 25" xfId="1497" xr:uid="{00000000-0005-0000-0000-0000CF050000}"/>
    <cellStyle name="Normal 3 25 10" xfId="1498" xr:uid="{00000000-0005-0000-0000-0000D0050000}"/>
    <cellStyle name="Normal 3 25 11" xfId="1499" xr:uid="{00000000-0005-0000-0000-0000D1050000}"/>
    <cellStyle name="Normal 3 25 12" xfId="1500" xr:uid="{00000000-0005-0000-0000-0000D2050000}"/>
    <cellStyle name="Normal 3 25 13" xfId="1501" xr:uid="{00000000-0005-0000-0000-0000D3050000}"/>
    <cellStyle name="Normal 3 25 14" xfId="1502" xr:uid="{00000000-0005-0000-0000-0000D4050000}"/>
    <cellStyle name="Normal 3 25 15" xfId="1503" xr:uid="{00000000-0005-0000-0000-0000D5050000}"/>
    <cellStyle name="Normal 3 25 16" xfId="1504" xr:uid="{00000000-0005-0000-0000-0000D6050000}"/>
    <cellStyle name="Normal 3 25 17" xfId="1505" xr:uid="{00000000-0005-0000-0000-0000D7050000}"/>
    <cellStyle name="Normal 3 25 18" xfId="1506" xr:uid="{00000000-0005-0000-0000-0000D8050000}"/>
    <cellStyle name="Normal 3 25 19" xfId="1507" xr:uid="{00000000-0005-0000-0000-0000D9050000}"/>
    <cellStyle name="Normal 3 25 2" xfId="1508" xr:uid="{00000000-0005-0000-0000-0000DA050000}"/>
    <cellStyle name="Normal 3 25 20" xfId="1509" xr:uid="{00000000-0005-0000-0000-0000DB050000}"/>
    <cellStyle name="Normal 3 25 21" xfId="1510" xr:uid="{00000000-0005-0000-0000-0000DC050000}"/>
    <cellStyle name="Normal 3 25 22" xfId="1511" xr:uid="{00000000-0005-0000-0000-0000DD050000}"/>
    <cellStyle name="Normal 3 25 23" xfId="1512" xr:uid="{00000000-0005-0000-0000-0000DE050000}"/>
    <cellStyle name="Normal 3 25 3" xfId="1513" xr:uid="{00000000-0005-0000-0000-0000DF050000}"/>
    <cellStyle name="Normal 3 25 4" xfId="1514" xr:uid="{00000000-0005-0000-0000-0000E0050000}"/>
    <cellStyle name="Normal 3 25 5" xfId="1515" xr:uid="{00000000-0005-0000-0000-0000E1050000}"/>
    <cellStyle name="Normal 3 25 6" xfId="1516" xr:uid="{00000000-0005-0000-0000-0000E2050000}"/>
    <cellStyle name="Normal 3 25 7" xfId="1517" xr:uid="{00000000-0005-0000-0000-0000E3050000}"/>
    <cellStyle name="Normal 3 25 8" xfId="1518" xr:uid="{00000000-0005-0000-0000-0000E4050000}"/>
    <cellStyle name="Normal 3 25 9" xfId="1519" xr:uid="{00000000-0005-0000-0000-0000E5050000}"/>
    <cellStyle name="Normal 3 26" xfId="1520" xr:uid="{00000000-0005-0000-0000-0000E6050000}"/>
    <cellStyle name="Normal 3 26 10" xfId="1521" xr:uid="{00000000-0005-0000-0000-0000E7050000}"/>
    <cellStyle name="Normal 3 26 11" xfId="1522" xr:uid="{00000000-0005-0000-0000-0000E8050000}"/>
    <cellStyle name="Normal 3 26 12" xfId="1523" xr:uid="{00000000-0005-0000-0000-0000E9050000}"/>
    <cellStyle name="Normal 3 26 13" xfId="1524" xr:uid="{00000000-0005-0000-0000-0000EA050000}"/>
    <cellStyle name="Normal 3 26 14" xfId="1525" xr:uid="{00000000-0005-0000-0000-0000EB050000}"/>
    <cellStyle name="Normal 3 26 15" xfId="1526" xr:uid="{00000000-0005-0000-0000-0000EC050000}"/>
    <cellStyle name="Normal 3 26 16" xfId="1527" xr:uid="{00000000-0005-0000-0000-0000ED050000}"/>
    <cellStyle name="Normal 3 26 17" xfId="1528" xr:uid="{00000000-0005-0000-0000-0000EE050000}"/>
    <cellStyle name="Normal 3 26 18" xfId="1529" xr:uid="{00000000-0005-0000-0000-0000EF050000}"/>
    <cellStyle name="Normal 3 26 19" xfId="1530" xr:uid="{00000000-0005-0000-0000-0000F0050000}"/>
    <cellStyle name="Normal 3 26 2" xfId="1531" xr:uid="{00000000-0005-0000-0000-0000F1050000}"/>
    <cellStyle name="Normal 3 26 20" xfId="1532" xr:uid="{00000000-0005-0000-0000-0000F2050000}"/>
    <cellStyle name="Normal 3 26 21" xfId="1533" xr:uid="{00000000-0005-0000-0000-0000F3050000}"/>
    <cellStyle name="Normal 3 26 22" xfId="1534" xr:uid="{00000000-0005-0000-0000-0000F4050000}"/>
    <cellStyle name="Normal 3 26 23" xfId="1535" xr:uid="{00000000-0005-0000-0000-0000F5050000}"/>
    <cellStyle name="Normal 3 26 3" xfId="1536" xr:uid="{00000000-0005-0000-0000-0000F6050000}"/>
    <cellStyle name="Normal 3 26 4" xfId="1537" xr:uid="{00000000-0005-0000-0000-0000F7050000}"/>
    <cellStyle name="Normal 3 26 5" xfId="1538" xr:uid="{00000000-0005-0000-0000-0000F8050000}"/>
    <cellStyle name="Normal 3 26 6" xfId="1539" xr:uid="{00000000-0005-0000-0000-0000F9050000}"/>
    <cellStyle name="Normal 3 26 7" xfId="1540" xr:uid="{00000000-0005-0000-0000-0000FA050000}"/>
    <cellStyle name="Normal 3 26 8" xfId="1541" xr:uid="{00000000-0005-0000-0000-0000FB050000}"/>
    <cellStyle name="Normal 3 26 9" xfId="1542" xr:uid="{00000000-0005-0000-0000-0000FC050000}"/>
    <cellStyle name="Normal 3 27" xfId="1543" xr:uid="{00000000-0005-0000-0000-0000FD050000}"/>
    <cellStyle name="Normal 3 27 10" xfId="1544" xr:uid="{00000000-0005-0000-0000-0000FE050000}"/>
    <cellStyle name="Normal 3 27 11" xfId="1545" xr:uid="{00000000-0005-0000-0000-0000FF050000}"/>
    <cellStyle name="Normal 3 27 12" xfId="1546" xr:uid="{00000000-0005-0000-0000-000000060000}"/>
    <cellStyle name="Normal 3 27 13" xfId="1547" xr:uid="{00000000-0005-0000-0000-000001060000}"/>
    <cellStyle name="Normal 3 27 14" xfId="1548" xr:uid="{00000000-0005-0000-0000-000002060000}"/>
    <cellStyle name="Normal 3 27 15" xfId="1549" xr:uid="{00000000-0005-0000-0000-000003060000}"/>
    <cellStyle name="Normal 3 27 16" xfId="1550" xr:uid="{00000000-0005-0000-0000-000004060000}"/>
    <cellStyle name="Normal 3 27 17" xfId="1551" xr:uid="{00000000-0005-0000-0000-000005060000}"/>
    <cellStyle name="Normal 3 27 18" xfId="1552" xr:uid="{00000000-0005-0000-0000-000006060000}"/>
    <cellStyle name="Normal 3 27 19" xfId="1553" xr:uid="{00000000-0005-0000-0000-000007060000}"/>
    <cellStyle name="Normal 3 27 2" xfId="1554" xr:uid="{00000000-0005-0000-0000-000008060000}"/>
    <cellStyle name="Normal 3 27 20" xfId="1555" xr:uid="{00000000-0005-0000-0000-000009060000}"/>
    <cellStyle name="Normal 3 27 21" xfId="1556" xr:uid="{00000000-0005-0000-0000-00000A060000}"/>
    <cellStyle name="Normal 3 27 22" xfId="1557" xr:uid="{00000000-0005-0000-0000-00000B060000}"/>
    <cellStyle name="Normal 3 27 23" xfId="1558" xr:uid="{00000000-0005-0000-0000-00000C060000}"/>
    <cellStyle name="Normal 3 27 3" xfId="1559" xr:uid="{00000000-0005-0000-0000-00000D060000}"/>
    <cellStyle name="Normal 3 27 4" xfId="1560" xr:uid="{00000000-0005-0000-0000-00000E060000}"/>
    <cellStyle name="Normal 3 27 5" xfId="1561" xr:uid="{00000000-0005-0000-0000-00000F060000}"/>
    <cellStyle name="Normal 3 27 6" xfId="1562" xr:uid="{00000000-0005-0000-0000-000010060000}"/>
    <cellStyle name="Normal 3 27 7" xfId="1563" xr:uid="{00000000-0005-0000-0000-000011060000}"/>
    <cellStyle name="Normal 3 27 8" xfId="1564" xr:uid="{00000000-0005-0000-0000-000012060000}"/>
    <cellStyle name="Normal 3 27 9" xfId="1565" xr:uid="{00000000-0005-0000-0000-000013060000}"/>
    <cellStyle name="Normal 3 28" xfId="1566" xr:uid="{00000000-0005-0000-0000-000014060000}"/>
    <cellStyle name="Normal 3 28 10" xfId="1567" xr:uid="{00000000-0005-0000-0000-000015060000}"/>
    <cellStyle name="Normal 3 28 11" xfId="1568" xr:uid="{00000000-0005-0000-0000-000016060000}"/>
    <cellStyle name="Normal 3 28 12" xfId="1569" xr:uid="{00000000-0005-0000-0000-000017060000}"/>
    <cellStyle name="Normal 3 28 13" xfId="1570" xr:uid="{00000000-0005-0000-0000-000018060000}"/>
    <cellStyle name="Normal 3 28 14" xfId="1571" xr:uid="{00000000-0005-0000-0000-000019060000}"/>
    <cellStyle name="Normal 3 28 15" xfId="1572" xr:uid="{00000000-0005-0000-0000-00001A060000}"/>
    <cellStyle name="Normal 3 28 16" xfId="1573" xr:uid="{00000000-0005-0000-0000-00001B060000}"/>
    <cellStyle name="Normal 3 28 17" xfId="1574" xr:uid="{00000000-0005-0000-0000-00001C060000}"/>
    <cellStyle name="Normal 3 28 18" xfId="1575" xr:uid="{00000000-0005-0000-0000-00001D060000}"/>
    <cellStyle name="Normal 3 28 19" xfId="1576" xr:uid="{00000000-0005-0000-0000-00001E060000}"/>
    <cellStyle name="Normal 3 28 2" xfId="1577" xr:uid="{00000000-0005-0000-0000-00001F060000}"/>
    <cellStyle name="Normal 3 28 20" xfId="1578" xr:uid="{00000000-0005-0000-0000-000020060000}"/>
    <cellStyle name="Normal 3 28 21" xfId="1579" xr:uid="{00000000-0005-0000-0000-000021060000}"/>
    <cellStyle name="Normal 3 28 22" xfId="1580" xr:uid="{00000000-0005-0000-0000-000022060000}"/>
    <cellStyle name="Normal 3 28 23" xfId="1581" xr:uid="{00000000-0005-0000-0000-000023060000}"/>
    <cellStyle name="Normal 3 28 3" xfId="1582" xr:uid="{00000000-0005-0000-0000-000024060000}"/>
    <cellStyle name="Normal 3 28 4" xfId="1583" xr:uid="{00000000-0005-0000-0000-000025060000}"/>
    <cellStyle name="Normal 3 28 5" xfId="1584" xr:uid="{00000000-0005-0000-0000-000026060000}"/>
    <cellStyle name="Normal 3 28 6" xfId="1585" xr:uid="{00000000-0005-0000-0000-000027060000}"/>
    <cellStyle name="Normal 3 28 7" xfId="1586" xr:uid="{00000000-0005-0000-0000-000028060000}"/>
    <cellStyle name="Normal 3 28 8" xfId="1587" xr:uid="{00000000-0005-0000-0000-000029060000}"/>
    <cellStyle name="Normal 3 28 9" xfId="1588" xr:uid="{00000000-0005-0000-0000-00002A060000}"/>
    <cellStyle name="Normal 3 29" xfId="1589" xr:uid="{00000000-0005-0000-0000-00002B060000}"/>
    <cellStyle name="Normal 3 29 10" xfId="1590" xr:uid="{00000000-0005-0000-0000-00002C060000}"/>
    <cellStyle name="Normal 3 29 11" xfId="1591" xr:uid="{00000000-0005-0000-0000-00002D060000}"/>
    <cellStyle name="Normal 3 29 12" xfId="1592" xr:uid="{00000000-0005-0000-0000-00002E060000}"/>
    <cellStyle name="Normal 3 29 13" xfId="1593" xr:uid="{00000000-0005-0000-0000-00002F060000}"/>
    <cellStyle name="Normal 3 29 14" xfId="1594" xr:uid="{00000000-0005-0000-0000-000030060000}"/>
    <cellStyle name="Normal 3 29 15" xfId="1595" xr:uid="{00000000-0005-0000-0000-000031060000}"/>
    <cellStyle name="Normal 3 29 16" xfId="1596" xr:uid="{00000000-0005-0000-0000-000032060000}"/>
    <cellStyle name="Normal 3 29 17" xfId="1597" xr:uid="{00000000-0005-0000-0000-000033060000}"/>
    <cellStyle name="Normal 3 29 18" xfId="1598" xr:uid="{00000000-0005-0000-0000-000034060000}"/>
    <cellStyle name="Normal 3 29 19" xfId="1599" xr:uid="{00000000-0005-0000-0000-000035060000}"/>
    <cellStyle name="Normal 3 29 2" xfId="1600" xr:uid="{00000000-0005-0000-0000-000036060000}"/>
    <cellStyle name="Normal 3 29 20" xfId="1601" xr:uid="{00000000-0005-0000-0000-000037060000}"/>
    <cellStyle name="Normal 3 29 21" xfId="1602" xr:uid="{00000000-0005-0000-0000-000038060000}"/>
    <cellStyle name="Normal 3 29 22" xfId="1603" xr:uid="{00000000-0005-0000-0000-000039060000}"/>
    <cellStyle name="Normal 3 29 23" xfId="1604" xr:uid="{00000000-0005-0000-0000-00003A060000}"/>
    <cellStyle name="Normal 3 29 3" xfId="1605" xr:uid="{00000000-0005-0000-0000-00003B060000}"/>
    <cellStyle name="Normal 3 29 4" xfId="1606" xr:uid="{00000000-0005-0000-0000-00003C060000}"/>
    <cellStyle name="Normal 3 29 5" xfId="1607" xr:uid="{00000000-0005-0000-0000-00003D060000}"/>
    <cellStyle name="Normal 3 29 6" xfId="1608" xr:uid="{00000000-0005-0000-0000-00003E060000}"/>
    <cellStyle name="Normal 3 29 7" xfId="1609" xr:uid="{00000000-0005-0000-0000-00003F060000}"/>
    <cellStyle name="Normal 3 29 8" xfId="1610" xr:uid="{00000000-0005-0000-0000-000040060000}"/>
    <cellStyle name="Normal 3 29 9" xfId="1611" xr:uid="{00000000-0005-0000-0000-000041060000}"/>
    <cellStyle name="Normal 3 3" xfId="1612" xr:uid="{00000000-0005-0000-0000-000042060000}"/>
    <cellStyle name="Normal 3 3 10" xfId="1613" xr:uid="{00000000-0005-0000-0000-000043060000}"/>
    <cellStyle name="Normal 3 3 11" xfId="1614" xr:uid="{00000000-0005-0000-0000-000044060000}"/>
    <cellStyle name="Normal 3 3 12" xfId="1615" xr:uid="{00000000-0005-0000-0000-000045060000}"/>
    <cellStyle name="Normal 3 3 13" xfId="1616" xr:uid="{00000000-0005-0000-0000-000046060000}"/>
    <cellStyle name="Normal 3 3 14" xfId="1617" xr:uid="{00000000-0005-0000-0000-000047060000}"/>
    <cellStyle name="Normal 3 3 15" xfId="1618" xr:uid="{00000000-0005-0000-0000-000048060000}"/>
    <cellStyle name="Normal 3 3 16" xfId="1619" xr:uid="{00000000-0005-0000-0000-000049060000}"/>
    <cellStyle name="Normal 3 3 17" xfId="1620" xr:uid="{00000000-0005-0000-0000-00004A060000}"/>
    <cellStyle name="Normal 3 3 18" xfId="1621" xr:uid="{00000000-0005-0000-0000-00004B060000}"/>
    <cellStyle name="Normal 3 3 19" xfId="1622" xr:uid="{00000000-0005-0000-0000-00004C060000}"/>
    <cellStyle name="Normal 3 3 2" xfId="1623" xr:uid="{00000000-0005-0000-0000-00004D060000}"/>
    <cellStyle name="Normal 3 3 20" xfId="1624" xr:uid="{00000000-0005-0000-0000-00004E060000}"/>
    <cellStyle name="Normal 3 3 21" xfId="1625" xr:uid="{00000000-0005-0000-0000-00004F060000}"/>
    <cellStyle name="Normal 3 3 22" xfId="1626" xr:uid="{00000000-0005-0000-0000-000050060000}"/>
    <cellStyle name="Normal 3 3 23" xfId="1627" xr:uid="{00000000-0005-0000-0000-000051060000}"/>
    <cellStyle name="Normal 3 3 3" xfId="1628" xr:uid="{00000000-0005-0000-0000-000052060000}"/>
    <cellStyle name="Normal 3 3 4" xfId="1629" xr:uid="{00000000-0005-0000-0000-000053060000}"/>
    <cellStyle name="Normal 3 3 5" xfId="1630" xr:uid="{00000000-0005-0000-0000-000054060000}"/>
    <cellStyle name="Normal 3 3 6" xfId="1631" xr:uid="{00000000-0005-0000-0000-000055060000}"/>
    <cellStyle name="Normal 3 3 7" xfId="1632" xr:uid="{00000000-0005-0000-0000-000056060000}"/>
    <cellStyle name="Normal 3 3 8" xfId="1633" xr:uid="{00000000-0005-0000-0000-000057060000}"/>
    <cellStyle name="Normal 3 3 9" xfId="1634" xr:uid="{00000000-0005-0000-0000-000058060000}"/>
    <cellStyle name="Normal 3 30" xfId="1635" xr:uid="{00000000-0005-0000-0000-000059060000}"/>
    <cellStyle name="Normal 3 30 10" xfId="1636" xr:uid="{00000000-0005-0000-0000-00005A060000}"/>
    <cellStyle name="Normal 3 30 11" xfId="1637" xr:uid="{00000000-0005-0000-0000-00005B060000}"/>
    <cellStyle name="Normal 3 30 12" xfId="1638" xr:uid="{00000000-0005-0000-0000-00005C060000}"/>
    <cellStyle name="Normal 3 30 13" xfId="1639" xr:uid="{00000000-0005-0000-0000-00005D060000}"/>
    <cellStyle name="Normal 3 30 14" xfId="1640" xr:uid="{00000000-0005-0000-0000-00005E060000}"/>
    <cellStyle name="Normal 3 30 15" xfId="1641" xr:uid="{00000000-0005-0000-0000-00005F060000}"/>
    <cellStyle name="Normal 3 30 16" xfId="1642" xr:uid="{00000000-0005-0000-0000-000060060000}"/>
    <cellStyle name="Normal 3 30 17" xfId="1643" xr:uid="{00000000-0005-0000-0000-000061060000}"/>
    <cellStyle name="Normal 3 30 18" xfId="1644" xr:uid="{00000000-0005-0000-0000-000062060000}"/>
    <cellStyle name="Normal 3 30 19" xfId="1645" xr:uid="{00000000-0005-0000-0000-000063060000}"/>
    <cellStyle name="Normal 3 30 2" xfId="1646" xr:uid="{00000000-0005-0000-0000-000064060000}"/>
    <cellStyle name="Normal 3 30 20" xfId="1647" xr:uid="{00000000-0005-0000-0000-000065060000}"/>
    <cellStyle name="Normal 3 30 21" xfId="1648" xr:uid="{00000000-0005-0000-0000-000066060000}"/>
    <cellStyle name="Normal 3 30 22" xfId="1649" xr:uid="{00000000-0005-0000-0000-000067060000}"/>
    <cellStyle name="Normal 3 30 23" xfId="1650" xr:uid="{00000000-0005-0000-0000-000068060000}"/>
    <cellStyle name="Normal 3 30 3" xfId="1651" xr:uid="{00000000-0005-0000-0000-000069060000}"/>
    <cellStyle name="Normal 3 30 4" xfId="1652" xr:uid="{00000000-0005-0000-0000-00006A060000}"/>
    <cellStyle name="Normal 3 30 5" xfId="1653" xr:uid="{00000000-0005-0000-0000-00006B060000}"/>
    <cellStyle name="Normal 3 30 6" xfId="1654" xr:uid="{00000000-0005-0000-0000-00006C060000}"/>
    <cellStyle name="Normal 3 30 7" xfId="1655" xr:uid="{00000000-0005-0000-0000-00006D060000}"/>
    <cellStyle name="Normal 3 30 8" xfId="1656" xr:uid="{00000000-0005-0000-0000-00006E060000}"/>
    <cellStyle name="Normal 3 30 9" xfId="1657" xr:uid="{00000000-0005-0000-0000-00006F060000}"/>
    <cellStyle name="Normal 3 31" xfId="1658" xr:uid="{00000000-0005-0000-0000-000070060000}"/>
    <cellStyle name="Normal 3 31 10" xfId="1659" xr:uid="{00000000-0005-0000-0000-000071060000}"/>
    <cellStyle name="Normal 3 31 11" xfId="1660" xr:uid="{00000000-0005-0000-0000-000072060000}"/>
    <cellStyle name="Normal 3 31 12" xfId="1661" xr:uid="{00000000-0005-0000-0000-000073060000}"/>
    <cellStyle name="Normal 3 31 13" xfId="1662" xr:uid="{00000000-0005-0000-0000-000074060000}"/>
    <cellStyle name="Normal 3 31 14" xfId="1663" xr:uid="{00000000-0005-0000-0000-000075060000}"/>
    <cellStyle name="Normal 3 31 15" xfId="1664" xr:uid="{00000000-0005-0000-0000-000076060000}"/>
    <cellStyle name="Normal 3 31 16" xfId="1665" xr:uid="{00000000-0005-0000-0000-000077060000}"/>
    <cellStyle name="Normal 3 31 17" xfId="1666" xr:uid="{00000000-0005-0000-0000-000078060000}"/>
    <cellStyle name="Normal 3 31 18" xfId="1667" xr:uid="{00000000-0005-0000-0000-000079060000}"/>
    <cellStyle name="Normal 3 31 19" xfId="1668" xr:uid="{00000000-0005-0000-0000-00007A060000}"/>
    <cellStyle name="Normal 3 31 2" xfId="1669" xr:uid="{00000000-0005-0000-0000-00007B060000}"/>
    <cellStyle name="Normal 3 31 20" xfId="1670" xr:uid="{00000000-0005-0000-0000-00007C060000}"/>
    <cellStyle name="Normal 3 31 21" xfId="1671" xr:uid="{00000000-0005-0000-0000-00007D060000}"/>
    <cellStyle name="Normal 3 31 22" xfId="1672" xr:uid="{00000000-0005-0000-0000-00007E060000}"/>
    <cellStyle name="Normal 3 31 23" xfId="1673" xr:uid="{00000000-0005-0000-0000-00007F060000}"/>
    <cellStyle name="Normal 3 31 3" xfId="1674" xr:uid="{00000000-0005-0000-0000-000080060000}"/>
    <cellStyle name="Normal 3 31 4" xfId="1675" xr:uid="{00000000-0005-0000-0000-000081060000}"/>
    <cellStyle name="Normal 3 31 5" xfId="1676" xr:uid="{00000000-0005-0000-0000-000082060000}"/>
    <cellStyle name="Normal 3 31 6" xfId="1677" xr:uid="{00000000-0005-0000-0000-000083060000}"/>
    <cellStyle name="Normal 3 31 7" xfId="1678" xr:uid="{00000000-0005-0000-0000-000084060000}"/>
    <cellStyle name="Normal 3 31 8" xfId="1679" xr:uid="{00000000-0005-0000-0000-000085060000}"/>
    <cellStyle name="Normal 3 31 9" xfId="1680" xr:uid="{00000000-0005-0000-0000-000086060000}"/>
    <cellStyle name="Normal 3 32" xfId="1681" xr:uid="{00000000-0005-0000-0000-000087060000}"/>
    <cellStyle name="Normal 3 32 10" xfId="1682" xr:uid="{00000000-0005-0000-0000-000088060000}"/>
    <cellStyle name="Normal 3 32 11" xfId="1683" xr:uid="{00000000-0005-0000-0000-000089060000}"/>
    <cellStyle name="Normal 3 32 12" xfId="1684" xr:uid="{00000000-0005-0000-0000-00008A060000}"/>
    <cellStyle name="Normal 3 32 13" xfId="1685" xr:uid="{00000000-0005-0000-0000-00008B060000}"/>
    <cellStyle name="Normal 3 32 14" xfId="1686" xr:uid="{00000000-0005-0000-0000-00008C060000}"/>
    <cellStyle name="Normal 3 32 15" xfId="1687" xr:uid="{00000000-0005-0000-0000-00008D060000}"/>
    <cellStyle name="Normal 3 32 16" xfId="1688" xr:uid="{00000000-0005-0000-0000-00008E060000}"/>
    <cellStyle name="Normal 3 32 17" xfId="1689" xr:uid="{00000000-0005-0000-0000-00008F060000}"/>
    <cellStyle name="Normal 3 32 18" xfId="1690" xr:uid="{00000000-0005-0000-0000-000090060000}"/>
    <cellStyle name="Normal 3 32 19" xfId="1691" xr:uid="{00000000-0005-0000-0000-000091060000}"/>
    <cellStyle name="Normal 3 32 2" xfId="1692" xr:uid="{00000000-0005-0000-0000-000092060000}"/>
    <cellStyle name="Normal 3 32 20" xfId="1693" xr:uid="{00000000-0005-0000-0000-000093060000}"/>
    <cellStyle name="Normal 3 32 21" xfId="1694" xr:uid="{00000000-0005-0000-0000-000094060000}"/>
    <cellStyle name="Normal 3 32 22" xfId="1695" xr:uid="{00000000-0005-0000-0000-000095060000}"/>
    <cellStyle name="Normal 3 32 23" xfId="1696" xr:uid="{00000000-0005-0000-0000-000096060000}"/>
    <cellStyle name="Normal 3 32 3" xfId="1697" xr:uid="{00000000-0005-0000-0000-000097060000}"/>
    <cellStyle name="Normal 3 32 4" xfId="1698" xr:uid="{00000000-0005-0000-0000-000098060000}"/>
    <cellStyle name="Normal 3 32 5" xfId="1699" xr:uid="{00000000-0005-0000-0000-000099060000}"/>
    <cellStyle name="Normal 3 32 6" xfId="1700" xr:uid="{00000000-0005-0000-0000-00009A060000}"/>
    <cellStyle name="Normal 3 32 7" xfId="1701" xr:uid="{00000000-0005-0000-0000-00009B060000}"/>
    <cellStyle name="Normal 3 32 8" xfId="1702" xr:uid="{00000000-0005-0000-0000-00009C060000}"/>
    <cellStyle name="Normal 3 32 9" xfId="1703" xr:uid="{00000000-0005-0000-0000-00009D060000}"/>
    <cellStyle name="Normal 3 33" xfId="1704" xr:uid="{00000000-0005-0000-0000-00009E060000}"/>
    <cellStyle name="Normal 3 33 10" xfId="1705" xr:uid="{00000000-0005-0000-0000-00009F060000}"/>
    <cellStyle name="Normal 3 33 11" xfId="1706" xr:uid="{00000000-0005-0000-0000-0000A0060000}"/>
    <cellStyle name="Normal 3 33 12" xfId="1707" xr:uid="{00000000-0005-0000-0000-0000A1060000}"/>
    <cellStyle name="Normal 3 33 13" xfId="1708" xr:uid="{00000000-0005-0000-0000-0000A2060000}"/>
    <cellStyle name="Normal 3 33 14" xfId="1709" xr:uid="{00000000-0005-0000-0000-0000A3060000}"/>
    <cellStyle name="Normal 3 33 15" xfId="1710" xr:uid="{00000000-0005-0000-0000-0000A4060000}"/>
    <cellStyle name="Normal 3 33 16" xfId="1711" xr:uid="{00000000-0005-0000-0000-0000A5060000}"/>
    <cellStyle name="Normal 3 33 17" xfId="1712" xr:uid="{00000000-0005-0000-0000-0000A6060000}"/>
    <cellStyle name="Normal 3 33 18" xfId="1713" xr:uid="{00000000-0005-0000-0000-0000A7060000}"/>
    <cellStyle name="Normal 3 33 19" xfId="1714" xr:uid="{00000000-0005-0000-0000-0000A8060000}"/>
    <cellStyle name="Normal 3 33 2" xfId="1715" xr:uid="{00000000-0005-0000-0000-0000A9060000}"/>
    <cellStyle name="Normal 3 33 20" xfId="1716" xr:uid="{00000000-0005-0000-0000-0000AA060000}"/>
    <cellStyle name="Normal 3 33 21" xfId="1717" xr:uid="{00000000-0005-0000-0000-0000AB060000}"/>
    <cellStyle name="Normal 3 33 22" xfId="1718" xr:uid="{00000000-0005-0000-0000-0000AC060000}"/>
    <cellStyle name="Normal 3 33 23" xfId="1719" xr:uid="{00000000-0005-0000-0000-0000AD060000}"/>
    <cellStyle name="Normal 3 33 3" xfId="1720" xr:uid="{00000000-0005-0000-0000-0000AE060000}"/>
    <cellStyle name="Normal 3 33 4" xfId="1721" xr:uid="{00000000-0005-0000-0000-0000AF060000}"/>
    <cellStyle name="Normal 3 33 5" xfId="1722" xr:uid="{00000000-0005-0000-0000-0000B0060000}"/>
    <cellStyle name="Normal 3 33 6" xfId="1723" xr:uid="{00000000-0005-0000-0000-0000B1060000}"/>
    <cellStyle name="Normal 3 33 7" xfId="1724" xr:uid="{00000000-0005-0000-0000-0000B2060000}"/>
    <cellStyle name="Normal 3 33 8" xfId="1725" xr:uid="{00000000-0005-0000-0000-0000B3060000}"/>
    <cellStyle name="Normal 3 33 9" xfId="1726" xr:uid="{00000000-0005-0000-0000-0000B4060000}"/>
    <cellStyle name="Normal 3 34" xfId="1727" xr:uid="{00000000-0005-0000-0000-0000B5060000}"/>
    <cellStyle name="Normal 3 35" xfId="1728" xr:uid="{00000000-0005-0000-0000-0000B6060000}"/>
    <cellStyle name="Normal 3 36" xfId="1729" xr:uid="{00000000-0005-0000-0000-0000B7060000}"/>
    <cellStyle name="Normal 3 37" xfId="1730" xr:uid="{00000000-0005-0000-0000-0000B8060000}"/>
    <cellStyle name="Normal 3 38" xfId="1731" xr:uid="{00000000-0005-0000-0000-0000B9060000}"/>
    <cellStyle name="Normal 3 39" xfId="1732" xr:uid="{00000000-0005-0000-0000-0000BA060000}"/>
    <cellStyle name="Normal 3 4" xfId="1733" xr:uid="{00000000-0005-0000-0000-0000BB060000}"/>
    <cellStyle name="Normal 3 4 10" xfId="1734" xr:uid="{00000000-0005-0000-0000-0000BC060000}"/>
    <cellStyle name="Normal 3 4 11" xfId="1735" xr:uid="{00000000-0005-0000-0000-0000BD060000}"/>
    <cellStyle name="Normal 3 4 12" xfId="1736" xr:uid="{00000000-0005-0000-0000-0000BE060000}"/>
    <cellStyle name="Normal 3 4 13" xfId="1737" xr:uid="{00000000-0005-0000-0000-0000BF060000}"/>
    <cellStyle name="Normal 3 4 14" xfId="1738" xr:uid="{00000000-0005-0000-0000-0000C0060000}"/>
    <cellStyle name="Normal 3 4 15" xfId="1739" xr:uid="{00000000-0005-0000-0000-0000C1060000}"/>
    <cellStyle name="Normal 3 4 16" xfId="1740" xr:uid="{00000000-0005-0000-0000-0000C2060000}"/>
    <cellStyle name="Normal 3 4 17" xfId="1741" xr:uid="{00000000-0005-0000-0000-0000C3060000}"/>
    <cellStyle name="Normal 3 4 18" xfId="1742" xr:uid="{00000000-0005-0000-0000-0000C4060000}"/>
    <cellStyle name="Normal 3 4 19" xfId="1743" xr:uid="{00000000-0005-0000-0000-0000C5060000}"/>
    <cellStyle name="Normal 3 4 2" xfId="1744" xr:uid="{00000000-0005-0000-0000-0000C6060000}"/>
    <cellStyle name="Normal 3 4 20" xfId="1745" xr:uid="{00000000-0005-0000-0000-0000C7060000}"/>
    <cellStyle name="Normal 3 4 21" xfId="1746" xr:uid="{00000000-0005-0000-0000-0000C8060000}"/>
    <cellStyle name="Normal 3 4 22" xfId="1747" xr:uid="{00000000-0005-0000-0000-0000C9060000}"/>
    <cellStyle name="Normal 3 4 23" xfId="1748" xr:uid="{00000000-0005-0000-0000-0000CA060000}"/>
    <cellStyle name="Normal 3 4 3" xfId="1749" xr:uid="{00000000-0005-0000-0000-0000CB060000}"/>
    <cellStyle name="Normal 3 4 4" xfId="1750" xr:uid="{00000000-0005-0000-0000-0000CC060000}"/>
    <cellStyle name="Normal 3 4 5" xfId="1751" xr:uid="{00000000-0005-0000-0000-0000CD060000}"/>
    <cellStyle name="Normal 3 4 6" xfId="1752" xr:uid="{00000000-0005-0000-0000-0000CE060000}"/>
    <cellStyle name="Normal 3 4 7" xfId="1753" xr:uid="{00000000-0005-0000-0000-0000CF060000}"/>
    <cellStyle name="Normal 3 4 8" xfId="1754" xr:uid="{00000000-0005-0000-0000-0000D0060000}"/>
    <cellStyle name="Normal 3 4 9" xfId="1755" xr:uid="{00000000-0005-0000-0000-0000D1060000}"/>
    <cellStyle name="Normal 3 40" xfId="1756" xr:uid="{00000000-0005-0000-0000-0000D2060000}"/>
    <cellStyle name="Normal 3 41" xfId="1757" xr:uid="{00000000-0005-0000-0000-0000D3060000}"/>
    <cellStyle name="Normal 3 42" xfId="1758" xr:uid="{00000000-0005-0000-0000-0000D4060000}"/>
    <cellStyle name="Normal 3 43" xfId="1759" xr:uid="{00000000-0005-0000-0000-0000D5060000}"/>
    <cellStyle name="Normal 3 44" xfId="1760" xr:uid="{00000000-0005-0000-0000-0000D6060000}"/>
    <cellStyle name="Normal 3 45" xfId="1761" xr:uid="{00000000-0005-0000-0000-0000D7060000}"/>
    <cellStyle name="Normal 3 46" xfId="1762" xr:uid="{00000000-0005-0000-0000-0000D8060000}"/>
    <cellStyle name="Normal 3 47" xfId="1763" xr:uid="{00000000-0005-0000-0000-0000D9060000}"/>
    <cellStyle name="Normal 3 48" xfId="1764" xr:uid="{00000000-0005-0000-0000-0000DA060000}"/>
    <cellStyle name="Normal 3 49" xfId="1765" xr:uid="{00000000-0005-0000-0000-0000DB060000}"/>
    <cellStyle name="Normal 3 5" xfId="1766" xr:uid="{00000000-0005-0000-0000-0000DC060000}"/>
    <cellStyle name="Normal 3 5 10" xfId="1767" xr:uid="{00000000-0005-0000-0000-0000DD060000}"/>
    <cellStyle name="Normal 3 5 11" xfId="1768" xr:uid="{00000000-0005-0000-0000-0000DE060000}"/>
    <cellStyle name="Normal 3 5 12" xfId="1769" xr:uid="{00000000-0005-0000-0000-0000DF060000}"/>
    <cellStyle name="Normal 3 5 13" xfId="1770" xr:uid="{00000000-0005-0000-0000-0000E0060000}"/>
    <cellStyle name="Normal 3 5 14" xfId="1771" xr:uid="{00000000-0005-0000-0000-0000E1060000}"/>
    <cellStyle name="Normal 3 5 15" xfId="1772" xr:uid="{00000000-0005-0000-0000-0000E2060000}"/>
    <cellStyle name="Normal 3 5 16" xfId="1773" xr:uid="{00000000-0005-0000-0000-0000E3060000}"/>
    <cellStyle name="Normal 3 5 17" xfId="1774" xr:uid="{00000000-0005-0000-0000-0000E4060000}"/>
    <cellStyle name="Normal 3 5 18" xfId="1775" xr:uid="{00000000-0005-0000-0000-0000E5060000}"/>
    <cellStyle name="Normal 3 5 19" xfId="1776" xr:uid="{00000000-0005-0000-0000-0000E6060000}"/>
    <cellStyle name="Normal 3 5 2" xfId="1777" xr:uid="{00000000-0005-0000-0000-0000E7060000}"/>
    <cellStyle name="Normal 3 5 20" xfId="1778" xr:uid="{00000000-0005-0000-0000-0000E8060000}"/>
    <cellStyle name="Normal 3 5 21" xfId="1779" xr:uid="{00000000-0005-0000-0000-0000E9060000}"/>
    <cellStyle name="Normal 3 5 22" xfId="1780" xr:uid="{00000000-0005-0000-0000-0000EA060000}"/>
    <cellStyle name="Normal 3 5 23" xfId="1781" xr:uid="{00000000-0005-0000-0000-0000EB060000}"/>
    <cellStyle name="Normal 3 5 3" xfId="1782" xr:uid="{00000000-0005-0000-0000-0000EC060000}"/>
    <cellStyle name="Normal 3 5 4" xfId="1783" xr:uid="{00000000-0005-0000-0000-0000ED060000}"/>
    <cellStyle name="Normal 3 5 5" xfId="1784" xr:uid="{00000000-0005-0000-0000-0000EE060000}"/>
    <cellStyle name="Normal 3 5 6" xfId="1785" xr:uid="{00000000-0005-0000-0000-0000EF060000}"/>
    <cellStyle name="Normal 3 5 7" xfId="1786" xr:uid="{00000000-0005-0000-0000-0000F0060000}"/>
    <cellStyle name="Normal 3 5 8" xfId="1787" xr:uid="{00000000-0005-0000-0000-0000F1060000}"/>
    <cellStyle name="Normal 3 5 9" xfId="1788" xr:uid="{00000000-0005-0000-0000-0000F2060000}"/>
    <cellStyle name="Normal 3 50" xfId="1789" xr:uid="{00000000-0005-0000-0000-0000F3060000}"/>
    <cellStyle name="Normal 3 51" xfId="1790" xr:uid="{00000000-0005-0000-0000-0000F4060000}"/>
    <cellStyle name="Normal 3 52" xfId="1791" xr:uid="{00000000-0005-0000-0000-0000F5060000}"/>
    <cellStyle name="Normal 3 53" xfId="1792" xr:uid="{00000000-0005-0000-0000-0000F6060000}"/>
    <cellStyle name="Normal 3 54" xfId="1793" xr:uid="{00000000-0005-0000-0000-0000F7060000}"/>
    <cellStyle name="Normal 3 55" xfId="1794" xr:uid="{00000000-0005-0000-0000-0000F8060000}"/>
    <cellStyle name="Normal 3 56" xfId="1795" xr:uid="{00000000-0005-0000-0000-0000F9060000}"/>
    <cellStyle name="Normal 3 57" xfId="1796" xr:uid="{00000000-0005-0000-0000-0000FA060000}"/>
    <cellStyle name="Normal 3 58" xfId="1797" xr:uid="{00000000-0005-0000-0000-0000FB060000}"/>
    <cellStyle name="Normal 3 59" xfId="1798" xr:uid="{00000000-0005-0000-0000-0000FC060000}"/>
    <cellStyle name="Normal 3 6" xfId="1799" xr:uid="{00000000-0005-0000-0000-0000FD060000}"/>
    <cellStyle name="Normal 3 6 10" xfId="1800" xr:uid="{00000000-0005-0000-0000-0000FE060000}"/>
    <cellStyle name="Normal 3 6 11" xfId="1801" xr:uid="{00000000-0005-0000-0000-0000FF060000}"/>
    <cellStyle name="Normal 3 6 12" xfId="1802" xr:uid="{00000000-0005-0000-0000-000000070000}"/>
    <cellStyle name="Normal 3 6 13" xfId="1803" xr:uid="{00000000-0005-0000-0000-000001070000}"/>
    <cellStyle name="Normal 3 6 14" xfId="1804" xr:uid="{00000000-0005-0000-0000-000002070000}"/>
    <cellStyle name="Normal 3 6 15" xfId="1805" xr:uid="{00000000-0005-0000-0000-000003070000}"/>
    <cellStyle name="Normal 3 6 16" xfId="1806" xr:uid="{00000000-0005-0000-0000-000004070000}"/>
    <cellStyle name="Normal 3 6 17" xfId="1807" xr:uid="{00000000-0005-0000-0000-000005070000}"/>
    <cellStyle name="Normal 3 6 18" xfId="1808" xr:uid="{00000000-0005-0000-0000-000006070000}"/>
    <cellStyle name="Normal 3 6 19" xfId="1809" xr:uid="{00000000-0005-0000-0000-000007070000}"/>
    <cellStyle name="Normal 3 6 2" xfId="1810" xr:uid="{00000000-0005-0000-0000-000008070000}"/>
    <cellStyle name="Normal 3 6 20" xfId="1811" xr:uid="{00000000-0005-0000-0000-000009070000}"/>
    <cellStyle name="Normal 3 6 21" xfId="1812" xr:uid="{00000000-0005-0000-0000-00000A070000}"/>
    <cellStyle name="Normal 3 6 22" xfId="1813" xr:uid="{00000000-0005-0000-0000-00000B070000}"/>
    <cellStyle name="Normal 3 6 23" xfId="1814" xr:uid="{00000000-0005-0000-0000-00000C070000}"/>
    <cellStyle name="Normal 3 6 3" xfId="1815" xr:uid="{00000000-0005-0000-0000-00000D070000}"/>
    <cellStyle name="Normal 3 6 4" xfId="1816" xr:uid="{00000000-0005-0000-0000-00000E070000}"/>
    <cellStyle name="Normal 3 6 5" xfId="1817" xr:uid="{00000000-0005-0000-0000-00000F070000}"/>
    <cellStyle name="Normal 3 6 6" xfId="1818" xr:uid="{00000000-0005-0000-0000-000010070000}"/>
    <cellStyle name="Normal 3 6 7" xfId="1819" xr:uid="{00000000-0005-0000-0000-000011070000}"/>
    <cellStyle name="Normal 3 6 8" xfId="1820" xr:uid="{00000000-0005-0000-0000-000012070000}"/>
    <cellStyle name="Normal 3 6 9" xfId="1821" xr:uid="{00000000-0005-0000-0000-000013070000}"/>
    <cellStyle name="Normal 3 60" xfId="1822" xr:uid="{00000000-0005-0000-0000-000014070000}"/>
    <cellStyle name="Normal 3 61" xfId="1823" xr:uid="{00000000-0005-0000-0000-000015070000}"/>
    <cellStyle name="Normal 3 62" xfId="1824" xr:uid="{00000000-0005-0000-0000-000016070000}"/>
    <cellStyle name="Normal 3 63" xfId="1825" xr:uid="{00000000-0005-0000-0000-000017070000}"/>
    <cellStyle name="Normal 3 64" xfId="1826" xr:uid="{00000000-0005-0000-0000-000018070000}"/>
    <cellStyle name="Normal 3 65" xfId="1827" xr:uid="{00000000-0005-0000-0000-000019070000}"/>
    <cellStyle name="Normal 3 66" xfId="1064" xr:uid="{00000000-0005-0000-0000-00001A070000}"/>
    <cellStyle name="Normal 3 67" xfId="2065" xr:uid="{00000000-0005-0000-0000-000030050000}"/>
    <cellStyle name="Normal 3 7" xfId="1828" xr:uid="{00000000-0005-0000-0000-00001B070000}"/>
    <cellStyle name="Normal 3 7 10" xfId="1829" xr:uid="{00000000-0005-0000-0000-00001C070000}"/>
    <cellStyle name="Normal 3 7 11" xfId="1830" xr:uid="{00000000-0005-0000-0000-00001D070000}"/>
    <cellStyle name="Normal 3 7 12" xfId="1831" xr:uid="{00000000-0005-0000-0000-00001E070000}"/>
    <cellStyle name="Normal 3 7 13" xfId="1832" xr:uid="{00000000-0005-0000-0000-00001F070000}"/>
    <cellStyle name="Normal 3 7 14" xfId="1833" xr:uid="{00000000-0005-0000-0000-000020070000}"/>
    <cellStyle name="Normal 3 7 15" xfId="1834" xr:uid="{00000000-0005-0000-0000-000021070000}"/>
    <cellStyle name="Normal 3 7 16" xfId="1835" xr:uid="{00000000-0005-0000-0000-000022070000}"/>
    <cellStyle name="Normal 3 7 17" xfId="1836" xr:uid="{00000000-0005-0000-0000-000023070000}"/>
    <cellStyle name="Normal 3 7 18" xfId="1837" xr:uid="{00000000-0005-0000-0000-000024070000}"/>
    <cellStyle name="Normal 3 7 19" xfId="1838" xr:uid="{00000000-0005-0000-0000-000025070000}"/>
    <cellStyle name="Normal 3 7 2" xfId="1839" xr:uid="{00000000-0005-0000-0000-000026070000}"/>
    <cellStyle name="Normal 3 7 20" xfId="1840" xr:uid="{00000000-0005-0000-0000-000027070000}"/>
    <cellStyle name="Normal 3 7 21" xfId="1841" xr:uid="{00000000-0005-0000-0000-000028070000}"/>
    <cellStyle name="Normal 3 7 22" xfId="1842" xr:uid="{00000000-0005-0000-0000-000029070000}"/>
    <cellStyle name="Normal 3 7 23" xfId="1843" xr:uid="{00000000-0005-0000-0000-00002A070000}"/>
    <cellStyle name="Normal 3 7 3" xfId="1844" xr:uid="{00000000-0005-0000-0000-00002B070000}"/>
    <cellStyle name="Normal 3 7 4" xfId="1845" xr:uid="{00000000-0005-0000-0000-00002C070000}"/>
    <cellStyle name="Normal 3 7 5" xfId="1846" xr:uid="{00000000-0005-0000-0000-00002D070000}"/>
    <cellStyle name="Normal 3 7 6" xfId="1847" xr:uid="{00000000-0005-0000-0000-00002E070000}"/>
    <cellStyle name="Normal 3 7 7" xfId="1848" xr:uid="{00000000-0005-0000-0000-00002F070000}"/>
    <cellStyle name="Normal 3 7 8" xfId="1849" xr:uid="{00000000-0005-0000-0000-000030070000}"/>
    <cellStyle name="Normal 3 7 9" xfId="1850" xr:uid="{00000000-0005-0000-0000-000031070000}"/>
    <cellStyle name="Normal 3 7_Summary" xfId="2400" xr:uid="{00000000-0005-0000-0000-000045080000}"/>
    <cellStyle name="Normal 3 8" xfId="1851" xr:uid="{00000000-0005-0000-0000-000032070000}"/>
    <cellStyle name="Normal 3 8 10" xfId="1852" xr:uid="{00000000-0005-0000-0000-000033070000}"/>
    <cellStyle name="Normal 3 8 11" xfId="1853" xr:uid="{00000000-0005-0000-0000-000034070000}"/>
    <cellStyle name="Normal 3 8 12" xfId="1854" xr:uid="{00000000-0005-0000-0000-000035070000}"/>
    <cellStyle name="Normal 3 8 13" xfId="1855" xr:uid="{00000000-0005-0000-0000-000036070000}"/>
    <cellStyle name="Normal 3 8 14" xfId="1856" xr:uid="{00000000-0005-0000-0000-000037070000}"/>
    <cellStyle name="Normal 3 8 15" xfId="1857" xr:uid="{00000000-0005-0000-0000-000038070000}"/>
    <cellStyle name="Normal 3 8 16" xfId="1858" xr:uid="{00000000-0005-0000-0000-000039070000}"/>
    <cellStyle name="Normal 3 8 17" xfId="1859" xr:uid="{00000000-0005-0000-0000-00003A070000}"/>
    <cellStyle name="Normal 3 8 18" xfId="1860" xr:uid="{00000000-0005-0000-0000-00003B070000}"/>
    <cellStyle name="Normal 3 8 19" xfId="1861" xr:uid="{00000000-0005-0000-0000-00003C070000}"/>
    <cellStyle name="Normal 3 8 2" xfId="1862" xr:uid="{00000000-0005-0000-0000-00003D070000}"/>
    <cellStyle name="Normal 3 8 20" xfId="1863" xr:uid="{00000000-0005-0000-0000-00003E070000}"/>
    <cellStyle name="Normal 3 8 21" xfId="1864" xr:uid="{00000000-0005-0000-0000-00003F070000}"/>
    <cellStyle name="Normal 3 8 22" xfId="1865" xr:uid="{00000000-0005-0000-0000-000040070000}"/>
    <cellStyle name="Normal 3 8 23" xfId="1866" xr:uid="{00000000-0005-0000-0000-000041070000}"/>
    <cellStyle name="Normal 3 8 3" xfId="1867" xr:uid="{00000000-0005-0000-0000-000042070000}"/>
    <cellStyle name="Normal 3 8 4" xfId="1868" xr:uid="{00000000-0005-0000-0000-000043070000}"/>
    <cellStyle name="Normal 3 8 5" xfId="1869" xr:uid="{00000000-0005-0000-0000-000044070000}"/>
    <cellStyle name="Normal 3 8 6" xfId="1870" xr:uid="{00000000-0005-0000-0000-000045070000}"/>
    <cellStyle name="Normal 3 8 7" xfId="1871" xr:uid="{00000000-0005-0000-0000-000046070000}"/>
    <cellStyle name="Normal 3 8 8" xfId="1872" xr:uid="{00000000-0005-0000-0000-000047070000}"/>
    <cellStyle name="Normal 3 8 9" xfId="1873" xr:uid="{00000000-0005-0000-0000-000048070000}"/>
    <cellStyle name="Normal 3 9" xfId="1874" xr:uid="{00000000-0005-0000-0000-000049070000}"/>
    <cellStyle name="Normal 3 9 10" xfId="1875" xr:uid="{00000000-0005-0000-0000-00004A070000}"/>
    <cellStyle name="Normal 3 9 11" xfId="1876" xr:uid="{00000000-0005-0000-0000-00004B070000}"/>
    <cellStyle name="Normal 3 9 12" xfId="1877" xr:uid="{00000000-0005-0000-0000-00004C070000}"/>
    <cellStyle name="Normal 3 9 13" xfId="1878" xr:uid="{00000000-0005-0000-0000-00004D070000}"/>
    <cellStyle name="Normal 3 9 14" xfId="1879" xr:uid="{00000000-0005-0000-0000-00004E070000}"/>
    <cellStyle name="Normal 3 9 15" xfId="1880" xr:uid="{00000000-0005-0000-0000-00004F070000}"/>
    <cellStyle name="Normal 3 9 16" xfId="1881" xr:uid="{00000000-0005-0000-0000-000050070000}"/>
    <cellStyle name="Normal 3 9 17" xfId="1882" xr:uid="{00000000-0005-0000-0000-000051070000}"/>
    <cellStyle name="Normal 3 9 18" xfId="1883" xr:uid="{00000000-0005-0000-0000-000052070000}"/>
    <cellStyle name="Normal 3 9 19" xfId="1884" xr:uid="{00000000-0005-0000-0000-000053070000}"/>
    <cellStyle name="Normal 3 9 2" xfId="1885" xr:uid="{00000000-0005-0000-0000-000054070000}"/>
    <cellStyle name="Normal 3 9 20" xfId="1886" xr:uid="{00000000-0005-0000-0000-000055070000}"/>
    <cellStyle name="Normal 3 9 21" xfId="1887" xr:uid="{00000000-0005-0000-0000-000056070000}"/>
    <cellStyle name="Normal 3 9 22" xfId="1888" xr:uid="{00000000-0005-0000-0000-000057070000}"/>
    <cellStyle name="Normal 3 9 23" xfId="1889" xr:uid="{00000000-0005-0000-0000-000058070000}"/>
    <cellStyle name="Normal 3 9 3" xfId="1890" xr:uid="{00000000-0005-0000-0000-000059070000}"/>
    <cellStyle name="Normal 3 9 4" xfId="1891" xr:uid="{00000000-0005-0000-0000-00005A070000}"/>
    <cellStyle name="Normal 3 9 5" xfId="1892" xr:uid="{00000000-0005-0000-0000-00005B070000}"/>
    <cellStyle name="Normal 3 9 6" xfId="1893" xr:uid="{00000000-0005-0000-0000-00005C070000}"/>
    <cellStyle name="Normal 3 9 7" xfId="1894" xr:uid="{00000000-0005-0000-0000-00005D070000}"/>
    <cellStyle name="Normal 3 9 8" xfId="1895" xr:uid="{00000000-0005-0000-0000-00005E070000}"/>
    <cellStyle name="Normal 3 9 9" xfId="1896" xr:uid="{00000000-0005-0000-0000-00005F070000}"/>
    <cellStyle name="Normal 3 9_Summary" xfId="2403" xr:uid="{00000000-0005-0000-0000-000074080000}"/>
    <cellStyle name="Normal 3_Rates" xfId="2404" xr:uid="{00000000-0005-0000-0000-000075080000}"/>
    <cellStyle name="Normal 31" xfId="1999" xr:uid="{00000000-0005-0000-0000-000076080000}"/>
    <cellStyle name="Normal 4" xfId="52" xr:uid="{00000000-0005-0000-0000-000060070000}"/>
    <cellStyle name="Normal 4 2" xfId="1898" xr:uid="{00000000-0005-0000-0000-000061070000}"/>
    <cellStyle name="Normal 4 2 2" xfId="2068" xr:uid="{00000000-0005-0000-0000-000079080000}"/>
    <cellStyle name="Normal 4 2 3" xfId="2405" xr:uid="{00000000-0005-0000-0000-00007A080000}"/>
    <cellStyle name="Normal 4 2 4" xfId="2406" xr:uid="{00000000-0005-0000-0000-00007B080000}"/>
    <cellStyle name="Normal 4 2 5" xfId="2067" xr:uid="{00000000-0005-0000-0000-000078080000}"/>
    <cellStyle name="Normal 4 26" xfId="2407" xr:uid="{00000000-0005-0000-0000-00007C080000}"/>
    <cellStyle name="Normal 4 26 2" xfId="2408" xr:uid="{00000000-0005-0000-0000-00007D080000}"/>
    <cellStyle name="Normal 4 3" xfId="1897" xr:uid="{00000000-0005-0000-0000-000062070000}"/>
    <cellStyle name="Normal 4 3 2" xfId="2000" xr:uid="{00000000-0005-0000-0000-00007E080000}"/>
    <cellStyle name="Normal 4 4" xfId="2066" xr:uid="{00000000-0005-0000-0000-000077080000}"/>
    <cellStyle name="Normal 5" xfId="43" xr:uid="{00000000-0005-0000-0000-000063070000}"/>
    <cellStyle name="Normal 5 10" xfId="1899" xr:uid="{00000000-0005-0000-0000-000064070000}"/>
    <cellStyle name="Normal 5 11" xfId="1900" xr:uid="{00000000-0005-0000-0000-000065070000}"/>
    <cellStyle name="Normal 5 12" xfId="1901" xr:uid="{00000000-0005-0000-0000-000066070000}"/>
    <cellStyle name="Normal 5 13" xfId="1902" xr:uid="{00000000-0005-0000-0000-000067070000}"/>
    <cellStyle name="Normal 5 14" xfId="1903" xr:uid="{00000000-0005-0000-0000-000068070000}"/>
    <cellStyle name="Normal 5 15" xfId="1904" xr:uid="{00000000-0005-0000-0000-000069070000}"/>
    <cellStyle name="Normal 5 16" xfId="1905" xr:uid="{00000000-0005-0000-0000-00006A070000}"/>
    <cellStyle name="Normal 5 17" xfId="1906" xr:uid="{00000000-0005-0000-0000-00006B070000}"/>
    <cellStyle name="Normal 5 18" xfId="1907" xr:uid="{00000000-0005-0000-0000-00006C070000}"/>
    <cellStyle name="Normal 5 19" xfId="1908" xr:uid="{00000000-0005-0000-0000-00006D070000}"/>
    <cellStyle name="Normal 5 2" xfId="1909" xr:uid="{00000000-0005-0000-0000-00006E070000}"/>
    <cellStyle name="Normal 5 2 10" xfId="1910" xr:uid="{00000000-0005-0000-0000-00006F070000}"/>
    <cellStyle name="Normal 5 2 11" xfId="1911" xr:uid="{00000000-0005-0000-0000-000070070000}"/>
    <cellStyle name="Normal 5 2 12" xfId="1912" xr:uid="{00000000-0005-0000-0000-000071070000}"/>
    <cellStyle name="Normal 5 2 13" xfId="1913" xr:uid="{00000000-0005-0000-0000-000072070000}"/>
    <cellStyle name="Normal 5 2 14" xfId="1914" xr:uid="{00000000-0005-0000-0000-000073070000}"/>
    <cellStyle name="Normal 5 2 15" xfId="1915" xr:uid="{00000000-0005-0000-0000-000074070000}"/>
    <cellStyle name="Normal 5 2 16" xfId="1916" xr:uid="{00000000-0005-0000-0000-000075070000}"/>
    <cellStyle name="Normal 5 2 17" xfId="1917" xr:uid="{00000000-0005-0000-0000-000076070000}"/>
    <cellStyle name="Normal 5 2 18" xfId="1918" xr:uid="{00000000-0005-0000-0000-000077070000}"/>
    <cellStyle name="Normal 5 2 19" xfId="1919" xr:uid="{00000000-0005-0000-0000-000078070000}"/>
    <cellStyle name="Normal 5 2 2" xfId="1920" xr:uid="{00000000-0005-0000-0000-000079070000}"/>
    <cellStyle name="Normal 5 2 20" xfId="1921" xr:uid="{00000000-0005-0000-0000-00007A070000}"/>
    <cellStyle name="Normal 5 2 21" xfId="1922" xr:uid="{00000000-0005-0000-0000-00007B070000}"/>
    <cellStyle name="Normal 5 2 22" xfId="1923" xr:uid="{00000000-0005-0000-0000-00007C070000}"/>
    <cellStyle name="Normal 5 2 23" xfId="1924" xr:uid="{00000000-0005-0000-0000-00007D070000}"/>
    <cellStyle name="Normal 5 2 3" xfId="1925" xr:uid="{00000000-0005-0000-0000-00007E070000}"/>
    <cellStyle name="Normal 5 2 4" xfId="1926" xr:uid="{00000000-0005-0000-0000-00007F070000}"/>
    <cellStyle name="Normal 5 2 5" xfId="1927" xr:uid="{00000000-0005-0000-0000-000080070000}"/>
    <cellStyle name="Normal 5 2 6" xfId="1928" xr:uid="{00000000-0005-0000-0000-000081070000}"/>
    <cellStyle name="Normal 5 2 7" xfId="1929" xr:uid="{00000000-0005-0000-0000-000082070000}"/>
    <cellStyle name="Normal 5 2 8" xfId="1930" xr:uid="{00000000-0005-0000-0000-000083070000}"/>
    <cellStyle name="Normal 5 2 9" xfId="1931" xr:uid="{00000000-0005-0000-0000-000084070000}"/>
    <cellStyle name="Normal 5 20" xfId="1932" xr:uid="{00000000-0005-0000-0000-000085070000}"/>
    <cellStyle name="Normal 5 21" xfId="1933" xr:uid="{00000000-0005-0000-0000-000086070000}"/>
    <cellStyle name="Normal 5 22" xfId="1934" xr:uid="{00000000-0005-0000-0000-000087070000}"/>
    <cellStyle name="Normal 5 23" xfId="1935" xr:uid="{00000000-0005-0000-0000-000088070000}"/>
    <cellStyle name="Normal 5 24" xfId="1936" xr:uid="{00000000-0005-0000-0000-000089070000}"/>
    <cellStyle name="Normal 5 25" xfId="2069" xr:uid="{00000000-0005-0000-0000-00007F080000}"/>
    <cellStyle name="Normal 5 3" xfId="1937" xr:uid="{00000000-0005-0000-0000-00008A070000}"/>
    <cellStyle name="Normal 5 4" xfId="1938" xr:uid="{00000000-0005-0000-0000-00008B070000}"/>
    <cellStyle name="Normal 5 5" xfId="1939" xr:uid="{00000000-0005-0000-0000-00008C070000}"/>
    <cellStyle name="Normal 5 6" xfId="1940" xr:uid="{00000000-0005-0000-0000-00008D070000}"/>
    <cellStyle name="Normal 5 7" xfId="1941" xr:uid="{00000000-0005-0000-0000-00008E070000}"/>
    <cellStyle name="Normal 5 8" xfId="1942" xr:uid="{00000000-0005-0000-0000-00008F070000}"/>
    <cellStyle name="Normal 5 9" xfId="1943" xr:uid="{00000000-0005-0000-0000-000090070000}"/>
    <cellStyle name="Normal 5_Summary" xfId="2410" xr:uid="{00000000-0005-0000-0000-0000AD080000}"/>
    <cellStyle name="Normal 6" xfId="1944" xr:uid="{00000000-0005-0000-0000-000091070000}"/>
    <cellStyle name="Normal 6 2" xfId="2071" xr:uid="{00000000-0005-0000-0000-0000AF080000}"/>
    <cellStyle name="Normal 6 2 2" xfId="2072" xr:uid="{00000000-0005-0000-0000-0000B0080000}"/>
    <cellStyle name="Normal 6 2 2 2" xfId="2073" xr:uid="{00000000-0005-0000-0000-0000B1080000}"/>
    <cellStyle name="Normal 6 2 3" xfId="2074" xr:uid="{00000000-0005-0000-0000-0000B2080000}"/>
    <cellStyle name="Normal 6 3" xfId="2075" xr:uid="{00000000-0005-0000-0000-0000B3080000}"/>
    <cellStyle name="Normal 6 3 2" xfId="2076" xr:uid="{00000000-0005-0000-0000-0000B4080000}"/>
    <cellStyle name="Normal 6 4" xfId="2077" xr:uid="{00000000-0005-0000-0000-0000B5080000}"/>
    <cellStyle name="Normal 6 5" xfId="2070" xr:uid="{00000000-0005-0000-0000-0000AE080000}"/>
    <cellStyle name="Normal 7" xfId="1945" xr:uid="{00000000-0005-0000-0000-000092070000}"/>
    <cellStyle name="Normal 7 10" xfId="1946" xr:uid="{00000000-0005-0000-0000-000093070000}"/>
    <cellStyle name="Normal 7 11" xfId="1947" xr:uid="{00000000-0005-0000-0000-000094070000}"/>
    <cellStyle name="Normal 7 12" xfId="1948" xr:uid="{00000000-0005-0000-0000-000095070000}"/>
    <cellStyle name="Normal 7 13" xfId="1949" xr:uid="{00000000-0005-0000-0000-000096070000}"/>
    <cellStyle name="Normal 7 14" xfId="1950" xr:uid="{00000000-0005-0000-0000-000097070000}"/>
    <cellStyle name="Normal 7 15" xfId="1951" xr:uid="{00000000-0005-0000-0000-000098070000}"/>
    <cellStyle name="Normal 7 16" xfId="1952" xr:uid="{00000000-0005-0000-0000-000099070000}"/>
    <cellStyle name="Normal 7 17" xfId="1953" xr:uid="{00000000-0005-0000-0000-00009A070000}"/>
    <cellStyle name="Normal 7 18" xfId="1954" xr:uid="{00000000-0005-0000-0000-00009B070000}"/>
    <cellStyle name="Normal 7 19" xfId="1955" xr:uid="{00000000-0005-0000-0000-00009C070000}"/>
    <cellStyle name="Normal 7 2" xfId="1956" xr:uid="{00000000-0005-0000-0000-00009D070000}"/>
    <cellStyle name="Normal 7 2 10" xfId="1957" xr:uid="{00000000-0005-0000-0000-00009E070000}"/>
    <cellStyle name="Normal 7 2 11" xfId="1958" xr:uid="{00000000-0005-0000-0000-00009F070000}"/>
    <cellStyle name="Normal 7 2 12" xfId="1959" xr:uid="{00000000-0005-0000-0000-0000A0070000}"/>
    <cellStyle name="Normal 7 2 13" xfId="1960" xr:uid="{00000000-0005-0000-0000-0000A1070000}"/>
    <cellStyle name="Normal 7 2 14" xfId="1961" xr:uid="{00000000-0005-0000-0000-0000A2070000}"/>
    <cellStyle name="Normal 7 2 15" xfId="1962" xr:uid="{00000000-0005-0000-0000-0000A3070000}"/>
    <cellStyle name="Normal 7 2 16" xfId="1963" xr:uid="{00000000-0005-0000-0000-0000A4070000}"/>
    <cellStyle name="Normal 7 2 17" xfId="1964" xr:uid="{00000000-0005-0000-0000-0000A5070000}"/>
    <cellStyle name="Normal 7 2 18" xfId="1965" xr:uid="{00000000-0005-0000-0000-0000A6070000}"/>
    <cellStyle name="Normal 7 2 19" xfId="1966" xr:uid="{00000000-0005-0000-0000-0000A7070000}"/>
    <cellStyle name="Normal 7 2 2" xfId="1967" xr:uid="{00000000-0005-0000-0000-0000A8070000}"/>
    <cellStyle name="Normal 7 2 20" xfId="1968" xr:uid="{00000000-0005-0000-0000-0000A9070000}"/>
    <cellStyle name="Normal 7 2 21" xfId="1969" xr:uid="{00000000-0005-0000-0000-0000AA070000}"/>
    <cellStyle name="Normal 7 2 22" xfId="1970" xr:uid="{00000000-0005-0000-0000-0000AB070000}"/>
    <cellStyle name="Normal 7 2 23" xfId="1971" xr:uid="{00000000-0005-0000-0000-0000AC070000}"/>
    <cellStyle name="Normal 7 2 24" xfId="2079" xr:uid="{00000000-0005-0000-0000-0000C1080000}"/>
    <cellStyle name="Normal 7 2 3" xfId="1972" xr:uid="{00000000-0005-0000-0000-0000AD070000}"/>
    <cellStyle name="Normal 7 2 4" xfId="1973" xr:uid="{00000000-0005-0000-0000-0000AE070000}"/>
    <cellStyle name="Normal 7 2 5" xfId="1974" xr:uid="{00000000-0005-0000-0000-0000AF070000}"/>
    <cellStyle name="Normal 7 2 6" xfId="1975" xr:uid="{00000000-0005-0000-0000-0000B0070000}"/>
    <cellStyle name="Normal 7 2 7" xfId="1976" xr:uid="{00000000-0005-0000-0000-0000B1070000}"/>
    <cellStyle name="Normal 7 2 8" xfId="1977" xr:uid="{00000000-0005-0000-0000-0000B2070000}"/>
    <cellStyle name="Normal 7 2 9" xfId="1978" xr:uid="{00000000-0005-0000-0000-0000B3070000}"/>
    <cellStyle name="Normal 7 20" xfId="1979" xr:uid="{00000000-0005-0000-0000-0000B4070000}"/>
    <cellStyle name="Normal 7 21" xfId="1980" xr:uid="{00000000-0005-0000-0000-0000B5070000}"/>
    <cellStyle name="Normal 7 22" xfId="1981" xr:uid="{00000000-0005-0000-0000-0000B6070000}"/>
    <cellStyle name="Normal 7 23" xfId="1982" xr:uid="{00000000-0005-0000-0000-0000B7070000}"/>
    <cellStyle name="Normal 7 24" xfId="1983" xr:uid="{00000000-0005-0000-0000-0000B8070000}"/>
    <cellStyle name="Normal 7 25" xfId="2078" xr:uid="{00000000-0005-0000-0000-0000B6080000}"/>
    <cellStyle name="Normal 7 3" xfId="1984" xr:uid="{00000000-0005-0000-0000-0000B9070000}"/>
    <cellStyle name="Normal 7 4" xfId="1985" xr:uid="{00000000-0005-0000-0000-0000BA070000}"/>
    <cellStyle name="Normal 7 5" xfId="1986" xr:uid="{00000000-0005-0000-0000-0000BB070000}"/>
    <cellStyle name="Normal 7 6" xfId="1987" xr:uid="{00000000-0005-0000-0000-0000BC070000}"/>
    <cellStyle name="Normal 7 7" xfId="1988" xr:uid="{00000000-0005-0000-0000-0000BD070000}"/>
    <cellStyle name="Normal 7 8" xfId="1989" xr:uid="{00000000-0005-0000-0000-0000BE070000}"/>
    <cellStyle name="Normal 7 9" xfId="1990" xr:uid="{00000000-0005-0000-0000-0000BF070000}"/>
    <cellStyle name="Normal 8" xfId="1991" xr:uid="{00000000-0005-0000-0000-0000C0070000}"/>
    <cellStyle name="Normal 8 2" xfId="2081" xr:uid="{00000000-0005-0000-0000-0000E5080000}"/>
    <cellStyle name="Normal 8 2 2" xfId="2082" xr:uid="{00000000-0005-0000-0000-0000E6080000}"/>
    <cellStyle name="Normal 8 3" xfId="2083" xr:uid="{00000000-0005-0000-0000-0000E7080000}"/>
    <cellStyle name="Normal 8 4" xfId="2080" xr:uid="{00000000-0005-0000-0000-0000E4080000}"/>
    <cellStyle name="Normal 9" xfId="2084" xr:uid="{00000000-0005-0000-0000-0000E8080000}"/>
    <cellStyle name="Normal 9 2" xfId="2085" xr:uid="{00000000-0005-0000-0000-0000E9080000}"/>
    <cellStyle name="Normal 9 3" xfId="2413" xr:uid="{00000000-0005-0000-0000-0000EA080000}"/>
    <cellStyle name="Note" xfId="16" builtinId="10" customBuiltin="1"/>
    <cellStyle name="Note 2" xfId="1992" xr:uid="{00000000-0005-0000-0000-0000C2070000}"/>
    <cellStyle name="Note 2 2" xfId="2415" xr:uid="{00000000-0005-0000-0000-0000F0080000}"/>
    <cellStyle name="Note 2 2 2" xfId="2499" xr:uid="{00000000-0005-0000-0000-0000F1080000}"/>
    <cellStyle name="Note 2 2 2 2" xfId="2552" xr:uid="{00000000-0005-0000-0000-0000F1080000}"/>
    <cellStyle name="Note 2 2 2 3" xfId="2557" xr:uid="{00000000-0005-0000-0000-0000F1080000}"/>
    <cellStyle name="Note 2 2 2 4" xfId="2565" xr:uid="{00000000-0005-0000-0000-0000F1080000}"/>
    <cellStyle name="Note 2 2 2 5" xfId="2575" xr:uid="{00000000-0005-0000-0000-0000F1080000}"/>
    <cellStyle name="Note 2 2 2 6" xfId="2586" xr:uid="{00000000-0005-0000-0000-0000F1080000}"/>
    <cellStyle name="Note 2 2 2 7" xfId="2594" xr:uid="{00000000-0005-0000-0000-0000F1080000}"/>
    <cellStyle name="Note 2 2 3" xfId="2502" xr:uid="{00000000-0005-0000-0000-0000F2080000}"/>
    <cellStyle name="Note 2 2 3 2" xfId="2554" xr:uid="{00000000-0005-0000-0000-0000F2080000}"/>
    <cellStyle name="Note 2 2 3 3" xfId="2559" xr:uid="{00000000-0005-0000-0000-0000F2080000}"/>
    <cellStyle name="Note 2 2 3 4" xfId="2567" xr:uid="{00000000-0005-0000-0000-0000F2080000}"/>
    <cellStyle name="Note 2 2 3 5" xfId="2577" xr:uid="{00000000-0005-0000-0000-0000F2080000}"/>
    <cellStyle name="Note 2 2 3 6" xfId="2588" xr:uid="{00000000-0005-0000-0000-0000F2080000}"/>
    <cellStyle name="Note 2 2 3 7" xfId="2596" xr:uid="{00000000-0005-0000-0000-0000F2080000}"/>
    <cellStyle name="Note 2 2 4" xfId="2535" xr:uid="{00000000-0005-0000-0000-0000F0080000}"/>
    <cellStyle name="Note 2 2 5" xfId="2396" xr:uid="{00000000-0005-0000-0000-0000F0080000}"/>
    <cellStyle name="Note 2 2 6" xfId="2399" xr:uid="{00000000-0005-0000-0000-0000F0080000}"/>
    <cellStyle name="Note 2 2 7" xfId="2538" xr:uid="{00000000-0005-0000-0000-0000F0080000}"/>
    <cellStyle name="Note 2 2 8" xfId="2537" xr:uid="{00000000-0005-0000-0000-0000F0080000}"/>
    <cellStyle name="Note 2 2 9" xfId="2393" xr:uid="{00000000-0005-0000-0000-0000F0080000}"/>
    <cellStyle name="Note 2 3" xfId="2414" xr:uid="{00000000-0005-0000-0000-0000EF080000}"/>
    <cellStyle name="Note 2 4" xfId="2409" xr:uid="{00000000-0005-0000-0000-0000C3070000}"/>
    <cellStyle name="Note 3" xfId="2416" xr:uid="{00000000-0005-0000-0000-0000F3080000}"/>
    <cellStyle name="NumColmHd" xfId="2417" xr:uid="{00000000-0005-0000-0000-0000F4080000}"/>
    <cellStyle name="NumColmHd 2" xfId="2500" xr:uid="{00000000-0005-0000-0000-0000F5080000}"/>
    <cellStyle name="NumColmHd 3" xfId="2503" xr:uid="{00000000-0005-0000-0000-0000F6080000}"/>
    <cellStyle name="Output" xfId="11" builtinId="21" customBuiltin="1"/>
    <cellStyle name="Output 2" xfId="1993" xr:uid="{00000000-0005-0000-0000-0000C4070000}"/>
    <cellStyle name="Output 2 2" xfId="2501" xr:uid="{00000000-0005-0000-0000-0000F8080000}"/>
    <cellStyle name="Output 2 2 2" xfId="2553" xr:uid="{00000000-0005-0000-0000-0000F8080000}"/>
    <cellStyle name="Output 2 2 3" xfId="2558" xr:uid="{00000000-0005-0000-0000-0000F8080000}"/>
    <cellStyle name="Output 2 2 4" xfId="2566" xr:uid="{00000000-0005-0000-0000-0000F8080000}"/>
    <cellStyle name="Output 2 2 5" xfId="2576" xr:uid="{00000000-0005-0000-0000-0000F8080000}"/>
    <cellStyle name="Output 2 2 6" xfId="2587" xr:uid="{00000000-0005-0000-0000-0000F8080000}"/>
    <cellStyle name="Output 2 2 7" xfId="2595" xr:uid="{00000000-0005-0000-0000-0000F8080000}"/>
    <cellStyle name="Output 2 3" xfId="2504" xr:uid="{00000000-0005-0000-0000-0000F9080000}"/>
    <cellStyle name="Output 2 3 2" xfId="2555" xr:uid="{00000000-0005-0000-0000-0000F9080000}"/>
    <cellStyle name="Output 2 3 3" xfId="2560" xr:uid="{00000000-0005-0000-0000-0000F9080000}"/>
    <cellStyle name="Output 2 3 4" xfId="2568" xr:uid="{00000000-0005-0000-0000-0000F9080000}"/>
    <cellStyle name="Output 2 3 5" xfId="2578" xr:uid="{00000000-0005-0000-0000-0000F9080000}"/>
    <cellStyle name="Output 2 3 6" xfId="2589" xr:uid="{00000000-0005-0000-0000-0000F9080000}"/>
    <cellStyle name="Output 2 3 7" xfId="2597" xr:uid="{00000000-0005-0000-0000-0000F9080000}"/>
    <cellStyle name="Output 2 4" xfId="2536" xr:uid="{00000000-0005-0000-0000-0000F7080000}"/>
    <cellStyle name="Output 2 5" xfId="2397" xr:uid="{00000000-0005-0000-0000-0000F7080000}"/>
    <cellStyle name="Output 2 6" xfId="2394" xr:uid="{00000000-0005-0000-0000-0000F7080000}"/>
    <cellStyle name="Output 2 7" xfId="2402" xr:uid="{00000000-0005-0000-0000-0000F7080000}"/>
    <cellStyle name="Output 2 8" xfId="2392" xr:uid="{00000000-0005-0000-0000-0000F7080000}"/>
    <cellStyle name="Output 2 9" xfId="2391" xr:uid="{00000000-0005-0000-0000-0000C5070000}"/>
    <cellStyle name="Percent [0]" xfId="2418" xr:uid="{00000000-0005-0000-0000-0000FA080000}"/>
    <cellStyle name="Percent [00]" xfId="2419" xr:uid="{00000000-0005-0000-0000-0000FB080000}"/>
    <cellStyle name="Percent [2]" xfId="2420" xr:uid="{00000000-0005-0000-0000-0000FC080000}"/>
    <cellStyle name="Percent 10" xfId="2086" xr:uid="{00000000-0005-0000-0000-0000FD080000}"/>
    <cellStyle name="Percent 10 2" xfId="2087" xr:uid="{00000000-0005-0000-0000-0000FE080000}"/>
    <cellStyle name="Percent 10 2 2" xfId="2421" xr:uid="{00000000-0005-0000-0000-0000FF080000}"/>
    <cellStyle name="Percent 10 3" xfId="2422" xr:uid="{00000000-0005-0000-0000-000000090000}"/>
    <cellStyle name="Percent 11" xfId="2088" xr:uid="{00000000-0005-0000-0000-000001090000}"/>
    <cellStyle name="Percent 11 2" xfId="2089" xr:uid="{00000000-0005-0000-0000-000002090000}"/>
    <cellStyle name="Percent 12" xfId="2090" xr:uid="{00000000-0005-0000-0000-000003090000}"/>
    <cellStyle name="Percent 12 2" xfId="2423" xr:uid="{00000000-0005-0000-0000-000004090000}"/>
    <cellStyle name="Percent 13" xfId="2126" xr:uid="{00000000-0005-0000-0000-000005090000}"/>
    <cellStyle name="Percent 14" xfId="2424" xr:uid="{00000000-0005-0000-0000-000006090000}"/>
    <cellStyle name="Percent 15" xfId="2425" xr:uid="{00000000-0005-0000-0000-000007090000}"/>
    <cellStyle name="Percent 15 2" xfId="2426" xr:uid="{00000000-0005-0000-0000-000008090000}"/>
    <cellStyle name="Percent 16" xfId="2427" xr:uid="{00000000-0005-0000-0000-000009090000}"/>
    <cellStyle name="Percent 16 2" xfId="2428" xr:uid="{00000000-0005-0000-0000-00000A090000}"/>
    <cellStyle name="Percent 17" xfId="2429" xr:uid="{00000000-0005-0000-0000-00000B090000}"/>
    <cellStyle name="Percent 17 2" xfId="2430" xr:uid="{00000000-0005-0000-0000-00000C090000}"/>
    <cellStyle name="Percent 18" xfId="2431" xr:uid="{00000000-0005-0000-0000-00000D090000}"/>
    <cellStyle name="Percent 19" xfId="2432" xr:uid="{00000000-0005-0000-0000-00000E090000}"/>
    <cellStyle name="Percent 19 2" xfId="2433" xr:uid="{00000000-0005-0000-0000-00000F090000}"/>
    <cellStyle name="Percent 2" xfId="54" xr:uid="{00000000-0005-0000-0000-0000C5070000}"/>
    <cellStyle name="Percent 2 10" xfId="2517" xr:uid="{00000000-0005-0000-0000-0000C7070000}"/>
    <cellStyle name="Percent 2 11" xfId="2511" xr:uid="{00000000-0005-0000-0000-0000C7070000}"/>
    <cellStyle name="Percent 2 2" xfId="2092" xr:uid="{00000000-0005-0000-0000-000011090000}"/>
    <cellStyle name="Percent 2 2 10" xfId="2434" xr:uid="{00000000-0005-0000-0000-000012090000}"/>
    <cellStyle name="Percent 2 2 10 2" xfId="2435" xr:uid="{00000000-0005-0000-0000-000013090000}"/>
    <cellStyle name="Percent 2 2 11" xfId="2436" xr:uid="{00000000-0005-0000-0000-000014090000}"/>
    <cellStyle name="Percent 2 2 12" xfId="2437" xr:uid="{00000000-0005-0000-0000-000015090000}"/>
    <cellStyle name="Percent 2 2 13" xfId="2438" xr:uid="{00000000-0005-0000-0000-000016090000}"/>
    <cellStyle name="Percent 2 2 2" xfId="2439" xr:uid="{00000000-0005-0000-0000-000017090000}"/>
    <cellStyle name="Percent 2 2 2 2" xfId="2440" xr:uid="{00000000-0005-0000-0000-000018090000}"/>
    <cellStyle name="Percent 2 2 2 3" xfId="2441" xr:uid="{00000000-0005-0000-0000-000019090000}"/>
    <cellStyle name="Percent 2 2 2 4" xfId="2442" xr:uid="{00000000-0005-0000-0000-00001A090000}"/>
    <cellStyle name="Percent 2 2 3" xfId="2443" xr:uid="{00000000-0005-0000-0000-00001B090000}"/>
    <cellStyle name="Percent 2 2 4" xfId="2444" xr:uid="{00000000-0005-0000-0000-00001C090000}"/>
    <cellStyle name="Percent 2 2 5" xfId="2445" xr:uid="{00000000-0005-0000-0000-00001D090000}"/>
    <cellStyle name="Percent 2 2 6" xfId="2446" xr:uid="{00000000-0005-0000-0000-00001E090000}"/>
    <cellStyle name="Percent 2 2 6 2" xfId="2447" xr:uid="{00000000-0005-0000-0000-00001F090000}"/>
    <cellStyle name="Percent 2 2 7" xfId="2448" xr:uid="{00000000-0005-0000-0000-000020090000}"/>
    <cellStyle name="Percent 2 2 7 2" xfId="2449" xr:uid="{00000000-0005-0000-0000-000021090000}"/>
    <cellStyle name="Percent 2 2 8" xfId="2450" xr:uid="{00000000-0005-0000-0000-000022090000}"/>
    <cellStyle name="Percent 2 2 8 2" xfId="2451" xr:uid="{00000000-0005-0000-0000-000023090000}"/>
    <cellStyle name="Percent 2 2 9" xfId="2452" xr:uid="{00000000-0005-0000-0000-000024090000}"/>
    <cellStyle name="Percent 2 2 9 2" xfId="2453" xr:uid="{00000000-0005-0000-0000-000025090000}"/>
    <cellStyle name="Percent 2 3" xfId="2093" xr:uid="{00000000-0005-0000-0000-000026090000}"/>
    <cellStyle name="Percent 2 3 2" xfId="2454" xr:uid="{00000000-0005-0000-0000-000027090000}"/>
    <cellStyle name="Percent 2 3 3" xfId="2455" xr:uid="{00000000-0005-0000-0000-000028090000}"/>
    <cellStyle name="Percent 2 3 4" xfId="2456" xr:uid="{00000000-0005-0000-0000-000029090000}"/>
    <cellStyle name="Percent 2 3 5" xfId="2457" xr:uid="{00000000-0005-0000-0000-00002A090000}"/>
    <cellStyle name="Percent 2 4" xfId="2094" xr:uid="{00000000-0005-0000-0000-00002B090000}"/>
    <cellStyle name="Percent 2 4 2" xfId="2458" xr:uid="{00000000-0005-0000-0000-00002C090000}"/>
    <cellStyle name="Percent 2 5" xfId="2459" xr:uid="{00000000-0005-0000-0000-00002D090000}"/>
    <cellStyle name="Percent 2 6" xfId="2460" xr:uid="{00000000-0005-0000-0000-00002E090000}"/>
    <cellStyle name="Percent 2 6 2" xfId="2461" xr:uid="{00000000-0005-0000-0000-00002F090000}"/>
    <cellStyle name="Percent 2 6 3" xfId="2462" xr:uid="{00000000-0005-0000-0000-000030090000}"/>
    <cellStyle name="Percent 2 6 4" xfId="2463" xr:uid="{00000000-0005-0000-0000-000031090000}"/>
    <cellStyle name="Percent 2 7" xfId="2464" xr:uid="{00000000-0005-0000-0000-000032090000}"/>
    <cellStyle name="Percent 2 8" xfId="2465" xr:uid="{00000000-0005-0000-0000-000033090000}"/>
    <cellStyle name="Percent 2 9" xfId="2091" xr:uid="{00000000-0005-0000-0000-000010090000}"/>
    <cellStyle name="Percent 20" xfId="2466" xr:uid="{00000000-0005-0000-0000-000034090000}"/>
    <cellStyle name="Percent 21" xfId="2467" xr:uid="{00000000-0005-0000-0000-000035090000}"/>
    <cellStyle name="Percent 22" xfId="2468" xr:uid="{00000000-0005-0000-0000-000036090000}"/>
    <cellStyle name="Percent 3" xfId="53" xr:uid="{00000000-0005-0000-0000-0000C6070000}"/>
    <cellStyle name="Percent 3 10" xfId="2095" xr:uid="{00000000-0005-0000-0000-000037090000}"/>
    <cellStyle name="Percent 3 11" xfId="2516" xr:uid="{00000000-0005-0000-0000-0000C8070000}"/>
    <cellStyle name="Percent 3 12" xfId="2510" xr:uid="{00000000-0005-0000-0000-0000C8070000}"/>
    <cellStyle name="Percent 3 2" xfId="2096" xr:uid="{00000000-0005-0000-0000-000038090000}"/>
    <cellStyle name="Percent 3 2 2" xfId="2097" xr:uid="{00000000-0005-0000-0000-000039090000}"/>
    <cellStyle name="Percent 3 2 2 2" xfId="2098" xr:uid="{00000000-0005-0000-0000-00003A090000}"/>
    <cellStyle name="Percent 3 2 3" xfId="2099" xr:uid="{00000000-0005-0000-0000-00003B090000}"/>
    <cellStyle name="Percent 3 3" xfId="2100" xr:uid="{00000000-0005-0000-0000-00003C090000}"/>
    <cellStyle name="Percent 3 3 2" xfId="2101" xr:uid="{00000000-0005-0000-0000-00003D090000}"/>
    <cellStyle name="Percent 3 4" xfId="2102" xr:uid="{00000000-0005-0000-0000-00003E090000}"/>
    <cellStyle name="Percent 3 5" xfId="2469" xr:uid="{00000000-0005-0000-0000-00003F090000}"/>
    <cellStyle name="Percent 3 6" xfId="2470" xr:uid="{00000000-0005-0000-0000-000040090000}"/>
    <cellStyle name="Percent 3 7" xfId="2471" xr:uid="{00000000-0005-0000-0000-000041090000}"/>
    <cellStyle name="Percent 3 8" xfId="2472" xr:uid="{00000000-0005-0000-0000-000042090000}"/>
    <cellStyle name="Percent 3 9" xfId="2473" xr:uid="{00000000-0005-0000-0000-000043090000}"/>
    <cellStyle name="Percent 4" xfId="1994" xr:uid="{00000000-0005-0000-0000-0000C7070000}"/>
    <cellStyle name="Percent 4 2" xfId="2104" xr:uid="{00000000-0005-0000-0000-000045090000}"/>
    <cellStyle name="Percent 4 2 2" xfId="2105" xr:uid="{00000000-0005-0000-0000-000046090000}"/>
    <cellStyle name="Percent 4 3" xfId="2106" xr:uid="{00000000-0005-0000-0000-000047090000}"/>
    <cellStyle name="Percent 4 4" xfId="2107" xr:uid="{00000000-0005-0000-0000-000048090000}"/>
    <cellStyle name="Percent 4 5" xfId="2474" xr:uid="{00000000-0005-0000-0000-000049090000}"/>
    <cellStyle name="Percent 4 6" xfId="2103" xr:uid="{00000000-0005-0000-0000-000044090000}"/>
    <cellStyle name="Percent 5" xfId="2108" xr:uid="{00000000-0005-0000-0000-00004A090000}"/>
    <cellStyle name="Percent 5 2" xfId="2109" xr:uid="{00000000-0005-0000-0000-00004B090000}"/>
    <cellStyle name="Percent 5 2 2" xfId="2110" xr:uid="{00000000-0005-0000-0000-00004C090000}"/>
    <cellStyle name="Percent 5 2 2 2" xfId="2111" xr:uid="{00000000-0005-0000-0000-00004D090000}"/>
    <cellStyle name="Percent 5 2 3" xfId="2112" xr:uid="{00000000-0005-0000-0000-00004E090000}"/>
    <cellStyle name="Percent 5 3" xfId="2113" xr:uid="{00000000-0005-0000-0000-00004F090000}"/>
    <cellStyle name="Percent 5 3 2" xfId="2114" xr:uid="{00000000-0005-0000-0000-000050090000}"/>
    <cellStyle name="Percent 5 4" xfId="2115" xr:uid="{00000000-0005-0000-0000-000051090000}"/>
    <cellStyle name="Percent 6" xfId="2116" xr:uid="{00000000-0005-0000-0000-000052090000}"/>
    <cellStyle name="Percent 6 2" xfId="2117" xr:uid="{00000000-0005-0000-0000-000053090000}"/>
    <cellStyle name="Percent 6 2 2" xfId="2118" xr:uid="{00000000-0005-0000-0000-000054090000}"/>
    <cellStyle name="Percent 6 3" xfId="2119" xr:uid="{00000000-0005-0000-0000-000055090000}"/>
    <cellStyle name="Percent 7" xfId="2120" xr:uid="{00000000-0005-0000-0000-000056090000}"/>
    <cellStyle name="Percent 7 2" xfId="2121" xr:uid="{00000000-0005-0000-0000-000057090000}"/>
    <cellStyle name="Percent 8" xfId="2122" xr:uid="{00000000-0005-0000-0000-000058090000}"/>
    <cellStyle name="Percent 8 2" xfId="2475" xr:uid="{00000000-0005-0000-0000-000059090000}"/>
    <cellStyle name="Percent 9" xfId="2123" xr:uid="{00000000-0005-0000-0000-00005A090000}"/>
    <cellStyle name="Percent 9 2" xfId="2476" xr:uid="{00000000-0005-0000-0000-00005B090000}"/>
    <cellStyle name="Percent 9 3" xfId="2477" xr:uid="{00000000-0005-0000-0000-00005C090000}"/>
    <cellStyle name="PrePop Currency (0)" xfId="2478" xr:uid="{00000000-0005-0000-0000-00005D090000}"/>
    <cellStyle name="PrePop Currency (2)" xfId="2479" xr:uid="{00000000-0005-0000-0000-00005E090000}"/>
    <cellStyle name="PrePop Units (0)" xfId="2480" xr:uid="{00000000-0005-0000-0000-00005F090000}"/>
    <cellStyle name="PrePop Units (1)" xfId="2481" xr:uid="{00000000-0005-0000-0000-000060090000}"/>
    <cellStyle name="PrePop Units (2)" xfId="2482" xr:uid="{00000000-0005-0000-0000-000061090000}"/>
    <cellStyle name="RowLabel" xfId="2483" xr:uid="{00000000-0005-0000-0000-000062090000}"/>
    <cellStyle name="Text Indent A" xfId="2484" xr:uid="{00000000-0005-0000-0000-000063090000}"/>
    <cellStyle name="Text Indent B" xfId="2485" xr:uid="{00000000-0005-0000-0000-000064090000}"/>
    <cellStyle name="Text Indent C" xfId="2486" xr:uid="{00000000-0005-0000-0000-000065090000}"/>
    <cellStyle name="Title" xfId="2" builtinId="15" customBuiltin="1"/>
    <cellStyle name="Title 2" xfId="1995" xr:uid="{00000000-0005-0000-0000-0000C9070000}"/>
    <cellStyle name="Total" xfId="18" builtinId="25" customBuiltin="1"/>
    <cellStyle name="Total 2" xfId="1996" xr:uid="{00000000-0005-0000-0000-0000CB070000}"/>
    <cellStyle name="Total 2 2" xfId="2487" xr:uid="{00000000-0005-0000-0000-000067090000}"/>
    <cellStyle name="Total 2 3" xfId="2505" xr:uid="{00000000-0005-0000-0000-0000CC070000}"/>
    <cellStyle name="Total 2 4" xfId="2401" xr:uid="{00000000-0005-0000-0000-0000CC070000}"/>
    <cellStyle name="Unprot" xfId="2488" xr:uid="{00000000-0005-0000-0000-000068090000}"/>
    <cellStyle name="Unprot 2" xfId="2489" xr:uid="{00000000-0005-0000-0000-000069090000}"/>
    <cellStyle name="Unprot$" xfId="2490" xr:uid="{00000000-0005-0000-0000-00006A090000}"/>
    <cellStyle name="Unprotect" xfId="2491" xr:uid="{00000000-0005-0000-0000-00006B090000}"/>
    <cellStyle name="Warning Text" xfId="15" builtinId="11" customBuiltin="1"/>
    <cellStyle name="Warning Text 2" xfId="1997" xr:uid="{00000000-0005-0000-0000-0000CD070000}"/>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3" tint="0.59996337778862885"/>
        </patternFill>
      </fill>
    </dxf>
  </dxfs>
  <tableStyles count="0" defaultTableStyle="TableStyleMedium2" defaultPivotStyle="PivotStyleLight16"/>
  <colors>
    <mruColors>
      <color rgb="FF005CB8"/>
      <color rgb="FFB3B3B3"/>
      <color rgb="FFE8E8E8"/>
      <color rgb="FF000000"/>
      <color rgb="FFFFF8CA"/>
      <color rgb="FF3083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47" Type="http://schemas.openxmlformats.org/officeDocument/2006/relationships/image" Target="../media/image49.png"/><Relationship Id="rId50" Type="http://schemas.openxmlformats.org/officeDocument/2006/relationships/image" Target="../media/image52.png"/><Relationship Id="rId55" Type="http://schemas.openxmlformats.org/officeDocument/2006/relationships/image" Target="../media/image57.png"/><Relationship Id="rId7" Type="http://schemas.openxmlformats.org/officeDocument/2006/relationships/image" Target="../media/image9.png"/><Relationship Id="rId2" Type="http://schemas.openxmlformats.org/officeDocument/2006/relationships/image" Target="../media/image4.png"/><Relationship Id="rId16" Type="http://schemas.openxmlformats.org/officeDocument/2006/relationships/image" Target="../media/image18.pn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3" Type="http://schemas.openxmlformats.org/officeDocument/2006/relationships/image" Target="../media/image55.png"/><Relationship Id="rId58" Type="http://schemas.openxmlformats.org/officeDocument/2006/relationships/image" Target="../media/image60.png"/><Relationship Id="rId5" Type="http://schemas.openxmlformats.org/officeDocument/2006/relationships/image" Target="../media/image7.png"/><Relationship Id="rId61" Type="http://schemas.openxmlformats.org/officeDocument/2006/relationships/image" Target="../media/image63.png"/><Relationship Id="rId19" Type="http://schemas.openxmlformats.org/officeDocument/2006/relationships/image" Target="../media/image2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56" Type="http://schemas.openxmlformats.org/officeDocument/2006/relationships/image" Target="../media/image58.png"/><Relationship Id="rId8" Type="http://schemas.openxmlformats.org/officeDocument/2006/relationships/image" Target="../media/image10.png"/><Relationship Id="rId51" Type="http://schemas.openxmlformats.org/officeDocument/2006/relationships/image" Target="../media/image53.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59" Type="http://schemas.openxmlformats.org/officeDocument/2006/relationships/image" Target="../media/image61.png"/><Relationship Id="rId20" Type="http://schemas.openxmlformats.org/officeDocument/2006/relationships/image" Target="../media/image22.png"/><Relationship Id="rId41" Type="http://schemas.openxmlformats.org/officeDocument/2006/relationships/image" Target="../media/image43.png"/><Relationship Id="rId54" Type="http://schemas.openxmlformats.org/officeDocument/2006/relationships/image" Target="../media/image56.png"/><Relationship Id="rId1" Type="http://schemas.openxmlformats.org/officeDocument/2006/relationships/image" Target="../media/image3.png"/><Relationship Id="rId6"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 Id="rId57" Type="http://schemas.openxmlformats.org/officeDocument/2006/relationships/image" Target="../media/image59.png"/><Relationship Id="rId10" Type="http://schemas.openxmlformats.org/officeDocument/2006/relationships/image" Target="../media/image12.pn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png"/><Relationship Id="rId60" Type="http://schemas.openxmlformats.org/officeDocument/2006/relationships/image" Target="../media/image6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107066</xdr:rowOff>
    </xdr:from>
    <xdr:to>
      <xdr:col>1</xdr:col>
      <xdr:colOff>933450</xdr:colOff>
      <xdr:row>4</xdr:row>
      <xdr:rowOff>114300</xdr:rowOff>
    </xdr:to>
    <xdr:pic>
      <xdr:nvPicPr>
        <xdr:cNvPr id="4" name="Picture 3">
          <a:extLst>
            <a:ext uri="{FF2B5EF4-FFF2-40B4-BE49-F238E27FC236}">
              <a16:creationId xmlns:a16="http://schemas.microsoft.com/office/drawing/2014/main" id="{B79FFECA-5D20-481C-B293-65839E1370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7066"/>
          <a:ext cx="3609975" cy="7311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5</xdr:row>
      <xdr:rowOff>1</xdr:rowOff>
    </xdr:from>
    <xdr:to>
      <xdr:col>21</xdr:col>
      <xdr:colOff>4581062</xdr:colOff>
      <xdr:row>39</xdr:row>
      <xdr:rowOff>95251</xdr:rowOff>
    </xdr:to>
    <xdr:pic>
      <xdr:nvPicPr>
        <xdr:cNvPr id="60" name="Picture 59">
          <a:extLst>
            <a:ext uri="{FF2B5EF4-FFF2-40B4-BE49-F238E27FC236}">
              <a16:creationId xmlns:a16="http://schemas.microsoft.com/office/drawing/2014/main" id="{22326CE9-39B0-4C8C-8C58-E270D44DF111}"/>
            </a:ext>
          </a:extLst>
        </xdr:cNvPr>
        <xdr:cNvPicPr>
          <a:picLocks noChangeAspect="1"/>
        </xdr:cNvPicPr>
      </xdr:nvPicPr>
      <xdr:blipFill>
        <a:blip xmlns:r="http://schemas.openxmlformats.org/officeDocument/2006/relationships" r:embed="rId1"/>
        <a:stretch>
          <a:fillRect/>
        </a:stretch>
      </xdr:blipFill>
      <xdr:spPr>
        <a:xfrm>
          <a:off x="49406175" y="1400176"/>
          <a:ext cx="4581062" cy="6324600"/>
        </a:xfrm>
        <a:prstGeom prst="rect">
          <a:avLst/>
        </a:prstGeom>
      </xdr:spPr>
    </xdr:pic>
    <xdr:clientData/>
  </xdr:twoCellAnchor>
  <xdr:twoCellAnchor editAs="oneCell">
    <xdr:from>
      <xdr:col>21</xdr:col>
      <xdr:colOff>1</xdr:colOff>
      <xdr:row>39</xdr:row>
      <xdr:rowOff>38101</xdr:rowOff>
    </xdr:from>
    <xdr:to>
      <xdr:col>21</xdr:col>
      <xdr:colOff>4492481</xdr:colOff>
      <xdr:row>69</xdr:row>
      <xdr:rowOff>152401</xdr:rowOff>
    </xdr:to>
    <xdr:pic>
      <xdr:nvPicPr>
        <xdr:cNvPr id="61" name="Picture 60">
          <a:extLst>
            <a:ext uri="{FF2B5EF4-FFF2-40B4-BE49-F238E27FC236}">
              <a16:creationId xmlns:a16="http://schemas.microsoft.com/office/drawing/2014/main" id="{113BF0F5-8822-45B0-8184-81B2CAB43D4D}"/>
            </a:ext>
          </a:extLst>
        </xdr:cNvPr>
        <xdr:cNvPicPr>
          <a:picLocks noChangeAspect="1"/>
        </xdr:cNvPicPr>
      </xdr:nvPicPr>
      <xdr:blipFill>
        <a:blip xmlns:r="http://schemas.openxmlformats.org/officeDocument/2006/relationships" r:embed="rId2"/>
        <a:stretch>
          <a:fillRect/>
        </a:stretch>
      </xdr:blipFill>
      <xdr:spPr>
        <a:xfrm>
          <a:off x="49406176" y="7667626"/>
          <a:ext cx="4492480" cy="5543550"/>
        </a:xfrm>
        <a:prstGeom prst="rect">
          <a:avLst/>
        </a:prstGeom>
      </xdr:spPr>
    </xdr:pic>
    <xdr:clientData/>
  </xdr:twoCellAnchor>
  <xdr:twoCellAnchor editAs="oneCell">
    <xdr:from>
      <xdr:col>21</xdr:col>
      <xdr:colOff>0</xdr:colOff>
      <xdr:row>70</xdr:row>
      <xdr:rowOff>0</xdr:rowOff>
    </xdr:from>
    <xdr:to>
      <xdr:col>21</xdr:col>
      <xdr:colOff>4524375</xdr:colOff>
      <xdr:row>83</xdr:row>
      <xdr:rowOff>169398</xdr:rowOff>
    </xdr:to>
    <xdr:pic>
      <xdr:nvPicPr>
        <xdr:cNvPr id="62" name="Picture 61">
          <a:extLst>
            <a:ext uri="{FF2B5EF4-FFF2-40B4-BE49-F238E27FC236}">
              <a16:creationId xmlns:a16="http://schemas.microsoft.com/office/drawing/2014/main" id="{BCAFA47C-E63D-4AF2-89E6-EFD4265A4700}"/>
            </a:ext>
          </a:extLst>
        </xdr:cNvPr>
        <xdr:cNvPicPr>
          <a:picLocks noChangeAspect="1"/>
        </xdr:cNvPicPr>
      </xdr:nvPicPr>
      <xdr:blipFill>
        <a:blip xmlns:r="http://schemas.openxmlformats.org/officeDocument/2006/relationships" r:embed="rId3"/>
        <a:stretch>
          <a:fillRect/>
        </a:stretch>
      </xdr:blipFill>
      <xdr:spPr>
        <a:xfrm>
          <a:off x="49406175" y="13239750"/>
          <a:ext cx="4524375" cy="2531598"/>
        </a:xfrm>
        <a:prstGeom prst="rect">
          <a:avLst/>
        </a:prstGeom>
      </xdr:spPr>
    </xdr:pic>
    <xdr:clientData/>
  </xdr:twoCellAnchor>
  <xdr:twoCellAnchor editAs="oneCell">
    <xdr:from>
      <xdr:col>17</xdr:col>
      <xdr:colOff>0</xdr:colOff>
      <xdr:row>4</xdr:row>
      <xdr:rowOff>0</xdr:rowOff>
    </xdr:from>
    <xdr:to>
      <xdr:col>17</xdr:col>
      <xdr:colOff>4539322</xdr:colOff>
      <xdr:row>40</xdr:row>
      <xdr:rowOff>85725</xdr:rowOff>
    </xdr:to>
    <xdr:pic>
      <xdr:nvPicPr>
        <xdr:cNvPr id="5" name="Picture 4">
          <a:extLst>
            <a:ext uri="{FF2B5EF4-FFF2-40B4-BE49-F238E27FC236}">
              <a16:creationId xmlns:a16="http://schemas.microsoft.com/office/drawing/2014/main" id="{49E76592-6982-42D3-AFCE-3DAE0C16F691}"/>
            </a:ext>
          </a:extLst>
        </xdr:cNvPr>
        <xdr:cNvPicPr>
          <a:picLocks noChangeAspect="1"/>
        </xdr:cNvPicPr>
      </xdr:nvPicPr>
      <xdr:blipFill>
        <a:blip xmlns:r="http://schemas.openxmlformats.org/officeDocument/2006/relationships" r:embed="rId4"/>
        <a:stretch>
          <a:fillRect/>
        </a:stretch>
      </xdr:blipFill>
      <xdr:spPr>
        <a:xfrm>
          <a:off x="39462075" y="1219200"/>
          <a:ext cx="4539322" cy="6677025"/>
        </a:xfrm>
        <a:prstGeom prst="rect">
          <a:avLst/>
        </a:prstGeom>
      </xdr:spPr>
    </xdr:pic>
    <xdr:clientData/>
  </xdr:twoCellAnchor>
  <xdr:twoCellAnchor editAs="oneCell">
    <xdr:from>
      <xdr:col>17</xdr:col>
      <xdr:colOff>0</xdr:colOff>
      <xdr:row>41</xdr:row>
      <xdr:rowOff>1</xdr:rowOff>
    </xdr:from>
    <xdr:to>
      <xdr:col>17</xdr:col>
      <xdr:colOff>4568235</xdr:colOff>
      <xdr:row>78</xdr:row>
      <xdr:rowOff>85726</xdr:rowOff>
    </xdr:to>
    <xdr:pic>
      <xdr:nvPicPr>
        <xdr:cNvPr id="6" name="Picture 5">
          <a:extLst>
            <a:ext uri="{FF2B5EF4-FFF2-40B4-BE49-F238E27FC236}">
              <a16:creationId xmlns:a16="http://schemas.microsoft.com/office/drawing/2014/main" id="{7C350612-6DD8-4BB2-B74A-8C8E26B61D48}"/>
            </a:ext>
          </a:extLst>
        </xdr:cNvPr>
        <xdr:cNvPicPr>
          <a:picLocks noChangeAspect="1"/>
        </xdr:cNvPicPr>
      </xdr:nvPicPr>
      <xdr:blipFill>
        <a:blip xmlns:r="http://schemas.openxmlformats.org/officeDocument/2006/relationships" r:embed="rId5"/>
        <a:stretch>
          <a:fillRect/>
        </a:stretch>
      </xdr:blipFill>
      <xdr:spPr>
        <a:xfrm>
          <a:off x="39462075" y="7991476"/>
          <a:ext cx="4568235" cy="6781800"/>
        </a:xfrm>
        <a:prstGeom prst="rect">
          <a:avLst/>
        </a:prstGeom>
      </xdr:spPr>
    </xdr:pic>
    <xdr:clientData/>
  </xdr:twoCellAnchor>
  <xdr:twoCellAnchor editAs="oneCell">
    <xdr:from>
      <xdr:col>17</xdr:col>
      <xdr:colOff>0</xdr:colOff>
      <xdr:row>79</xdr:row>
      <xdr:rowOff>0</xdr:rowOff>
    </xdr:from>
    <xdr:to>
      <xdr:col>17</xdr:col>
      <xdr:colOff>4499062</xdr:colOff>
      <xdr:row>116</xdr:row>
      <xdr:rowOff>0</xdr:rowOff>
    </xdr:to>
    <xdr:pic>
      <xdr:nvPicPr>
        <xdr:cNvPr id="7" name="Picture 6">
          <a:extLst>
            <a:ext uri="{FF2B5EF4-FFF2-40B4-BE49-F238E27FC236}">
              <a16:creationId xmlns:a16="http://schemas.microsoft.com/office/drawing/2014/main" id="{549A68B2-4302-4CA9-A6A0-99A7FD7F85A5}"/>
            </a:ext>
          </a:extLst>
        </xdr:cNvPr>
        <xdr:cNvPicPr>
          <a:picLocks noChangeAspect="1"/>
        </xdr:cNvPicPr>
      </xdr:nvPicPr>
      <xdr:blipFill>
        <a:blip xmlns:r="http://schemas.openxmlformats.org/officeDocument/2006/relationships" r:embed="rId6"/>
        <a:stretch>
          <a:fillRect/>
        </a:stretch>
      </xdr:blipFill>
      <xdr:spPr>
        <a:xfrm>
          <a:off x="39462075" y="14868525"/>
          <a:ext cx="4499062" cy="6696075"/>
        </a:xfrm>
        <a:prstGeom prst="rect">
          <a:avLst/>
        </a:prstGeom>
      </xdr:spPr>
    </xdr:pic>
    <xdr:clientData/>
  </xdr:twoCellAnchor>
  <xdr:twoCellAnchor editAs="oneCell">
    <xdr:from>
      <xdr:col>16</xdr:col>
      <xdr:colOff>342900</xdr:colOff>
      <xdr:row>116</xdr:row>
      <xdr:rowOff>85726</xdr:rowOff>
    </xdr:from>
    <xdr:to>
      <xdr:col>17</xdr:col>
      <xdr:colOff>4524375</xdr:colOff>
      <xdr:row>151</xdr:row>
      <xdr:rowOff>82423</xdr:rowOff>
    </xdr:to>
    <xdr:pic>
      <xdr:nvPicPr>
        <xdr:cNvPr id="8" name="Picture 7">
          <a:extLst>
            <a:ext uri="{FF2B5EF4-FFF2-40B4-BE49-F238E27FC236}">
              <a16:creationId xmlns:a16="http://schemas.microsoft.com/office/drawing/2014/main" id="{1BEC850D-F7D6-4EBB-A0EF-E0B540DA9040}"/>
            </a:ext>
          </a:extLst>
        </xdr:cNvPr>
        <xdr:cNvPicPr>
          <a:picLocks noChangeAspect="1"/>
        </xdr:cNvPicPr>
      </xdr:nvPicPr>
      <xdr:blipFill>
        <a:blip xmlns:r="http://schemas.openxmlformats.org/officeDocument/2006/relationships" r:embed="rId7"/>
        <a:stretch>
          <a:fillRect/>
        </a:stretch>
      </xdr:blipFill>
      <xdr:spPr>
        <a:xfrm>
          <a:off x="39452550" y="21650326"/>
          <a:ext cx="4533900" cy="6330822"/>
        </a:xfrm>
        <a:prstGeom prst="rect">
          <a:avLst/>
        </a:prstGeom>
      </xdr:spPr>
    </xdr:pic>
    <xdr:clientData/>
  </xdr:twoCellAnchor>
  <xdr:twoCellAnchor editAs="oneCell">
    <xdr:from>
      <xdr:col>19</xdr:col>
      <xdr:colOff>1</xdr:colOff>
      <xdr:row>4</xdr:row>
      <xdr:rowOff>0</xdr:rowOff>
    </xdr:from>
    <xdr:to>
      <xdr:col>19</xdr:col>
      <xdr:colOff>4536429</xdr:colOff>
      <xdr:row>41</xdr:row>
      <xdr:rowOff>19050</xdr:rowOff>
    </xdr:to>
    <xdr:pic>
      <xdr:nvPicPr>
        <xdr:cNvPr id="9" name="Picture 8">
          <a:extLst>
            <a:ext uri="{FF2B5EF4-FFF2-40B4-BE49-F238E27FC236}">
              <a16:creationId xmlns:a16="http://schemas.microsoft.com/office/drawing/2014/main" id="{5AC80B2F-8355-4EA9-8C94-2FF2DB6A02BB}"/>
            </a:ext>
          </a:extLst>
        </xdr:cNvPr>
        <xdr:cNvPicPr>
          <a:picLocks noChangeAspect="1"/>
        </xdr:cNvPicPr>
      </xdr:nvPicPr>
      <xdr:blipFill>
        <a:blip xmlns:r="http://schemas.openxmlformats.org/officeDocument/2006/relationships" r:embed="rId8"/>
        <a:stretch>
          <a:fillRect/>
        </a:stretch>
      </xdr:blipFill>
      <xdr:spPr>
        <a:xfrm>
          <a:off x="44434126" y="1219200"/>
          <a:ext cx="4536428" cy="6791325"/>
        </a:xfrm>
        <a:prstGeom prst="rect">
          <a:avLst/>
        </a:prstGeom>
      </xdr:spPr>
    </xdr:pic>
    <xdr:clientData/>
  </xdr:twoCellAnchor>
  <xdr:twoCellAnchor editAs="oneCell">
    <xdr:from>
      <xdr:col>19</xdr:col>
      <xdr:colOff>0</xdr:colOff>
      <xdr:row>42</xdr:row>
      <xdr:rowOff>0</xdr:rowOff>
    </xdr:from>
    <xdr:to>
      <xdr:col>19</xdr:col>
      <xdr:colOff>4556419</xdr:colOff>
      <xdr:row>80</xdr:row>
      <xdr:rowOff>47625</xdr:rowOff>
    </xdr:to>
    <xdr:pic>
      <xdr:nvPicPr>
        <xdr:cNvPr id="10" name="Picture 9">
          <a:extLst>
            <a:ext uri="{FF2B5EF4-FFF2-40B4-BE49-F238E27FC236}">
              <a16:creationId xmlns:a16="http://schemas.microsoft.com/office/drawing/2014/main" id="{F7708C00-1CAA-4B5C-BD5A-5DE460677C6C}"/>
            </a:ext>
          </a:extLst>
        </xdr:cNvPr>
        <xdr:cNvPicPr>
          <a:picLocks noChangeAspect="1"/>
        </xdr:cNvPicPr>
      </xdr:nvPicPr>
      <xdr:blipFill>
        <a:blip xmlns:r="http://schemas.openxmlformats.org/officeDocument/2006/relationships" r:embed="rId9"/>
        <a:stretch>
          <a:fillRect/>
        </a:stretch>
      </xdr:blipFill>
      <xdr:spPr>
        <a:xfrm>
          <a:off x="44434125" y="8172450"/>
          <a:ext cx="4556419" cy="6924675"/>
        </a:xfrm>
        <a:prstGeom prst="rect">
          <a:avLst/>
        </a:prstGeom>
      </xdr:spPr>
    </xdr:pic>
    <xdr:clientData/>
  </xdr:twoCellAnchor>
  <xdr:twoCellAnchor editAs="oneCell">
    <xdr:from>
      <xdr:col>19</xdr:col>
      <xdr:colOff>1</xdr:colOff>
      <xdr:row>81</xdr:row>
      <xdr:rowOff>0</xdr:rowOff>
    </xdr:from>
    <xdr:to>
      <xdr:col>19</xdr:col>
      <xdr:colOff>4551111</xdr:colOff>
      <xdr:row>119</xdr:row>
      <xdr:rowOff>95250</xdr:rowOff>
    </xdr:to>
    <xdr:pic>
      <xdr:nvPicPr>
        <xdr:cNvPr id="11" name="Picture 10">
          <a:extLst>
            <a:ext uri="{FF2B5EF4-FFF2-40B4-BE49-F238E27FC236}">
              <a16:creationId xmlns:a16="http://schemas.microsoft.com/office/drawing/2014/main" id="{C2832801-5B5A-4DC7-A3B1-614DB1334673}"/>
            </a:ext>
          </a:extLst>
        </xdr:cNvPr>
        <xdr:cNvPicPr>
          <a:picLocks noChangeAspect="1"/>
        </xdr:cNvPicPr>
      </xdr:nvPicPr>
      <xdr:blipFill>
        <a:blip xmlns:r="http://schemas.openxmlformats.org/officeDocument/2006/relationships" r:embed="rId10"/>
        <a:stretch>
          <a:fillRect/>
        </a:stretch>
      </xdr:blipFill>
      <xdr:spPr>
        <a:xfrm>
          <a:off x="44434126" y="15230475"/>
          <a:ext cx="4551110" cy="6972300"/>
        </a:xfrm>
        <a:prstGeom prst="rect">
          <a:avLst/>
        </a:prstGeom>
      </xdr:spPr>
    </xdr:pic>
    <xdr:clientData/>
  </xdr:twoCellAnchor>
  <xdr:twoCellAnchor editAs="oneCell">
    <xdr:from>
      <xdr:col>19</xdr:col>
      <xdr:colOff>0</xdr:colOff>
      <xdr:row>120</xdr:row>
      <xdr:rowOff>1</xdr:rowOff>
    </xdr:from>
    <xdr:to>
      <xdr:col>19</xdr:col>
      <xdr:colOff>4482324</xdr:colOff>
      <xdr:row>155</xdr:row>
      <xdr:rowOff>1</xdr:rowOff>
    </xdr:to>
    <xdr:pic>
      <xdr:nvPicPr>
        <xdr:cNvPr id="12" name="Picture 11">
          <a:extLst>
            <a:ext uri="{FF2B5EF4-FFF2-40B4-BE49-F238E27FC236}">
              <a16:creationId xmlns:a16="http://schemas.microsoft.com/office/drawing/2014/main" id="{FDF167C5-1508-49CA-B681-CF031BE91300}"/>
            </a:ext>
          </a:extLst>
        </xdr:cNvPr>
        <xdr:cNvPicPr>
          <a:picLocks noChangeAspect="1"/>
        </xdr:cNvPicPr>
      </xdr:nvPicPr>
      <xdr:blipFill>
        <a:blip xmlns:r="http://schemas.openxmlformats.org/officeDocument/2006/relationships" r:embed="rId11"/>
        <a:stretch>
          <a:fillRect/>
        </a:stretch>
      </xdr:blipFill>
      <xdr:spPr>
        <a:xfrm>
          <a:off x="44434125" y="22288501"/>
          <a:ext cx="4482324" cy="6324600"/>
        </a:xfrm>
        <a:prstGeom prst="rect">
          <a:avLst/>
        </a:prstGeom>
      </xdr:spPr>
    </xdr:pic>
    <xdr:clientData/>
  </xdr:twoCellAnchor>
  <xdr:twoCellAnchor editAs="oneCell">
    <xdr:from>
      <xdr:col>29</xdr:col>
      <xdr:colOff>0</xdr:colOff>
      <xdr:row>4</xdr:row>
      <xdr:rowOff>1</xdr:rowOff>
    </xdr:from>
    <xdr:to>
      <xdr:col>29</xdr:col>
      <xdr:colOff>4497500</xdr:colOff>
      <xdr:row>40</xdr:row>
      <xdr:rowOff>76201</xdr:rowOff>
    </xdr:to>
    <xdr:pic>
      <xdr:nvPicPr>
        <xdr:cNvPr id="13" name="Picture 12">
          <a:extLst>
            <a:ext uri="{FF2B5EF4-FFF2-40B4-BE49-F238E27FC236}">
              <a16:creationId xmlns:a16="http://schemas.microsoft.com/office/drawing/2014/main" id="{2DB29E8D-396C-42E1-B49A-F78300D8A2B5}"/>
            </a:ext>
          </a:extLst>
        </xdr:cNvPr>
        <xdr:cNvPicPr>
          <a:picLocks noChangeAspect="1"/>
        </xdr:cNvPicPr>
      </xdr:nvPicPr>
      <xdr:blipFill>
        <a:blip xmlns:r="http://schemas.openxmlformats.org/officeDocument/2006/relationships" r:embed="rId12"/>
        <a:stretch>
          <a:fillRect/>
        </a:stretch>
      </xdr:blipFill>
      <xdr:spPr>
        <a:xfrm>
          <a:off x="69294375" y="1219201"/>
          <a:ext cx="4497500" cy="6667500"/>
        </a:xfrm>
        <a:prstGeom prst="rect">
          <a:avLst/>
        </a:prstGeom>
      </xdr:spPr>
    </xdr:pic>
    <xdr:clientData/>
  </xdr:twoCellAnchor>
  <xdr:twoCellAnchor editAs="oneCell">
    <xdr:from>
      <xdr:col>29</xdr:col>
      <xdr:colOff>0</xdr:colOff>
      <xdr:row>41</xdr:row>
      <xdr:rowOff>1</xdr:rowOff>
    </xdr:from>
    <xdr:to>
      <xdr:col>29</xdr:col>
      <xdr:colOff>4448175</xdr:colOff>
      <xdr:row>77</xdr:row>
      <xdr:rowOff>105037</xdr:rowOff>
    </xdr:to>
    <xdr:pic>
      <xdr:nvPicPr>
        <xdr:cNvPr id="14" name="Picture 13">
          <a:extLst>
            <a:ext uri="{FF2B5EF4-FFF2-40B4-BE49-F238E27FC236}">
              <a16:creationId xmlns:a16="http://schemas.microsoft.com/office/drawing/2014/main" id="{07FFE330-752F-480C-94CB-FAC778AC3620}"/>
            </a:ext>
          </a:extLst>
        </xdr:cNvPr>
        <xdr:cNvPicPr>
          <a:picLocks noChangeAspect="1"/>
        </xdr:cNvPicPr>
      </xdr:nvPicPr>
      <xdr:blipFill>
        <a:blip xmlns:r="http://schemas.openxmlformats.org/officeDocument/2006/relationships" r:embed="rId13"/>
        <a:stretch>
          <a:fillRect/>
        </a:stretch>
      </xdr:blipFill>
      <xdr:spPr>
        <a:xfrm>
          <a:off x="69294375" y="7991476"/>
          <a:ext cx="4448175" cy="6620136"/>
        </a:xfrm>
        <a:prstGeom prst="rect">
          <a:avLst/>
        </a:prstGeom>
      </xdr:spPr>
    </xdr:pic>
    <xdr:clientData/>
  </xdr:twoCellAnchor>
  <xdr:twoCellAnchor editAs="oneCell">
    <xdr:from>
      <xdr:col>23</xdr:col>
      <xdr:colOff>0</xdr:colOff>
      <xdr:row>5</xdr:row>
      <xdr:rowOff>1</xdr:rowOff>
    </xdr:from>
    <xdr:to>
      <xdr:col>23</xdr:col>
      <xdr:colOff>4381500</xdr:colOff>
      <xdr:row>43</xdr:row>
      <xdr:rowOff>144057</xdr:rowOff>
    </xdr:to>
    <xdr:pic>
      <xdr:nvPicPr>
        <xdr:cNvPr id="19" name="Picture 18">
          <a:extLst>
            <a:ext uri="{FF2B5EF4-FFF2-40B4-BE49-F238E27FC236}">
              <a16:creationId xmlns:a16="http://schemas.microsoft.com/office/drawing/2014/main" id="{93ADB774-8848-4F88-AFC7-E59817619586}"/>
            </a:ext>
          </a:extLst>
        </xdr:cNvPr>
        <xdr:cNvPicPr>
          <a:picLocks noChangeAspect="1"/>
        </xdr:cNvPicPr>
      </xdr:nvPicPr>
      <xdr:blipFill>
        <a:blip xmlns:r="http://schemas.openxmlformats.org/officeDocument/2006/relationships" r:embed="rId14"/>
        <a:stretch>
          <a:fillRect/>
        </a:stretch>
      </xdr:blipFill>
      <xdr:spPr>
        <a:xfrm>
          <a:off x="54378225" y="1400176"/>
          <a:ext cx="4381500" cy="7097306"/>
        </a:xfrm>
        <a:prstGeom prst="rect">
          <a:avLst/>
        </a:prstGeom>
      </xdr:spPr>
    </xdr:pic>
    <xdr:clientData/>
  </xdr:twoCellAnchor>
  <xdr:twoCellAnchor editAs="oneCell">
    <xdr:from>
      <xdr:col>23</xdr:col>
      <xdr:colOff>1</xdr:colOff>
      <xdr:row>44</xdr:row>
      <xdr:rowOff>0</xdr:rowOff>
    </xdr:from>
    <xdr:to>
      <xdr:col>23</xdr:col>
      <xdr:colOff>4362451</xdr:colOff>
      <xdr:row>81</xdr:row>
      <xdr:rowOff>152971</xdr:rowOff>
    </xdr:to>
    <xdr:pic>
      <xdr:nvPicPr>
        <xdr:cNvPr id="20" name="Picture 19">
          <a:extLst>
            <a:ext uri="{FF2B5EF4-FFF2-40B4-BE49-F238E27FC236}">
              <a16:creationId xmlns:a16="http://schemas.microsoft.com/office/drawing/2014/main" id="{9AFACD21-4661-4E94-9A31-D9FCA5B2D69C}"/>
            </a:ext>
          </a:extLst>
        </xdr:cNvPr>
        <xdr:cNvPicPr>
          <a:picLocks noChangeAspect="1"/>
        </xdr:cNvPicPr>
      </xdr:nvPicPr>
      <xdr:blipFill>
        <a:blip xmlns:r="http://schemas.openxmlformats.org/officeDocument/2006/relationships" r:embed="rId15"/>
        <a:stretch>
          <a:fillRect/>
        </a:stretch>
      </xdr:blipFill>
      <xdr:spPr>
        <a:xfrm>
          <a:off x="54378226" y="8534400"/>
          <a:ext cx="4362450" cy="6849046"/>
        </a:xfrm>
        <a:prstGeom prst="rect">
          <a:avLst/>
        </a:prstGeom>
      </xdr:spPr>
    </xdr:pic>
    <xdr:clientData/>
  </xdr:twoCellAnchor>
  <xdr:twoCellAnchor editAs="oneCell">
    <xdr:from>
      <xdr:col>23</xdr:col>
      <xdr:colOff>0</xdr:colOff>
      <xdr:row>82</xdr:row>
      <xdr:rowOff>0</xdr:rowOff>
    </xdr:from>
    <xdr:to>
      <xdr:col>23</xdr:col>
      <xdr:colOff>4371975</xdr:colOff>
      <xdr:row>90</xdr:row>
      <xdr:rowOff>50660</xdr:rowOff>
    </xdr:to>
    <xdr:pic>
      <xdr:nvPicPr>
        <xdr:cNvPr id="21" name="Picture 20">
          <a:extLst>
            <a:ext uri="{FF2B5EF4-FFF2-40B4-BE49-F238E27FC236}">
              <a16:creationId xmlns:a16="http://schemas.microsoft.com/office/drawing/2014/main" id="{6EA8F6AF-1A8D-4AE0-A928-0C1F66458FC8}"/>
            </a:ext>
          </a:extLst>
        </xdr:cNvPr>
        <xdr:cNvPicPr>
          <a:picLocks noChangeAspect="1"/>
        </xdr:cNvPicPr>
      </xdr:nvPicPr>
      <xdr:blipFill>
        <a:blip xmlns:r="http://schemas.openxmlformats.org/officeDocument/2006/relationships" r:embed="rId16"/>
        <a:stretch>
          <a:fillRect/>
        </a:stretch>
      </xdr:blipFill>
      <xdr:spPr>
        <a:xfrm>
          <a:off x="54378225" y="15411450"/>
          <a:ext cx="4371975" cy="1498460"/>
        </a:xfrm>
        <a:prstGeom prst="rect">
          <a:avLst/>
        </a:prstGeom>
      </xdr:spPr>
    </xdr:pic>
    <xdr:clientData/>
  </xdr:twoCellAnchor>
  <xdr:twoCellAnchor editAs="oneCell">
    <xdr:from>
      <xdr:col>25</xdr:col>
      <xdr:colOff>0</xdr:colOff>
      <xdr:row>6</xdr:row>
      <xdr:rowOff>0</xdr:rowOff>
    </xdr:from>
    <xdr:to>
      <xdr:col>25</xdr:col>
      <xdr:colOff>4119423</xdr:colOff>
      <xdr:row>41</xdr:row>
      <xdr:rowOff>152400</xdr:rowOff>
    </xdr:to>
    <xdr:pic>
      <xdr:nvPicPr>
        <xdr:cNvPr id="23" name="Picture 22">
          <a:extLst>
            <a:ext uri="{FF2B5EF4-FFF2-40B4-BE49-F238E27FC236}">
              <a16:creationId xmlns:a16="http://schemas.microsoft.com/office/drawing/2014/main" id="{66BB2507-3687-4E67-8E45-4F3DB0FE645B}"/>
            </a:ext>
          </a:extLst>
        </xdr:cNvPr>
        <xdr:cNvPicPr>
          <a:picLocks noChangeAspect="1"/>
        </xdr:cNvPicPr>
      </xdr:nvPicPr>
      <xdr:blipFill>
        <a:blip xmlns:r="http://schemas.openxmlformats.org/officeDocument/2006/relationships" r:embed="rId17"/>
        <a:stretch>
          <a:fillRect/>
        </a:stretch>
      </xdr:blipFill>
      <xdr:spPr>
        <a:xfrm>
          <a:off x="59350275" y="1581150"/>
          <a:ext cx="4119423" cy="6562725"/>
        </a:xfrm>
        <a:prstGeom prst="rect">
          <a:avLst/>
        </a:prstGeom>
      </xdr:spPr>
    </xdr:pic>
    <xdr:clientData/>
  </xdr:twoCellAnchor>
  <xdr:twoCellAnchor editAs="oneCell">
    <xdr:from>
      <xdr:col>25</xdr:col>
      <xdr:colOff>1</xdr:colOff>
      <xdr:row>42</xdr:row>
      <xdr:rowOff>0</xdr:rowOff>
    </xdr:from>
    <xdr:to>
      <xdr:col>25</xdr:col>
      <xdr:colOff>4381501</xdr:colOff>
      <xdr:row>50</xdr:row>
      <xdr:rowOff>96499</xdr:rowOff>
    </xdr:to>
    <xdr:pic>
      <xdr:nvPicPr>
        <xdr:cNvPr id="24" name="Picture 23">
          <a:extLst>
            <a:ext uri="{FF2B5EF4-FFF2-40B4-BE49-F238E27FC236}">
              <a16:creationId xmlns:a16="http://schemas.microsoft.com/office/drawing/2014/main" id="{3DACD07F-2FD4-4EEE-BB43-1F1E2E715781}"/>
            </a:ext>
          </a:extLst>
        </xdr:cNvPr>
        <xdr:cNvPicPr>
          <a:picLocks noChangeAspect="1"/>
        </xdr:cNvPicPr>
      </xdr:nvPicPr>
      <xdr:blipFill>
        <a:blip xmlns:r="http://schemas.openxmlformats.org/officeDocument/2006/relationships" r:embed="rId18"/>
        <a:stretch>
          <a:fillRect/>
        </a:stretch>
      </xdr:blipFill>
      <xdr:spPr>
        <a:xfrm>
          <a:off x="59350276" y="8172450"/>
          <a:ext cx="4381500" cy="1544299"/>
        </a:xfrm>
        <a:prstGeom prst="rect">
          <a:avLst/>
        </a:prstGeom>
      </xdr:spPr>
    </xdr:pic>
    <xdr:clientData/>
  </xdr:twoCellAnchor>
  <xdr:twoCellAnchor editAs="oneCell">
    <xdr:from>
      <xdr:col>31</xdr:col>
      <xdr:colOff>0</xdr:colOff>
      <xdr:row>4</xdr:row>
      <xdr:rowOff>1</xdr:rowOff>
    </xdr:from>
    <xdr:to>
      <xdr:col>31</xdr:col>
      <xdr:colOff>4548032</xdr:colOff>
      <xdr:row>41</xdr:row>
      <xdr:rowOff>85726</xdr:rowOff>
    </xdr:to>
    <xdr:pic>
      <xdr:nvPicPr>
        <xdr:cNvPr id="25" name="Picture 24">
          <a:extLst>
            <a:ext uri="{FF2B5EF4-FFF2-40B4-BE49-F238E27FC236}">
              <a16:creationId xmlns:a16="http://schemas.microsoft.com/office/drawing/2014/main" id="{BFC5542A-66E0-4B79-A9DD-5ED3A5AB0A34}"/>
            </a:ext>
          </a:extLst>
        </xdr:cNvPr>
        <xdr:cNvPicPr>
          <a:picLocks noChangeAspect="1"/>
        </xdr:cNvPicPr>
      </xdr:nvPicPr>
      <xdr:blipFill>
        <a:blip xmlns:r="http://schemas.openxmlformats.org/officeDocument/2006/relationships" r:embed="rId19"/>
        <a:stretch>
          <a:fillRect/>
        </a:stretch>
      </xdr:blipFill>
      <xdr:spPr>
        <a:xfrm>
          <a:off x="74266425" y="1219201"/>
          <a:ext cx="4548032" cy="6858000"/>
        </a:xfrm>
        <a:prstGeom prst="rect">
          <a:avLst/>
        </a:prstGeom>
      </xdr:spPr>
    </xdr:pic>
    <xdr:clientData/>
  </xdr:twoCellAnchor>
  <xdr:twoCellAnchor editAs="oneCell">
    <xdr:from>
      <xdr:col>31</xdr:col>
      <xdr:colOff>0</xdr:colOff>
      <xdr:row>43</xdr:row>
      <xdr:rowOff>0</xdr:rowOff>
    </xdr:from>
    <xdr:to>
      <xdr:col>31</xdr:col>
      <xdr:colOff>4524375</xdr:colOff>
      <xdr:row>80</xdr:row>
      <xdr:rowOff>81546</xdr:rowOff>
    </xdr:to>
    <xdr:pic>
      <xdr:nvPicPr>
        <xdr:cNvPr id="26" name="Picture 25">
          <a:extLst>
            <a:ext uri="{FF2B5EF4-FFF2-40B4-BE49-F238E27FC236}">
              <a16:creationId xmlns:a16="http://schemas.microsoft.com/office/drawing/2014/main" id="{88A57543-A6C1-4AF1-AFF6-C5EDD5D97EB8}"/>
            </a:ext>
          </a:extLst>
        </xdr:cNvPr>
        <xdr:cNvPicPr>
          <a:picLocks noChangeAspect="1"/>
        </xdr:cNvPicPr>
      </xdr:nvPicPr>
      <xdr:blipFill>
        <a:blip xmlns:r="http://schemas.openxmlformats.org/officeDocument/2006/relationships" r:embed="rId20"/>
        <a:stretch>
          <a:fillRect/>
        </a:stretch>
      </xdr:blipFill>
      <xdr:spPr>
        <a:xfrm>
          <a:off x="74266425" y="8353425"/>
          <a:ext cx="4524375" cy="6777621"/>
        </a:xfrm>
        <a:prstGeom prst="rect">
          <a:avLst/>
        </a:prstGeom>
      </xdr:spPr>
    </xdr:pic>
    <xdr:clientData/>
  </xdr:twoCellAnchor>
  <xdr:twoCellAnchor editAs="oneCell">
    <xdr:from>
      <xdr:col>31</xdr:col>
      <xdr:colOff>0</xdr:colOff>
      <xdr:row>83</xdr:row>
      <xdr:rowOff>0</xdr:rowOff>
    </xdr:from>
    <xdr:to>
      <xdr:col>31</xdr:col>
      <xdr:colOff>4508910</xdr:colOff>
      <xdr:row>120</xdr:row>
      <xdr:rowOff>76200</xdr:rowOff>
    </xdr:to>
    <xdr:pic>
      <xdr:nvPicPr>
        <xdr:cNvPr id="27" name="Picture 26">
          <a:extLst>
            <a:ext uri="{FF2B5EF4-FFF2-40B4-BE49-F238E27FC236}">
              <a16:creationId xmlns:a16="http://schemas.microsoft.com/office/drawing/2014/main" id="{DCF8EAEE-6BC0-41EF-9E48-73B21A1C8AE8}"/>
            </a:ext>
          </a:extLst>
        </xdr:cNvPr>
        <xdr:cNvPicPr>
          <a:picLocks noChangeAspect="1"/>
        </xdr:cNvPicPr>
      </xdr:nvPicPr>
      <xdr:blipFill>
        <a:blip xmlns:r="http://schemas.openxmlformats.org/officeDocument/2006/relationships" r:embed="rId21"/>
        <a:stretch>
          <a:fillRect/>
        </a:stretch>
      </xdr:blipFill>
      <xdr:spPr>
        <a:xfrm>
          <a:off x="74266425" y="15592425"/>
          <a:ext cx="4508910" cy="6772275"/>
        </a:xfrm>
        <a:prstGeom prst="rect">
          <a:avLst/>
        </a:prstGeom>
      </xdr:spPr>
    </xdr:pic>
    <xdr:clientData/>
  </xdr:twoCellAnchor>
  <xdr:twoCellAnchor editAs="oneCell">
    <xdr:from>
      <xdr:col>31</xdr:col>
      <xdr:colOff>0</xdr:colOff>
      <xdr:row>121</xdr:row>
      <xdr:rowOff>0</xdr:rowOff>
    </xdr:from>
    <xdr:to>
      <xdr:col>31</xdr:col>
      <xdr:colOff>4513064</xdr:colOff>
      <xdr:row>159</xdr:row>
      <xdr:rowOff>0</xdr:rowOff>
    </xdr:to>
    <xdr:pic>
      <xdr:nvPicPr>
        <xdr:cNvPr id="28" name="Picture 27">
          <a:extLst>
            <a:ext uri="{FF2B5EF4-FFF2-40B4-BE49-F238E27FC236}">
              <a16:creationId xmlns:a16="http://schemas.microsoft.com/office/drawing/2014/main" id="{9C8D4919-05AE-4B0E-A821-3C3F8AB3B44C}"/>
            </a:ext>
          </a:extLst>
        </xdr:cNvPr>
        <xdr:cNvPicPr>
          <a:picLocks noChangeAspect="1"/>
        </xdr:cNvPicPr>
      </xdr:nvPicPr>
      <xdr:blipFill>
        <a:blip xmlns:r="http://schemas.openxmlformats.org/officeDocument/2006/relationships" r:embed="rId22"/>
        <a:stretch>
          <a:fillRect/>
        </a:stretch>
      </xdr:blipFill>
      <xdr:spPr>
        <a:xfrm>
          <a:off x="74266425" y="22469475"/>
          <a:ext cx="4513064" cy="6877050"/>
        </a:xfrm>
        <a:prstGeom prst="rect">
          <a:avLst/>
        </a:prstGeom>
      </xdr:spPr>
    </xdr:pic>
    <xdr:clientData/>
  </xdr:twoCellAnchor>
  <xdr:twoCellAnchor editAs="oneCell">
    <xdr:from>
      <xdr:col>31</xdr:col>
      <xdr:colOff>0</xdr:colOff>
      <xdr:row>159</xdr:row>
      <xdr:rowOff>0</xdr:rowOff>
    </xdr:from>
    <xdr:to>
      <xdr:col>31</xdr:col>
      <xdr:colOff>4586801</xdr:colOff>
      <xdr:row>194</xdr:row>
      <xdr:rowOff>133350</xdr:rowOff>
    </xdr:to>
    <xdr:pic>
      <xdr:nvPicPr>
        <xdr:cNvPr id="29" name="Picture 28">
          <a:extLst>
            <a:ext uri="{FF2B5EF4-FFF2-40B4-BE49-F238E27FC236}">
              <a16:creationId xmlns:a16="http://schemas.microsoft.com/office/drawing/2014/main" id="{B314A186-2C6C-40A4-90B6-E7B61A1CD854}"/>
            </a:ext>
          </a:extLst>
        </xdr:cNvPr>
        <xdr:cNvPicPr>
          <a:picLocks noChangeAspect="1"/>
        </xdr:cNvPicPr>
      </xdr:nvPicPr>
      <xdr:blipFill>
        <a:blip xmlns:r="http://schemas.openxmlformats.org/officeDocument/2006/relationships" r:embed="rId23"/>
        <a:stretch>
          <a:fillRect/>
        </a:stretch>
      </xdr:blipFill>
      <xdr:spPr>
        <a:xfrm>
          <a:off x="74266425" y="29346525"/>
          <a:ext cx="4586801" cy="6467475"/>
        </a:xfrm>
        <a:prstGeom prst="rect">
          <a:avLst/>
        </a:prstGeom>
      </xdr:spPr>
    </xdr:pic>
    <xdr:clientData/>
  </xdr:twoCellAnchor>
  <xdr:twoCellAnchor editAs="oneCell">
    <xdr:from>
      <xdr:col>33</xdr:col>
      <xdr:colOff>0</xdr:colOff>
      <xdr:row>4</xdr:row>
      <xdr:rowOff>0</xdr:rowOff>
    </xdr:from>
    <xdr:to>
      <xdr:col>33</xdr:col>
      <xdr:colOff>4467225</xdr:colOff>
      <xdr:row>40</xdr:row>
      <xdr:rowOff>100778</xdr:rowOff>
    </xdr:to>
    <xdr:pic>
      <xdr:nvPicPr>
        <xdr:cNvPr id="30" name="Picture 29">
          <a:extLst>
            <a:ext uri="{FF2B5EF4-FFF2-40B4-BE49-F238E27FC236}">
              <a16:creationId xmlns:a16="http://schemas.microsoft.com/office/drawing/2014/main" id="{3AFEB938-19E9-41F3-B104-E7130AE16BA6}"/>
            </a:ext>
          </a:extLst>
        </xdr:cNvPr>
        <xdr:cNvPicPr>
          <a:picLocks noChangeAspect="1"/>
        </xdr:cNvPicPr>
      </xdr:nvPicPr>
      <xdr:blipFill>
        <a:blip xmlns:r="http://schemas.openxmlformats.org/officeDocument/2006/relationships" r:embed="rId24"/>
        <a:stretch>
          <a:fillRect/>
        </a:stretch>
      </xdr:blipFill>
      <xdr:spPr>
        <a:xfrm>
          <a:off x="79552800" y="1219200"/>
          <a:ext cx="4467225" cy="6692078"/>
        </a:xfrm>
        <a:prstGeom prst="rect">
          <a:avLst/>
        </a:prstGeom>
      </xdr:spPr>
    </xdr:pic>
    <xdr:clientData/>
  </xdr:twoCellAnchor>
  <xdr:twoCellAnchor editAs="oneCell">
    <xdr:from>
      <xdr:col>33</xdr:col>
      <xdr:colOff>0</xdr:colOff>
      <xdr:row>41</xdr:row>
      <xdr:rowOff>1</xdr:rowOff>
    </xdr:from>
    <xdr:to>
      <xdr:col>33</xdr:col>
      <xdr:colOff>4473329</xdr:colOff>
      <xdr:row>78</xdr:row>
      <xdr:rowOff>9526</xdr:rowOff>
    </xdr:to>
    <xdr:pic>
      <xdr:nvPicPr>
        <xdr:cNvPr id="31" name="Picture 30">
          <a:extLst>
            <a:ext uri="{FF2B5EF4-FFF2-40B4-BE49-F238E27FC236}">
              <a16:creationId xmlns:a16="http://schemas.microsoft.com/office/drawing/2014/main" id="{C67C412C-2F36-45A1-AF53-F2723DFCAE95}"/>
            </a:ext>
          </a:extLst>
        </xdr:cNvPr>
        <xdr:cNvPicPr>
          <a:picLocks noChangeAspect="1"/>
        </xdr:cNvPicPr>
      </xdr:nvPicPr>
      <xdr:blipFill>
        <a:blip xmlns:r="http://schemas.openxmlformats.org/officeDocument/2006/relationships" r:embed="rId25"/>
        <a:stretch>
          <a:fillRect/>
        </a:stretch>
      </xdr:blipFill>
      <xdr:spPr>
        <a:xfrm>
          <a:off x="79552800" y="7991476"/>
          <a:ext cx="4473329" cy="6705600"/>
        </a:xfrm>
        <a:prstGeom prst="rect">
          <a:avLst/>
        </a:prstGeom>
      </xdr:spPr>
    </xdr:pic>
    <xdr:clientData/>
  </xdr:twoCellAnchor>
  <xdr:twoCellAnchor editAs="oneCell">
    <xdr:from>
      <xdr:col>27</xdr:col>
      <xdr:colOff>0</xdr:colOff>
      <xdr:row>4</xdr:row>
      <xdr:rowOff>0</xdr:rowOff>
    </xdr:from>
    <xdr:to>
      <xdr:col>27</xdr:col>
      <xdr:colOff>4591470</xdr:colOff>
      <xdr:row>42</xdr:row>
      <xdr:rowOff>152400</xdr:rowOff>
    </xdr:to>
    <xdr:pic>
      <xdr:nvPicPr>
        <xdr:cNvPr id="43" name="Picture 42">
          <a:extLst>
            <a:ext uri="{FF2B5EF4-FFF2-40B4-BE49-F238E27FC236}">
              <a16:creationId xmlns:a16="http://schemas.microsoft.com/office/drawing/2014/main" id="{FE8B8053-5724-42F8-A286-199471E5475C}"/>
            </a:ext>
          </a:extLst>
        </xdr:cNvPr>
        <xdr:cNvPicPr>
          <a:picLocks noChangeAspect="1"/>
        </xdr:cNvPicPr>
      </xdr:nvPicPr>
      <xdr:blipFill>
        <a:blip xmlns:r="http://schemas.openxmlformats.org/officeDocument/2006/relationships" r:embed="rId26"/>
        <a:stretch>
          <a:fillRect/>
        </a:stretch>
      </xdr:blipFill>
      <xdr:spPr>
        <a:xfrm>
          <a:off x="64322325" y="1219200"/>
          <a:ext cx="4591470" cy="7105650"/>
        </a:xfrm>
        <a:prstGeom prst="rect">
          <a:avLst/>
        </a:prstGeom>
      </xdr:spPr>
    </xdr:pic>
    <xdr:clientData/>
  </xdr:twoCellAnchor>
  <xdr:twoCellAnchor editAs="oneCell">
    <xdr:from>
      <xdr:col>27</xdr:col>
      <xdr:colOff>0</xdr:colOff>
      <xdr:row>43</xdr:row>
      <xdr:rowOff>0</xdr:rowOff>
    </xdr:from>
    <xdr:to>
      <xdr:col>27</xdr:col>
      <xdr:colOff>4593981</xdr:colOff>
      <xdr:row>81</xdr:row>
      <xdr:rowOff>38100</xdr:rowOff>
    </xdr:to>
    <xdr:pic>
      <xdr:nvPicPr>
        <xdr:cNvPr id="44" name="Picture 43">
          <a:extLst>
            <a:ext uri="{FF2B5EF4-FFF2-40B4-BE49-F238E27FC236}">
              <a16:creationId xmlns:a16="http://schemas.microsoft.com/office/drawing/2014/main" id="{65E6FEFC-7AB0-422E-87BC-6C80EF4C0A24}"/>
            </a:ext>
          </a:extLst>
        </xdr:cNvPr>
        <xdr:cNvPicPr>
          <a:picLocks noChangeAspect="1"/>
        </xdr:cNvPicPr>
      </xdr:nvPicPr>
      <xdr:blipFill>
        <a:blip xmlns:r="http://schemas.openxmlformats.org/officeDocument/2006/relationships" r:embed="rId27"/>
        <a:stretch>
          <a:fillRect/>
        </a:stretch>
      </xdr:blipFill>
      <xdr:spPr>
        <a:xfrm>
          <a:off x="64322325" y="8353425"/>
          <a:ext cx="4593981" cy="6915150"/>
        </a:xfrm>
        <a:prstGeom prst="rect">
          <a:avLst/>
        </a:prstGeom>
      </xdr:spPr>
    </xdr:pic>
    <xdr:clientData/>
  </xdr:twoCellAnchor>
  <xdr:twoCellAnchor editAs="oneCell">
    <xdr:from>
      <xdr:col>27</xdr:col>
      <xdr:colOff>1</xdr:colOff>
      <xdr:row>81</xdr:row>
      <xdr:rowOff>0</xdr:rowOff>
    </xdr:from>
    <xdr:to>
      <xdr:col>27</xdr:col>
      <xdr:colOff>4451227</xdr:colOff>
      <xdr:row>119</xdr:row>
      <xdr:rowOff>123825</xdr:rowOff>
    </xdr:to>
    <xdr:pic>
      <xdr:nvPicPr>
        <xdr:cNvPr id="45" name="Picture 44">
          <a:extLst>
            <a:ext uri="{FF2B5EF4-FFF2-40B4-BE49-F238E27FC236}">
              <a16:creationId xmlns:a16="http://schemas.microsoft.com/office/drawing/2014/main" id="{993646E6-61F2-4174-B04A-1E62DBB22914}"/>
            </a:ext>
          </a:extLst>
        </xdr:cNvPr>
        <xdr:cNvPicPr>
          <a:picLocks noChangeAspect="1"/>
        </xdr:cNvPicPr>
      </xdr:nvPicPr>
      <xdr:blipFill>
        <a:blip xmlns:r="http://schemas.openxmlformats.org/officeDocument/2006/relationships" r:embed="rId28"/>
        <a:stretch>
          <a:fillRect/>
        </a:stretch>
      </xdr:blipFill>
      <xdr:spPr>
        <a:xfrm>
          <a:off x="64322326" y="15230475"/>
          <a:ext cx="4451226" cy="7000875"/>
        </a:xfrm>
        <a:prstGeom prst="rect">
          <a:avLst/>
        </a:prstGeom>
      </xdr:spPr>
    </xdr:pic>
    <xdr:clientData/>
  </xdr:twoCellAnchor>
  <xdr:twoCellAnchor editAs="oneCell">
    <xdr:from>
      <xdr:col>27</xdr:col>
      <xdr:colOff>1</xdr:colOff>
      <xdr:row>120</xdr:row>
      <xdr:rowOff>0</xdr:rowOff>
    </xdr:from>
    <xdr:to>
      <xdr:col>27</xdr:col>
      <xdr:colOff>4533901</xdr:colOff>
      <xdr:row>137</xdr:row>
      <xdr:rowOff>124341</xdr:rowOff>
    </xdr:to>
    <xdr:pic>
      <xdr:nvPicPr>
        <xdr:cNvPr id="46" name="Picture 45">
          <a:extLst>
            <a:ext uri="{FF2B5EF4-FFF2-40B4-BE49-F238E27FC236}">
              <a16:creationId xmlns:a16="http://schemas.microsoft.com/office/drawing/2014/main" id="{E58FE897-D81C-42AC-B948-45590512F1C3}"/>
            </a:ext>
          </a:extLst>
        </xdr:cNvPr>
        <xdr:cNvPicPr>
          <a:picLocks noChangeAspect="1"/>
        </xdr:cNvPicPr>
      </xdr:nvPicPr>
      <xdr:blipFill>
        <a:blip xmlns:r="http://schemas.openxmlformats.org/officeDocument/2006/relationships" r:embed="rId29"/>
        <a:stretch>
          <a:fillRect/>
        </a:stretch>
      </xdr:blipFill>
      <xdr:spPr>
        <a:xfrm>
          <a:off x="64322326" y="22288500"/>
          <a:ext cx="4533900" cy="3200916"/>
        </a:xfrm>
        <a:prstGeom prst="rect">
          <a:avLst/>
        </a:prstGeom>
      </xdr:spPr>
    </xdr:pic>
    <xdr:clientData/>
  </xdr:twoCellAnchor>
  <xdr:twoCellAnchor editAs="oneCell">
    <xdr:from>
      <xdr:col>27</xdr:col>
      <xdr:colOff>0</xdr:colOff>
      <xdr:row>138</xdr:row>
      <xdr:rowOff>0</xdr:rowOff>
    </xdr:from>
    <xdr:to>
      <xdr:col>27</xdr:col>
      <xdr:colOff>4561447</xdr:colOff>
      <xdr:row>175</xdr:row>
      <xdr:rowOff>0</xdr:rowOff>
    </xdr:to>
    <xdr:pic>
      <xdr:nvPicPr>
        <xdr:cNvPr id="47" name="Picture 46">
          <a:extLst>
            <a:ext uri="{FF2B5EF4-FFF2-40B4-BE49-F238E27FC236}">
              <a16:creationId xmlns:a16="http://schemas.microsoft.com/office/drawing/2014/main" id="{A943573C-220D-4EB8-B373-322DC4138F0B}"/>
            </a:ext>
          </a:extLst>
        </xdr:cNvPr>
        <xdr:cNvPicPr>
          <a:picLocks noChangeAspect="1"/>
        </xdr:cNvPicPr>
      </xdr:nvPicPr>
      <xdr:blipFill>
        <a:blip xmlns:r="http://schemas.openxmlformats.org/officeDocument/2006/relationships" r:embed="rId30"/>
        <a:stretch>
          <a:fillRect/>
        </a:stretch>
      </xdr:blipFill>
      <xdr:spPr>
        <a:xfrm>
          <a:off x="64322325" y="25546050"/>
          <a:ext cx="4561447" cy="6696075"/>
        </a:xfrm>
        <a:prstGeom prst="rect">
          <a:avLst/>
        </a:prstGeom>
      </xdr:spPr>
    </xdr:pic>
    <xdr:clientData/>
  </xdr:twoCellAnchor>
  <xdr:twoCellAnchor editAs="oneCell">
    <xdr:from>
      <xdr:col>27</xdr:col>
      <xdr:colOff>1</xdr:colOff>
      <xdr:row>175</xdr:row>
      <xdr:rowOff>0</xdr:rowOff>
    </xdr:from>
    <xdr:to>
      <xdr:col>27</xdr:col>
      <xdr:colOff>4476751</xdr:colOff>
      <xdr:row>212</xdr:row>
      <xdr:rowOff>127225</xdr:rowOff>
    </xdr:to>
    <xdr:pic>
      <xdr:nvPicPr>
        <xdr:cNvPr id="48" name="Picture 47">
          <a:extLst>
            <a:ext uri="{FF2B5EF4-FFF2-40B4-BE49-F238E27FC236}">
              <a16:creationId xmlns:a16="http://schemas.microsoft.com/office/drawing/2014/main" id="{2ED3E4E3-1267-46D6-AF46-662D88B98465}"/>
            </a:ext>
          </a:extLst>
        </xdr:cNvPr>
        <xdr:cNvPicPr>
          <a:picLocks noChangeAspect="1"/>
        </xdr:cNvPicPr>
      </xdr:nvPicPr>
      <xdr:blipFill>
        <a:blip xmlns:r="http://schemas.openxmlformats.org/officeDocument/2006/relationships" r:embed="rId31"/>
        <a:stretch>
          <a:fillRect/>
        </a:stretch>
      </xdr:blipFill>
      <xdr:spPr>
        <a:xfrm>
          <a:off x="64322326" y="32242125"/>
          <a:ext cx="4476750" cy="6823300"/>
        </a:xfrm>
        <a:prstGeom prst="rect">
          <a:avLst/>
        </a:prstGeom>
      </xdr:spPr>
    </xdr:pic>
    <xdr:clientData/>
  </xdr:twoCellAnchor>
  <xdr:twoCellAnchor editAs="oneCell">
    <xdr:from>
      <xdr:col>27</xdr:col>
      <xdr:colOff>0</xdr:colOff>
      <xdr:row>213</xdr:row>
      <xdr:rowOff>0</xdr:rowOff>
    </xdr:from>
    <xdr:to>
      <xdr:col>27</xdr:col>
      <xdr:colOff>4472919</xdr:colOff>
      <xdr:row>252</xdr:row>
      <xdr:rowOff>19050</xdr:rowOff>
    </xdr:to>
    <xdr:pic>
      <xdr:nvPicPr>
        <xdr:cNvPr id="49" name="Picture 48">
          <a:extLst>
            <a:ext uri="{FF2B5EF4-FFF2-40B4-BE49-F238E27FC236}">
              <a16:creationId xmlns:a16="http://schemas.microsoft.com/office/drawing/2014/main" id="{611F271A-F3BF-44E4-91D9-31B75933A74F}"/>
            </a:ext>
          </a:extLst>
        </xdr:cNvPr>
        <xdr:cNvPicPr>
          <a:picLocks noChangeAspect="1"/>
        </xdr:cNvPicPr>
      </xdr:nvPicPr>
      <xdr:blipFill>
        <a:blip xmlns:r="http://schemas.openxmlformats.org/officeDocument/2006/relationships" r:embed="rId32"/>
        <a:stretch>
          <a:fillRect/>
        </a:stretch>
      </xdr:blipFill>
      <xdr:spPr>
        <a:xfrm>
          <a:off x="64322325" y="39119175"/>
          <a:ext cx="4472919" cy="7077075"/>
        </a:xfrm>
        <a:prstGeom prst="rect">
          <a:avLst/>
        </a:prstGeom>
      </xdr:spPr>
    </xdr:pic>
    <xdr:clientData/>
  </xdr:twoCellAnchor>
  <xdr:twoCellAnchor editAs="oneCell">
    <xdr:from>
      <xdr:col>27</xdr:col>
      <xdr:colOff>0</xdr:colOff>
      <xdr:row>253</xdr:row>
      <xdr:rowOff>0</xdr:rowOff>
    </xdr:from>
    <xdr:to>
      <xdr:col>27</xdr:col>
      <xdr:colOff>4524375</xdr:colOff>
      <xdr:row>269</xdr:row>
      <xdr:rowOff>140273</xdr:rowOff>
    </xdr:to>
    <xdr:pic>
      <xdr:nvPicPr>
        <xdr:cNvPr id="50" name="Picture 49">
          <a:extLst>
            <a:ext uri="{FF2B5EF4-FFF2-40B4-BE49-F238E27FC236}">
              <a16:creationId xmlns:a16="http://schemas.microsoft.com/office/drawing/2014/main" id="{31F40AD5-68DD-4ECC-A828-76DFC04D025E}"/>
            </a:ext>
          </a:extLst>
        </xdr:cNvPr>
        <xdr:cNvPicPr>
          <a:picLocks noChangeAspect="1"/>
        </xdr:cNvPicPr>
      </xdr:nvPicPr>
      <xdr:blipFill>
        <a:blip xmlns:r="http://schemas.openxmlformats.org/officeDocument/2006/relationships" r:embed="rId33"/>
        <a:stretch>
          <a:fillRect/>
        </a:stretch>
      </xdr:blipFill>
      <xdr:spPr>
        <a:xfrm>
          <a:off x="64322325" y="46358175"/>
          <a:ext cx="4524375" cy="3035873"/>
        </a:xfrm>
        <a:prstGeom prst="rect">
          <a:avLst/>
        </a:prstGeom>
      </xdr:spPr>
    </xdr:pic>
    <xdr:clientData/>
  </xdr:twoCellAnchor>
  <xdr:twoCellAnchor editAs="oneCell">
    <xdr:from>
      <xdr:col>35</xdr:col>
      <xdr:colOff>0</xdr:colOff>
      <xdr:row>4</xdr:row>
      <xdr:rowOff>1</xdr:rowOff>
    </xdr:from>
    <xdr:to>
      <xdr:col>35</xdr:col>
      <xdr:colOff>4391025</xdr:colOff>
      <xdr:row>40</xdr:row>
      <xdr:rowOff>29677</xdr:rowOff>
    </xdr:to>
    <xdr:pic>
      <xdr:nvPicPr>
        <xdr:cNvPr id="22" name="Picture 21">
          <a:extLst>
            <a:ext uri="{FF2B5EF4-FFF2-40B4-BE49-F238E27FC236}">
              <a16:creationId xmlns:a16="http://schemas.microsoft.com/office/drawing/2014/main" id="{1D4DA7EE-1973-4756-B774-A8CBA902E9FD}"/>
            </a:ext>
          </a:extLst>
        </xdr:cNvPr>
        <xdr:cNvPicPr>
          <a:picLocks noChangeAspect="1"/>
        </xdr:cNvPicPr>
      </xdr:nvPicPr>
      <xdr:blipFill>
        <a:blip xmlns:r="http://schemas.openxmlformats.org/officeDocument/2006/relationships" r:embed="rId34"/>
        <a:stretch>
          <a:fillRect/>
        </a:stretch>
      </xdr:blipFill>
      <xdr:spPr>
        <a:xfrm>
          <a:off x="84839175" y="1219201"/>
          <a:ext cx="4391025" cy="6620976"/>
        </a:xfrm>
        <a:prstGeom prst="rect">
          <a:avLst/>
        </a:prstGeom>
      </xdr:spPr>
    </xdr:pic>
    <xdr:clientData/>
  </xdr:twoCellAnchor>
  <xdr:twoCellAnchor editAs="oneCell">
    <xdr:from>
      <xdr:col>35</xdr:col>
      <xdr:colOff>28575</xdr:colOff>
      <xdr:row>39</xdr:row>
      <xdr:rowOff>171450</xdr:rowOff>
    </xdr:from>
    <xdr:to>
      <xdr:col>35</xdr:col>
      <xdr:colOff>4439560</xdr:colOff>
      <xdr:row>76</xdr:row>
      <xdr:rowOff>19050</xdr:rowOff>
    </xdr:to>
    <xdr:pic>
      <xdr:nvPicPr>
        <xdr:cNvPr id="51" name="Picture 50">
          <a:extLst>
            <a:ext uri="{FF2B5EF4-FFF2-40B4-BE49-F238E27FC236}">
              <a16:creationId xmlns:a16="http://schemas.microsoft.com/office/drawing/2014/main" id="{7EA12ACA-838F-4C45-8238-AEBBB4F66643}"/>
            </a:ext>
          </a:extLst>
        </xdr:cNvPr>
        <xdr:cNvPicPr>
          <a:picLocks noChangeAspect="1"/>
        </xdr:cNvPicPr>
      </xdr:nvPicPr>
      <xdr:blipFill>
        <a:blip xmlns:r="http://schemas.openxmlformats.org/officeDocument/2006/relationships" r:embed="rId35"/>
        <a:stretch>
          <a:fillRect/>
        </a:stretch>
      </xdr:blipFill>
      <xdr:spPr>
        <a:xfrm>
          <a:off x="84867750" y="7800975"/>
          <a:ext cx="4410985" cy="6543675"/>
        </a:xfrm>
        <a:prstGeom prst="rect">
          <a:avLst/>
        </a:prstGeom>
      </xdr:spPr>
    </xdr:pic>
    <xdr:clientData/>
  </xdr:twoCellAnchor>
  <xdr:twoCellAnchor editAs="oneCell">
    <xdr:from>
      <xdr:col>37</xdr:col>
      <xdr:colOff>0</xdr:colOff>
      <xdr:row>4</xdr:row>
      <xdr:rowOff>1</xdr:rowOff>
    </xdr:from>
    <xdr:to>
      <xdr:col>37</xdr:col>
      <xdr:colOff>4495173</xdr:colOff>
      <xdr:row>33</xdr:row>
      <xdr:rowOff>47626</xdr:rowOff>
    </xdr:to>
    <xdr:pic>
      <xdr:nvPicPr>
        <xdr:cNvPr id="52" name="Picture 51">
          <a:extLst>
            <a:ext uri="{FF2B5EF4-FFF2-40B4-BE49-F238E27FC236}">
              <a16:creationId xmlns:a16="http://schemas.microsoft.com/office/drawing/2014/main" id="{69F0CAC0-7459-4973-8649-11F5C4E855D5}"/>
            </a:ext>
          </a:extLst>
        </xdr:cNvPr>
        <xdr:cNvPicPr>
          <a:picLocks noChangeAspect="1"/>
        </xdr:cNvPicPr>
      </xdr:nvPicPr>
      <xdr:blipFill>
        <a:blip xmlns:r="http://schemas.openxmlformats.org/officeDocument/2006/relationships" r:embed="rId36"/>
        <a:stretch>
          <a:fillRect/>
        </a:stretch>
      </xdr:blipFill>
      <xdr:spPr>
        <a:xfrm>
          <a:off x="90125550" y="1219201"/>
          <a:ext cx="4495173" cy="5372100"/>
        </a:xfrm>
        <a:prstGeom prst="rect">
          <a:avLst/>
        </a:prstGeom>
      </xdr:spPr>
    </xdr:pic>
    <xdr:clientData/>
  </xdr:twoCellAnchor>
  <xdr:twoCellAnchor editAs="oneCell">
    <xdr:from>
      <xdr:col>37</xdr:col>
      <xdr:colOff>0</xdr:colOff>
      <xdr:row>34</xdr:row>
      <xdr:rowOff>0</xdr:rowOff>
    </xdr:from>
    <xdr:to>
      <xdr:col>37</xdr:col>
      <xdr:colOff>4600000</xdr:colOff>
      <xdr:row>75</xdr:row>
      <xdr:rowOff>56215</xdr:rowOff>
    </xdr:to>
    <xdr:pic>
      <xdr:nvPicPr>
        <xdr:cNvPr id="53" name="Picture 52">
          <a:extLst>
            <a:ext uri="{FF2B5EF4-FFF2-40B4-BE49-F238E27FC236}">
              <a16:creationId xmlns:a16="http://schemas.microsoft.com/office/drawing/2014/main" id="{4F5662F7-EDC5-4BC0-B22D-A317AD3827B8}"/>
            </a:ext>
          </a:extLst>
        </xdr:cNvPr>
        <xdr:cNvPicPr>
          <a:picLocks noChangeAspect="1"/>
        </xdr:cNvPicPr>
      </xdr:nvPicPr>
      <xdr:blipFill>
        <a:blip xmlns:r="http://schemas.openxmlformats.org/officeDocument/2006/relationships" r:embed="rId37"/>
        <a:stretch>
          <a:fillRect/>
        </a:stretch>
      </xdr:blipFill>
      <xdr:spPr>
        <a:xfrm>
          <a:off x="90125550" y="6724650"/>
          <a:ext cx="4600000" cy="7476190"/>
        </a:xfrm>
        <a:prstGeom prst="rect">
          <a:avLst/>
        </a:prstGeom>
      </xdr:spPr>
    </xdr:pic>
    <xdr:clientData/>
  </xdr:twoCellAnchor>
  <xdr:twoCellAnchor editAs="oneCell">
    <xdr:from>
      <xdr:col>37</xdr:col>
      <xdr:colOff>0</xdr:colOff>
      <xdr:row>76</xdr:row>
      <xdr:rowOff>0</xdr:rowOff>
    </xdr:from>
    <xdr:to>
      <xdr:col>37</xdr:col>
      <xdr:colOff>4600575</xdr:colOff>
      <xdr:row>83</xdr:row>
      <xdr:rowOff>46276</xdr:rowOff>
    </xdr:to>
    <xdr:pic>
      <xdr:nvPicPr>
        <xdr:cNvPr id="54" name="Picture 53">
          <a:extLst>
            <a:ext uri="{FF2B5EF4-FFF2-40B4-BE49-F238E27FC236}">
              <a16:creationId xmlns:a16="http://schemas.microsoft.com/office/drawing/2014/main" id="{716B8D30-7596-4BEF-ACC5-4B57909734AC}"/>
            </a:ext>
          </a:extLst>
        </xdr:cNvPr>
        <xdr:cNvPicPr>
          <a:picLocks noChangeAspect="1"/>
        </xdr:cNvPicPr>
      </xdr:nvPicPr>
      <xdr:blipFill>
        <a:blip xmlns:r="http://schemas.openxmlformats.org/officeDocument/2006/relationships" r:embed="rId38"/>
        <a:stretch>
          <a:fillRect/>
        </a:stretch>
      </xdr:blipFill>
      <xdr:spPr>
        <a:xfrm>
          <a:off x="90125550" y="14325600"/>
          <a:ext cx="4600575" cy="1313101"/>
        </a:xfrm>
        <a:prstGeom prst="rect">
          <a:avLst/>
        </a:prstGeom>
      </xdr:spPr>
    </xdr:pic>
    <xdr:clientData/>
  </xdr:twoCellAnchor>
  <xdr:twoCellAnchor editAs="oneCell">
    <xdr:from>
      <xdr:col>3</xdr:col>
      <xdr:colOff>57149</xdr:colOff>
      <xdr:row>4</xdr:row>
      <xdr:rowOff>123825</xdr:rowOff>
    </xdr:from>
    <xdr:to>
      <xdr:col>3</xdr:col>
      <xdr:colOff>4475212</xdr:colOff>
      <xdr:row>37</xdr:row>
      <xdr:rowOff>57150</xdr:rowOff>
    </xdr:to>
    <xdr:pic>
      <xdr:nvPicPr>
        <xdr:cNvPr id="55" name="Picture 54">
          <a:extLst>
            <a:ext uri="{FF2B5EF4-FFF2-40B4-BE49-F238E27FC236}">
              <a16:creationId xmlns:a16="http://schemas.microsoft.com/office/drawing/2014/main" id="{B074B297-36FC-BDFF-915E-2E32061038C5}"/>
            </a:ext>
          </a:extLst>
        </xdr:cNvPr>
        <xdr:cNvPicPr>
          <a:picLocks noChangeAspect="1"/>
        </xdr:cNvPicPr>
      </xdr:nvPicPr>
      <xdr:blipFill>
        <a:blip xmlns:r="http://schemas.openxmlformats.org/officeDocument/2006/relationships" r:embed="rId39"/>
        <a:stretch>
          <a:fillRect/>
        </a:stretch>
      </xdr:blipFill>
      <xdr:spPr>
        <a:xfrm>
          <a:off x="2619374" y="1343025"/>
          <a:ext cx="4418063" cy="5981700"/>
        </a:xfrm>
        <a:prstGeom prst="rect">
          <a:avLst/>
        </a:prstGeom>
      </xdr:spPr>
    </xdr:pic>
    <xdr:clientData/>
  </xdr:twoCellAnchor>
  <xdr:twoCellAnchor editAs="oneCell">
    <xdr:from>
      <xdr:col>3</xdr:col>
      <xdr:colOff>85725</xdr:colOff>
      <xdr:row>36</xdr:row>
      <xdr:rowOff>171449</xdr:rowOff>
    </xdr:from>
    <xdr:to>
      <xdr:col>3</xdr:col>
      <xdr:colOff>4314825</xdr:colOff>
      <xdr:row>69</xdr:row>
      <xdr:rowOff>146767</xdr:rowOff>
    </xdr:to>
    <xdr:pic>
      <xdr:nvPicPr>
        <xdr:cNvPr id="56" name="Picture 55">
          <a:extLst>
            <a:ext uri="{FF2B5EF4-FFF2-40B4-BE49-F238E27FC236}">
              <a16:creationId xmlns:a16="http://schemas.microsoft.com/office/drawing/2014/main" id="{5EDCA308-54AE-12F0-A74A-26D4A02D9B50}"/>
            </a:ext>
          </a:extLst>
        </xdr:cNvPr>
        <xdr:cNvPicPr>
          <a:picLocks noChangeAspect="1"/>
        </xdr:cNvPicPr>
      </xdr:nvPicPr>
      <xdr:blipFill>
        <a:blip xmlns:r="http://schemas.openxmlformats.org/officeDocument/2006/relationships" r:embed="rId40"/>
        <a:stretch>
          <a:fillRect/>
        </a:stretch>
      </xdr:blipFill>
      <xdr:spPr>
        <a:xfrm>
          <a:off x="2647950" y="7258049"/>
          <a:ext cx="4229100" cy="5947493"/>
        </a:xfrm>
        <a:prstGeom prst="rect">
          <a:avLst/>
        </a:prstGeom>
      </xdr:spPr>
    </xdr:pic>
    <xdr:clientData/>
  </xdr:twoCellAnchor>
  <xdr:twoCellAnchor editAs="oneCell">
    <xdr:from>
      <xdr:col>3</xdr:col>
      <xdr:colOff>114299</xdr:colOff>
      <xdr:row>70</xdr:row>
      <xdr:rowOff>66674</xdr:rowOff>
    </xdr:from>
    <xdr:to>
      <xdr:col>3</xdr:col>
      <xdr:colOff>4321614</xdr:colOff>
      <xdr:row>102</xdr:row>
      <xdr:rowOff>38099</xdr:rowOff>
    </xdr:to>
    <xdr:pic>
      <xdr:nvPicPr>
        <xdr:cNvPr id="57" name="Picture 56">
          <a:extLst>
            <a:ext uri="{FF2B5EF4-FFF2-40B4-BE49-F238E27FC236}">
              <a16:creationId xmlns:a16="http://schemas.microsoft.com/office/drawing/2014/main" id="{63F37C37-AF7A-150F-5CEB-70AA6B8A2CEB}"/>
            </a:ext>
          </a:extLst>
        </xdr:cNvPr>
        <xdr:cNvPicPr>
          <a:picLocks noChangeAspect="1"/>
        </xdr:cNvPicPr>
      </xdr:nvPicPr>
      <xdr:blipFill>
        <a:blip xmlns:r="http://schemas.openxmlformats.org/officeDocument/2006/relationships" r:embed="rId41"/>
        <a:stretch>
          <a:fillRect/>
        </a:stretch>
      </xdr:blipFill>
      <xdr:spPr>
        <a:xfrm>
          <a:off x="2676524" y="13306424"/>
          <a:ext cx="4207315" cy="5762625"/>
        </a:xfrm>
        <a:prstGeom prst="rect">
          <a:avLst/>
        </a:prstGeom>
      </xdr:spPr>
    </xdr:pic>
    <xdr:clientData/>
  </xdr:twoCellAnchor>
  <xdr:twoCellAnchor editAs="oneCell">
    <xdr:from>
      <xdr:col>5</xdr:col>
      <xdr:colOff>104774</xdr:colOff>
      <xdr:row>4</xdr:row>
      <xdr:rowOff>38099</xdr:rowOff>
    </xdr:from>
    <xdr:to>
      <xdr:col>5</xdr:col>
      <xdr:colOff>4518407</xdr:colOff>
      <xdr:row>37</xdr:row>
      <xdr:rowOff>95249</xdr:rowOff>
    </xdr:to>
    <xdr:pic>
      <xdr:nvPicPr>
        <xdr:cNvPr id="58" name="Picture 57">
          <a:extLst>
            <a:ext uri="{FF2B5EF4-FFF2-40B4-BE49-F238E27FC236}">
              <a16:creationId xmlns:a16="http://schemas.microsoft.com/office/drawing/2014/main" id="{9DEB8FEA-322A-A0ED-F71E-7D2BA2A81AC2}"/>
            </a:ext>
          </a:extLst>
        </xdr:cNvPr>
        <xdr:cNvPicPr>
          <a:picLocks noChangeAspect="1"/>
        </xdr:cNvPicPr>
      </xdr:nvPicPr>
      <xdr:blipFill>
        <a:blip xmlns:r="http://schemas.openxmlformats.org/officeDocument/2006/relationships" r:embed="rId42"/>
        <a:stretch>
          <a:fillRect/>
        </a:stretch>
      </xdr:blipFill>
      <xdr:spPr>
        <a:xfrm>
          <a:off x="7639049" y="1390649"/>
          <a:ext cx="4413633" cy="6105525"/>
        </a:xfrm>
        <a:prstGeom prst="rect">
          <a:avLst/>
        </a:prstGeom>
      </xdr:spPr>
    </xdr:pic>
    <xdr:clientData/>
  </xdr:twoCellAnchor>
  <xdr:twoCellAnchor editAs="oneCell">
    <xdr:from>
      <xdr:col>5</xdr:col>
      <xdr:colOff>171449</xdr:colOff>
      <xdr:row>37</xdr:row>
      <xdr:rowOff>28575</xdr:rowOff>
    </xdr:from>
    <xdr:to>
      <xdr:col>5</xdr:col>
      <xdr:colOff>4371974</xdr:colOff>
      <xdr:row>70</xdr:row>
      <xdr:rowOff>11445</xdr:rowOff>
    </xdr:to>
    <xdr:pic>
      <xdr:nvPicPr>
        <xdr:cNvPr id="59" name="Picture 58">
          <a:extLst>
            <a:ext uri="{FF2B5EF4-FFF2-40B4-BE49-F238E27FC236}">
              <a16:creationId xmlns:a16="http://schemas.microsoft.com/office/drawing/2014/main" id="{24EEE115-BA5D-086C-EC48-5FDFD18E0699}"/>
            </a:ext>
          </a:extLst>
        </xdr:cNvPr>
        <xdr:cNvPicPr>
          <a:picLocks noChangeAspect="1"/>
        </xdr:cNvPicPr>
      </xdr:nvPicPr>
      <xdr:blipFill>
        <a:blip xmlns:r="http://schemas.openxmlformats.org/officeDocument/2006/relationships" r:embed="rId43"/>
        <a:stretch>
          <a:fillRect/>
        </a:stretch>
      </xdr:blipFill>
      <xdr:spPr>
        <a:xfrm>
          <a:off x="7705724" y="7429500"/>
          <a:ext cx="4200525" cy="5955045"/>
        </a:xfrm>
        <a:prstGeom prst="rect">
          <a:avLst/>
        </a:prstGeom>
      </xdr:spPr>
    </xdr:pic>
    <xdr:clientData/>
  </xdr:twoCellAnchor>
  <xdr:twoCellAnchor editAs="oneCell">
    <xdr:from>
      <xdr:col>7</xdr:col>
      <xdr:colOff>19050</xdr:colOff>
      <xdr:row>4</xdr:row>
      <xdr:rowOff>28575</xdr:rowOff>
    </xdr:from>
    <xdr:to>
      <xdr:col>7</xdr:col>
      <xdr:colOff>4410075</xdr:colOff>
      <xdr:row>37</xdr:row>
      <xdr:rowOff>127635</xdr:rowOff>
    </xdr:to>
    <xdr:pic>
      <xdr:nvPicPr>
        <xdr:cNvPr id="73" name="Picture 72">
          <a:extLst>
            <a:ext uri="{FF2B5EF4-FFF2-40B4-BE49-F238E27FC236}">
              <a16:creationId xmlns:a16="http://schemas.microsoft.com/office/drawing/2014/main" id="{7BEEF665-F068-28E3-8134-F5803E5BC159}"/>
            </a:ext>
          </a:extLst>
        </xdr:cNvPr>
        <xdr:cNvPicPr>
          <a:picLocks noChangeAspect="1"/>
        </xdr:cNvPicPr>
      </xdr:nvPicPr>
      <xdr:blipFill>
        <a:blip xmlns:r="http://schemas.openxmlformats.org/officeDocument/2006/relationships" r:embed="rId44"/>
        <a:stretch>
          <a:fillRect/>
        </a:stretch>
      </xdr:blipFill>
      <xdr:spPr>
        <a:xfrm>
          <a:off x="12525375" y="1381125"/>
          <a:ext cx="4391025" cy="6147435"/>
        </a:xfrm>
        <a:prstGeom prst="rect">
          <a:avLst/>
        </a:prstGeom>
      </xdr:spPr>
    </xdr:pic>
    <xdr:clientData/>
  </xdr:twoCellAnchor>
  <xdr:twoCellAnchor editAs="oneCell">
    <xdr:from>
      <xdr:col>7</xdr:col>
      <xdr:colOff>104775</xdr:colOff>
      <xdr:row>37</xdr:row>
      <xdr:rowOff>114300</xdr:rowOff>
    </xdr:from>
    <xdr:to>
      <xdr:col>7</xdr:col>
      <xdr:colOff>4376623</xdr:colOff>
      <xdr:row>70</xdr:row>
      <xdr:rowOff>47625</xdr:rowOff>
    </xdr:to>
    <xdr:pic>
      <xdr:nvPicPr>
        <xdr:cNvPr id="74" name="Picture 73">
          <a:extLst>
            <a:ext uri="{FF2B5EF4-FFF2-40B4-BE49-F238E27FC236}">
              <a16:creationId xmlns:a16="http://schemas.microsoft.com/office/drawing/2014/main" id="{5EB99E2C-A77E-C5EF-E187-5C77D9F15D70}"/>
            </a:ext>
          </a:extLst>
        </xdr:cNvPr>
        <xdr:cNvPicPr>
          <a:picLocks noChangeAspect="1"/>
        </xdr:cNvPicPr>
      </xdr:nvPicPr>
      <xdr:blipFill>
        <a:blip xmlns:r="http://schemas.openxmlformats.org/officeDocument/2006/relationships" r:embed="rId45"/>
        <a:stretch>
          <a:fillRect/>
        </a:stretch>
      </xdr:blipFill>
      <xdr:spPr>
        <a:xfrm>
          <a:off x="12611100" y="7515225"/>
          <a:ext cx="4271848" cy="5905500"/>
        </a:xfrm>
        <a:prstGeom prst="rect">
          <a:avLst/>
        </a:prstGeom>
      </xdr:spPr>
    </xdr:pic>
    <xdr:clientData/>
  </xdr:twoCellAnchor>
  <xdr:twoCellAnchor editAs="oneCell">
    <xdr:from>
      <xdr:col>7</xdr:col>
      <xdr:colOff>142875</xdr:colOff>
      <xdr:row>69</xdr:row>
      <xdr:rowOff>142875</xdr:rowOff>
    </xdr:from>
    <xdr:to>
      <xdr:col>7</xdr:col>
      <xdr:colOff>4438650</xdr:colOff>
      <xdr:row>102</xdr:row>
      <xdr:rowOff>46996</xdr:rowOff>
    </xdr:to>
    <xdr:pic>
      <xdr:nvPicPr>
        <xdr:cNvPr id="75" name="Picture 74">
          <a:extLst>
            <a:ext uri="{FF2B5EF4-FFF2-40B4-BE49-F238E27FC236}">
              <a16:creationId xmlns:a16="http://schemas.microsoft.com/office/drawing/2014/main" id="{7D634304-0B40-2E71-CD91-04E41F4ADE87}"/>
            </a:ext>
          </a:extLst>
        </xdr:cNvPr>
        <xdr:cNvPicPr>
          <a:picLocks noChangeAspect="1"/>
        </xdr:cNvPicPr>
      </xdr:nvPicPr>
      <xdr:blipFill>
        <a:blip xmlns:r="http://schemas.openxmlformats.org/officeDocument/2006/relationships" r:embed="rId46"/>
        <a:stretch>
          <a:fillRect/>
        </a:stretch>
      </xdr:blipFill>
      <xdr:spPr>
        <a:xfrm>
          <a:off x="12649200" y="13335000"/>
          <a:ext cx="4295775" cy="5876296"/>
        </a:xfrm>
        <a:prstGeom prst="rect">
          <a:avLst/>
        </a:prstGeom>
      </xdr:spPr>
    </xdr:pic>
    <xdr:clientData/>
  </xdr:twoCellAnchor>
  <xdr:twoCellAnchor editAs="oneCell">
    <xdr:from>
      <xdr:col>9</xdr:col>
      <xdr:colOff>57149</xdr:colOff>
      <xdr:row>4</xdr:row>
      <xdr:rowOff>57150</xdr:rowOff>
    </xdr:from>
    <xdr:to>
      <xdr:col>9</xdr:col>
      <xdr:colOff>4371974</xdr:colOff>
      <xdr:row>37</xdr:row>
      <xdr:rowOff>85399</xdr:rowOff>
    </xdr:to>
    <xdr:pic>
      <xdr:nvPicPr>
        <xdr:cNvPr id="76" name="Picture 75">
          <a:extLst>
            <a:ext uri="{FF2B5EF4-FFF2-40B4-BE49-F238E27FC236}">
              <a16:creationId xmlns:a16="http://schemas.microsoft.com/office/drawing/2014/main" id="{CBAEEC3B-9EE6-3A3B-7D87-CC46FF72B427}"/>
            </a:ext>
          </a:extLst>
        </xdr:cNvPr>
        <xdr:cNvPicPr>
          <a:picLocks noChangeAspect="1"/>
        </xdr:cNvPicPr>
      </xdr:nvPicPr>
      <xdr:blipFill>
        <a:blip xmlns:r="http://schemas.openxmlformats.org/officeDocument/2006/relationships" r:embed="rId47"/>
        <a:stretch>
          <a:fillRect/>
        </a:stretch>
      </xdr:blipFill>
      <xdr:spPr>
        <a:xfrm>
          <a:off x="17535524" y="1295400"/>
          <a:ext cx="4314825" cy="6076624"/>
        </a:xfrm>
        <a:prstGeom prst="rect">
          <a:avLst/>
        </a:prstGeom>
      </xdr:spPr>
    </xdr:pic>
    <xdr:clientData/>
  </xdr:twoCellAnchor>
  <xdr:twoCellAnchor editAs="oneCell">
    <xdr:from>
      <xdr:col>9</xdr:col>
      <xdr:colOff>76200</xdr:colOff>
      <xdr:row>37</xdr:row>
      <xdr:rowOff>57150</xdr:rowOff>
    </xdr:from>
    <xdr:to>
      <xdr:col>9</xdr:col>
      <xdr:colOff>4238737</xdr:colOff>
      <xdr:row>70</xdr:row>
      <xdr:rowOff>76200</xdr:rowOff>
    </xdr:to>
    <xdr:pic>
      <xdr:nvPicPr>
        <xdr:cNvPr id="77" name="Picture 76">
          <a:extLst>
            <a:ext uri="{FF2B5EF4-FFF2-40B4-BE49-F238E27FC236}">
              <a16:creationId xmlns:a16="http://schemas.microsoft.com/office/drawing/2014/main" id="{E505DF1A-7A31-58F1-A0D7-245DE6AC50BB}"/>
            </a:ext>
          </a:extLst>
        </xdr:cNvPr>
        <xdr:cNvPicPr>
          <a:picLocks noChangeAspect="1"/>
        </xdr:cNvPicPr>
      </xdr:nvPicPr>
      <xdr:blipFill>
        <a:blip xmlns:r="http://schemas.openxmlformats.org/officeDocument/2006/relationships" r:embed="rId48"/>
        <a:stretch>
          <a:fillRect/>
        </a:stretch>
      </xdr:blipFill>
      <xdr:spPr>
        <a:xfrm>
          <a:off x="17554575" y="7343775"/>
          <a:ext cx="4162537" cy="5991225"/>
        </a:xfrm>
        <a:prstGeom prst="rect">
          <a:avLst/>
        </a:prstGeom>
      </xdr:spPr>
    </xdr:pic>
    <xdr:clientData/>
  </xdr:twoCellAnchor>
  <xdr:twoCellAnchor editAs="oneCell">
    <xdr:from>
      <xdr:col>9</xdr:col>
      <xdr:colOff>85725</xdr:colOff>
      <xdr:row>69</xdr:row>
      <xdr:rowOff>95250</xdr:rowOff>
    </xdr:from>
    <xdr:to>
      <xdr:col>9</xdr:col>
      <xdr:colOff>4476750</xdr:colOff>
      <xdr:row>102</xdr:row>
      <xdr:rowOff>16855</xdr:rowOff>
    </xdr:to>
    <xdr:pic>
      <xdr:nvPicPr>
        <xdr:cNvPr id="79" name="Picture 78">
          <a:extLst>
            <a:ext uri="{FF2B5EF4-FFF2-40B4-BE49-F238E27FC236}">
              <a16:creationId xmlns:a16="http://schemas.microsoft.com/office/drawing/2014/main" id="{4E913235-0133-EB6E-673A-6EB6009F6BBC}"/>
            </a:ext>
          </a:extLst>
        </xdr:cNvPr>
        <xdr:cNvPicPr>
          <a:picLocks noChangeAspect="1"/>
        </xdr:cNvPicPr>
      </xdr:nvPicPr>
      <xdr:blipFill>
        <a:blip xmlns:r="http://schemas.openxmlformats.org/officeDocument/2006/relationships" r:embed="rId49"/>
        <a:stretch>
          <a:fillRect/>
        </a:stretch>
      </xdr:blipFill>
      <xdr:spPr>
        <a:xfrm>
          <a:off x="17564100" y="13173075"/>
          <a:ext cx="4391025" cy="5893780"/>
        </a:xfrm>
        <a:prstGeom prst="rect">
          <a:avLst/>
        </a:prstGeom>
      </xdr:spPr>
    </xdr:pic>
    <xdr:clientData/>
  </xdr:twoCellAnchor>
  <xdr:twoCellAnchor editAs="oneCell">
    <xdr:from>
      <xdr:col>9</xdr:col>
      <xdr:colOff>95249</xdr:colOff>
      <xdr:row>102</xdr:row>
      <xdr:rowOff>9524</xdr:rowOff>
    </xdr:from>
    <xdr:to>
      <xdr:col>9</xdr:col>
      <xdr:colOff>4429124</xdr:colOff>
      <xdr:row>134</xdr:row>
      <xdr:rowOff>33023</xdr:rowOff>
    </xdr:to>
    <xdr:pic>
      <xdr:nvPicPr>
        <xdr:cNvPr id="80" name="Picture 79">
          <a:extLst>
            <a:ext uri="{FF2B5EF4-FFF2-40B4-BE49-F238E27FC236}">
              <a16:creationId xmlns:a16="http://schemas.microsoft.com/office/drawing/2014/main" id="{F3B8E884-26AF-5775-11A2-ABDB45356B40}"/>
            </a:ext>
          </a:extLst>
        </xdr:cNvPr>
        <xdr:cNvPicPr>
          <a:picLocks noChangeAspect="1"/>
        </xdr:cNvPicPr>
      </xdr:nvPicPr>
      <xdr:blipFill>
        <a:blip xmlns:r="http://schemas.openxmlformats.org/officeDocument/2006/relationships" r:embed="rId50"/>
        <a:stretch>
          <a:fillRect/>
        </a:stretch>
      </xdr:blipFill>
      <xdr:spPr>
        <a:xfrm>
          <a:off x="17573624" y="19059524"/>
          <a:ext cx="4333875" cy="5814699"/>
        </a:xfrm>
        <a:prstGeom prst="rect">
          <a:avLst/>
        </a:prstGeom>
      </xdr:spPr>
    </xdr:pic>
    <xdr:clientData/>
  </xdr:twoCellAnchor>
  <xdr:twoCellAnchor editAs="oneCell">
    <xdr:from>
      <xdr:col>9</xdr:col>
      <xdr:colOff>161923</xdr:colOff>
      <xdr:row>133</xdr:row>
      <xdr:rowOff>114299</xdr:rowOff>
    </xdr:from>
    <xdr:to>
      <xdr:col>9</xdr:col>
      <xdr:colOff>4333875</xdr:colOff>
      <xdr:row>166</xdr:row>
      <xdr:rowOff>120906</xdr:rowOff>
    </xdr:to>
    <xdr:pic>
      <xdr:nvPicPr>
        <xdr:cNvPr id="81" name="Picture 80">
          <a:extLst>
            <a:ext uri="{FF2B5EF4-FFF2-40B4-BE49-F238E27FC236}">
              <a16:creationId xmlns:a16="http://schemas.microsoft.com/office/drawing/2014/main" id="{DFE35FFA-BF3F-AC90-58E5-EA9DECED3F62}"/>
            </a:ext>
          </a:extLst>
        </xdr:cNvPr>
        <xdr:cNvPicPr>
          <a:picLocks noChangeAspect="1"/>
        </xdr:cNvPicPr>
      </xdr:nvPicPr>
      <xdr:blipFill>
        <a:blip xmlns:r="http://schemas.openxmlformats.org/officeDocument/2006/relationships" r:embed="rId51"/>
        <a:stretch>
          <a:fillRect/>
        </a:stretch>
      </xdr:blipFill>
      <xdr:spPr>
        <a:xfrm>
          <a:off x="17640298" y="24774524"/>
          <a:ext cx="4171952" cy="5978782"/>
        </a:xfrm>
        <a:prstGeom prst="rect">
          <a:avLst/>
        </a:prstGeom>
      </xdr:spPr>
    </xdr:pic>
    <xdr:clientData/>
  </xdr:twoCellAnchor>
  <xdr:twoCellAnchor editAs="oneCell">
    <xdr:from>
      <xdr:col>11</xdr:col>
      <xdr:colOff>66675</xdr:colOff>
      <xdr:row>4</xdr:row>
      <xdr:rowOff>28575</xdr:rowOff>
    </xdr:from>
    <xdr:to>
      <xdr:col>11</xdr:col>
      <xdr:colOff>4521013</xdr:colOff>
      <xdr:row>37</xdr:row>
      <xdr:rowOff>38100</xdr:rowOff>
    </xdr:to>
    <xdr:pic>
      <xdr:nvPicPr>
        <xdr:cNvPr id="82" name="Picture 81">
          <a:extLst>
            <a:ext uri="{FF2B5EF4-FFF2-40B4-BE49-F238E27FC236}">
              <a16:creationId xmlns:a16="http://schemas.microsoft.com/office/drawing/2014/main" id="{4B307B67-B14E-BDAA-40B8-7B72CB243E96}"/>
            </a:ext>
          </a:extLst>
        </xdr:cNvPr>
        <xdr:cNvPicPr>
          <a:picLocks noChangeAspect="1"/>
        </xdr:cNvPicPr>
      </xdr:nvPicPr>
      <xdr:blipFill>
        <a:blip xmlns:r="http://schemas.openxmlformats.org/officeDocument/2006/relationships" r:embed="rId52"/>
        <a:stretch>
          <a:fillRect/>
        </a:stretch>
      </xdr:blipFill>
      <xdr:spPr>
        <a:xfrm>
          <a:off x="22517100" y="1266825"/>
          <a:ext cx="4454338" cy="6057900"/>
        </a:xfrm>
        <a:prstGeom prst="rect">
          <a:avLst/>
        </a:prstGeom>
      </xdr:spPr>
    </xdr:pic>
    <xdr:clientData/>
  </xdr:twoCellAnchor>
  <xdr:twoCellAnchor editAs="oneCell">
    <xdr:from>
      <xdr:col>11</xdr:col>
      <xdr:colOff>142874</xdr:colOff>
      <xdr:row>37</xdr:row>
      <xdr:rowOff>38099</xdr:rowOff>
    </xdr:from>
    <xdr:to>
      <xdr:col>11</xdr:col>
      <xdr:colOff>4435539</xdr:colOff>
      <xdr:row>69</xdr:row>
      <xdr:rowOff>76200</xdr:rowOff>
    </xdr:to>
    <xdr:pic>
      <xdr:nvPicPr>
        <xdr:cNvPr id="83" name="Picture 82">
          <a:extLst>
            <a:ext uri="{FF2B5EF4-FFF2-40B4-BE49-F238E27FC236}">
              <a16:creationId xmlns:a16="http://schemas.microsoft.com/office/drawing/2014/main" id="{FA59429B-A81A-269E-ABD6-02CB7BA1CF28}"/>
            </a:ext>
          </a:extLst>
        </xdr:cNvPr>
        <xdr:cNvPicPr>
          <a:picLocks noChangeAspect="1"/>
        </xdr:cNvPicPr>
      </xdr:nvPicPr>
      <xdr:blipFill>
        <a:blip xmlns:r="http://schemas.openxmlformats.org/officeDocument/2006/relationships" r:embed="rId53"/>
        <a:stretch>
          <a:fillRect/>
        </a:stretch>
      </xdr:blipFill>
      <xdr:spPr>
        <a:xfrm>
          <a:off x="22593299" y="7324724"/>
          <a:ext cx="4292665" cy="5829301"/>
        </a:xfrm>
        <a:prstGeom prst="rect">
          <a:avLst/>
        </a:prstGeom>
      </xdr:spPr>
    </xdr:pic>
    <xdr:clientData/>
  </xdr:twoCellAnchor>
  <xdr:twoCellAnchor editAs="oneCell">
    <xdr:from>
      <xdr:col>11</xdr:col>
      <xdr:colOff>180975</xdr:colOff>
      <xdr:row>68</xdr:row>
      <xdr:rowOff>104775</xdr:rowOff>
    </xdr:from>
    <xdr:to>
      <xdr:col>11</xdr:col>
      <xdr:colOff>4519332</xdr:colOff>
      <xdr:row>101</xdr:row>
      <xdr:rowOff>66675</xdr:rowOff>
    </xdr:to>
    <xdr:pic>
      <xdr:nvPicPr>
        <xdr:cNvPr id="84" name="Picture 83">
          <a:extLst>
            <a:ext uri="{FF2B5EF4-FFF2-40B4-BE49-F238E27FC236}">
              <a16:creationId xmlns:a16="http://schemas.microsoft.com/office/drawing/2014/main" id="{6A68C8BC-FE7B-E322-6425-317150211C5D}"/>
            </a:ext>
          </a:extLst>
        </xdr:cNvPr>
        <xdr:cNvPicPr>
          <a:picLocks noChangeAspect="1"/>
        </xdr:cNvPicPr>
      </xdr:nvPicPr>
      <xdr:blipFill>
        <a:blip xmlns:r="http://schemas.openxmlformats.org/officeDocument/2006/relationships" r:embed="rId54"/>
        <a:stretch>
          <a:fillRect/>
        </a:stretch>
      </xdr:blipFill>
      <xdr:spPr>
        <a:xfrm>
          <a:off x="22631400" y="13001625"/>
          <a:ext cx="4338357" cy="5934075"/>
        </a:xfrm>
        <a:prstGeom prst="rect">
          <a:avLst/>
        </a:prstGeom>
      </xdr:spPr>
    </xdr:pic>
    <xdr:clientData/>
  </xdr:twoCellAnchor>
  <xdr:twoCellAnchor editAs="oneCell">
    <xdr:from>
      <xdr:col>11</xdr:col>
      <xdr:colOff>209550</xdr:colOff>
      <xdr:row>100</xdr:row>
      <xdr:rowOff>47624</xdr:rowOff>
    </xdr:from>
    <xdr:to>
      <xdr:col>11</xdr:col>
      <xdr:colOff>4343400</xdr:colOff>
      <xdr:row>132</xdr:row>
      <xdr:rowOff>121887</xdr:rowOff>
    </xdr:to>
    <xdr:pic>
      <xdr:nvPicPr>
        <xdr:cNvPr id="85" name="Picture 84">
          <a:extLst>
            <a:ext uri="{FF2B5EF4-FFF2-40B4-BE49-F238E27FC236}">
              <a16:creationId xmlns:a16="http://schemas.microsoft.com/office/drawing/2014/main" id="{7326EBE4-5438-D9CD-26EC-2222229E0BC5}"/>
            </a:ext>
          </a:extLst>
        </xdr:cNvPr>
        <xdr:cNvPicPr>
          <a:picLocks noChangeAspect="1"/>
        </xdr:cNvPicPr>
      </xdr:nvPicPr>
      <xdr:blipFill>
        <a:blip xmlns:r="http://schemas.openxmlformats.org/officeDocument/2006/relationships" r:embed="rId55"/>
        <a:stretch>
          <a:fillRect/>
        </a:stretch>
      </xdr:blipFill>
      <xdr:spPr>
        <a:xfrm>
          <a:off x="22659975" y="18735674"/>
          <a:ext cx="4133850" cy="5865463"/>
        </a:xfrm>
        <a:prstGeom prst="rect">
          <a:avLst/>
        </a:prstGeom>
      </xdr:spPr>
    </xdr:pic>
    <xdr:clientData/>
  </xdr:twoCellAnchor>
  <xdr:twoCellAnchor editAs="oneCell">
    <xdr:from>
      <xdr:col>11</xdr:col>
      <xdr:colOff>200025</xdr:colOff>
      <xdr:row>132</xdr:row>
      <xdr:rowOff>28574</xdr:rowOff>
    </xdr:from>
    <xdr:to>
      <xdr:col>11</xdr:col>
      <xdr:colOff>4381500</xdr:colOff>
      <xdr:row>165</xdr:row>
      <xdr:rowOff>24136</xdr:rowOff>
    </xdr:to>
    <xdr:pic>
      <xdr:nvPicPr>
        <xdr:cNvPr id="86" name="Picture 85">
          <a:extLst>
            <a:ext uri="{FF2B5EF4-FFF2-40B4-BE49-F238E27FC236}">
              <a16:creationId xmlns:a16="http://schemas.microsoft.com/office/drawing/2014/main" id="{5814D927-A8C2-84E3-CDDB-79697262F648}"/>
            </a:ext>
          </a:extLst>
        </xdr:cNvPr>
        <xdr:cNvPicPr>
          <a:picLocks noChangeAspect="1"/>
        </xdr:cNvPicPr>
      </xdr:nvPicPr>
      <xdr:blipFill>
        <a:blip xmlns:r="http://schemas.openxmlformats.org/officeDocument/2006/relationships" r:embed="rId56"/>
        <a:stretch>
          <a:fillRect/>
        </a:stretch>
      </xdr:blipFill>
      <xdr:spPr>
        <a:xfrm>
          <a:off x="22650450" y="24507824"/>
          <a:ext cx="4181475" cy="5967737"/>
        </a:xfrm>
        <a:prstGeom prst="rect">
          <a:avLst/>
        </a:prstGeom>
      </xdr:spPr>
    </xdr:pic>
    <xdr:clientData/>
  </xdr:twoCellAnchor>
  <xdr:twoCellAnchor editAs="oneCell">
    <xdr:from>
      <xdr:col>13</xdr:col>
      <xdr:colOff>76200</xdr:colOff>
      <xdr:row>4</xdr:row>
      <xdr:rowOff>9525</xdr:rowOff>
    </xdr:from>
    <xdr:to>
      <xdr:col>13</xdr:col>
      <xdr:colOff>4576664</xdr:colOff>
      <xdr:row>37</xdr:row>
      <xdr:rowOff>66675</xdr:rowOff>
    </xdr:to>
    <xdr:pic>
      <xdr:nvPicPr>
        <xdr:cNvPr id="87" name="Picture 86">
          <a:extLst>
            <a:ext uri="{FF2B5EF4-FFF2-40B4-BE49-F238E27FC236}">
              <a16:creationId xmlns:a16="http://schemas.microsoft.com/office/drawing/2014/main" id="{26979D28-06F9-2C4D-EF52-459970ACAF9C}"/>
            </a:ext>
          </a:extLst>
        </xdr:cNvPr>
        <xdr:cNvPicPr>
          <a:picLocks noChangeAspect="1"/>
        </xdr:cNvPicPr>
      </xdr:nvPicPr>
      <xdr:blipFill>
        <a:blip xmlns:r="http://schemas.openxmlformats.org/officeDocument/2006/relationships" r:embed="rId57"/>
        <a:stretch>
          <a:fillRect/>
        </a:stretch>
      </xdr:blipFill>
      <xdr:spPr>
        <a:xfrm>
          <a:off x="27498675" y="1247775"/>
          <a:ext cx="4500464" cy="6105525"/>
        </a:xfrm>
        <a:prstGeom prst="rect">
          <a:avLst/>
        </a:prstGeom>
      </xdr:spPr>
    </xdr:pic>
    <xdr:clientData/>
  </xdr:twoCellAnchor>
  <xdr:twoCellAnchor editAs="oneCell">
    <xdr:from>
      <xdr:col>13</xdr:col>
      <xdr:colOff>142874</xdr:colOff>
      <xdr:row>36</xdr:row>
      <xdr:rowOff>66675</xdr:rowOff>
    </xdr:from>
    <xdr:to>
      <xdr:col>13</xdr:col>
      <xdr:colOff>4552949</xdr:colOff>
      <xdr:row>69</xdr:row>
      <xdr:rowOff>46059</xdr:rowOff>
    </xdr:to>
    <xdr:pic>
      <xdr:nvPicPr>
        <xdr:cNvPr id="88" name="Picture 87">
          <a:extLst>
            <a:ext uri="{FF2B5EF4-FFF2-40B4-BE49-F238E27FC236}">
              <a16:creationId xmlns:a16="http://schemas.microsoft.com/office/drawing/2014/main" id="{6C713967-33D0-7E80-F675-64AD35B605C6}"/>
            </a:ext>
          </a:extLst>
        </xdr:cNvPr>
        <xdr:cNvPicPr>
          <a:picLocks noChangeAspect="1"/>
        </xdr:cNvPicPr>
      </xdr:nvPicPr>
      <xdr:blipFill>
        <a:blip xmlns:r="http://schemas.openxmlformats.org/officeDocument/2006/relationships" r:embed="rId58"/>
        <a:stretch>
          <a:fillRect/>
        </a:stretch>
      </xdr:blipFill>
      <xdr:spPr>
        <a:xfrm>
          <a:off x="27565349" y="7172325"/>
          <a:ext cx="4410075" cy="5951559"/>
        </a:xfrm>
        <a:prstGeom prst="rect">
          <a:avLst/>
        </a:prstGeom>
      </xdr:spPr>
    </xdr:pic>
    <xdr:clientData/>
  </xdr:twoCellAnchor>
  <xdr:twoCellAnchor editAs="oneCell">
    <xdr:from>
      <xdr:col>13</xdr:col>
      <xdr:colOff>95250</xdr:colOff>
      <xdr:row>68</xdr:row>
      <xdr:rowOff>95250</xdr:rowOff>
    </xdr:from>
    <xdr:to>
      <xdr:col>13</xdr:col>
      <xdr:colOff>4495800</xdr:colOff>
      <xdr:row>102</xdr:row>
      <xdr:rowOff>42388</xdr:rowOff>
    </xdr:to>
    <xdr:pic>
      <xdr:nvPicPr>
        <xdr:cNvPr id="89" name="Picture 88">
          <a:extLst>
            <a:ext uri="{FF2B5EF4-FFF2-40B4-BE49-F238E27FC236}">
              <a16:creationId xmlns:a16="http://schemas.microsoft.com/office/drawing/2014/main" id="{FFC93722-F180-5F14-B43E-5CD28ECA4603}"/>
            </a:ext>
          </a:extLst>
        </xdr:cNvPr>
        <xdr:cNvPicPr>
          <a:picLocks noChangeAspect="1"/>
        </xdr:cNvPicPr>
      </xdr:nvPicPr>
      <xdr:blipFill>
        <a:blip xmlns:r="http://schemas.openxmlformats.org/officeDocument/2006/relationships" r:embed="rId59"/>
        <a:stretch>
          <a:fillRect/>
        </a:stretch>
      </xdr:blipFill>
      <xdr:spPr>
        <a:xfrm>
          <a:off x="27517725" y="12992100"/>
          <a:ext cx="4400550" cy="6100288"/>
        </a:xfrm>
        <a:prstGeom prst="rect">
          <a:avLst/>
        </a:prstGeom>
      </xdr:spPr>
    </xdr:pic>
    <xdr:clientData/>
  </xdr:twoCellAnchor>
  <xdr:twoCellAnchor editAs="oneCell">
    <xdr:from>
      <xdr:col>13</xdr:col>
      <xdr:colOff>85725</xdr:colOff>
      <xdr:row>102</xdr:row>
      <xdr:rowOff>19049</xdr:rowOff>
    </xdr:from>
    <xdr:to>
      <xdr:col>13</xdr:col>
      <xdr:colOff>4371975</xdr:colOff>
      <xdr:row>134</xdr:row>
      <xdr:rowOff>175908</xdr:rowOff>
    </xdr:to>
    <xdr:pic>
      <xdr:nvPicPr>
        <xdr:cNvPr id="90" name="Picture 89">
          <a:extLst>
            <a:ext uri="{FF2B5EF4-FFF2-40B4-BE49-F238E27FC236}">
              <a16:creationId xmlns:a16="http://schemas.microsoft.com/office/drawing/2014/main" id="{6B98DCBE-6FE1-A38A-640A-12719C601639}"/>
            </a:ext>
          </a:extLst>
        </xdr:cNvPr>
        <xdr:cNvPicPr>
          <a:picLocks noChangeAspect="1"/>
        </xdr:cNvPicPr>
      </xdr:nvPicPr>
      <xdr:blipFill>
        <a:blip xmlns:r="http://schemas.openxmlformats.org/officeDocument/2006/relationships" r:embed="rId60"/>
        <a:stretch>
          <a:fillRect/>
        </a:stretch>
      </xdr:blipFill>
      <xdr:spPr>
        <a:xfrm>
          <a:off x="27508200" y="19069049"/>
          <a:ext cx="4286250" cy="5948059"/>
        </a:xfrm>
        <a:prstGeom prst="rect">
          <a:avLst/>
        </a:prstGeom>
      </xdr:spPr>
    </xdr:pic>
    <xdr:clientData/>
  </xdr:twoCellAnchor>
  <xdr:twoCellAnchor editAs="oneCell">
    <xdr:from>
      <xdr:col>13</xdr:col>
      <xdr:colOff>133349</xdr:colOff>
      <xdr:row>134</xdr:row>
      <xdr:rowOff>76199</xdr:rowOff>
    </xdr:from>
    <xdr:to>
      <xdr:col>13</xdr:col>
      <xdr:colOff>4371974</xdr:colOff>
      <xdr:row>166</xdr:row>
      <xdr:rowOff>169788</xdr:rowOff>
    </xdr:to>
    <xdr:pic>
      <xdr:nvPicPr>
        <xdr:cNvPr id="91" name="Picture 90">
          <a:extLst>
            <a:ext uri="{FF2B5EF4-FFF2-40B4-BE49-F238E27FC236}">
              <a16:creationId xmlns:a16="http://schemas.microsoft.com/office/drawing/2014/main" id="{08574A82-2BA5-2FA7-B880-D4C177D581D4}"/>
            </a:ext>
          </a:extLst>
        </xdr:cNvPr>
        <xdr:cNvPicPr>
          <a:picLocks noChangeAspect="1"/>
        </xdr:cNvPicPr>
      </xdr:nvPicPr>
      <xdr:blipFill>
        <a:blip xmlns:r="http://schemas.openxmlformats.org/officeDocument/2006/relationships" r:embed="rId61"/>
        <a:stretch>
          <a:fillRect/>
        </a:stretch>
      </xdr:blipFill>
      <xdr:spPr>
        <a:xfrm>
          <a:off x="27555824" y="24917399"/>
          <a:ext cx="4238625" cy="5884789"/>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G69"/>
  <sheetViews>
    <sheetView showGridLines="0" zoomScale="115" zoomScaleNormal="115" workbookViewId="0">
      <selection activeCell="C13" sqref="C13"/>
    </sheetView>
  </sheetViews>
  <sheetFormatPr defaultColWidth="8.75" defaultRowHeight="14.25"/>
  <cols>
    <col min="1" max="1" width="35.125" style="1" customWidth="1"/>
    <col min="2" max="2" width="35.625" style="1" customWidth="1"/>
    <col min="3" max="3" width="58.25" style="1" customWidth="1"/>
    <col min="4" max="4" width="8.75" style="1" customWidth="1"/>
    <col min="5" max="5" width="17.75" style="1" customWidth="1"/>
    <col min="6" max="6" width="11.375" style="1" customWidth="1"/>
    <col min="7" max="7" width="9.375" style="1" customWidth="1"/>
    <col min="8" max="9" width="8.75" style="1" customWidth="1"/>
    <col min="10" max="10" width="17.25" style="1" customWidth="1"/>
    <col min="11" max="16384" width="8.75" style="1"/>
  </cols>
  <sheetData>
    <row r="1" spans="1:7">
      <c r="A1"/>
      <c r="B1" s="316" t="s">
        <v>0</v>
      </c>
      <c r="C1" s="316"/>
      <c r="D1"/>
      <c r="E1"/>
      <c r="F1"/>
      <c r="G1"/>
    </row>
    <row r="2" spans="1:7">
      <c r="A2"/>
      <c r="B2" s="316"/>
      <c r="C2" s="316"/>
      <c r="D2"/>
      <c r="E2"/>
      <c r="F2"/>
      <c r="G2"/>
    </row>
    <row r="3" spans="1:7">
      <c r="A3"/>
      <c r="B3" s="316"/>
      <c r="C3" s="316"/>
      <c r="D3"/>
      <c r="E3"/>
      <c r="F3"/>
      <c r="G3"/>
    </row>
    <row r="4" spans="1:7">
      <c r="A4"/>
      <c r="B4" s="316"/>
      <c r="C4" s="316"/>
      <c r="D4"/>
      <c r="E4"/>
      <c r="F4"/>
      <c r="G4"/>
    </row>
    <row r="5" spans="1:7">
      <c r="A5"/>
      <c r="B5" s="316"/>
      <c r="C5" s="316"/>
      <c r="D5"/>
      <c r="E5"/>
      <c r="F5"/>
      <c r="G5"/>
    </row>
    <row r="6" spans="1:7">
      <c r="A6" s="315"/>
      <c r="B6" s="315"/>
      <c r="C6" s="315"/>
      <c r="D6"/>
      <c r="E6"/>
      <c r="F6"/>
      <c r="G6"/>
    </row>
    <row r="7" spans="1:7" ht="42.6" customHeight="1">
      <c r="A7" s="320" t="s">
        <v>1</v>
      </c>
      <c r="B7" s="320"/>
      <c r="C7" s="320"/>
    </row>
    <row r="8" spans="1:7">
      <c r="A8" s="59"/>
      <c r="B8" s="59"/>
      <c r="C8" s="59"/>
    </row>
    <row r="9" spans="1:7" ht="20.25">
      <c r="A9" s="236" t="s">
        <v>2</v>
      </c>
      <c r="B9" s="71"/>
      <c r="C9" s="4"/>
    </row>
    <row r="10" spans="1:7">
      <c r="A10" s="317" t="s">
        <v>3</v>
      </c>
      <c r="B10" s="317"/>
      <c r="C10" s="5"/>
    </row>
    <row r="11" spans="1:7">
      <c r="A11" s="321" t="s">
        <v>4</v>
      </c>
      <c r="B11" s="321"/>
      <c r="C11" s="5"/>
    </row>
    <row r="12" spans="1:7" ht="15">
      <c r="A12" s="3"/>
      <c r="B12" s="3"/>
      <c r="C12" s="3"/>
    </row>
    <row r="13" spans="1:7" ht="20.25">
      <c r="A13" s="236" t="s">
        <v>5</v>
      </c>
      <c r="B13" s="237"/>
      <c r="C13" s="3"/>
    </row>
    <row r="14" spans="1:7" s="70" customFormat="1" ht="18" hidden="1">
      <c r="A14" s="238" t="s">
        <v>6</v>
      </c>
      <c r="B14" s="239"/>
      <c r="C14" s="240"/>
    </row>
    <row r="15" spans="1:7" hidden="1">
      <c r="A15" s="318" t="s">
        <v>7</v>
      </c>
      <c r="B15" s="318"/>
      <c r="C15" s="318"/>
    </row>
    <row r="16" spans="1:7" hidden="1">
      <c r="A16" s="241"/>
      <c r="B16" s="241"/>
      <c r="C16" s="241"/>
    </row>
    <row r="17" spans="1:3" s="70" customFormat="1" ht="18">
      <c r="A17" s="238" t="s">
        <v>8</v>
      </c>
      <c r="B17" s="239"/>
      <c r="C17" s="240"/>
    </row>
    <row r="18" spans="1:3">
      <c r="A18" s="319" t="s">
        <v>9</v>
      </c>
      <c r="B18" s="319"/>
      <c r="C18" s="319"/>
    </row>
    <row r="19" spans="1:3">
      <c r="A19" s="60"/>
      <c r="B19" s="60"/>
      <c r="C19" s="60"/>
    </row>
    <row r="20" spans="1:3" s="70" customFormat="1" ht="18">
      <c r="A20" s="238" t="s">
        <v>10</v>
      </c>
      <c r="B20" s="68"/>
      <c r="C20" s="69"/>
    </row>
    <row r="21" spans="1:3">
      <c r="A21" s="319" t="s">
        <v>11</v>
      </c>
      <c r="B21" s="319"/>
      <c r="C21" s="319"/>
    </row>
    <row r="22" spans="1:3">
      <c r="A22" s="60"/>
      <c r="B22" s="60"/>
      <c r="C22" s="60"/>
    </row>
    <row r="23" spans="1:3" ht="15" hidden="1">
      <c r="A23" s="238" t="s">
        <v>12</v>
      </c>
      <c r="B23" s="2"/>
      <c r="C23" s="60"/>
    </row>
    <row r="24" spans="1:3" hidden="1">
      <c r="A24" s="319" t="s">
        <v>13</v>
      </c>
      <c r="B24" s="319"/>
      <c r="C24" s="319"/>
    </row>
    <row r="25" spans="1:3" hidden="1">
      <c r="A25" s="60"/>
      <c r="B25" s="60"/>
      <c r="C25" s="60"/>
    </row>
    <row r="26" spans="1:3" ht="15" hidden="1">
      <c r="A26" s="238" t="s">
        <v>14</v>
      </c>
      <c r="B26" s="2"/>
      <c r="C26" s="60"/>
    </row>
    <row r="27" spans="1:3" hidden="1">
      <c r="A27" s="319" t="s">
        <v>15</v>
      </c>
      <c r="B27" s="319"/>
      <c r="C27" s="319"/>
    </row>
    <row r="28" spans="1:3" ht="15" hidden="1">
      <c r="A28" s="3"/>
      <c r="B28" s="3"/>
      <c r="C28" s="3"/>
    </row>
    <row r="29" spans="1:3" ht="20.25">
      <c r="A29" s="243" t="s">
        <v>16</v>
      </c>
      <c r="B29" s="244"/>
      <c r="C29" s="245"/>
    </row>
    <row r="30" spans="1:3" ht="14.25" customHeight="1">
      <c r="A30" s="246" t="s">
        <v>17</v>
      </c>
      <c r="B30" s="312" t="s">
        <v>18</v>
      </c>
      <c r="C30" s="314"/>
    </row>
    <row r="31" spans="1:3" ht="14.25" customHeight="1">
      <c r="A31" s="246" t="s">
        <v>19</v>
      </c>
      <c r="B31" s="312" t="s">
        <v>20</v>
      </c>
      <c r="C31" s="313"/>
    </row>
    <row r="32" spans="1:3" ht="14.25" customHeight="1">
      <c r="A32" s="246" t="s">
        <v>21</v>
      </c>
      <c r="B32" s="312" t="s">
        <v>22</v>
      </c>
      <c r="C32" s="314"/>
    </row>
    <row r="33" spans="1:3" ht="14.25" customHeight="1">
      <c r="A33" s="246" t="s">
        <v>23</v>
      </c>
      <c r="B33" s="312" t="s">
        <v>24</v>
      </c>
      <c r="C33" s="313"/>
    </row>
    <row r="34" spans="1:3" ht="14.25" customHeight="1">
      <c r="A34" s="246" t="s">
        <v>25</v>
      </c>
      <c r="B34" s="312" t="s">
        <v>26</v>
      </c>
      <c r="C34" s="313"/>
    </row>
    <row r="35" spans="1:3" ht="14.25" customHeight="1">
      <c r="A35" s="246" t="s">
        <v>27</v>
      </c>
      <c r="B35" s="312" t="s">
        <v>28</v>
      </c>
      <c r="C35" s="313"/>
    </row>
    <row r="36" spans="1:3" ht="14.25" customHeight="1">
      <c r="A36" s="246" t="s">
        <v>29</v>
      </c>
      <c r="B36" s="312" t="s">
        <v>30</v>
      </c>
      <c r="C36" s="313"/>
    </row>
    <row r="37" spans="1:3" ht="14.25" customHeight="1">
      <c r="A37" s="246" t="s">
        <v>31</v>
      </c>
      <c r="B37" s="312" t="s">
        <v>32</v>
      </c>
      <c r="C37" s="313"/>
    </row>
    <row r="38" spans="1:3" ht="14.25" customHeight="1">
      <c r="A38" s="246" t="s">
        <v>33</v>
      </c>
      <c r="B38" s="312" t="s">
        <v>34</v>
      </c>
      <c r="C38" s="313"/>
    </row>
    <row r="39" spans="1:3" ht="14.25" customHeight="1">
      <c r="A39" s="246" t="s">
        <v>35</v>
      </c>
      <c r="B39" s="312" t="s">
        <v>36</v>
      </c>
      <c r="C39" s="313"/>
    </row>
    <row r="40" spans="1:3" ht="14.25" customHeight="1">
      <c r="A40" s="246" t="s">
        <v>37</v>
      </c>
      <c r="B40" s="312" t="s">
        <v>38</v>
      </c>
      <c r="C40" s="313"/>
    </row>
    <row r="41" spans="1:3">
      <c r="A41" s="246" t="s">
        <v>39</v>
      </c>
      <c r="B41" s="247" t="s">
        <v>40</v>
      </c>
      <c r="C41" s="248"/>
    </row>
    <row r="42" spans="1:3" ht="14.25" customHeight="1">
      <c r="A42" s="246" t="s">
        <v>41</v>
      </c>
      <c r="B42" s="312" t="s">
        <v>42</v>
      </c>
      <c r="C42" s="313"/>
    </row>
    <row r="43" spans="1:3" ht="14.25" customHeight="1">
      <c r="A43" s="246" t="s">
        <v>43</v>
      </c>
      <c r="B43" s="312" t="s">
        <v>44</v>
      </c>
      <c r="C43" s="313"/>
    </row>
    <row r="44" spans="1:3" ht="14.25" customHeight="1">
      <c r="A44" s="246" t="s">
        <v>45</v>
      </c>
      <c r="B44" s="312" t="s">
        <v>46</v>
      </c>
      <c r="C44" s="313"/>
    </row>
    <row r="45" spans="1:3" ht="14.25" customHeight="1">
      <c r="A45" s="246" t="s">
        <v>47</v>
      </c>
      <c r="B45" s="312" t="s">
        <v>48</v>
      </c>
      <c r="C45" s="313"/>
    </row>
    <row r="46" spans="1:3" ht="14.25" customHeight="1">
      <c r="A46" s="246" t="s">
        <v>49</v>
      </c>
      <c r="B46" s="312" t="s">
        <v>50</v>
      </c>
      <c r="C46" s="313"/>
    </row>
    <row r="47" spans="1:3" ht="14.25" customHeight="1">
      <c r="A47" s="246" t="s">
        <v>51</v>
      </c>
      <c r="B47" s="312" t="s">
        <v>52</v>
      </c>
      <c r="C47" s="313"/>
    </row>
    <row r="48" spans="1:3" ht="14.25" customHeight="1">
      <c r="A48" s="246" t="s">
        <v>53</v>
      </c>
      <c r="B48" s="312" t="s">
        <v>54</v>
      </c>
      <c r="C48" s="313"/>
    </row>
    <row r="49" spans="1:3" ht="14.25" customHeight="1">
      <c r="A49" s="246" t="s">
        <v>55</v>
      </c>
      <c r="B49" s="312" t="s">
        <v>56</v>
      </c>
      <c r="C49" s="313"/>
    </row>
    <row r="50" spans="1:3" ht="14.25" customHeight="1">
      <c r="A50" s="246" t="s">
        <v>57</v>
      </c>
      <c r="B50" s="312" t="s">
        <v>58</v>
      </c>
      <c r="C50" s="313"/>
    </row>
    <row r="51" spans="1:3" ht="14.25" customHeight="1">
      <c r="A51" s="246" t="s">
        <v>59</v>
      </c>
      <c r="B51" s="312" t="s">
        <v>60</v>
      </c>
      <c r="C51" s="313"/>
    </row>
    <row r="52" spans="1:3">
      <c r="A52" s="246" t="s">
        <v>61</v>
      </c>
      <c r="B52" s="247" t="s">
        <v>62</v>
      </c>
      <c r="C52" s="248"/>
    </row>
    <row r="53" spans="1:3" ht="28.5">
      <c r="A53" s="246" t="s">
        <v>63</v>
      </c>
      <c r="B53" s="247" t="s">
        <v>64</v>
      </c>
      <c r="C53" s="248"/>
    </row>
    <row r="54" spans="1:3" ht="14.25" customHeight="1">
      <c r="A54" s="246" t="s">
        <v>65</v>
      </c>
      <c r="B54" s="312" t="s">
        <v>66</v>
      </c>
      <c r="C54" s="313"/>
    </row>
    <row r="55" spans="1:3" ht="14.25" customHeight="1">
      <c r="A55" s="246" t="s">
        <v>67</v>
      </c>
      <c r="B55" s="247" t="s">
        <v>68</v>
      </c>
      <c r="C55" s="248"/>
    </row>
    <row r="56" spans="1:3">
      <c r="A56" s="246" t="s">
        <v>69</v>
      </c>
      <c r="B56" s="247" t="s">
        <v>70</v>
      </c>
      <c r="C56" s="248"/>
    </row>
    <row r="57" spans="1:3" ht="14.25" customHeight="1">
      <c r="A57" s="246" t="s">
        <v>71</v>
      </c>
      <c r="B57" s="312" t="s">
        <v>72</v>
      </c>
      <c r="C57" s="313"/>
    </row>
    <row r="58" spans="1:3" ht="14.25" customHeight="1">
      <c r="A58" s="246" t="s">
        <v>73</v>
      </c>
      <c r="B58" s="312" t="s">
        <v>74</v>
      </c>
      <c r="C58" s="313"/>
    </row>
    <row r="59" spans="1:3" ht="14.25" customHeight="1">
      <c r="A59" s="246" t="s">
        <v>75</v>
      </c>
      <c r="B59" s="312" t="s">
        <v>76</v>
      </c>
      <c r="C59" s="313"/>
    </row>
    <row r="60" spans="1:3" ht="14.25" customHeight="1">
      <c r="A60" s="246" t="s">
        <v>77</v>
      </c>
      <c r="B60" s="312" t="s">
        <v>78</v>
      </c>
      <c r="C60" s="313"/>
    </row>
    <row r="61" spans="1:3" ht="14.25" customHeight="1">
      <c r="A61" s="246" t="s">
        <v>79</v>
      </c>
      <c r="B61" s="312" t="s">
        <v>80</v>
      </c>
      <c r="C61" s="314"/>
    </row>
    <row r="62" spans="1:3" ht="14.25" customHeight="1">
      <c r="A62" s="249"/>
      <c r="B62" s="249"/>
      <c r="C62" s="249"/>
    </row>
    <row r="63" spans="1:3" ht="14.25" customHeight="1">
      <c r="A63" s="243" t="s">
        <v>81</v>
      </c>
      <c r="B63" s="250"/>
      <c r="C63" s="249"/>
    </row>
    <row r="64" spans="1:3" ht="14.25" customHeight="1">
      <c r="A64" s="242" t="s">
        <v>82</v>
      </c>
      <c r="B64" s="310" t="s">
        <v>83</v>
      </c>
      <c r="C64" s="311"/>
    </row>
    <row r="65" spans="1:3" ht="14.25" customHeight="1">
      <c r="A65" s="242" t="s">
        <v>84</v>
      </c>
      <c r="B65" s="310" t="s">
        <v>83</v>
      </c>
      <c r="C65" s="311"/>
    </row>
    <row r="66" spans="1:3" ht="14.25" customHeight="1">
      <c r="A66" s="242" t="s">
        <v>85</v>
      </c>
      <c r="B66" s="310" t="s">
        <v>86</v>
      </c>
      <c r="C66" s="311"/>
    </row>
    <row r="67" spans="1:3" ht="14.25" customHeight="1">
      <c r="A67" s="242" t="s">
        <v>85</v>
      </c>
      <c r="B67" s="310" t="s">
        <v>87</v>
      </c>
      <c r="C67" s="311"/>
    </row>
    <row r="68" spans="1:3" ht="14.25" customHeight="1">
      <c r="A68" s="242" t="s">
        <v>88</v>
      </c>
      <c r="B68" s="310" t="s">
        <v>89</v>
      </c>
      <c r="C68" s="311"/>
    </row>
    <row r="69" spans="1:3">
      <c r="A69" s="251"/>
      <c r="B69" s="251"/>
      <c r="C69" s="251"/>
    </row>
  </sheetData>
  <sheetProtection algorithmName="SHA-512" hashValue="wlipKoE22Ln0PUBAX3hBAsbEOccr1L4v4i2K42DGQo1XT1vnqyVxHAF0jb4mLFUlsGWMkpD4HONzQWKSjcn6hA==" saltValue="dsBF5qS0JPdll/xLIQxiPQ==" spinCount="100000" sheet="1" objects="1" scenarios="1"/>
  <mergeCells count="42">
    <mergeCell ref="B54:C54"/>
    <mergeCell ref="A7:C7"/>
    <mergeCell ref="A11:B11"/>
    <mergeCell ref="B51:C51"/>
    <mergeCell ref="B49:C49"/>
    <mergeCell ref="B50:C50"/>
    <mergeCell ref="B33:C33"/>
    <mergeCell ref="B32:C32"/>
    <mergeCell ref="A6:C6"/>
    <mergeCell ref="B1:C5"/>
    <mergeCell ref="A10:B10"/>
    <mergeCell ref="A15:C15"/>
    <mergeCell ref="B31:C31"/>
    <mergeCell ref="B30:C30"/>
    <mergeCell ref="A18:C18"/>
    <mergeCell ref="A27:C27"/>
    <mergeCell ref="A21:C21"/>
    <mergeCell ref="A24:C24"/>
    <mergeCell ref="B58:C58"/>
    <mergeCell ref="B34:C34"/>
    <mergeCell ref="B35:C35"/>
    <mergeCell ref="B46:C46"/>
    <mergeCell ref="B47:C47"/>
    <mergeCell ref="B37:C37"/>
    <mergeCell ref="B38:C38"/>
    <mergeCell ref="B40:C40"/>
    <mergeCell ref="B42:C42"/>
    <mergeCell ref="B39:C39"/>
    <mergeCell ref="B43:C43"/>
    <mergeCell ref="B57:C57"/>
    <mergeCell ref="B44:C44"/>
    <mergeCell ref="B45:C45"/>
    <mergeCell ref="B36:C36"/>
    <mergeCell ref="B48:C48"/>
    <mergeCell ref="B67:C67"/>
    <mergeCell ref="B68:C68"/>
    <mergeCell ref="B64:C64"/>
    <mergeCell ref="B65:C65"/>
    <mergeCell ref="B59:C59"/>
    <mergeCell ref="B60:C60"/>
    <mergeCell ref="B66:C66"/>
    <mergeCell ref="B61:C6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sheetPr>
  <dimension ref="B2:AZ26"/>
  <sheetViews>
    <sheetView zoomScaleNormal="100" workbookViewId="0">
      <pane xSplit="2" ySplit="4" topLeftCell="C5" activePane="bottomRight" state="frozen"/>
      <selection pane="topRight" activeCell="C1" sqref="C1"/>
      <selection pane="bottomLeft" activeCell="A5" sqref="A5"/>
      <selection pane="bottomRight" activeCell="R3" sqref="R3"/>
    </sheetView>
  </sheetViews>
  <sheetFormatPr defaultColWidth="8.75" defaultRowHeight="14.25"/>
  <cols>
    <col min="1" max="1" width="2.875" style="1" customWidth="1"/>
    <col min="2" max="2" width="26.125" style="1" customWidth="1"/>
    <col min="3" max="3" width="4.625" style="64" customWidth="1"/>
    <col min="4" max="4" width="60.625" style="1" customWidth="1"/>
    <col min="5" max="5" width="4.625" style="64" customWidth="1"/>
    <col min="6" max="6" width="60.625" style="1" customWidth="1"/>
    <col min="7" max="7" width="4.625" style="64" customWidth="1"/>
    <col min="8" max="8" width="60.625" style="1" customWidth="1"/>
    <col min="9" max="9" width="4.625" style="64" customWidth="1"/>
    <col min="10" max="10" width="60.625" style="1" customWidth="1"/>
    <col min="11" max="11" width="4.625" style="64" customWidth="1"/>
    <col min="12" max="12" width="60.625" style="1" customWidth="1"/>
    <col min="13" max="13" width="4.625" style="64" customWidth="1"/>
    <col min="14" max="14" width="60.625" style="1" customWidth="1"/>
    <col min="15" max="15" width="4.625" style="64" customWidth="1"/>
    <col min="16" max="16" width="60.625" style="1" customWidth="1"/>
    <col min="17" max="17" width="4.625" style="64" customWidth="1"/>
    <col min="18" max="18" width="60.625" style="1" customWidth="1"/>
    <col min="19" max="19" width="4.625" style="64" customWidth="1"/>
    <col min="20" max="20" width="60.625" style="1" customWidth="1"/>
    <col min="21" max="21" width="4.625" style="64" customWidth="1"/>
    <col min="22" max="22" width="60.625" style="1" customWidth="1"/>
    <col min="23" max="23" width="4.625" style="64" customWidth="1"/>
    <col min="24" max="24" width="60.625" style="1" customWidth="1"/>
    <col min="25" max="25" width="4.625" style="64" customWidth="1"/>
    <col min="26" max="26" width="60.625" style="1" customWidth="1"/>
    <col min="27" max="27" width="4.625" style="64" customWidth="1"/>
    <col min="28" max="28" width="60.625" style="1" customWidth="1"/>
    <col min="29" max="29" width="4.625" style="64" customWidth="1"/>
    <col min="30" max="30" width="60.625" style="1" customWidth="1"/>
    <col min="31" max="31" width="4.625" style="64" customWidth="1"/>
    <col min="32" max="32" width="60.625" style="1" customWidth="1"/>
    <col min="33" max="33" width="8.75" style="64"/>
    <col min="34" max="34" width="60.625" style="1" customWidth="1"/>
    <col min="35" max="35" width="8.75" style="64"/>
    <col min="36" max="36" width="60.625" style="1" customWidth="1"/>
    <col min="37" max="37" width="8.75" style="64"/>
    <col min="38" max="38" width="60.625" style="1" customWidth="1"/>
    <col min="39" max="52" width="8.75" style="64"/>
    <col min="53" max="16384" width="8.75" style="1"/>
  </cols>
  <sheetData>
    <row r="2" spans="2:52" ht="34.5">
      <c r="B2" s="259" t="s">
        <v>90</v>
      </c>
      <c r="D2" s="261" t="s">
        <v>575</v>
      </c>
      <c r="E2" s="66"/>
      <c r="F2" s="261" t="s">
        <v>575</v>
      </c>
      <c r="H2" s="261" t="s">
        <v>575</v>
      </c>
      <c r="J2" s="261" t="s">
        <v>575</v>
      </c>
      <c r="L2" s="261" t="s">
        <v>575</v>
      </c>
      <c r="N2" s="61" t="s">
        <v>575</v>
      </c>
      <c r="P2" s="61" t="s">
        <v>575</v>
      </c>
      <c r="R2" s="61" t="s">
        <v>575</v>
      </c>
      <c r="T2" s="61" t="s">
        <v>575</v>
      </c>
      <c r="V2" s="61" t="s">
        <v>91</v>
      </c>
      <c r="X2" s="61" t="s">
        <v>575</v>
      </c>
      <c r="Z2" s="61" t="s">
        <v>575</v>
      </c>
      <c r="AB2" s="61" t="s">
        <v>575</v>
      </c>
      <c r="AD2" s="61" t="s">
        <v>575</v>
      </c>
      <c r="AF2" s="61" t="s">
        <v>575</v>
      </c>
      <c r="AH2" s="61" t="s">
        <v>575</v>
      </c>
      <c r="AJ2" s="61" t="s">
        <v>575</v>
      </c>
      <c r="AL2" s="61" t="s">
        <v>575</v>
      </c>
    </row>
    <row r="3" spans="2:52">
      <c r="D3" s="262"/>
      <c r="F3" s="262"/>
      <c r="H3" s="262"/>
      <c r="J3" s="262"/>
      <c r="L3" s="262"/>
    </row>
    <row r="4" spans="2:52" s="63" customFormat="1" ht="34.5" customHeight="1">
      <c r="B4" s="260" t="s">
        <v>92</v>
      </c>
      <c r="C4" s="65"/>
      <c r="D4" s="263" t="s">
        <v>93</v>
      </c>
      <c r="E4" s="67"/>
      <c r="F4" s="263" t="s">
        <v>571</v>
      </c>
      <c r="G4" s="65"/>
      <c r="H4" s="263" t="s">
        <v>95</v>
      </c>
      <c r="I4" s="65"/>
      <c r="J4" s="263" t="s">
        <v>96</v>
      </c>
      <c r="K4" s="65"/>
      <c r="L4" s="263" t="s">
        <v>97</v>
      </c>
      <c r="M4" s="65"/>
      <c r="N4" s="62" t="s">
        <v>98</v>
      </c>
      <c r="O4" s="65"/>
      <c r="P4" s="62" t="s">
        <v>99</v>
      </c>
      <c r="Q4" s="65"/>
      <c r="R4" s="62" t="s">
        <v>100</v>
      </c>
      <c r="S4" s="65"/>
      <c r="T4" s="62" t="s">
        <v>101</v>
      </c>
      <c r="U4" s="65"/>
      <c r="V4" s="62" t="s">
        <v>102</v>
      </c>
      <c r="W4" s="65"/>
      <c r="X4" s="62" t="s">
        <v>103</v>
      </c>
      <c r="Y4" s="65"/>
      <c r="Z4" s="62" t="s">
        <v>104</v>
      </c>
      <c r="AA4" s="65"/>
      <c r="AB4" s="62" t="s">
        <v>105</v>
      </c>
      <c r="AC4" s="65"/>
      <c r="AD4" s="62" t="s">
        <v>106</v>
      </c>
      <c r="AE4" s="65"/>
      <c r="AF4" s="62" t="s">
        <v>107</v>
      </c>
      <c r="AG4" s="65"/>
      <c r="AH4" s="62" t="s">
        <v>108</v>
      </c>
      <c r="AI4" s="65"/>
      <c r="AJ4" s="62" t="s">
        <v>109</v>
      </c>
      <c r="AK4" s="65"/>
      <c r="AL4" s="62" t="s">
        <v>110</v>
      </c>
      <c r="AM4" s="65"/>
      <c r="AN4" s="65"/>
      <c r="AO4" s="65"/>
      <c r="AP4" s="65"/>
      <c r="AQ4" s="65"/>
      <c r="AR4" s="65"/>
      <c r="AS4" s="65"/>
      <c r="AT4" s="65"/>
      <c r="AU4" s="65"/>
      <c r="AV4" s="65"/>
      <c r="AW4" s="65"/>
      <c r="AX4" s="65"/>
      <c r="AY4" s="65"/>
      <c r="AZ4" s="65"/>
    </row>
    <row r="5" spans="2:52">
      <c r="B5" s="54" t="s">
        <v>93</v>
      </c>
    </row>
    <row r="6" spans="2:52">
      <c r="B6" s="54" t="s">
        <v>238</v>
      </c>
    </row>
    <row r="7" spans="2:52">
      <c r="B7" s="54" t="s">
        <v>95</v>
      </c>
    </row>
    <row r="8" spans="2:52">
      <c r="B8" s="54" t="s">
        <v>96</v>
      </c>
    </row>
    <row r="9" spans="2:52">
      <c r="B9" s="54" t="s">
        <v>97</v>
      </c>
    </row>
    <row r="10" spans="2:52">
      <c r="B10" s="54" t="s">
        <v>98</v>
      </c>
    </row>
    <row r="11" spans="2:52">
      <c r="B11" t="s">
        <v>99</v>
      </c>
    </row>
    <row r="12" spans="2:52">
      <c r="B12" s="54" t="s">
        <v>100</v>
      </c>
    </row>
    <row r="13" spans="2:52">
      <c r="B13" s="54" t="s">
        <v>101</v>
      </c>
    </row>
    <row r="14" spans="2:52">
      <c r="B14" s="54" t="s">
        <v>102</v>
      </c>
    </row>
    <row r="15" spans="2:52">
      <c r="B15" s="54" t="s">
        <v>103</v>
      </c>
    </row>
    <row r="16" spans="2:52">
      <c r="B16" s="54" t="s">
        <v>105</v>
      </c>
    </row>
    <row r="17" spans="2:2">
      <c r="B17" s="54" t="s">
        <v>106</v>
      </c>
    </row>
    <row r="18" spans="2:2">
      <c r="B18" s="54" t="s">
        <v>107</v>
      </c>
    </row>
    <row r="24" spans="2:2" ht="20.25">
      <c r="B24" s="62" t="s">
        <v>92</v>
      </c>
    </row>
    <row r="25" spans="2:2">
      <c r="B25" s="1" t="s">
        <v>570</v>
      </c>
    </row>
    <row r="26" spans="2:2">
      <c r="B26" s="1" t="s">
        <v>111</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99493-9BBF-42F7-93BE-E0D0C8F49E90}">
  <sheetPr codeName="Sheet3">
    <tabColor rgb="FF005CB8"/>
  </sheetPr>
  <dimension ref="B2:M27"/>
  <sheetViews>
    <sheetView tabSelected="1" zoomScale="115" zoomScaleNormal="115" workbookViewId="0">
      <selection activeCell="C5" sqref="C5"/>
    </sheetView>
  </sheetViews>
  <sheetFormatPr defaultColWidth="9" defaultRowHeight="14.25"/>
  <cols>
    <col min="1" max="1" width="3" style="207" customWidth="1"/>
    <col min="2" max="2" width="29.875" style="207" customWidth="1"/>
    <col min="3" max="3" width="41.75" style="207" customWidth="1"/>
    <col min="4" max="4" width="5.25" style="207" customWidth="1"/>
    <col min="5" max="5" width="21.625" style="207" customWidth="1"/>
    <col min="6" max="6" width="18.875" style="207" customWidth="1"/>
    <col min="7" max="8" width="20.625" style="207" customWidth="1"/>
    <col min="9" max="10" width="15.75" style="207" customWidth="1"/>
    <col min="11" max="11" width="20.625" style="207" hidden="1" customWidth="1"/>
    <col min="12" max="12" width="18.625" style="207" customWidth="1"/>
    <col min="13" max="13" width="9" style="207" hidden="1" customWidth="1"/>
    <col min="14" max="16384" width="9" style="207"/>
  </cols>
  <sheetData>
    <row r="2" spans="2:13" s="231" customFormat="1" ht="12">
      <c r="I2" s="232" t="str">
        <f>Calculator!K1</f>
        <v>Version:</v>
      </c>
      <c r="J2" s="271">
        <f>'Version Log'!J2</f>
        <v>6.03</v>
      </c>
    </row>
    <row r="3" spans="2:13" s="231" customFormat="1" ht="12">
      <c r="I3" s="232" t="str">
        <f>Calculator!K2</f>
        <v>Last Updated:</v>
      </c>
      <c r="J3" s="209">
        <f>'Version Log'!J3</f>
        <v>45463</v>
      </c>
    </row>
    <row r="4" spans="2:13" ht="15" thickBot="1">
      <c r="E4" s="231"/>
      <c r="F4" s="231"/>
      <c r="G4" s="268"/>
      <c r="H4" s="231"/>
      <c r="I4" s="231"/>
      <c r="J4" s="233"/>
      <c r="K4" s="233"/>
      <c r="L4" s="234"/>
    </row>
    <row r="5" spans="2:13" s="235" customFormat="1" ht="24.95" customHeight="1">
      <c r="B5" s="265" t="s">
        <v>112</v>
      </c>
      <c r="C5" s="169"/>
      <c r="E5" s="335" t="s">
        <v>582</v>
      </c>
      <c r="F5" s="326" t="s">
        <v>581</v>
      </c>
      <c r="G5" s="335" t="s">
        <v>572</v>
      </c>
      <c r="H5" s="333" t="s">
        <v>573</v>
      </c>
      <c r="I5" s="339" t="s">
        <v>114</v>
      </c>
      <c r="J5" s="337" t="s">
        <v>574</v>
      </c>
      <c r="L5" s="233"/>
      <c r="M5" s="234"/>
    </row>
    <row r="6" spans="2:13" s="235" customFormat="1" ht="24.75" customHeight="1">
      <c r="B6" s="266" t="s">
        <v>63</v>
      </c>
      <c r="C6" s="170"/>
      <c r="E6" s="336"/>
      <c r="F6" s="327"/>
      <c r="G6" s="336"/>
      <c r="H6" s="334"/>
      <c r="I6" s="340"/>
      <c r="J6" s="338"/>
    </row>
    <row r="7" spans="2:13" s="235" customFormat="1" ht="24.95" customHeight="1" thickBot="1">
      <c r="B7" s="266" t="s">
        <v>61</v>
      </c>
      <c r="C7" s="170"/>
      <c r="E7" s="280">
        <f>IFERROR(SUM(F7,C13),"")</f>
        <v>0</v>
      </c>
      <c r="F7" s="280">
        <f>IFERROR(MIN(SUM(K11:K23),0.5*C10),"")</f>
        <v>0</v>
      </c>
      <c r="G7" s="280">
        <f>SUM(G11:G23)</f>
        <v>0</v>
      </c>
      <c r="H7" s="281">
        <f>SUM(H11:H23)</f>
        <v>0</v>
      </c>
      <c r="I7" s="282">
        <f>SUM(I11:I23)</f>
        <v>0</v>
      </c>
      <c r="J7" s="283">
        <f>SUM(J11:J23)</f>
        <v>0</v>
      </c>
    </row>
    <row r="8" spans="2:13" s="235" customFormat="1" ht="24.95" customHeight="1" thickBot="1">
      <c r="B8" s="266" t="s">
        <v>69</v>
      </c>
      <c r="C8" s="170"/>
      <c r="E8" s="207"/>
      <c r="F8" s="207"/>
      <c r="G8" s="207"/>
      <c r="H8" s="207"/>
      <c r="I8" s="207"/>
      <c r="J8" s="207"/>
      <c r="K8" s="207"/>
      <c r="L8" s="207"/>
    </row>
    <row r="9" spans="2:13" s="235" customFormat="1" ht="24.95" customHeight="1">
      <c r="B9" s="266" t="s">
        <v>31</v>
      </c>
      <c r="C9" s="170"/>
      <c r="E9" s="341" t="s">
        <v>116</v>
      </c>
      <c r="F9" s="342"/>
      <c r="G9" s="330" t="s">
        <v>45</v>
      </c>
      <c r="H9" s="332" t="s">
        <v>117</v>
      </c>
      <c r="I9" s="332"/>
      <c r="J9" s="328"/>
      <c r="K9" s="328" t="s">
        <v>118</v>
      </c>
      <c r="M9" s="306" t="s">
        <v>584</v>
      </c>
    </row>
    <row r="10" spans="2:13" s="235" customFormat="1" ht="24.95" customHeight="1" thickBot="1">
      <c r="B10" s="267" t="s">
        <v>576</v>
      </c>
      <c r="C10" s="286"/>
      <c r="E10" s="343"/>
      <c r="F10" s="344"/>
      <c r="G10" s="331"/>
      <c r="H10" s="264" t="s">
        <v>82</v>
      </c>
      <c r="I10" s="258" t="s">
        <v>84</v>
      </c>
      <c r="J10" s="257" t="s">
        <v>85</v>
      </c>
      <c r="K10" s="329"/>
      <c r="M10" s="306" t="s">
        <v>585</v>
      </c>
    </row>
    <row r="11" spans="2:13" s="235" customFormat="1" ht="24.95" customHeight="1" thickBot="1">
      <c r="B11" s="307" t="s">
        <v>588</v>
      </c>
      <c r="E11" s="322" t="str">
        <f>Calculator!B5</f>
        <v>Anti-Sweat Heater Control</v>
      </c>
      <c r="F11" s="323"/>
      <c r="G11" s="272">
        <f>SUM(Calculator!J8:J11)</f>
        <v>0</v>
      </c>
      <c r="H11" s="273">
        <f>IFERROR(Calculator!D12,"")</f>
        <v>0</v>
      </c>
      <c r="I11" s="274">
        <f>IFERROR(Calculator!B12,"")</f>
        <v>0</v>
      </c>
      <c r="J11" s="275">
        <f>IFERROR(Calculator!C12,"")</f>
        <v>0</v>
      </c>
      <c r="K11" s="174">
        <f>IF(I11="Enter Cost",I11,SUM(Calculations!M17:M20))</f>
        <v>0</v>
      </c>
      <c r="M11" s="306" t="s">
        <v>586</v>
      </c>
    </row>
    <row r="12" spans="2:13" s="235" customFormat="1" ht="24.95" customHeight="1">
      <c r="B12" s="265" t="s">
        <v>583</v>
      </c>
      <c r="C12" s="169"/>
      <c r="E12" s="322" t="str">
        <f>Calculator!B14</f>
        <v>Refrigerated Case Cover</v>
      </c>
      <c r="F12" s="323"/>
      <c r="G12" s="272">
        <f>SUM(Calculator!I17:I20)</f>
        <v>0</v>
      </c>
      <c r="H12" s="273">
        <f>IFERROR(Calculator!D21,"")</f>
        <v>0</v>
      </c>
      <c r="I12" s="274">
        <f>IFERROR(Calculator!B21,"")</f>
        <v>0</v>
      </c>
      <c r="J12" s="275">
        <f>IFERROR(Calculator!C21,"")</f>
        <v>0</v>
      </c>
      <c r="K12" s="174">
        <f>IF(I12="Enter Cost",I12,SUM(Calculations!G28:G31))</f>
        <v>0</v>
      </c>
      <c r="M12" s="306" t="s">
        <v>587</v>
      </c>
    </row>
    <row r="13" spans="2:13" s="235" customFormat="1" ht="24.95" customHeight="1" thickBot="1">
      <c r="B13" s="267" t="s">
        <v>580</v>
      </c>
      <c r="C13" s="393">
        <f>IF(COUNTIF(M9:M11,C12)&gt;0,F7*0.1,0)</f>
        <v>0</v>
      </c>
      <c r="E13" s="322" t="str">
        <f>Calculator!B23</f>
        <v>Strip Curtains for Walk-In Coolers and Freezers</v>
      </c>
      <c r="F13" s="323"/>
      <c r="G13" s="272">
        <f>SUM(Calculator!K26:K33)</f>
        <v>0</v>
      </c>
      <c r="H13" s="273">
        <f>IFERROR(Calculator!D34,"")</f>
        <v>0</v>
      </c>
      <c r="I13" s="274">
        <f>IFERROR(Calculator!B34,"")</f>
        <v>0</v>
      </c>
      <c r="J13" s="275">
        <f>IFERROR(Calculator!C34,"")</f>
        <v>0</v>
      </c>
      <c r="K13" s="174">
        <f>IF(I13="Enter Cost",I13,SUM(Calculations!K54:K61))</f>
        <v>0</v>
      </c>
    </row>
    <row r="14" spans="2:13" s="235" customFormat="1" ht="24.95" customHeight="1">
      <c r="E14" s="322" t="str">
        <f>Calculator!B36</f>
        <v>Energy Star Commercial Fryers</v>
      </c>
      <c r="F14" s="323"/>
      <c r="G14" s="272">
        <f>SUM(Calculator!I39:I40)</f>
        <v>0</v>
      </c>
      <c r="H14" s="273">
        <f>IFERROR(Calculator!D41,"")</f>
        <v>0</v>
      </c>
      <c r="I14" s="274">
        <f>IFERROR(Calculator!B41,"")</f>
        <v>0</v>
      </c>
      <c r="J14" s="275">
        <f>IFERROR(Calculator!C41,"")</f>
        <v>0</v>
      </c>
      <c r="K14" s="174">
        <f>IF(I14="Enter Cost",I14,SUM(Calculations!S77:S78))</f>
        <v>0</v>
      </c>
    </row>
    <row r="15" spans="2:13" s="235" customFormat="1" ht="24.95" customHeight="1">
      <c r="E15" s="322" t="str">
        <f>Calculator!B43</f>
        <v>Energy Star Commercial Griddle</v>
      </c>
      <c r="F15" s="323"/>
      <c r="G15" s="272">
        <f>SUM(Calculator!J46:J47)</f>
        <v>0</v>
      </c>
      <c r="H15" s="273">
        <f>IFERROR(Calculator!D48,"")</f>
        <v>0</v>
      </c>
      <c r="I15" s="274">
        <f>IFERROR(Calculator!B48,"")</f>
        <v>0</v>
      </c>
      <c r="J15" s="275">
        <f>IFERROR(Calculator!C48,"")</f>
        <v>0</v>
      </c>
      <c r="K15" s="174">
        <f>IF(I15="Enter Cost",I15,SUM(Calculations!T94:T95))</f>
        <v>0</v>
      </c>
    </row>
    <row r="16" spans="2:13" s="235" customFormat="1" ht="24.95" customHeight="1">
      <c r="E16" s="322" t="str">
        <f>Calculator!B50</f>
        <v>Ice Machine</v>
      </c>
      <c r="F16" s="323"/>
      <c r="G16" s="272">
        <f>SUM(Calculator!O54:O57)</f>
        <v>0</v>
      </c>
      <c r="H16" s="273">
        <f>IFERROR(Calculator!D58,"")</f>
        <v>0</v>
      </c>
      <c r="I16" s="274">
        <f>IFERROR(Calculator!B58,"")</f>
        <v>0</v>
      </c>
      <c r="J16" s="275">
        <f>IFERROR(Calculator!C58,"")</f>
        <v>0</v>
      </c>
      <c r="K16" s="174">
        <f>IF(I16="Enter Cost",I16,SUM(Calculations!Y132:Y135))</f>
        <v>0</v>
      </c>
    </row>
    <row r="17" spans="2:11" s="235" customFormat="1" ht="24.95" customHeight="1">
      <c r="E17" s="322" t="str">
        <f>Calculator!B60</f>
        <v>Commercial Convection Oven</v>
      </c>
      <c r="F17" s="323"/>
      <c r="G17" s="272">
        <f>SUM(Calculator!J63:J64)</f>
        <v>0</v>
      </c>
      <c r="H17" s="273">
        <f>IFERROR(Calculator!D65,"")</f>
        <v>0</v>
      </c>
      <c r="I17" s="274">
        <f>IFERROR(Calculator!B65,"")</f>
        <v>0</v>
      </c>
      <c r="J17" s="275">
        <f>IFERROR(Calculator!C65,"")</f>
        <v>0</v>
      </c>
      <c r="K17" s="174">
        <f>IF(I17="Enter Cost",I17,SUM(Calculations!S151:S152))</f>
        <v>0</v>
      </c>
    </row>
    <row r="18" spans="2:11" s="235" customFormat="1" ht="24.95" customHeight="1">
      <c r="E18" s="322" t="str">
        <f>Calculator!B67</f>
        <v>Commercial Combination Oven</v>
      </c>
      <c r="F18" s="323"/>
      <c r="G18" s="272">
        <f>SUM(Calculator!J70:J73)</f>
        <v>0</v>
      </c>
      <c r="H18" s="273">
        <f>IFERROR(Calculator!D74,"")</f>
        <v>0</v>
      </c>
      <c r="I18" s="274">
        <f>IFERROR(Calculator!B74,"")</f>
        <v>0</v>
      </c>
      <c r="J18" s="275">
        <f>IFERROR(Calculator!C74,"")</f>
        <v>0</v>
      </c>
      <c r="K18" s="174">
        <f>IF(I18="Enter Cost",I18,SUM(Calculations!AD173:AD176))</f>
        <v>0</v>
      </c>
    </row>
    <row r="19" spans="2:11" s="235" customFormat="1" ht="24.95" customHeight="1">
      <c r="E19" s="322" t="str">
        <f>Calculator!B76</f>
        <v>Commercial Steam Cooker</v>
      </c>
      <c r="F19" s="323"/>
      <c r="G19" s="272">
        <f>SUM(Calculator!J79:J82)</f>
        <v>0</v>
      </c>
      <c r="H19" s="273">
        <f>IFERROR(Calculator!D83,"")</f>
        <v>0</v>
      </c>
      <c r="I19" s="274">
        <f>IFERROR(Calculator!B83,"")</f>
        <v>0</v>
      </c>
      <c r="J19" s="275">
        <f>IFERROR(Calculator!C83,"")</f>
        <v>0</v>
      </c>
      <c r="K19" s="174">
        <f>IF(I19="Enter Cost",I19,SUM(Calculations!AB204:AB207))</f>
        <v>0</v>
      </c>
    </row>
    <row r="20" spans="2:11" s="235" customFormat="1" ht="24.95" customHeight="1">
      <c r="E20" s="322" t="str">
        <f>Calculator!B92</f>
        <v>Beverage Vending Machine Controls</v>
      </c>
      <c r="F20" s="323"/>
      <c r="G20" s="272">
        <f>SUM(Calculator!I95:I99)</f>
        <v>0</v>
      </c>
      <c r="H20" s="273">
        <f>IFERROR(Calculator!D100,"")</f>
        <v>0</v>
      </c>
      <c r="I20" s="274">
        <f>IFERROR(Calculator!B100,"")</f>
        <v>0</v>
      </c>
      <c r="J20" s="275">
        <f>IFERROR(Calculator!C100,"")</f>
        <v>0</v>
      </c>
      <c r="K20" s="174">
        <f>IF(I20="Enter Cost",I20,SUM(Calculations!D238:D242))</f>
        <v>0</v>
      </c>
    </row>
    <row r="21" spans="2:11" ht="24.95" customHeight="1">
      <c r="B21" s="235"/>
      <c r="C21" s="235"/>
      <c r="E21" s="322" t="s">
        <v>105</v>
      </c>
      <c r="F21" s="323"/>
      <c r="G21" s="272">
        <f>SUM(Calculator!N105:N112)</f>
        <v>0</v>
      </c>
      <c r="H21" s="273">
        <f>IFERROR(Calculator!D113,"")</f>
        <v>0</v>
      </c>
      <c r="I21" s="274">
        <f>IFERROR(Calculator!B113,"")</f>
        <v>0</v>
      </c>
      <c r="J21" s="275">
        <f>IFERROR(Calculator!C113,"")</f>
        <v>0</v>
      </c>
      <c r="K21" s="174">
        <f>IF(I21="Enter Cost",I21,SUM(Calculations!R288:R295))</f>
        <v>0</v>
      </c>
    </row>
    <row r="22" spans="2:11" ht="24.95" customHeight="1">
      <c r="B22" s="235"/>
      <c r="C22" s="235"/>
      <c r="E22" s="322" t="str">
        <f>Calculations!B297</f>
        <v>Hot Food Holding Cabinet</v>
      </c>
      <c r="F22" s="323"/>
      <c r="G22" s="272">
        <f>SUM(Calculator!I118:I120)</f>
        <v>0</v>
      </c>
      <c r="H22" s="273">
        <f>IFERROR(Calculator!D121,"")</f>
        <v>0</v>
      </c>
      <c r="I22" s="274">
        <f>IFERROR(Calculator!B121,"")</f>
        <v>0</v>
      </c>
      <c r="J22" s="275">
        <f>IFERROR(Calculator!C121,"")</f>
        <v>0</v>
      </c>
      <c r="K22" s="174">
        <f>IF(I22="Enter Cost",I22,SUM(Calculations!K310:K312))</f>
        <v>0</v>
      </c>
    </row>
    <row r="23" spans="2:11" ht="24.95" customHeight="1" thickBot="1">
      <c r="E23" s="324" t="s">
        <v>107</v>
      </c>
      <c r="F23" s="325"/>
      <c r="G23" s="276">
        <f>SUM(Calculator!L126:L130)</f>
        <v>0</v>
      </c>
      <c r="H23" s="277">
        <f>IFERROR(Calculator!D131,"")</f>
        <v>0</v>
      </c>
      <c r="I23" s="278">
        <f>IFERROR(Calculator!B131,"")</f>
        <v>0</v>
      </c>
      <c r="J23" s="279">
        <f>IFERROR(Calculator!C131,"")</f>
        <v>0</v>
      </c>
      <c r="K23" s="175">
        <f>IF(I23="Enter Cost",I23,Calculations!L369)</f>
        <v>0</v>
      </c>
    </row>
    <row r="24" spans="2:11" ht="24.95" customHeight="1"/>
    <row r="25" spans="2:11" ht="24.95" customHeight="1"/>
    <row r="26" spans="2:11" ht="24.95" customHeight="1"/>
    <row r="27" spans="2:11" ht="24.95" customHeight="1"/>
  </sheetData>
  <sheetProtection algorithmName="SHA-512" hashValue="tP4pQcIluqvjM5E0xJhNYnoqQSHElfEgG3t69zzFkyWevgXGbk0nF4LXj7BQKNtW9i72YE287ff7IhP7XGYTGQ==" saltValue="mZQeQglrGvhKlxqPKOMZrQ==" spinCount="100000" sheet="1" objects="1" scenarios="1"/>
  <protectedRanges>
    <protectedRange sqref="C5:C10 C12" name="Range1"/>
  </protectedRanges>
  <dataConsolidate/>
  <mergeCells count="23">
    <mergeCell ref="K9:K10"/>
    <mergeCell ref="G9:G10"/>
    <mergeCell ref="H9:J9"/>
    <mergeCell ref="H5:H6"/>
    <mergeCell ref="E5:E6"/>
    <mergeCell ref="J5:J6"/>
    <mergeCell ref="I5:I6"/>
    <mergeCell ref="G5:G6"/>
    <mergeCell ref="E9:F10"/>
    <mergeCell ref="E21:F21"/>
    <mergeCell ref="E22:F22"/>
    <mergeCell ref="E23:F23"/>
    <mergeCell ref="F5:F6"/>
    <mergeCell ref="E16:F16"/>
    <mergeCell ref="E17:F17"/>
    <mergeCell ref="E18:F18"/>
    <mergeCell ref="E19:F19"/>
    <mergeCell ref="E20:F20"/>
    <mergeCell ref="E11:F11"/>
    <mergeCell ref="E12:F12"/>
    <mergeCell ref="E13:F13"/>
    <mergeCell ref="E14:F14"/>
    <mergeCell ref="E15:F15"/>
  </mergeCells>
  <dataValidations count="1">
    <dataValidation type="list" allowBlank="1" showInputMessage="1" showErrorMessage="1" sqref="C12" xr:uid="{20A11A1D-E9E1-4854-AB88-DA0ED14558EA}">
      <formula1>$M$8:$M$12</formula1>
    </dataValidation>
  </dataValidations>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6DAC6028-1637-48F3-B990-728C9CEC8546}">
          <x14:formula1>
            <xm:f>ETDF!$A$4:$A$18</xm:f>
          </x14:formula1>
          <xm:sqref>C9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5CB8"/>
  </sheetPr>
  <dimension ref="B1:CE132"/>
  <sheetViews>
    <sheetView zoomScaleNormal="100" workbookViewId="0">
      <selection activeCell="E126" sqref="E126:L126"/>
    </sheetView>
  </sheetViews>
  <sheetFormatPr defaultColWidth="8.75" defaultRowHeight="14.25"/>
  <cols>
    <col min="1" max="1" width="3.625" style="207" customWidth="1"/>
    <col min="2" max="2" width="26.75" style="218" customWidth="1"/>
    <col min="3" max="3" width="26.75" style="218" hidden="1" customWidth="1"/>
    <col min="4" max="6" width="18.125" style="219" customWidth="1"/>
    <col min="7" max="7" width="18.25" style="207" customWidth="1"/>
    <col min="8" max="8" width="26.125" style="207" customWidth="1"/>
    <col min="9" max="9" width="21.375" style="207" customWidth="1"/>
    <col min="10" max="10" width="23.875" style="207" bestFit="1" customWidth="1"/>
    <col min="11" max="11" width="26" style="207" customWidth="1"/>
    <col min="12" max="12" width="18.125" style="207" bestFit="1" customWidth="1"/>
    <col min="13" max="13" width="19" style="207" customWidth="1"/>
    <col min="14" max="14" width="19.125" style="207" customWidth="1"/>
    <col min="15" max="15" width="15.625" style="207" customWidth="1"/>
    <col min="16" max="16384" width="8.75" style="207"/>
  </cols>
  <sheetData>
    <row r="1" spans="2:12">
      <c r="B1" s="350" t="s">
        <v>10</v>
      </c>
      <c r="C1" s="350"/>
      <c r="D1" s="350"/>
      <c r="E1" s="350"/>
      <c r="F1" s="350"/>
      <c r="G1" s="350"/>
      <c r="K1" s="208" t="s">
        <v>119</v>
      </c>
      <c r="L1" s="271">
        <f>'Version Log'!J2</f>
        <v>6.03</v>
      </c>
    </row>
    <row r="2" spans="2:12">
      <c r="B2" s="350"/>
      <c r="C2" s="350"/>
      <c r="D2" s="350"/>
      <c r="E2" s="350"/>
      <c r="F2" s="350"/>
      <c r="G2" s="350"/>
      <c r="K2" s="208" t="s">
        <v>120</v>
      </c>
      <c r="L2" s="209">
        <f>'Version Log'!J3</f>
        <v>45463</v>
      </c>
    </row>
    <row r="3" spans="2:12">
      <c r="B3" s="357" t="s">
        <v>121</v>
      </c>
      <c r="C3" s="357"/>
      <c r="D3" s="357"/>
      <c r="E3" s="357"/>
      <c r="F3" s="357"/>
      <c r="G3" s="357"/>
    </row>
    <row r="4" spans="2:12" ht="9" customHeight="1">
      <c r="B4" s="210"/>
      <c r="C4" s="210"/>
      <c r="D4" s="211"/>
      <c r="E4" s="211"/>
      <c r="F4" s="211"/>
    </row>
    <row r="5" spans="2:12" s="214" customFormat="1" ht="24.95" customHeight="1" thickBot="1">
      <c r="B5" s="212" t="str">
        <f>Calculations!B2</f>
        <v>Anti-Sweat Heater Control</v>
      </c>
      <c r="C5" s="212"/>
      <c r="D5" s="213"/>
      <c r="E5" s="213"/>
      <c r="F5" s="213"/>
    </row>
    <row r="6" spans="2:12" s="214" customFormat="1" ht="36.75" customHeight="1" thickBot="1">
      <c r="B6" s="345" t="s">
        <v>122</v>
      </c>
      <c r="C6" s="345"/>
      <c r="D6" s="345"/>
      <c r="E6" s="345"/>
      <c r="F6" s="345"/>
      <c r="G6" s="345"/>
      <c r="H6" s="345"/>
      <c r="I6" s="345"/>
      <c r="J6" s="345"/>
      <c r="K6" s="345"/>
    </row>
    <row r="7" spans="2:12" ht="24.95" customHeight="1">
      <c r="B7" s="184" t="s">
        <v>84</v>
      </c>
      <c r="C7" s="185" t="s">
        <v>85</v>
      </c>
      <c r="D7" s="186" t="s">
        <v>82</v>
      </c>
      <c r="E7" s="186" t="s">
        <v>53</v>
      </c>
      <c r="F7" s="186" t="s">
        <v>55</v>
      </c>
      <c r="G7" s="171" t="s">
        <v>17</v>
      </c>
      <c r="H7" s="171" t="s">
        <v>37</v>
      </c>
      <c r="I7" s="171" t="s">
        <v>75</v>
      </c>
      <c r="J7" s="172" t="s">
        <v>589</v>
      </c>
    </row>
    <row r="8" spans="2:12" ht="24.95" customHeight="1">
      <c r="B8" s="176">
        <f>IF($J8="",0,IFERROR(ROUND(Calculations!K17,6),0))</f>
        <v>0</v>
      </c>
      <c r="C8" s="176">
        <f>IF($J8="",0,IFERROR(ROUND(Calculations!J17,6),0))</f>
        <v>0</v>
      </c>
      <c r="D8" s="177">
        <f>IF(J8="",0,IFERROR(ROUND(Calculations!L17,3),0))</f>
        <v>0</v>
      </c>
      <c r="E8" s="180"/>
      <c r="F8" s="181"/>
      <c r="G8" s="182"/>
      <c r="H8" s="182"/>
      <c r="I8" s="182"/>
      <c r="J8" s="183"/>
    </row>
    <row r="9" spans="2:12" ht="24.95" customHeight="1">
      <c r="B9" s="176">
        <f>IF(J9="",0,IFERROR(ROUND(Calculations!K18,6),0))</f>
        <v>0</v>
      </c>
      <c r="C9" s="176">
        <f>IF($J9="",0,IFERROR(ROUND(Calculations!J18,6),0))</f>
        <v>0</v>
      </c>
      <c r="D9" s="177">
        <f>IF(J9="",0,IFERROR(ROUND(Calculations!L18,3),0))</f>
        <v>0</v>
      </c>
      <c r="E9" s="180"/>
      <c r="F9" s="181"/>
      <c r="G9" s="182"/>
      <c r="H9" s="182"/>
      <c r="I9" s="182"/>
      <c r="J9" s="183"/>
    </row>
    <row r="10" spans="2:12" ht="24.95" customHeight="1">
      <c r="B10" s="176">
        <f>IF(J10="",0,IFERROR(ROUND(Calculations!K19,6),0))</f>
        <v>0</v>
      </c>
      <c r="C10" s="176">
        <f>IF($J10="",0,IFERROR(ROUND(Calculations!J19,6),0))</f>
        <v>0</v>
      </c>
      <c r="D10" s="177">
        <f>IF(J10="",0,IFERROR(ROUND(Calculations!L19,3),0))</f>
        <v>0</v>
      </c>
      <c r="E10" s="180"/>
      <c r="F10" s="181"/>
      <c r="G10" s="182"/>
      <c r="H10" s="182"/>
      <c r="I10" s="182"/>
      <c r="J10" s="183"/>
    </row>
    <row r="11" spans="2:12" ht="24.95" customHeight="1">
      <c r="B11" s="176">
        <f>IF(J11="",0,IFERROR(ROUND(Calculations!K20,6),0))</f>
        <v>0</v>
      </c>
      <c r="C11" s="176">
        <f>IF($J11="",0,IFERROR(ROUND(Calculations!J20,6),0))</f>
        <v>0</v>
      </c>
      <c r="D11" s="177">
        <f>IF(J11="",0,IFERROR(ROUND(Calculations!L20,3),0))</f>
        <v>0</v>
      </c>
      <c r="E11" s="180"/>
      <c r="F11" s="181"/>
      <c r="G11" s="182"/>
      <c r="H11" s="182"/>
      <c r="I11" s="182"/>
      <c r="J11" s="183"/>
    </row>
    <row r="12" spans="2:12" s="215" customFormat="1" ht="24.95" customHeight="1" thickBot="1">
      <c r="B12" s="178">
        <f>SUM(B8:B11)</f>
        <v>0</v>
      </c>
      <c r="C12" s="178">
        <f>SUM(C8:C11)</f>
        <v>0</v>
      </c>
      <c r="D12" s="179">
        <f>SUM(D8:D11)</f>
        <v>0</v>
      </c>
      <c r="E12" s="348" t="s">
        <v>123</v>
      </c>
      <c r="F12" s="348"/>
      <c r="G12" s="348"/>
      <c r="H12" s="348"/>
      <c r="I12" s="348"/>
      <c r="J12" s="349"/>
    </row>
    <row r="13" spans="2:12" ht="24.95" customHeight="1"/>
    <row r="14" spans="2:12" s="214" customFormat="1" ht="24.95" customHeight="1" thickBot="1">
      <c r="B14" s="212" t="str">
        <f>Calculations!B22</f>
        <v>Refrigerated Case Cover</v>
      </c>
      <c r="C14" s="212"/>
      <c r="D14" s="213"/>
      <c r="E14" s="213"/>
      <c r="F14" s="213"/>
    </row>
    <row r="15" spans="2:12" s="214" customFormat="1" ht="32.25" customHeight="1" thickBot="1">
      <c r="B15" s="345" t="s">
        <v>124</v>
      </c>
      <c r="C15" s="345"/>
      <c r="D15" s="345"/>
      <c r="E15" s="345"/>
      <c r="F15" s="345"/>
      <c r="G15" s="345"/>
      <c r="H15" s="345"/>
      <c r="I15" s="345"/>
      <c r="J15" s="345"/>
      <c r="K15" s="345"/>
    </row>
    <row r="16" spans="2:12" ht="24.95" customHeight="1">
      <c r="B16" s="184" t="s">
        <v>84</v>
      </c>
      <c r="C16" s="185" t="s">
        <v>85</v>
      </c>
      <c r="D16" s="186" t="s">
        <v>82</v>
      </c>
      <c r="E16" s="186" t="s">
        <v>53</v>
      </c>
      <c r="F16" s="186" t="s">
        <v>55</v>
      </c>
      <c r="G16" s="171" t="s">
        <v>125</v>
      </c>
      <c r="H16" s="171" t="s">
        <v>51</v>
      </c>
      <c r="I16" s="308" t="s">
        <v>589</v>
      </c>
    </row>
    <row r="17" spans="2:12" ht="24.95" customHeight="1">
      <c r="B17" s="176">
        <f>IF($I17="",0,IFERROR(ROUND(Calculations!E28,6),0))</f>
        <v>0</v>
      </c>
      <c r="C17" s="176">
        <f>IF($I17="",0,IFERROR(ROUND(Calculations!E28,6),0))</f>
        <v>0</v>
      </c>
      <c r="D17" s="177">
        <f>IF(I17="",0,IFERROR(ROUND(Calculations!F28,3),0))</f>
        <v>0</v>
      </c>
      <c r="E17" s="180"/>
      <c r="F17" s="181"/>
      <c r="G17" s="181"/>
      <c r="H17" s="285"/>
      <c r="I17" s="284"/>
    </row>
    <row r="18" spans="2:12" ht="24.95" customHeight="1">
      <c r="B18" s="176">
        <f>IF(I18="",0,IFERROR(ROUND(Calculations!E29,6),0))</f>
        <v>0</v>
      </c>
      <c r="C18" s="176">
        <f>IF($I18="",0,IFERROR(ROUND(Calculations!E29,6),0))</f>
        <v>0</v>
      </c>
      <c r="D18" s="177">
        <f>IF(I18="",0,IFERROR(ROUND(Calculations!F29,3),0))</f>
        <v>0</v>
      </c>
      <c r="E18" s="180"/>
      <c r="F18" s="181"/>
      <c r="G18" s="181"/>
      <c r="H18" s="285"/>
      <c r="I18" s="284"/>
    </row>
    <row r="19" spans="2:12" ht="24.95" customHeight="1">
      <c r="B19" s="176">
        <f>IF(I19="",0,IFERROR(ROUND(Calculations!E30,6),0))</f>
        <v>0</v>
      </c>
      <c r="C19" s="176">
        <f>IF($I19="",0,IFERROR(ROUND(Calculations!E30,6),0))</f>
        <v>0</v>
      </c>
      <c r="D19" s="177">
        <f>IF(I19="",0,IFERROR(ROUND(Calculations!F30,3),0))</f>
        <v>0</v>
      </c>
      <c r="E19" s="180"/>
      <c r="F19" s="181"/>
      <c r="G19" s="181"/>
      <c r="H19" s="285"/>
      <c r="I19" s="284"/>
    </row>
    <row r="20" spans="2:12" ht="24.95" customHeight="1">
      <c r="B20" s="176">
        <f>IF(I20="",0,IFERROR(ROUND(Calculations!E31,6),0))</f>
        <v>0</v>
      </c>
      <c r="C20" s="176">
        <f>IF($I20="",0,IFERROR(ROUND(Calculations!E31,6),0))</f>
        <v>0</v>
      </c>
      <c r="D20" s="177">
        <f>IF(I20="",0,IFERROR(ROUND(Calculations!F31,3),0))</f>
        <v>0</v>
      </c>
      <c r="E20" s="180"/>
      <c r="F20" s="181"/>
      <c r="G20" s="181"/>
      <c r="H20" s="285"/>
      <c r="I20" s="284"/>
    </row>
    <row r="21" spans="2:12" s="215" customFormat="1" ht="24.95" customHeight="1" thickBot="1">
      <c r="B21" s="178">
        <f>SUM(B17:B20)</f>
        <v>0</v>
      </c>
      <c r="C21" s="178">
        <f>SUM(C17:C20)</f>
        <v>0</v>
      </c>
      <c r="D21" s="179">
        <f>SUM(D17:D20)</f>
        <v>0</v>
      </c>
      <c r="E21" s="348" t="s">
        <v>123</v>
      </c>
      <c r="F21" s="348"/>
      <c r="G21" s="348"/>
      <c r="H21" s="348"/>
      <c r="I21" s="349"/>
    </row>
    <row r="22" spans="2:12" ht="24.95" customHeight="1"/>
    <row r="23" spans="2:12" s="214" customFormat="1" ht="24.95" customHeight="1" thickBot="1">
      <c r="B23" s="212" t="str">
        <f>Calculations!B33</f>
        <v>Strip Curtains for Walk-In Coolers and Freezers</v>
      </c>
      <c r="C23" s="212"/>
      <c r="D23" s="213"/>
      <c r="E23" s="213"/>
      <c r="F23" s="213"/>
    </row>
    <row r="24" spans="2:12" s="214" customFormat="1" ht="32.25" customHeight="1" thickBot="1">
      <c r="B24" s="345" t="s">
        <v>126</v>
      </c>
      <c r="C24" s="345"/>
      <c r="D24" s="345"/>
      <c r="E24" s="345"/>
      <c r="F24" s="345"/>
      <c r="G24" s="345"/>
      <c r="H24" s="345"/>
      <c r="I24" s="345"/>
      <c r="J24" s="345"/>
      <c r="K24" s="345"/>
    </row>
    <row r="25" spans="2:12" ht="24.95" customHeight="1">
      <c r="B25" s="184" t="s">
        <v>84</v>
      </c>
      <c r="C25" s="185" t="s">
        <v>85</v>
      </c>
      <c r="D25" s="186" t="s">
        <v>82</v>
      </c>
      <c r="E25" s="186" t="s">
        <v>53</v>
      </c>
      <c r="F25" s="186" t="s">
        <v>55</v>
      </c>
      <c r="G25" s="171" t="s">
        <v>127</v>
      </c>
      <c r="H25" s="171" t="s">
        <v>115</v>
      </c>
      <c r="I25" s="171" t="s">
        <v>75</v>
      </c>
      <c r="J25" s="172" t="s">
        <v>128</v>
      </c>
      <c r="K25" s="172" t="s">
        <v>589</v>
      </c>
      <c r="L25" s="225"/>
    </row>
    <row r="26" spans="2:12" ht="24.95" customHeight="1">
      <c r="B26" s="176">
        <f>IF($K26="",0,IFERROR(ROUND(Calculations!H54,6),0))</f>
        <v>0</v>
      </c>
      <c r="C26" s="176">
        <f>IF($K26="",0,IFERROR(ROUND(Calculations!G54,6),0))</f>
        <v>0</v>
      </c>
      <c r="D26" s="177">
        <f>IF(K26="",0,IFERROR(ROUND(Calculations!I54,3),0))</f>
        <v>0</v>
      </c>
      <c r="E26" s="180"/>
      <c r="F26" s="181"/>
      <c r="G26" s="181"/>
      <c r="H26" s="182"/>
      <c r="I26" s="182"/>
      <c r="J26" s="188"/>
      <c r="K26" s="187"/>
      <c r="L26" s="226"/>
    </row>
    <row r="27" spans="2:12" ht="24.95" customHeight="1">
      <c r="B27" s="176">
        <f>IF(K27="",0,IFERROR(ROUND(Calculations!H55,6),0))</f>
        <v>0</v>
      </c>
      <c r="C27" s="176">
        <f>IF($K27="",0,IFERROR(ROUND(Calculations!G55,6),0))</f>
        <v>0</v>
      </c>
      <c r="D27" s="177">
        <f>IF(K27="",0,IFERROR(ROUND(Calculations!I55,3),0))</f>
        <v>0</v>
      </c>
      <c r="E27" s="180"/>
      <c r="F27" s="181"/>
      <c r="G27" s="181"/>
      <c r="H27" s="182"/>
      <c r="I27" s="182"/>
      <c r="J27" s="188"/>
      <c r="K27" s="187"/>
      <c r="L27" s="226"/>
    </row>
    <row r="28" spans="2:12" ht="24.95" customHeight="1">
      <c r="B28" s="176">
        <f>IF(K28="",0,IFERROR(ROUND(Calculations!H56,6),0))</f>
        <v>0</v>
      </c>
      <c r="C28" s="176">
        <f>IF($K28="",0,IFERROR(ROUND(Calculations!G56,6),0))</f>
        <v>0</v>
      </c>
      <c r="D28" s="177">
        <f>IF(K28="",0,IFERROR(ROUND(Calculations!I56,3),0))</f>
        <v>0</v>
      </c>
      <c r="E28" s="180"/>
      <c r="F28" s="181"/>
      <c r="G28" s="181"/>
      <c r="H28" s="182"/>
      <c r="I28" s="182"/>
      <c r="J28" s="188"/>
      <c r="K28" s="187"/>
      <c r="L28" s="226"/>
    </row>
    <row r="29" spans="2:12" ht="24.95" customHeight="1">
      <c r="B29" s="176">
        <f>IF(K29="",0,IFERROR(ROUND(Calculations!H57,6),0))</f>
        <v>0</v>
      </c>
      <c r="C29" s="176">
        <f>IF($K29="",0,IFERROR(ROUND(Calculations!G57,6),0))</f>
        <v>0</v>
      </c>
      <c r="D29" s="177">
        <f>IF(K29="",0,IFERROR(ROUND(Calculations!I57,3),0))</f>
        <v>0</v>
      </c>
      <c r="E29" s="180"/>
      <c r="F29" s="181"/>
      <c r="G29" s="181"/>
      <c r="H29" s="182"/>
      <c r="I29" s="182"/>
      <c r="J29" s="188"/>
      <c r="K29" s="187"/>
      <c r="L29" s="226"/>
    </row>
    <row r="30" spans="2:12" ht="24.95" customHeight="1">
      <c r="B30" s="176">
        <f>IF(K30="",0,IFERROR(ROUND(Calculations!H58,6),0))</f>
        <v>0</v>
      </c>
      <c r="C30" s="176">
        <f>IF($K30="",0,IFERROR(ROUND(Calculations!G58,6),0))</f>
        <v>0</v>
      </c>
      <c r="D30" s="177">
        <f>IF(K30="",0,IFERROR(ROUND(Calculations!I58,3),0))</f>
        <v>0</v>
      </c>
      <c r="E30" s="180"/>
      <c r="F30" s="181"/>
      <c r="G30" s="181"/>
      <c r="H30" s="182"/>
      <c r="I30" s="182"/>
      <c r="J30" s="188"/>
      <c r="K30" s="187"/>
      <c r="L30" s="226"/>
    </row>
    <row r="31" spans="2:12" ht="24.95" customHeight="1">
      <c r="B31" s="176">
        <f>IF(K31="",0,IFERROR(ROUND(Calculations!H59,6),0))</f>
        <v>0</v>
      </c>
      <c r="C31" s="176">
        <f>IF($K31="",0,IFERROR(ROUND(Calculations!G59,6),0))</f>
        <v>0</v>
      </c>
      <c r="D31" s="177">
        <f>IF(K31="",0,IFERROR(ROUND(Calculations!I59,3),0))</f>
        <v>0</v>
      </c>
      <c r="E31" s="180"/>
      <c r="F31" s="181"/>
      <c r="G31" s="181"/>
      <c r="H31" s="182"/>
      <c r="I31" s="182"/>
      <c r="J31" s="188"/>
      <c r="K31" s="187"/>
      <c r="L31" s="226"/>
    </row>
    <row r="32" spans="2:12" ht="24.95" customHeight="1">
      <c r="B32" s="176">
        <f>IF(K32="",0,IFERROR(ROUND(Calculations!H60,6),0))</f>
        <v>0</v>
      </c>
      <c r="C32" s="176">
        <f>IF($K32="",0,IFERROR(ROUND(Calculations!G60,6),0))</f>
        <v>0</v>
      </c>
      <c r="D32" s="177">
        <f>IF(K32="",0,IFERROR(ROUND(Calculations!I60,3),0))</f>
        <v>0</v>
      </c>
      <c r="E32" s="180"/>
      <c r="F32" s="181"/>
      <c r="G32" s="181"/>
      <c r="H32" s="182"/>
      <c r="I32" s="182"/>
      <c r="J32" s="188"/>
      <c r="K32" s="187"/>
      <c r="L32" s="226"/>
    </row>
    <row r="33" spans="2:12" ht="24.95" customHeight="1">
      <c r="B33" s="176">
        <f>IF(K33="",0,IFERROR(ROUND(Calculations!H61,6),0))</f>
        <v>0</v>
      </c>
      <c r="C33" s="176">
        <f>IF($K33="",0,IFERROR(ROUND(Calculations!G61,6),0))</f>
        <v>0</v>
      </c>
      <c r="D33" s="177">
        <f>IF(K33="",0,IFERROR(ROUND(Calculations!I61,3),0))</f>
        <v>0</v>
      </c>
      <c r="E33" s="180"/>
      <c r="F33" s="181"/>
      <c r="G33" s="181"/>
      <c r="H33" s="182"/>
      <c r="I33" s="182"/>
      <c r="J33" s="188"/>
      <c r="K33" s="187"/>
      <c r="L33" s="226"/>
    </row>
    <row r="34" spans="2:12" s="215" customFormat="1" ht="24.95" customHeight="1" thickBot="1">
      <c r="B34" s="178">
        <f>SUM(B26:B33)</f>
        <v>0</v>
      </c>
      <c r="C34" s="178">
        <f>SUM(C26:C33)</f>
        <v>0</v>
      </c>
      <c r="D34" s="179">
        <f>SUM(D26:D33)</f>
        <v>0</v>
      </c>
      <c r="E34" s="348" t="s">
        <v>123</v>
      </c>
      <c r="F34" s="348"/>
      <c r="G34" s="348"/>
      <c r="H34" s="348"/>
      <c r="I34" s="348"/>
      <c r="J34" s="348"/>
      <c r="K34" s="349"/>
      <c r="L34" s="227"/>
    </row>
    <row r="35" spans="2:12" ht="24.95" customHeight="1"/>
    <row r="36" spans="2:12" s="214" customFormat="1" ht="24.95" customHeight="1" thickBot="1">
      <c r="B36" s="212" t="str">
        <f>Calculations!B63</f>
        <v>Energy Star Commercial Fryers</v>
      </c>
      <c r="C36" s="212"/>
      <c r="D36" s="213"/>
      <c r="E36" s="213"/>
      <c r="F36" s="213"/>
    </row>
    <row r="37" spans="2:12" s="214" customFormat="1" ht="36" customHeight="1" thickBot="1">
      <c r="B37" s="345" t="s">
        <v>129</v>
      </c>
      <c r="C37" s="345"/>
      <c r="D37" s="345"/>
      <c r="E37" s="345"/>
      <c r="F37" s="345"/>
      <c r="G37" s="345"/>
      <c r="H37" s="345"/>
      <c r="I37" s="345"/>
      <c r="J37" s="345"/>
      <c r="K37" s="345"/>
    </row>
    <row r="38" spans="2:12" ht="24.95" customHeight="1">
      <c r="B38" s="184" t="s">
        <v>84</v>
      </c>
      <c r="C38" s="185" t="s">
        <v>85</v>
      </c>
      <c r="D38" s="186" t="s">
        <v>82</v>
      </c>
      <c r="E38" s="186" t="s">
        <v>53</v>
      </c>
      <c r="F38" s="186" t="s">
        <v>55</v>
      </c>
      <c r="G38" s="171" t="s">
        <v>125</v>
      </c>
      <c r="H38" s="171" t="s">
        <v>71</v>
      </c>
      <c r="I38" s="308" t="s">
        <v>589</v>
      </c>
    </row>
    <row r="39" spans="2:12" ht="24.95" customHeight="1">
      <c r="B39" s="176">
        <f>IF($I39="",0,IFERROR(ROUND(Calculations!Q77,6),0))</f>
        <v>0</v>
      </c>
      <c r="C39" s="176">
        <f>IF($I39="",0,IFERROR(ROUND(Calculations!P77,6),0))</f>
        <v>0</v>
      </c>
      <c r="D39" s="177">
        <f>IF(I39="",0,IFERROR(ROUND(Calculations!R77,3),0))</f>
        <v>0</v>
      </c>
      <c r="E39" s="180"/>
      <c r="F39" s="181"/>
      <c r="G39" s="181"/>
      <c r="H39" s="182"/>
      <c r="I39" s="284"/>
    </row>
    <row r="40" spans="2:12" ht="24.95" customHeight="1">
      <c r="B40" s="176">
        <f>IF(I40="",0,IFERROR(ROUND(Calculations!Q78,6),0))</f>
        <v>0</v>
      </c>
      <c r="C40" s="176">
        <f>IF($I40="",0,IFERROR(ROUND(Calculations!P78,6),0))</f>
        <v>0</v>
      </c>
      <c r="D40" s="177">
        <f>IF(I40="",0,IFERROR(ROUND(Calculations!R78,3),0))</f>
        <v>0</v>
      </c>
      <c r="E40" s="180"/>
      <c r="F40" s="181"/>
      <c r="G40" s="181"/>
      <c r="H40" s="182"/>
      <c r="I40" s="284"/>
    </row>
    <row r="41" spans="2:12" s="215" customFormat="1" ht="24.95" customHeight="1" thickBot="1">
      <c r="B41" s="178">
        <f>SUM(B39:B40)</f>
        <v>0</v>
      </c>
      <c r="C41" s="178">
        <f>SUM(C39:C40)</f>
        <v>0</v>
      </c>
      <c r="D41" s="179">
        <f>SUM(D39:D40)</f>
        <v>0</v>
      </c>
      <c r="E41" s="348" t="s">
        <v>123</v>
      </c>
      <c r="F41" s="348"/>
      <c r="G41" s="348"/>
      <c r="H41" s="348"/>
      <c r="I41" s="349"/>
    </row>
    <row r="42" spans="2:12" ht="24.95" customHeight="1"/>
    <row r="43" spans="2:12" s="214" customFormat="1" ht="24.95" customHeight="1" thickBot="1">
      <c r="B43" s="212" t="str">
        <f>Calculations!B80</f>
        <v>Energy Star Commercial Griddle</v>
      </c>
      <c r="C43" s="212"/>
      <c r="D43" s="213"/>
      <c r="E43" s="213"/>
      <c r="F43" s="213"/>
    </row>
    <row r="44" spans="2:12" s="214" customFormat="1" ht="36" customHeight="1" thickBot="1">
      <c r="B44" s="345" t="s">
        <v>130</v>
      </c>
      <c r="C44" s="345"/>
      <c r="D44" s="345"/>
      <c r="E44" s="345"/>
      <c r="F44" s="345"/>
      <c r="G44" s="345"/>
      <c r="H44" s="345"/>
      <c r="I44" s="345"/>
      <c r="J44" s="345"/>
      <c r="K44" s="345"/>
    </row>
    <row r="45" spans="2:12" ht="24.95" customHeight="1">
      <c r="B45" s="184" t="s">
        <v>84</v>
      </c>
      <c r="C45" s="185" t="s">
        <v>85</v>
      </c>
      <c r="D45" s="186" t="s">
        <v>82</v>
      </c>
      <c r="E45" s="186" t="s">
        <v>53</v>
      </c>
      <c r="F45" s="186" t="s">
        <v>55</v>
      </c>
      <c r="G45" s="171" t="s">
        <v>125</v>
      </c>
      <c r="H45" s="171" t="s">
        <v>131</v>
      </c>
      <c r="I45" s="171" t="s">
        <v>577</v>
      </c>
      <c r="J45" s="172" t="s">
        <v>589</v>
      </c>
    </row>
    <row r="46" spans="2:12" ht="24.95" customHeight="1">
      <c r="B46" s="176">
        <f>IF($J46="",0,ROUND(Calculations!R94,6))</f>
        <v>0</v>
      </c>
      <c r="C46" s="176">
        <f>IF($J46="",0,ROUND(Calculations!Q94,6))</f>
        <v>0</v>
      </c>
      <c r="D46" s="177">
        <f>IF(J46="",0,IFERROR(ROUND(Calculations!S94,3),0))</f>
        <v>0</v>
      </c>
      <c r="E46" s="180"/>
      <c r="F46" s="181"/>
      <c r="G46" s="181"/>
      <c r="H46" s="182"/>
      <c r="I46" s="182"/>
      <c r="J46" s="183"/>
    </row>
    <row r="47" spans="2:12" ht="24.95" customHeight="1">
      <c r="B47" s="176">
        <f>IF(J47="",0,ROUND(Calculations!R95,6))</f>
        <v>0</v>
      </c>
      <c r="C47" s="176">
        <f>IF($J47="",0,ROUND(Calculations!Q95,6))</f>
        <v>0</v>
      </c>
      <c r="D47" s="177">
        <f>IF(J47="",0,IFERROR(ROUND(Calculations!S95,3),0))</f>
        <v>0</v>
      </c>
      <c r="E47" s="180"/>
      <c r="F47" s="181"/>
      <c r="G47" s="181"/>
      <c r="H47" s="182"/>
      <c r="I47" s="182"/>
      <c r="J47" s="183"/>
    </row>
    <row r="48" spans="2:12" s="215" customFormat="1" ht="24.95" customHeight="1" thickBot="1">
      <c r="B48" s="178">
        <f>SUM(B46:B47)</f>
        <v>0</v>
      </c>
      <c r="C48" s="178">
        <f>SUM(C46:C47)</f>
        <v>0</v>
      </c>
      <c r="D48" s="179">
        <f>SUM(D46:D47)</f>
        <v>0</v>
      </c>
      <c r="E48" s="348" t="s">
        <v>123</v>
      </c>
      <c r="F48" s="348"/>
      <c r="G48" s="348"/>
      <c r="H48" s="348"/>
      <c r="I48" s="348"/>
      <c r="J48" s="349"/>
    </row>
    <row r="49" spans="2:83" ht="24.95" customHeight="1"/>
    <row r="50" spans="2:83" s="214" customFormat="1" ht="24.95" customHeight="1" thickBot="1">
      <c r="B50" s="212" t="str">
        <f>Calculations!B97</f>
        <v>Ice Machine</v>
      </c>
      <c r="C50" s="212"/>
      <c r="D50" s="213"/>
      <c r="E50" s="213"/>
      <c r="F50" s="213"/>
    </row>
    <row r="51" spans="2:83" s="214" customFormat="1" ht="36" customHeight="1" thickBot="1">
      <c r="B51" s="345" t="s">
        <v>132</v>
      </c>
      <c r="C51" s="345"/>
      <c r="D51" s="345"/>
      <c r="E51" s="345"/>
      <c r="F51" s="345"/>
      <c r="G51" s="345"/>
      <c r="H51" s="345"/>
      <c r="I51" s="345"/>
      <c r="J51" s="345"/>
      <c r="K51" s="345"/>
    </row>
    <row r="52" spans="2:83" ht="24.95" customHeight="1">
      <c r="B52" s="351" t="s">
        <v>84</v>
      </c>
      <c r="C52" s="346" t="s">
        <v>85</v>
      </c>
      <c r="D52" s="353" t="s">
        <v>82</v>
      </c>
      <c r="E52" s="353" t="s">
        <v>53</v>
      </c>
      <c r="F52" s="353" t="s">
        <v>55</v>
      </c>
      <c r="G52" s="355" t="s">
        <v>125</v>
      </c>
      <c r="H52" s="358" t="s">
        <v>133</v>
      </c>
      <c r="I52" s="355" t="s">
        <v>25</v>
      </c>
      <c r="J52" s="355"/>
      <c r="K52" s="355" t="s">
        <v>57</v>
      </c>
      <c r="L52" s="355"/>
      <c r="M52" s="355"/>
      <c r="N52" s="355"/>
      <c r="O52" s="337" t="s">
        <v>589</v>
      </c>
    </row>
    <row r="53" spans="2:83" s="216" customFormat="1" ht="38.25" customHeight="1">
      <c r="B53" s="352"/>
      <c r="C53" s="347"/>
      <c r="D53" s="354"/>
      <c r="E53" s="354"/>
      <c r="F53" s="354"/>
      <c r="G53" s="356"/>
      <c r="H53" s="359"/>
      <c r="I53" s="173" t="s">
        <v>134</v>
      </c>
      <c r="J53" s="173" t="s">
        <v>27</v>
      </c>
      <c r="K53" s="173" t="s">
        <v>134</v>
      </c>
      <c r="L53" s="173" t="s">
        <v>135</v>
      </c>
      <c r="M53" s="173" t="s">
        <v>136</v>
      </c>
      <c r="N53" s="173" t="s">
        <v>137</v>
      </c>
      <c r="O53" s="338"/>
      <c r="P53" s="228"/>
    </row>
    <row r="54" spans="2:83" s="216" customFormat="1" ht="24.75" customHeight="1">
      <c r="B54" s="189">
        <f>IF($O54="",0,IFERROR(ROUND(Calculations!W132,6),0))</f>
        <v>0</v>
      </c>
      <c r="C54" s="189">
        <f>IF($O54="",0,IFERROR(ROUND(Calculations!V132,6),0))</f>
        <v>0</v>
      </c>
      <c r="D54" s="190">
        <f>IF(O54="",0,IFERROR(ROUND(Calculations!X132,3),0))</f>
        <v>0</v>
      </c>
      <c r="E54" s="191"/>
      <c r="F54" s="192"/>
      <c r="G54" s="192"/>
      <c r="H54" s="287"/>
      <c r="I54" s="193"/>
      <c r="J54" s="193"/>
      <c r="K54" s="193"/>
      <c r="L54" s="193"/>
      <c r="M54" s="193"/>
      <c r="N54" s="287"/>
      <c r="O54" s="194"/>
    </row>
    <row r="55" spans="2:83" s="216" customFormat="1" ht="24.75" customHeight="1">
      <c r="B55" s="189">
        <f>IF(O55="",0,IFERROR(ROUND(Calculations!W133,6),0))</f>
        <v>0</v>
      </c>
      <c r="C55" s="189">
        <f>IF($O55="",0,IFERROR(ROUND(Calculations!V133,6),0))</f>
        <v>0</v>
      </c>
      <c r="D55" s="190">
        <f>IF(O55="",0,IFERROR(ROUND(Calculations!X133,3),0))</f>
        <v>0</v>
      </c>
      <c r="E55" s="191"/>
      <c r="F55" s="192"/>
      <c r="G55" s="192"/>
      <c r="H55" s="287"/>
      <c r="I55" s="193"/>
      <c r="J55" s="195"/>
      <c r="K55" s="193"/>
      <c r="L55" s="195"/>
      <c r="M55" s="193"/>
      <c r="N55" s="287"/>
      <c r="O55" s="194"/>
    </row>
    <row r="56" spans="2:83" s="216" customFormat="1" ht="24.75" customHeight="1">
      <c r="B56" s="189">
        <f>IF(O56="",0,IFERROR(ROUND(Calculations!W134,6),0))</f>
        <v>0</v>
      </c>
      <c r="C56" s="189">
        <f>IF($O56="",0,IFERROR(ROUND(Calculations!V134,6),0))</f>
        <v>0</v>
      </c>
      <c r="D56" s="190">
        <f>IF(O56="",0,IFERROR(ROUND(Calculations!X134,3),0))</f>
        <v>0</v>
      </c>
      <c r="E56" s="191"/>
      <c r="F56" s="192"/>
      <c r="G56" s="192"/>
      <c r="H56" s="287"/>
      <c r="I56" s="193"/>
      <c r="J56" s="193"/>
      <c r="K56" s="193"/>
      <c r="L56" s="193"/>
      <c r="M56" s="193"/>
      <c r="N56" s="287"/>
      <c r="O56" s="194"/>
    </row>
    <row r="57" spans="2:83" s="216" customFormat="1" ht="24.75" customHeight="1">
      <c r="B57" s="189">
        <f>IF(O57="",0,IFERROR(ROUND(Calculations!W135,6),0))</f>
        <v>0</v>
      </c>
      <c r="C57" s="189">
        <f>IF($O57="",0,IFERROR(ROUND(Calculations!V135,6),0))</f>
        <v>0</v>
      </c>
      <c r="D57" s="190">
        <f>IF(O57="",0,IFERROR(ROUND(Calculations!X135,3),0))</f>
        <v>0</v>
      </c>
      <c r="E57" s="191"/>
      <c r="F57" s="192"/>
      <c r="G57" s="192"/>
      <c r="H57" s="287"/>
      <c r="I57" s="193"/>
      <c r="J57" s="193"/>
      <c r="K57" s="193"/>
      <c r="L57" s="193"/>
      <c r="M57" s="193"/>
      <c r="N57" s="287"/>
      <c r="O57" s="194"/>
    </row>
    <row r="58" spans="2:83" s="215" customFormat="1" ht="24.95" customHeight="1" thickBot="1">
      <c r="B58" s="178">
        <f>SUM(B54:B57)</f>
        <v>0</v>
      </c>
      <c r="C58" s="178">
        <f>SUM(C54:C57)</f>
        <v>0</v>
      </c>
      <c r="D58" s="179">
        <f>SUM(D54:D57)</f>
        <v>0</v>
      </c>
      <c r="E58" s="348" t="s">
        <v>123</v>
      </c>
      <c r="F58" s="348"/>
      <c r="G58" s="348"/>
      <c r="H58" s="348"/>
      <c r="I58" s="348"/>
      <c r="J58" s="348"/>
      <c r="K58" s="348"/>
      <c r="L58" s="348"/>
      <c r="M58" s="348"/>
      <c r="N58" s="348"/>
      <c r="O58" s="349"/>
    </row>
    <row r="59" spans="2:83" ht="24.95" customHeight="1"/>
    <row r="60" spans="2:83" s="214" customFormat="1" ht="24.95" customHeight="1" thickBot="1">
      <c r="B60" s="212" t="str">
        <f>Calculations!B137</f>
        <v>Commercial Convection Oven</v>
      </c>
      <c r="C60" s="212"/>
      <c r="D60" s="213"/>
      <c r="E60" s="213"/>
      <c r="F60" s="213"/>
    </row>
    <row r="61" spans="2:83" s="217" customFormat="1" ht="36" customHeight="1" thickBot="1">
      <c r="B61" s="345" t="s">
        <v>138</v>
      </c>
      <c r="C61" s="345"/>
      <c r="D61" s="345"/>
      <c r="E61" s="345"/>
      <c r="F61" s="345"/>
      <c r="G61" s="345"/>
      <c r="H61" s="345"/>
      <c r="I61" s="345"/>
      <c r="J61" s="345"/>
      <c r="K61" s="345"/>
      <c r="L61" s="220"/>
      <c r="M61" s="220"/>
      <c r="N61" s="220"/>
      <c r="O61" s="220"/>
      <c r="P61" s="220"/>
      <c r="Q61" s="220"/>
      <c r="R61" s="220"/>
      <c r="S61" s="220"/>
      <c r="T61" s="220"/>
      <c r="U61" s="220"/>
      <c r="V61" s="220"/>
      <c r="W61" s="220"/>
      <c r="X61" s="220"/>
      <c r="Y61" s="221"/>
      <c r="Z61" s="221"/>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c r="BJ61" s="221"/>
      <c r="BK61" s="221"/>
      <c r="BL61" s="221"/>
      <c r="BM61" s="221"/>
      <c r="BN61" s="221"/>
      <c r="BO61" s="221"/>
      <c r="BP61" s="221"/>
      <c r="BQ61" s="221"/>
      <c r="BR61" s="221"/>
      <c r="BS61" s="221"/>
      <c r="BT61" s="221"/>
      <c r="BU61" s="221"/>
      <c r="BV61" s="221"/>
      <c r="BW61" s="221"/>
      <c r="BX61" s="221"/>
      <c r="BY61" s="221"/>
      <c r="BZ61" s="221"/>
      <c r="CA61" s="221"/>
      <c r="CB61" s="221"/>
      <c r="CC61" s="221"/>
      <c r="CD61" s="221"/>
      <c r="CE61" s="221"/>
    </row>
    <row r="62" spans="2:83" ht="24.95" customHeight="1">
      <c r="B62" s="184" t="s">
        <v>84</v>
      </c>
      <c r="C62" s="185" t="s">
        <v>85</v>
      </c>
      <c r="D62" s="186" t="s">
        <v>82</v>
      </c>
      <c r="E62" s="186" t="s">
        <v>53</v>
      </c>
      <c r="F62" s="186" t="s">
        <v>55</v>
      </c>
      <c r="G62" s="171" t="s">
        <v>125</v>
      </c>
      <c r="H62" s="171" t="s">
        <v>71</v>
      </c>
      <c r="I62" s="171" t="s">
        <v>115</v>
      </c>
      <c r="J62" s="172" t="s">
        <v>589</v>
      </c>
    </row>
    <row r="63" spans="2:83" ht="24.95" customHeight="1">
      <c r="B63" s="176">
        <f>IF($J63="",0,ROUND(Calculations!Q151,6))</f>
        <v>0</v>
      </c>
      <c r="C63" s="176">
        <f>IF($J63="",0,ROUND(Calculations!P151,6))</f>
        <v>0</v>
      </c>
      <c r="D63" s="177">
        <f>IF(J63="",0,IFERROR(ROUND(Calculations!R151,3),0))</f>
        <v>0</v>
      </c>
      <c r="E63" s="180"/>
      <c r="F63" s="181"/>
      <c r="G63" s="181"/>
      <c r="H63" s="182"/>
      <c r="I63" s="182"/>
      <c r="J63" s="183"/>
    </row>
    <row r="64" spans="2:83" ht="24.95" customHeight="1">
      <c r="B64" s="176">
        <f>IF(J64="",0,ROUND(Calculations!Q152,6))</f>
        <v>0</v>
      </c>
      <c r="C64" s="176">
        <f>IF($J64="",0,ROUND(Calculations!P152,6))</f>
        <v>0</v>
      </c>
      <c r="D64" s="177">
        <f>IF(J64="",0,IFERROR(ROUND(Calculations!R152,3),0))</f>
        <v>0</v>
      </c>
      <c r="E64" s="180"/>
      <c r="F64" s="181"/>
      <c r="G64" s="181"/>
      <c r="H64" s="182"/>
      <c r="I64" s="182"/>
      <c r="J64" s="183"/>
    </row>
    <row r="65" spans="2:83" s="215" customFormat="1" ht="24.95" customHeight="1" thickBot="1">
      <c r="B65" s="178">
        <f>SUM(B63:B64)</f>
        <v>0</v>
      </c>
      <c r="C65" s="178">
        <f>SUM(C63:C64)</f>
        <v>0</v>
      </c>
      <c r="D65" s="179">
        <f>SUM(D63:D64)</f>
        <v>0</v>
      </c>
      <c r="E65" s="348" t="s">
        <v>123</v>
      </c>
      <c r="F65" s="348"/>
      <c r="G65" s="348"/>
      <c r="H65" s="348"/>
      <c r="I65" s="348"/>
      <c r="J65" s="349"/>
    </row>
    <row r="66" spans="2:83" ht="24.95" customHeight="1"/>
    <row r="67" spans="2:83" s="214" customFormat="1" ht="24.95" customHeight="1" thickBot="1">
      <c r="B67" s="212" t="str">
        <f>Calculations!B154</f>
        <v>Commercial Combination Oven</v>
      </c>
      <c r="C67" s="212"/>
      <c r="D67" s="213"/>
      <c r="E67" s="213"/>
      <c r="F67" s="213"/>
    </row>
    <row r="68" spans="2:83" s="217" customFormat="1" ht="33.75" customHeight="1" thickBot="1">
      <c r="B68" s="345" t="s">
        <v>139</v>
      </c>
      <c r="C68" s="345"/>
      <c r="D68" s="345"/>
      <c r="E68" s="345"/>
      <c r="F68" s="345"/>
      <c r="G68" s="345"/>
      <c r="H68" s="345"/>
      <c r="I68" s="345"/>
      <c r="J68" s="345"/>
      <c r="K68" s="345"/>
      <c r="L68" s="222"/>
      <c r="M68" s="222"/>
      <c r="N68" s="222"/>
      <c r="O68" s="220"/>
      <c r="P68" s="220"/>
      <c r="Q68" s="220"/>
      <c r="R68" s="220"/>
      <c r="S68" s="220"/>
      <c r="T68" s="220"/>
      <c r="U68" s="220"/>
      <c r="V68" s="220"/>
      <c r="W68" s="220"/>
      <c r="X68" s="220"/>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c r="BJ68" s="221"/>
      <c r="BK68" s="221"/>
      <c r="BL68" s="221"/>
      <c r="BM68" s="221"/>
      <c r="BN68" s="221"/>
      <c r="BO68" s="221"/>
      <c r="BP68" s="221"/>
      <c r="BQ68" s="221"/>
      <c r="BR68" s="221"/>
      <c r="BS68" s="221"/>
      <c r="BT68" s="221"/>
      <c r="BU68" s="221"/>
      <c r="BV68" s="221"/>
      <c r="BW68" s="221"/>
      <c r="BX68" s="221"/>
      <c r="BY68" s="221"/>
      <c r="BZ68" s="221"/>
      <c r="CA68" s="221"/>
      <c r="CB68" s="221"/>
      <c r="CC68" s="221"/>
      <c r="CD68" s="221"/>
      <c r="CE68" s="221"/>
    </row>
    <row r="69" spans="2:83" ht="24.95" customHeight="1">
      <c r="B69" s="184" t="s">
        <v>84</v>
      </c>
      <c r="C69" s="185" t="s">
        <v>85</v>
      </c>
      <c r="D69" s="186" t="s">
        <v>82</v>
      </c>
      <c r="E69" s="186" t="s">
        <v>53</v>
      </c>
      <c r="F69" s="186" t="s">
        <v>55</v>
      </c>
      <c r="G69" s="171" t="s">
        <v>140</v>
      </c>
      <c r="H69" s="171" t="s">
        <v>141</v>
      </c>
      <c r="I69" s="171" t="s">
        <v>115</v>
      </c>
      <c r="J69" s="172" t="s">
        <v>589</v>
      </c>
      <c r="K69" s="229"/>
    </row>
    <row r="70" spans="2:83" ht="24.95" customHeight="1">
      <c r="B70" s="176">
        <f>IF($J70="",0,ROUND(Calculations!AB173,6))</f>
        <v>0</v>
      </c>
      <c r="C70" s="176">
        <f>IF($J70="",0,ROUND(Calculations!AA173,6))</f>
        <v>0</v>
      </c>
      <c r="D70" s="177">
        <f>IF(J70="",0,ROUND(Calculations!AC173,3))</f>
        <v>0</v>
      </c>
      <c r="E70" s="180"/>
      <c r="F70" s="181"/>
      <c r="G70" s="182"/>
      <c r="H70" s="181"/>
      <c r="I70" s="182"/>
      <c r="J70" s="183"/>
    </row>
    <row r="71" spans="2:83" ht="24.95" customHeight="1">
      <c r="B71" s="176">
        <f>IF(J71="",0,ROUND(Calculations!AB174,6))</f>
        <v>0</v>
      </c>
      <c r="C71" s="176">
        <f>IF($J71="",0,ROUND(Calculations!AA174,6))</f>
        <v>0</v>
      </c>
      <c r="D71" s="177">
        <f>IF(J71="",0,ROUND(Calculations!AC174,3))</f>
        <v>0</v>
      </c>
      <c r="E71" s="180"/>
      <c r="F71" s="181"/>
      <c r="G71" s="182"/>
      <c r="H71" s="181"/>
      <c r="I71" s="182"/>
      <c r="J71" s="183"/>
    </row>
    <row r="72" spans="2:83" ht="24.95" customHeight="1">
      <c r="B72" s="176">
        <f>IF(J72="",0,ROUND(Calculations!AB175,6))</f>
        <v>0</v>
      </c>
      <c r="C72" s="176">
        <f>IF($J72="",0,ROUND(Calculations!AA175,6))</f>
        <v>0</v>
      </c>
      <c r="D72" s="177">
        <f>IF(J72="",0,ROUND(Calculations!AC175,3))</f>
        <v>0</v>
      </c>
      <c r="E72" s="180"/>
      <c r="F72" s="181"/>
      <c r="G72" s="182"/>
      <c r="H72" s="181"/>
      <c r="I72" s="182"/>
      <c r="J72" s="183"/>
    </row>
    <row r="73" spans="2:83" ht="24.95" customHeight="1">
      <c r="B73" s="176">
        <f>IF(J73="",0,ROUND(Calculations!AB176,6))</f>
        <v>0</v>
      </c>
      <c r="C73" s="176">
        <f>IF($J73="",0,ROUND(Calculations!AA176,6))</f>
        <v>0</v>
      </c>
      <c r="D73" s="177">
        <f>IF(J73="",0,ROUND(Calculations!AC176,3))</f>
        <v>0</v>
      </c>
      <c r="E73" s="180"/>
      <c r="F73" s="181"/>
      <c r="G73" s="182"/>
      <c r="H73" s="181"/>
      <c r="I73" s="182"/>
      <c r="J73" s="183"/>
    </row>
    <row r="74" spans="2:83" s="215" customFormat="1" ht="24.95" customHeight="1" thickBot="1">
      <c r="B74" s="178">
        <f>SUM(B70:B73)</f>
        <v>0</v>
      </c>
      <c r="C74" s="178">
        <f>SUM(C70:C73)</f>
        <v>0</v>
      </c>
      <c r="D74" s="179">
        <f>SUM(D70:D73)</f>
        <v>0</v>
      </c>
      <c r="E74" s="348" t="s">
        <v>123</v>
      </c>
      <c r="F74" s="348"/>
      <c r="G74" s="348"/>
      <c r="H74" s="348"/>
      <c r="I74" s="348"/>
      <c r="J74" s="349"/>
    </row>
    <row r="75" spans="2:83" ht="24.95" customHeight="1"/>
    <row r="76" spans="2:83" s="214" customFormat="1" ht="24.95" customHeight="1" thickBot="1">
      <c r="B76" s="212" t="str">
        <f>Calculations!B178</f>
        <v>Commercial Steam Cooker</v>
      </c>
      <c r="C76" s="212"/>
      <c r="D76" s="213"/>
      <c r="E76" s="213"/>
      <c r="F76" s="213"/>
    </row>
    <row r="77" spans="2:83" s="214" customFormat="1" ht="35.25" customHeight="1" thickBot="1">
      <c r="B77" s="345" t="s">
        <v>142</v>
      </c>
      <c r="C77" s="345"/>
      <c r="D77" s="345"/>
      <c r="E77" s="345"/>
      <c r="F77" s="345"/>
      <c r="G77" s="345"/>
      <c r="H77" s="345"/>
      <c r="I77" s="345"/>
      <c r="J77" s="345"/>
      <c r="K77" s="345"/>
    </row>
    <row r="78" spans="2:83" ht="24.95" customHeight="1">
      <c r="B78" s="184" t="s">
        <v>84</v>
      </c>
      <c r="C78" s="185" t="s">
        <v>85</v>
      </c>
      <c r="D78" s="186" t="s">
        <v>82</v>
      </c>
      <c r="E78" s="186" t="s">
        <v>53</v>
      </c>
      <c r="F78" s="186" t="s">
        <v>55</v>
      </c>
      <c r="G78" s="171" t="s">
        <v>125</v>
      </c>
      <c r="H78" s="171" t="s">
        <v>21</v>
      </c>
      <c r="I78" s="171" t="s">
        <v>27</v>
      </c>
      <c r="J78" s="172" t="s">
        <v>589</v>
      </c>
      <c r="L78" s="229"/>
    </row>
    <row r="79" spans="2:83" ht="24.95" customHeight="1">
      <c r="B79" s="176">
        <f>IF($J79="",0,IFERROR(ROUND(Calculations!X204,6),0))</f>
        <v>0</v>
      </c>
      <c r="C79" s="176">
        <f>IF($J79="",0,IFERROR(ROUND(Calculations!W204,6),0))</f>
        <v>0</v>
      </c>
      <c r="D79" s="177">
        <f>IF(J79="",0,IFERROR(ROUND(Calculations!AA204,3),0))</f>
        <v>0</v>
      </c>
      <c r="E79" s="180"/>
      <c r="F79" s="181"/>
      <c r="G79" s="182"/>
      <c r="H79" s="181"/>
      <c r="I79" s="182"/>
      <c r="J79" s="183"/>
    </row>
    <row r="80" spans="2:83" ht="24.95" customHeight="1">
      <c r="B80" s="176">
        <f>IF(J80="",0,IFERROR(ROUND(Calculations!X205,6),0))</f>
        <v>0</v>
      </c>
      <c r="C80" s="176">
        <f>IF($J80="",0,IFERROR(ROUND(Calculations!W205,6),0))</f>
        <v>0</v>
      </c>
      <c r="D80" s="177">
        <f>IF(J80="",0,IFERROR(ROUND(Calculations!AA205,3),0))</f>
        <v>0</v>
      </c>
      <c r="E80" s="180"/>
      <c r="F80" s="181"/>
      <c r="G80" s="182"/>
      <c r="H80" s="181"/>
      <c r="I80" s="182"/>
      <c r="J80" s="183"/>
    </row>
    <row r="81" spans="2:11" ht="24.95" customHeight="1">
      <c r="B81" s="176">
        <f>IF(J81="",0,IFERROR(ROUND(Calculations!X206,6),0))</f>
        <v>0</v>
      </c>
      <c r="C81" s="176">
        <f>IF($J81="",0,IFERROR(ROUND(Calculations!W206,6),0))</f>
        <v>0</v>
      </c>
      <c r="D81" s="177">
        <f>IF(J81="",0,IFERROR(ROUND(Calculations!AA206,3),0))</f>
        <v>0</v>
      </c>
      <c r="E81" s="180"/>
      <c r="F81" s="181"/>
      <c r="G81" s="182"/>
      <c r="H81" s="181"/>
      <c r="I81" s="182"/>
      <c r="J81" s="183"/>
    </row>
    <row r="82" spans="2:11" ht="24.95" customHeight="1">
      <c r="B82" s="176">
        <f>IF(J82="",0,IFERROR(ROUND(Calculations!X207,6),0))</f>
        <v>0</v>
      </c>
      <c r="C82" s="176">
        <f>IF($J82="",0,IFERROR(ROUND(Calculations!W207,6),0))</f>
        <v>0</v>
      </c>
      <c r="D82" s="177">
        <f>IF(J82="",0,IFERROR(ROUND(Calculations!AA207,3),0))</f>
        <v>0</v>
      </c>
      <c r="E82" s="180"/>
      <c r="F82" s="181"/>
      <c r="G82" s="182"/>
      <c r="H82" s="181"/>
      <c r="I82" s="182"/>
      <c r="J82" s="183"/>
    </row>
    <row r="83" spans="2:11" s="215" customFormat="1" ht="24.95" customHeight="1" thickBot="1">
      <c r="B83" s="178">
        <f>SUM(B79:B82)</f>
        <v>0</v>
      </c>
      <c r="C83" s="178">
        <f>SUM(C79:C82)</f>
        <v>0</v>
      </c>
      <c r="D83" s="179">
        <f>SUM(D79:D82)</f>
        <v>0</v>
      </c>
      <c r="E83" s="348" t="s">
        <v>123</v>
      </c>
      <c r="F83" s="348"/>
      <c r="G83" s="348"/>
      <c r="H83" s="348"/>
      <c r="I83" s="348"/>
      <c r="J83" s="349"/>
    </row>
    <row r="84" spans="2:11" ht="24.95" customHeight="1"/>
    <row r="85" spans="2:11" s="214" customFormat="1" ht="24.95" hidden="1" customHeight="1" thickBot="1">
      <c r="B85" s="212" t="str">
        <f>Calculations!B209</f>
        <v>Beverage Vending Machine</v>
      </c>
      <c r="C85" s="212"/>
      <c r="D85" s="213"/>
      <c r="E85" s="213"/>
      <c r="F85" s="213"/>
    </row>
    <row r="86" spans="2:11" s="214" customFormat="1" ht="24.95" hidden="1" customHeight="1" thickBot="1">
      <c r="B86" s="345"/>
      <c r="C86" s="345"/>
      <c r="D86" s="345"/>
      <c r="E86" s="345"/>
      <c r="F86" s="345"/>
      <c r="G86" s="345"/>
      <c r="H86" s="345"/>
      <c r="I86" s="345"/>
      <c r="J86" s="345"/>
      <c r="K86" s="345"/>
    </row>
    <row r="87" spans="2:11" ht="24.95" hidden="1" customHeight="1">
      <c r="B87" s="184" t="s">
        <v>84</v>
      </c>
      <c r="C87" s="185" t="s">
        <v>85</v>
      </c>
      <c r="D87" s="186" t="s">
        <v>82</v>
      </c>
      <c r="E87" s="186" t="s">
        <v>53</v>
      </c>
      <c r="F87" s="186" t="s">
        <v>55</v>
      </c>
      <c r="G87" s="171" t="s">
        <v>19</v>
      </c>
      <c r="H87" s="171" t="s">
        <v>35</v>
      </c>
      <c r="I87" s="171" t="s">
        <v>45</v>
      </c>
    </row>
    <row r="88" spans="2:11" ht="24.95" hidden="1" customHeight="1">
      <c r="B88" s="176">
        <v>0</v>
      </c>
      <c r="C88" s="176">
        <v>0</v>
      </c>
      <c r="D88" s="177">
        <f>IF(I88="",0,IFERROR(ROUND(Calculations!C222*Calculator!G88,3),0))</f>
        <v>0</v>
      </c>
      <c r="E88" s="180"/>
      <c r="F88" s="181"/>
      <c r="G88" s="182"/>
      <c r="H88" s="182"/>
      <c r="I88" s="182"/>
    </row>
    <row r="89" spans="2:11" ht="24.95" hidden="1" customHeight="1">
      <c r="B89" s="176">
        <v>0</v>
      </c>
      <c r="C89" s="176">
        <v>0</v>
      </c>
      <c r="D89" s="177">
        <f>IF(I89="",0,IFERROR(ROUND(Calculations!C223*Calculator!G89,3),0))</f>
        <v>0</v>
      </c>
      <c r="E89" s="180"/>
      <c r="F89" s="181"/>
      <c r="G89" s="182"/>
      <c r="H89" s="182"/>
      <c r="I89" s="182"/>
    </row>
    <row r="90" spans="2:11" s="215" customFormat="1" ht="24.95" hidden="1" customHeight="1" thickBot="1">
      <c r="B90" s="178">
        <f>SUM(B88:B89)</f>
        <v>0</v>
      </c>
      <c r="C90" s="178">
        <f>SUM(C88:C89)</f>
        <v>0</v>
      </c>
      <c r="D90" s="179">
        <f>SUM(D88:D89)</f>
        <v>0</v>
      </c>
      <c r="E90" s="348" t="s">
        <v>123</v>
      </c>
      <c r="F90" s="348"/>
      <c r="G90" s="348"/>
      <c r="H90" s="348"/>
      <c r="I90" s="349"/>
    </row>
    <row r="91" spans="2:11" ht="24.95" hidden="1" customHeight="1"/>
    <row r="92" spans="2:11" s="214" customFormat="1" ht="24.95" customHeight="1" thickBot="1">
      <c r="B92" s="212" t="str">
        <f>Calculations!B225</f>
        <v>Beverage Vending Machine Controls</v>
      </c>
      <c r="C92" s="212"/>
      <c r="E92" s="223"/>
      <c r="G92" s="224"/>
      <c r="H92" s="224"/>
      <c r="I92" s="224"/>
    </row>
    <row r="93" spans="2:11" s="214" customFormat="1" ht="38.25" customHeight="1" thickBot="1">
      <c r="B93" s="345" t="s">
        <v>143</v>
      </c>
      <c r="C93" s="345"/>
      <c r="D93" s="345"/>
      <c r="E93" s="345"/>
      <c r="F93" s="345"/>
      <c r="G93" s="345"/>
      <c r="H93" s="345"/>
      <c r="I93" s="345"/>
      <c r="J93" s="345"/>
      <c r="K93" s="345"/>
    </row>
    <row r="94" spans="2:11" ht="24.95" customHeight="1">
      <c r="B94" s="184" t="s">
        <v>84</v>
      </c>
      <c r="C94" s="185" t="s">
        <v>85</v>
      </c>
      <c r="D94" s="186" t="s">
        <v>82</v>
      </c>
      <c r="E94" s="186" t="s">
        <v>53</v>
      </c>
      <c r="F94" s="186" t="s">
        <v>55</v>
      </c>
      <c r="G94" s="171" t="s">
        <v>19</v>
      </c>
      <c r="H94" s="171" t="s">
        <v>144</v>
      </c>
      <c r="I94" s="308" t="s">
        <v>589</v>
      </c>
    </row>
    <row r="95" spans="2:11" ht="30.75" customHeight="1">
      <c r="B95" s="176">
        <v>0</v>
      </c>
      <c r="C95" s="176">
        <v>0</v>
      </c>
      <c r="D95" s="177">
        <f>IF(I95="",0,IFERROR(ROUND(Calculations!C238*Calculator!G95,3),0))</f>
        <v>0</v>
      </c>
      <c r="E95" s="180"/>
      <c r="F95" s="181"/>
      <c r="G95" s="181"/>
      <c r="H95" s="288"/>
      <c r="I95" s="284"/>
    </row>
    <row r="96" spans="2:11" ht="31.5" customHeight="1">
      <c r="B96" s="176">
        <v>0</v>
      </c>
      <c r="C96" s="176">
        <v>0</v>
      </c>
      <c r="D96" s="177">
        <f>IF(I96="",0,IFERROR(ROUND(Calculations!C239*Calculator!G96,3),0))</f>
        <v>0</v>
      </c>
      <c r="E96" s="180"/>
      <c r="F96" s="181"/>
      <c r="G96" s="181"/>
      <c r="H96" s="288"/>
      <c r="I96" s="284"/>
    </row>
    <row r="97" spans="2:14" ht="31.5" customHeight="1">
      <c r="B97" s="176">
        <v>0</v>
      </c>
      <c r="C97" s="176">
        <v>0</v>
      </c>
      <c r="D97" s="177">
        <f>IF(I97="",0,IFERROR(ROUND(Calculations!C240*Calculator!G97,3),0))</f>
        <v>0</v>
      </c>
      <c r="E97" s="180"/>
      <c r="F97" s="181"/>
      <c r="G97" s="181"/>
      <c r="H97" s="288"/>
      <c r="I97" s="284"/>
    </row>
    <row r="98" spans="2:14" ht="31.5" customHeight="1">
      <c r="B98" s="176">
        <v>0</v>
      </c>
      <c r="C98" s="176">
        <v>0</v>
      </c>
      <c r="D98" s="177">
        <f>IF(I98="",0,IFERROR(ROUND(Calculations!C241*Calculator!G98,3),0))</f>
        <v>0</v>
      </c>
      <c r="E98" s="180"/>
      <c r="F98" s="181"/>
      <c r="G98" s="181"/>
      <c r="H98" s="288"/>
      <c r="I98" s="284"/>
    </row>
    <row r="99" spans="2:14" ht="31.5" customHeight="1">
      <c r="B99" s="176">
        <v>0</v>
      </c>
      <c r="C99" s="176">
        <v>0</v>
      </c>
      <c r="D99" s="177">
        <f>IF(I99="",0,IFERROR(ROUND(Calculations!C242*Calculator!G99,3),0))</f>
        <v>0</v>
      </c>
      <c r="E99" s="180"/>
      <c r="F99" s="181"/>
      <c r="G99" s="181"/>
      <c r="H99" s="288"/>
      <c r="I99" s="284"/>
    </row>
    <row r="100" spans="2:14" s="215" customFormat="1" ht="24.95" customHeight="1" thickBot="1">
      <c r="B100" s="178">
        <f>SUM(B95:B99)</f>
        <v>0</v>
      </c>
      <c r="C100" s="178">
        <f>SUM(C95:C99)</f>
        <v>0</v>
      </c>
      <c r="D100" s="179">
        <f>SUM(D95:D99)</f>
        <v>0</v>
      </c>
      <c r="E100" s="348" t="s">
        <v>123</v>
      </c>
      <c r="F100" s="348"/>
      <c r="G100" s="348"/>
      <c r="H100" s="348"/>
      <c r="I100" s="349"/>
    </row>
    <row r="101" spans="2:14" ht="24.95" customHeight="1"/>
    <row r="102" spans="2:14" s="214" customFormat="1" ht="24.95" customHeight="1" thickBot="1">
      <c r="B102" s="212" t="str">
        <f>Calculations!B244</f>
        <v>Energy Star Commercial Reach-ins</v>
      </c>
      <c r="C102" s="212"/>
      <c r="D102" s="213"/>
      <c r="E102" s="213"/>
      <c r="F102" s="213"/>
    </row>
    <row r="103" spans="2:14" s="214" customFormat="1" ht="33.75" customHeight="1" thickBot="1">
      <c r="B103" s="345" t="s">
        <v>145</v>
      </c>
      <c r="C103" s="345"/>
      <c r="D103" s="345"/>
      <c r="E103" s="345"/>
      <c r="F103" s="345"/>
      <c r="G103" s="345"/>
      <c r="H103" s="345"/>
      <c r="I103" s="345"/>
      <c r="J103" s="345"/>
      <c r="K103" s="345"/>
    </row>
    <row r="104" spans="2:14" ht="27.75" customHeight="1">
      <c r="B104" s="184" t="s">
        <v>84</v>
      </c>
      <c r="C104" s="185" t="s">
        <v>85</v>
      </c>
      <c r="D104" s="186" t="s">
        <v>82</v>
      </c>
      <c r="E104" s="186" t="s">
        <v>146</v>
      </c>
      <c r="F104" s="206" t="s">
        <v>147</v>
      </c>
      <c r="G104" s="186" t="s">
        <v>53</v>
      </c>
      <c r="H104" s="186" t="s">
        <v>55</v>
      </c>
      <c r="I104" s="171" t="s">
        <v>23</v>
      </c>
      <c r="J104" s="171" t="s">
        <v>148</v>
      </c>
      <c r="K104" s="171" t="s">
        <v>75</v>
      </c>
      <c r="L104" s="171" t="s">
        <v>43</v>
      </c>
      <c r="M104" s="171" t="s">
        <v>41</v>
      </c>
      <c r="N104" s="305" t="s">
        <v>589</v>
      </c>
    </row>
    <row r="105" spans="2:14" ht="24.95" customHeight="1">
      <c r="B105" s="176">
        <f>IF($N105="",0,IFERROR(ROUND(Calculations!N288,6),"0.000000"))</f>
        <v>0</v>
      </c>
      <c r="C105" s="176">
        <f>IF($N105="",0,IFERROR(ROUND(Calculations!M288,6),"0.000000"))</f>
        <v>0</v>
      </c>
      <c r="D105" s="177">
        <f>IF(N105="",0,IFERROR(ROUND(Calculations!O288,3),0))</f>
        <v>0</v>
      </c>
      <c r="E105" s="180"/>
      <c r="F105" s="181"/>
      <c r="G105" s="180"/>
      <c r="H105" s="181"/>
      <c r="I105" s="181"/>
      <c r="J105" s="201"/>
      <c r="K105" s="182"/>
      <c r="L105" s="182"/>
      <c r="M105" s="182"/>
      <c r="N105" s="202"/>
    </row>
    <row r="106" spans="2:14" ht="24.95" customHeight="1">
      <c r="B106" s="176">
        <f>IF(N106="",0,IFERROR(ROUND(Calculations!N289,6),"0.000000"))</f>
        <v>0</v>
      </c>
      <c r="C106" s="176">
        <f>IF($N106="",0,IFERROR(ROUND(Calculations!M289,6),"0.000000"))</f>
        <v>0</v>
      </c>
      <c r="D106" s="177">
        <f>IF(N106="",0,IFERROR(ROUND(Calculations!O289,3),0))</f>
        <v>0</v>
      </c>
      <c r="E106" s="180"/>
      <c r="F106" s="181"/>
      <c r="G106" s="180"/>
      <c r="H106" s="181"/>
      <c r="I106" s="203"/>
      <c r="J106" s="201"/>
      <c r="K106" s="204"/>
      <c r="L106" s="182"/>
      <c r="M106" s="182"/>
      <c r="N106" s="202"/>
    </row>
    <row r="107" spans="2:14" ht="24.95" customHeight="1">
      <c r="B107" s="176">
        <f>IF(N107="",0,IFERROR(ROUND(Calculations!N290,6),"0.000000"))</f>
        <v>0</v>
      </c>
      <c r="C107" s="176">
        <f>IF($N107="",0,IFERROR(ROUND(Calculations!M290,6),"0.000000"))</f>
        <v>0</v>
      </c>
      <c r="D107" s="177">
        <f>IF(N107="",0,IFERROR(ROUND(Calculations!O290,3),0))</f>
        <v>0</v>
      </c>
      <c r="E107" s="180"/>
      <c r="F107" s="205"/>
      <c r="G107" s="180"/>
      <c r="H107" s="181"/>
      <c r="I107" s="201"/>
      <c r="J107" s="201"/>
      <c r="K107" s="204"/>
      <c r="L107" s="182"/>
      <c r="M107" s="204"/>
      <c r="N107" s="202"/>
    </row>
    <row r="108" spans="2:14" ht="24.95" customHeight="1">
      <c r="B108" s="176">
        <f>IF(N108="",0,IFERROR(ROUND(Calculations!N291,6),"0.000000"))</f>
        <v>0</v>
      </c>
      <c r="C108" s="176">
        <f>IF($N108="",0,IFERROR(ROUND(Calculations!M291,6),"0.000000"))</f>
        <v>0</v>
      </c>
      <c r="D108" s="177">
        <f>IF(N108="",0,IFERROR(ROUND(Calculations!O291,3),0))</f>
        <v>0</v>
      </c>
      <c r="E108" s="180"/>
      <c r="F108" s="181"/>
      <c r="G108" s="180"/>
      <c r="H108" s="181"/>
      <c r="I108" s="203"/>
      <c r="J108" s="201"/>
      <c r="K108" s="204"/>
      <c r="L108" s="182"/>
      <c r="M108" s="204"/>
      <c r="N108" s="202"/>
    </row>
    <row r="109" spans="2:14" ht="24.95" customHeight="1">
      <c r="B109" s="176">
        <f>IF(N109="",0,IFERROR(ROUND(Calculations!N292,6),"0.000000"))</f>
        <v>0</v>
      </c>
      <c r="C109" s="176">
        <f>IF($N109="",0,IFERROR(ROUND(Calculations!M292,6),"0.000000"))</f>
        <v>0</v>
      </c>
      <c r="D109" s="177">
        <f>IF(N109="",0,IFERROR(ROUND(Calculations!O292,3),0))</f>
        <v>0</v>
      </c>
      <c r="E109" s="180"/>
      <c r="F109" s="181"/>
      <c r="G109" s="180"/>
      <c r="H109" s="181"/>
      <c r="I109" s="203"/>
      <c r="J109" s="201"/>
      <c r="K109" s="182"/>
      <c r="L109" s="182"/>
      <c r="M109" s="182"/>
      <c r="N109" s="202"/>
    </row>
    <row r="110" spans="2:14" ht="24.95" customHeight="1">
      <c r="B110" s="176">
        <f>IF(N110="",0,IFERROR(ROUND(Calculations!N293,6),"0.000000"))</f>
        <v>0</v>
      </c>
      <c r="C110" s="176">
        <f>IF($N110="",0,IFERROR(ROUND(Calculations!M293,6),"0.000000"))</f>
        <v>0</v>
      </c>
      <c r="D110" s="177">
        <f>IF(N110="",0,IFERROR(ROUND(Calculations!O293,3),0))</f>
        <v>0</v>
      </c>
      <c r="E110" s="180"/>
      <c r="F110" s="181"/>
      <c r="G110" s="180"/>
      <c r="H110" s="181"/>
      <c r="I110" s="203"/>
      <c r="J110" s="201"/>
      <c r="K110" s="182"/>
      <c r="L110" s="182"/>
      <c r="M110" s="182"/>
      <c r="N110" s="202"/>
    </row>
    <row r="111" spans="2:14" ht="24.95" customHeight="1">
      <c r="B111" s="176">
        <f>IF(N111="",0,IFERROR(ROUND(Calculations!N294,6),"0.000000"))</f>
        <v>0</v>
      </c>
      <c r="C111" s="176">
        <f>IF($N111="",0,IFERROR(ROUND(Calculations!M294,6),"0.000000"))</f>
        <v>0</v>
      </c>
      <c r="D111" s="177">
        <f>IF(N111="",0,IFERROR(ROUND(Calculations!O294,3),0))</f>
        <v>0</v>
      </c>
      <c r="E111" s="180"/>
      <c r="F111" s="205"/>
      <c r="G111" s="180"/>
      <c r="H111" s="181"/>
      <c r="I111" s="203"/>
      <c r="J111" s="201"/>
      <c r="K111" s="182"/>
      <c r="L111" s="182"/>
      <c r="M111" s="182"/>
      <c r="N111" s="202"/>
    </row>
    <row r="112" spans="2:14" ht="24.95" customHeight="1">
      <c r="B112" s="176">
        <f>IF(N112="",0,IFERROR(ROUND(Calculations!N295,6),"0.000000"))</f>
        <v>0</v>
      </c>
      <c r="C112" s="176">
        <f>IF($N112="",0,IFERROR(ROUND(Calculations!M295,6),"0.000000"))</f>
        <v>0</v>
      </c>
      <c r="D112" s="177">
        <f>IF(N112="",0,IFERROR(ROUND(Calculations!O295,3),0))</f>
        <v>0</v>
      </c>
      <c r="E112" s="180"/>
      <c r="F112" s="181"/>
      <c r="G112" s="180"/>
      <c r="H112" s="181"/>
      <c r="I112" s="203"/>
      <c r="J112" s="201"/>
      <c r="K112" s="182"/>
      <c r="L112" s="182"/>
      <c r="M112" s="182"/>
      <c r="N112" s="202"/>
    </row>
    <row r="113" spans="2:14" s="215" customFormat="1" ht="24.95" customHeight="1" thickBot="1">
      <c r="B113" s="178">
        <f>SUM(B105:B112)</f>
        <v>0</v>
      </c>
      <c r="C113" s="178">
        <f>SUM(C105:C112)</f>
        <v>0</v>
      </c>
      <c r="D113" s="179">
        <f>SUM(D105:D112)</f>
        <v>0</v>
      </c>
      <c r="E113" s="348" t="s">
        <v>123</v>
      </c>
      <c r="F113" s="348"/>
      <c r="G113" s="348"/>
      <c r="H113" s="348"/>
      <c r="I113" s="348"/>
      <c r="J113" s="348"/>
      <c r="K113" s="348"/>
      <c r="L113" s="348"/>
      <c r="M113" s="348"/>
      <c r="N113" s="349"/>
    </row>
    <row r="114" spans="2:14" ht="24.95" customHeight="1"/>
    <row r="115" spans="2:14" s="214" customFormat="1" ht="24.95" customHeight="1" thickBot="1">
      <c r="B115" s="212" t="str">
        <f>Calculations!B297</f>
        <v>Hot Food Holding Cabinet</v>
      </c>
      <c r="C115" s="212"/>
      <c r="D115" s="213"/>
      <c r="E115" s="213"/>
      <c r="F115" s="213"/>
    </row>
    <row r="116" spans="2:14" s="214" customFormat="1" ht="33.75" customHeight="1" thickBot="1">
      <c r="B116" s="345" t="s">
        <v>149</v>
      </c>
      <c r="C116" s="345"/>
      <c r="D116" s="345"/>
      <c r="E116" s="345"/>
      <c r="F116" s="345"/>
      <c r="G116" s="345"/>
      <c r="H116" s="345"/>
      <c r="I116" s="345"/>
      <c r="J116" s="345"/>
      <c r="K116" s="345"/>
    </row>
    <row r="117" spans="2:14" ht="24.95" customHeight="1">
      <c r="B117" s="184" t="s">
        <v>84</v>
      </c>
      <c r="C117" s="185" t="s">
        <v>85</v>
      </c>
      <c r="D117" s="186" t="s">
        <v>82</v>
      </c>
      <c r="E117" s="186" t="s">
        <v>53</v>
      </c>
      <c r="F117" s="186" t="s">
        <v>55</v>
      </c>
      <c r="G117" s="171" t="s">
        <v>125</v>
      </c>
      <c r="H117" s="171" t="s">
        <v>150</v>
      </c>
      <c r="I117" s="308" t="s">
        <v>589</v>
      </c>
      <c r="J117" s="230"/>
      <c r="K117" s="230"/>
      <c r="L117" s="230"/>
    </row>
    <row r="118" spans="2:14" ht="24.95" customHeight="1">
      <c r="B118" s="176">
        <f>IF($I118="",0,ROUND(Calculations!I310,6))</f>
        <v>0</v>
      </c>
      <c r="C118" s="176">
        <f>IF($I118="",0,ROUND(Calculations!H310,6))</f>
        <v>0</v>
      </c>
      <c r="D118" s="177">
        <f>IF(I118="",0,ROUND(Calculations!J310,3))</f>
        <v>0</v>
      </c>
      <c r="E118" s="180"/>
      <c r="F118" s="181"/>
      <c r="G118" s="182"/>
      <c r="H118" s="182"/>
      <c r="I118" s="182"/>
    </row>
    <row r="119" spans="2:14" ht="24.95" customHeight="1">
      <c r="B119" s="176">
        <f>IF(I119="",0,ROUND(Calculations!I311,6))</f>
        <v>0</v>
      </c>
      <c r="C119" s="176">
        <f>IF($I119="",0,ROUND(Calculations!H311,6))</f>
        <v>0</v>
      </c>
      <c r="D119" s="177">
        <f>IF(I119="",0,ROUND(Calculations!J311,3))</f>
        <v>0</v>
      </c>
      <c r="E119" s="180"/>
      <c r="F119" s="181"/>
      <c r="G119" s="182"/>
      <c r="H119" s="182"/>
      <c r="I119" s="182"/>
    </row>
    <row r="120" spans="2:14" ht="24.95" customHeight="1">
      <c r="B120" s="176">
        <f>IF(I120="",0,ROUND(Calculations!I312,6))</f>
        <v>0</v>
      </c>
      <c r="C120" s="176">
        <f>IF($I120="",0,ROUND(Calculations!H312,6))</f>
        <v>0</v>
      </c>
      <c r="D120" s="177">
        <f>IF(I120="",0,ROUND(Calculations!J312,3))</f>
        <v>0</v>
      </c>
      <c r="E120" s="180"/>
      <c r="F120" s="181"/>
      <c r="G120" s="182"/>
      <c r="H120" s="182"/>
      <c r="I120" s="182"/>
    </row>
    <row r="121" spans="2:14" s="215" customFormat="1" ht="24.95" customHeight="1" thickBot="1">
      <c r="B121" s="178">
        <f>SUM(B118:B120)</f>
        <v>0</v>
      </c>
      <c r="C121" s="178">
        <f>SUM(C118:C120)</f>
        <v>0</v>
      </c>
      <c r="D121" s="179">
        <f>SUM(D118:D120)</f>
        <v>0</v>
      </c>
      <c r="E121" s="348" t="s">
        <v>123</v>
      </c>
      <c r="F121" s="348"/>
      <c r="G121" s="348"/>
      <c r="H121" s="348"/>
      <c r="I121" s="349"/>
    </row>
    <row r="122" spans="2:14" ht="24.95" customHeight="1"/>
    <row r="123" spans="2:14" ht="18.75" thickBot="1">
      <c r="B123" s="212" t="s">
        <v>107</v>
      </c>
      <c r="C123" s="212"/>
      <c r="D123" s="213"/>
      <c r="E123" s="213"/>
      <c r="F123" s="213"/>
      <c r="G123" s="214"/>
      <c r="H123" s="214"/>
      <c r="I123" s="214"/>
      <c r="J123" s="214"/>
      <c r="K123" s="214"/>
    </row>
    <row r="124" spans="2:14" ht="31.5" customHeight="1" thickBot="1">
      <c r="B124" s="345" t="s">
        <v>151</v>
      </c>
      <c r="C124" s="345"/>
      <c r="D124" s="345"/>
      <c r="E124" s="345"/>
      <c r="F124" s="345"/>
      <c r="G124" s="345"/>
      <c r="H124" s="345"/>
      <c r="I124" s="345"/>
      <c r="J124" s="345"/>
      <c r="K124" s="345"/>
    </row>
    <row r="125" spans="2:14" ht="34.5" customHeight="1">
      <c r="B125" s="196" t="s">
        <v>84</v>
      </c>
      <c r="C125" s="197" t="s">
        <v>85</v>
      </c>
      <c r="D125" s="198" t="s">
        <v>82</v>
      </c>
      <c r="E125" s="198" t="s">
        <v>53</v>
      </c>
      <c r="F125" s="198" t="s">
        <v>55</v>
      </c>
      <c r="G125" s="200" t="s">
        <v>125</v>
      </c>
      <c r="H125" s="199" t="s">
        <v>29</v>
      </c>
      <c r="I125" s="199" t="s">
        <v>152</v>
      </c>
      <c r="J125" s="199" t="s">
        <v>75</v>
      </c>
      <c r="K125" s="199" t="s">
        <v>39</v>
      </c>
      <c r="L125" s="309" t="s">
        <v>589</v>
      </c>
    </row>
    <row r="126" spans="2:14" ht="24.75" customHeight="1">
      <c r="B126" s="176">
        <f>IF($L126="",0,ROUND(Calculations!J364,6))</f>
        <v>0</v>
      </c>
      <c r="C126" s="176">
        <f>IF($L126="",0,ROUND(Calculations!I364,6))</f>
        <v>0</v>
      </c>
      <c r="D126" s="177">
        <f>IF(L126="",0,ROUND(Calculations!K364,3))</f>
        <v>0</v>
      </c>
      <c r="E126" s="191"/>
      <c r="F126" s="192"/>
      <c r="G126" s="192"/>
      <c r="H126" s="191"/>
      <c r="I126" s="191"/>
      <c r="J126" s="191"/>
      <c r="K126" s="191"/>
      <c r="L126" s="194"/>
    </row>
    <row r="127" spans="2:14" ht="24.75" customHeight="1">
      <c r="B127" s="176">
        <f>IF(L127="",0,ROUND(Calculations!J365,6))</f>
        <v>0</v>
      </c>
      <c r="C127" s="176">
        <f>IF($L127="",0,ROUND(Calculations!I365,6))</f>
        <v>0</v>
      </c>
      <c r="D127" s="177">
        <f>IF(L127="",0,ROUND(Calculations!K365,3))</f>
        <v>0</v>
      </c>
      <c r="E127" s="191"/>
      <c r="F127" s="192"/>
      <c r="G127" s="192"/>
      <c r="H127" s="191"/>
      <c r="I127" s="191"/>
      <c r="J127" s="191"/>
      <c r="K127" s="191"/>
      <c r="L127" s="194"/>
    </row>
    <row r="128" spans="2:14" ht="24.75" customHeight="1">
      <c r="B128" s="176">
        <f>IF(L128="",0,ROUND(Calculations!J366,6))</f>
        <v>0</v>
      </c>
      <c r="C128" s="176">
        <f>IF($L128="",0,ROUND(Calculations!I366,6))</f>
        <v>0</v>
      </c>
      <c r="D128" s="177">
        <f>IF(L128="",0,ROUND(Calculations!K366,3))</f>
        <v>0</v>
      </c>
      <c r="E128" s="191"/>
      <c r="F128" s="192"/>
      <c r="G128" s="192"/>
      <c r="H128" s="191"/>
      <c r="I128" s="191"/>
      <c r="J128" s="191"/>
      <c r="K128" s="191"/>
      <c r="L128" s="194"/>
    </row>
    <row r="129" spans="2:12" ht="24.75" customHeight="1">
      <c r="B129" s="176">
        <f>IF(L129="",0,ROUND(Calculations!J367,6))</f>
        <v>0</v>
      </c>
      <c r="C129" s="176">
        <f>IF($L129="",0,ROUND(Calculations!I367,6))</f>
        <v>0</v>
      </c>
      <c r="D129" s="177">
        <f>IF(L129="",0,ROUND(Calculations!K367,3))</f>
        <v>0</v>
      </c>
      <c r="E129" s="191"/>
      <c r="F129" s="192"/>
      <c r="G129" s="192"/>
      <c r="H129" s="191"/>
      <c r="I129" s="191"/>
      <c r="J129" s="191"/>
      <c r="K129" s="191"/>
      <c r="L129" s="194"/>
    </row>
    <row r="130" spans="2:12" ht="24.75" customHeight="1">
      <c r="B130" s="176">
        <f>IF(L130="",0,ROUND(Calculations!J368,6))</f>
        <v>0</v>
      </c>
      <c r="C130" s="176">
        <f>IF($L130="",0,ROUND(Calculations!I368,6))</f>
        <v>0</v>
      </c>
      <c r="D130" s="177">
        <f>IF(L130="",0,ROUND(Calculations!K368,3))</f>
        <v>0</v>
      </c>
      <c r="E130" s="191"/>
      <c r="F130" s="192"/>
      <c r="G130" s="192"/>
      <c r="H130" s="191"/>
      <c r="I130" s="191"/>
      <c r="J130" s="191"/>
      <c r="K130" s="191"/>
      <c r="L130" s="194"/>
    </row>
    <row r="131" spans="2:12" ht="24.75" customHeight="1" thickBot="1">
      <c r="B131" s="178">
        <f>SUM(B126:B130)</f>
        <v>0</v>
      </c>
      <c r="C131" s="178">
        <f>SUM(C126:C130)</f>
        <v>0</v>
      </c>
      <c r="D131" s="179">
        <f>SUM(D126:D130)</f>
        <v>0</v>
      </c>
      <c r="E131" s="348" t="s">
        <v>123</v>
      </c>
      <c r="F131" s="348"/>
      <c r="G131" s="348"/>
      <c r="H131" s="348"/>
      <c r="I131" s="348"/>
      <c r="J131" s="348"/>
      <c r="K131" s="348"/>
      <c r="L131" s="349"/>
    </row>
    <row r="132" spans="2:12" ht="24.75" customHeight="1"/>
  </sheetData>
  <sheetProtection algorithmName="SHA-512" hashValue="pku64V3g5Saz6jhCO6fTN2Uq1fAHhAhU2V3MfyztGO0d2FROeg8Q0dsIdTnR21Y1UTArhmrWwqeorrbwI7hzGQ==" saltValue="8MNHalWYYqkpMD8o3JXu3Q==" spinCount="100000" sheet="1" formatColumns="0"/>
  <protectedRanges>
    <protectedRange sqref="E8:J11" name="Range1"/>
    <protectedRange sqref="E17:I20" name="Range2"/>
    <protectedRange sqref="E54:O57" name="Range3"/>
    <protectedRange sqref="E26:K33" name="Range4"/>
    <protectedRange sqref="E39:I40" name="Range5"/>
    <protectedRange sqref="E46:J47" name="Range6"/>
    <protectedRange sqref="E63:J64" name="Range7"/>
    <protectedRange sqref="E70:J73" name="Range8"/>
    <protectedRange sqref="E79:J82" name="Range9"/>
    <protectedRange sqref="E88:I89" name="Range10"/>
    <protectedRange sqref="E95:I99" name="Range11"/>
    <protectedRange sqref="E105:N112" name="Range13"/>
    <protectedRange sqref="E118:I120" name="Range14"/>
    <protectedRange sqref="E126:L130" name="Range15"/>
  </protectedRanges>
  <mergeCells count="40">
    <mergeCell ref="E131:L131"/>
    <mergeCell ref="O52:O53"/>
    <mergeCell ref="E58:O58"/>
    <mergeCell ref="E65:J65"/>
    <mergeCell ref="E74:J74"/>
    <mergeCell ref="K52:N52"/>
    <mergeCell ref="H52:H53"/>
    <mergeCell ref="I52:J52"/>
    <mergeCell ref="B61:K61"/>
    <mergeCell ref="B68:K68"/>
    <mergeCell ref="B1:G2"/>
    <mergeCell ref="B52:B53"/>
    <mergeCell ref="D52:D53"/>
    <mergeCell ref="G52:G53"/>
    <mergeCell ref="B3:G3"/>
    <mergeCell ref="F52:F53"/>
    <mergeCell ref="E52:E53"/>
    <mergeCell ref="E12:J12"/>
    <mergeCell ref="E21:I21"/>
    <mergeCell ref="E34:K34"/>
    <mergeCell ref="E41:I41"/>
    <mergeCell ref="E48:J48"/>
    <mergeCell ref="B37:K37"/>
    <mergeCell ref="B44:K44"/>
    <mergeCell ref="B51:K51"/>
    <mergeCell ref="B24:K24"/>
    <mergeCell ref="B15:K15"/>
    <mergeCell ref="B6:K6"/>
    <mergeCell ref="B124:K124"/>
    <mergeCell ref="C52:C53"/>
    <mergeCell ref="B77:K77"/>
    <mergeCell ref="B86:K86"/>
    <mergeCell ref="B93:K93"/>
    <mergeCell ref="B103:K103"/>
    <mergeCell ref="B116:K116"/>
    <mergeCell ref="E83:J83"/>
    <mergeCell ref="E90:I90"/>
    <mergeCell ref="E100:I100"/>
    <mergeCell ref="E113:N113"/>
    <mergeCell ref="E121:I121"/>
  </mergeCells>
  <conditionalFormatting sqref="F105:F112">
    <cfRule type="expression" dxfId="39" priority="4">
      <formula>E105="New Construction"</formula>
    </cfRule>
    <cfRule type="expression" dxfId="38" priority="5">
      <formula>E105="Time of Sale"</formula>
    </cfRule>
  </conditionalFormatting>
  <dataValidations count="14">
    <dataValidation type="whole" allowBlank="1" showInputMessage="1" showErrorMessage="1" sqref="G64 G40 G80:G82 G119:G120 G47" xr:uid="{0C7FE16D-C83F-4A09-85CB-0FF0316A8A1F}">
      <formula1>0</formula1>
      <formula2>100</formula2>
    </dataValidation>
    <dataValidation type="decimal" allowBlank="1" showInputMessage="1" showErrorMessage="1" sqref="H17:H20" xr:uid="{FAE4D22B-A7F6-4CEF-B84E-8B9BF61EE54B}">
      <formula1>0</formula1>
      <formula2>1000</formula2>
    </dataValidation>
    <dataValidation type="whole" allowBlank="1" showInputMessage="1" showErrorMessage="1" sqref="G89 G96:G99 G8:G11" xr:uid="{9ED06D09-1C77-4279-B146-1113E4399629}">
      <formula1>0</formula1>
      <formula2>1000</formula2>
    </dataValidation>
    <dataValidation type="decimal" allowBlank="1" showInputMessage="1" showErrorMessage="1" sqref="I46:I47" xr:uid="{42DC28E1-5A27-483D-AEC7-000E89861B39}">
      <formula1>0</formula1>
      <formula2>100</formula2>
    </dataValidation>
    <dataValidation type="whole" allowBlank="1" showInputMessage="1" showErrorMessage="1" sqref="G26:G33 H70:H73 G39 G54:G57 G63 G70 G79 G88 G95 I105 G118 G126 G46" xr:uid="{6BD3B4D6-F6C3-4AFC-BDA9-C0B04AED6442}">
      <formula1>0</formula1>
      <formula2>50</formula2>
    </dataValidation>
    <dataValidation type="whole" allowBlank="1" showInputMessage="1" showErrorMessage="1" sqref="H79:H82" xr:uid="{64B34330-9218-4343-8E76-7F375DDCF123}">
      <formula1>3</formula1>
      <formula2>12</formula2>
    </dataValidation>
    <dataValidation type="decimal" allowBlank="1" showInputMessage="1" showErrorMessage="1" sqref="J105:J112" xr:uid="{37F3FA22-3CED-4351-8010-AADA92A4F962}">
      <formula1>0</formula1>
      <formula2>150</formula2>
    </dataValidation>
    <dataValidation type="whole" allowBlank="1" showInputMessage="1" showErrorMessage="1" sqref="G17:G20 I106:I112" xr:uid="{D5877688-77E7-4903-8B5D-D9DBC8F53286}">
      <formula1>1</formula1>
      <formula2>100</formula2>
    </dataValidation>
    <dataValidation type="whole" allowBlank="1" showInputMessage="1" showErrorMessage="1" sqref="H54:H57" xr:uid="{DAFAD21C-EEB1-43DA-B981-9084B76A2AE9}">
      <formula1>0</formula1>
      <formula2>4000</formula2>
    </dataValidation>
    <dataValidation type="decimal" allowBlank="1" showInputMessage="1" showErrorMessage="1" sqref="H118:H120 N54:N57" xr:uid="{9D394BA1-F405-4C03-A822-F2CF165898B1}">
      <formula1>0</formula1>
      <formula2>50</formula2>
    </dataValidation>
    <dataValidation type="list" allowBlank="1" showInputMessage="1" showErrorMessage="1" sqref="I63:I64 I70:I73" xr:uid="{72D824F8-50D7-41F2-8477-A9434CF1ED0B}">
      <formula1>BuildingTypeOven</formula1>
    </dataValidation>
    <dataValidation type="list" allowBlank="1" showInputMessage="1" showErrorMessage="1" sqref="J126:J130" xr:uid="{B078C4F5-F1AB-4F6D-BFA3-B5CB40BADDE2}">
      <formula1>DishwasherTemp</formula1>
    </dataValidation>
    <dataValidation type="list" allowBlank="1" showInputMessage="1" showErrorMessage="1" sqref="K126:K130" xr:uid="{818CF23A-CB08-4BC0-B706-25569F18022D}">
      <formula1>INDIRECT(J126)</formula1>
    </dataValidation>
    <dataValidation type="list" allowBlank="1" showInputMessage="1" showErrorMessage="1" sqref="J26:J33" xr:uid="{0DA55426-246F-4BF1-91DB-A2E6D480D76F}">
      <formula1>Curtains</formula1>
    </dataValidation>
  </dataValidations>
  <pageMargins left="0.5" right="0.5" top="0.5" bottom="0.5" header="0.3" footer="0.3"/>
  <pageSetup orientation="portrait" r:id="rId1"/>
  <legacyDrawing r:id="rId2"/>
  <extLst>
    <ext xmlns:x14="http://schemas.microsoft.com/office/spreadsheetml/2009/9/main" uri="{CCE6A557-97BC-4b89-ADB6-D9C93CAAB3DF}">
      <x14:dataValidations xmlns:xm="http://schemas.microsoft.com/office/excel/2006/main" count="18">
        <x14:dataValidation type="list" allowBlank="1" showInputMessage="1" showErrorMessage="1" xr:uid="{1319C354-EB80-4400-8310-EF9F1483206A}">
          <x14:formula1>
            <xm:f>Calculations!$B$5:$B$6</xm:f>
          </x14:formula1>
          <xm:sqref>H8:H11</xm:sqref>
        </x14:dataValidation>
        <x14:dataValidation type="list" allowBlank="1" showInputMessage="1" showErrorMessage="1" xr:uid="{22B43239-7E40-465A-B4FE-8681862F7180}">
          <x14:formula1>
            <xm:f>Calculations!$C$5:$C$6</xm:f>
          </x14:formula1>
          <xm:sqref>I8:I11</xm:sqref>
        </x14:dataValidation>
        <x14:dataValidation type="list" allowBlank="1" showInputMessage="1" showErrorMessage="1" xr:uid="{31B998A3-5D1F-4E4B-BC63-27649B28A0DC}">
          <x14:formula1>
            <xm:f>Calculations!$B$181:$B$182</xm:f>
          </x14:formula1>
          <xm:sqref>I79:I82</xm:sqref>
        </x14:dataValidation>
        <x14:dataValidation type="list" allowBlank="1" showInputMessage="1" showErrorMessage="1" xr:uid="{1E718A22-5460-4C2A-8BDB-92F96D3C2F7D}">
          <x14:formula1>
            <xm:f>Calculations!$C$247:$C$248</xm:f>
          </x14:formula1>
          <xm:sqref>L105:L112</xm:sqref>
        </x14:dataValidation>
        <x14:dataValidation type="list" allowBlank="1" showInputMessage="1" showErrorMessage="1" xr:uid="{81BCABAC-16E0-4FD7-9CED-683DB094685F}">
          <x14:formula1>
            <xm:f>Calculations!$D$247:$D$248</xm:f>
          </x14:formula1>
          <xm:sqref>M105:M112</xm:sqref>
        </x14:dataValidation>
        <x14:dataValidation type="list" allowBlank="1" showInputMessage="1" showErrorMessage="1" xr:uid="{199226DE-45A4-472F-9D9E-09FF15D120D5}">
          <x14:formula1>
            <xm:f>Calculations!$B$247:$B$248</xm:f>
          </x14:formula1>
          <xm:sqref>K105:K112</xm:sqref>
        </x14:dataValidation>
        <x14:dataValidation type="list" allowBlank="1" showInputMessage="1" showErrorMessage="1" xr:uid="{8E9D54CF-6102-4043-A1F9-DC6CA6A429BB}">
          <x14:formula1>
            <xm:f>Calculations!$B$36:$B$39</xm:f>
          </x14:formula1>
          <xm:sqref>H26:H33</xm:sqref>
        </x14:dataValidation>
        <x14:dataValidation type="list" allowBlank="1" showInputMessage="1" showErrorMessage="1" xr:uid="{28A19D58-B467-49E5-8364-CE9322DA2027}">
          <x14:formula1>
            <xm:f>Calculations!$C$36:$C$37</xm:f>
          </x14:formula1>
          <xm:sqref>I26:I33</xm:sqref>
        </x14:dataValidation>
        <x14:dataValidation type="list" allowBlank="1" showInputMessage="1" showErrorMessage="1" xr:uid="{2B1EB4CB-126C-4CDE-8347-FF74635D9656}">
          <x14:formula1>
            <xm:f>Calculations!$B$212:$B$213</xm:f>
          </x14:formula1>
          <xm:sqref>H88:H89</xm:sqref>
        </x14:dataValidation>
        <x14:dataValidation type="list" allowBlank="1" showInputMessage="1" showErrorMessage="1" xr:uid="{E19F8C7E-F44D-4EEC-8477-E2709C886CD9}">
          <x14:formula1>
            <xm:f>Calculations!$B$228:$B$229</xm:f>
          </x14:formula1>
          <xm:sqref>H95:H99</xm:sqref>
        </x14:dataValidation>
        <x14:dataValidation type="list" allowBlank="1" showInputMessage="1" showErrorMessage="1" xr:uid="{12D197E6-7E81-4F28-BD01-71DA5EF54295}">
          <x14:formula1>
            <xm:f>Calculations!$E$247:$E$249</xm:f>
          </x14:formula1>
          <xm:sqref>E105:E112</xm:sqref>
        </x14:dataValidation>
        <x14:dataValidation type="list" allowBlank="1" showInputMessage="1" showErrorMessage="1" xr:uid="{265A5B0E-7858-469B-A7B9-11EBC38311A5}">
          <x14:formula1>
            <xm:f>Calculations!$B$317:$B$318</xm:f>
          </x14:formula1>
          <xm:sqref>H126:I130</xm:sqref>
        </x14:dataValidation>
        <x14:dataValidation type="list" allowBlank="1" showInputMessage="1" showErrorMessage="1" xr:uid="{F7A729A0-A6F5-4987-A853-5DE63CFA631E}">
          <x14:formula1>
            <xm:f>Calculations!$B$140:$B$141</xm:f>
          </x14:formula1>
          <xm:sqref>H63:H64</xm:sqref>
        </x14:dataValidation>
        <x14:dataValidation type="list" allowBlank="1" showInputMessage="1" showErrorMessage="1" xr:uid="{BA5B4AB6-EE5A-45F5-8EF6-299F6E2F3D29}">
          <x14:formula1>
            <xm:f>Calculations!$B$100:$B$101</xm:f>
          </x14:formula1>
          <xm:sqref>I54:I57 K54:K57</xm:sqref>
        </x14:dataValidation>
        <x14:dataValidation type="list" allowBlank="1" showInputMessage="1" showErrorMessage="1" xr:uid="{77F2D2EF-5494-420F-83C1-9F4FEBC4524D}">
          <x14:formula1>
            <xm:f>Calculations!$C$100:$C$103</xm:f>
          </x14:formula1>
          <xm:sqref>L54:L57 J54:J57</xm:sqref>
        </x14:dataValidation>
        <x14:dataValidation type="list" allowBlank="1" showInputMessage="1" showErrorMessage="1" xr:uid="{6DF0C9FB-A6A3-4F66-916E-39E2FC1CDE75}">
          <x14:formula1>
            <xm:f>Calculations!$B$66:$B$67</xm:f>
          </x14:formula1>
          <xm:sqref>H39:H40</xm:sqref>
        </x14:dataValidation>
        <x14:dataValidation type="list" allowBlank="1" showInputMessage="1" showErrorMessage="1" xr:uid="{DFE6B3EB-38D0-46FA-A516-E2B01FEE16C9}">
          <x14:formula1>
            <xm:f>Calculations!$D$100:$D$101</xm:f>
          </x14:formula1>
          <xm:sqref>M54:M57</xm:sqref>
        </x14:dataValidation>
        <x14:dataValidation type="list" allowBlank="1" showInputMessage="1" showErrorMessage="1" xr:uid="{FFF4DE8C-84D4-42F5-AD2B-CBD9288A28F3}">
          <x14:formula1>
            <xm:f>Calculations!$B$88:$B$89</xm:f>
          </x14:formula1>
          <xm:sqref>H46:H47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C1FA0-43BB-4779-BF76-7197AA671266}">
  <sheetPr codeName="Sheet5"/>
  <dimension ref="A1:BV58"/>
  <sheetViews>
    <sheetView zoomScale="87" zoomScaleNormal="87" workbookViewId="0">
      <pane ySplit="1" topLeftCell="A2" activePane="bottomLeft" state="frozen"/>
      <selection pane="bottomLeft" activeCell="C13" sqref="C13"/>
    </sheetView>
  </sheetViews>
  <sheetFormatPr defaultRowHeight="14.25"/>
  <cols>
    <col min="1" max="1" width="40.375" bestFit="1" customWidth="1"/>
    <col min="3" max="3" width="29.375" customWidth="1"/>
    <col min="4" max="4" width="12.125" customWidth="1"/>
    <col min="23" max="23" width="17.625" customWidth="1"/>
    <col min="44" max="44" width="12.5" bestFit="1" customWidth="1"/>
    <col min="54" max="54" width="12" customWidth="1"/>
    <col min="66" max="66" width="20.375" customWidth="1"/>
  </cols>
  <sheetData>
    <row r="1" spans="1:74" s="304" customFormat="1" ht="75.75" thickBot="1">
      <c r="A1" s="294" t="s">
        <v>153</v>
      </c>
      <c r="B1" s="295" t="s">
        <v>154</v>
      </c>
      <c r="C1" s="296" t="s">
        <v>155</v>
      </c>
      <c r="D1" s="297" t="s">
        <v>156</v>
      </c>
      <c r="E1" s="297" t="s">
        <v>157</v>
      </c>
      <c r="F1" s="297" t="s">
        <v>158</v>
      </c>
      <c r="G1" s="297" t="s">
        <v>159</v>
      </c>
      <c r="H1" s="296" t="s">
        <v>160</v>
      </c>
      <c r="I1" s="296" t="s">
        <v>161</v>
      </c>
      <c r="J1" s="296" t="s">
        <v>162</v>
      </c>
      <c r="K1" s="297" t="s">
        <v>163</v>
      </c>
      <c r="L1" s="297" t="s">
        <v>164</v>
      </c>
      <c r="M1" s="297" t="s">
        <v>165</v>
      </c>
      <c r="N1" s="297" t="s">
        <v>166</v>
      </c>
      <c r="O1" s="298" t="s">
        <v>167</v>
      </c>
      <c r="P1" s="297" t="s">
        <v>168</v>
      </c>
      <c r="Q1" s="297" t="s">
        <v>169</v>
      </c>
      <c r="R1" s="297" t="s">
        <v>43</v>
      </c>
      <c r="S1" s="297" t="s">
        <v>170</v>
      </c>
      <c r="T1" s="297" t="s">
        <v>171</v>
      </c>
      <c r="U1" s="297" t="s">
        <v>172</v>
      </c>
      <c r="V1" s="297" t="s">
        <v>173</v>
      </c>
      <c r="W1" s="297" t="s">
        <v>174</v>
      </c>
      <c r="X1" s="297" t="s">
        <v>175</v>
      </c>
      <c r="Y1" s="297" t="s">
        <v>176</v>
      </c>
      <c r="Z1" s="297" t="s">
        <v>177</v>
      </c>
      <c r="AA1" s="297" t="s">
        <v>178</v>
      </c>
      <c r="AB1" s="297" t="s">
        <v>179</v>
      </c>
      <c r="AC1" s="297" t="s">
        <v>180</v>
      </c>
      <c r="AD1" s="297" t="s">
        <v>181</v>
      </c>
      <c r="AE1" s="297" t="s">
        <v>182</v>
      </c>
      <c r="AF1" s="297" t="s">
        <v>183</v>
      </c>
      <c r="AG1" s="297" t="s">
        <v>184</v>
      </c>
      <c r="AH1" s="297" t="s">
        <v>185</v>
      </c>
      <c r="AI1" s="297" t="s">
        <v>186</v>
      </c>
      <c r="AJ1" s="297" t="s">
        <v>187</v>
      </c>
      <c r="AK1" s="297" t="s">
        <v>188</v>
      </c>
      <c r="AL1" s="297" t="s">
        <v>189</v>
      </c>
      <c r="AM1" s="297" t="s">
        <v>190</v>
      </c>
      <c r="AN1" s="297" t="s">
        <v>191</v>
      </c>
      <c r="AO1" s="297" t="s">
        <v>192</v>
      </c>
      <c r="AP1" s="297" t="s">
        <v>193</v>
      </c>
      <c r="AQ1" s="297" t="s">
        <v>194</v>
      </c>
      <c r="AR1" s="297" t="s">
        <v>195</v>
      </c>
      <c r="AS1" s="297" t="s">
        <v>144</v>
      </c>
      <c r="AT1" s="297" t="s">
        <v>196</v>
      </c>
      <c r="AU1" s="297" t="s">
        <v>197</v>
      </c>
      <c r="AV1" s="297" t="s">
        <v>198</v>
      </c>
      <c r="AW1" s="297" t="s">
        <v>199</v>
      </c>
      <c r="AX1" s="299" t="s">
        <v>200</v>
      </c>
      <c r="AY1" s="297" t="s">
        <v>55</v>
      </c>
      <c r="AZ1" s="297" t="s">
        <v>65</v>
      </c>
      <c r="BA1" s="297" t="s">
        <v>201</v>
      </c>
      <c r="BB1" s="297" t="s">
        <v>113</v>
      </c>
      <c r="BC1" s="143" t="s">
        <v>202</v>
      </c>
      <c r="BD1" s="297" t="s">
        <v>203</v>
      </c>
      <c r="BE1" s="143" t="s">
        <v>204</v>
      </c>
      <c r="BF1" s="143" t="s">
        <v>205</v>
      </c>
      <c r="BG1" s="297" t="s">
        <v>206</v>
      </c>
      <c r="BH1" s="143" t="s">
        <v>152</v>
      </c>
      <c r="BI1" s="297" t="s">
        <v>207</v>
      </c>
      <c r="BJ1" s="143" t="s">
        <v>208</v>
      </c>
      <c r="BK1" s="143" t="s">
        <v>209</v>
      </c>
      <c r="BL1" s="300" t="s">
        <v>210</v>
      </c>
      <c r="BM1" s="297" t="s">
        <v>211</v>
      </c>
      <c r="BN1" s="297" t="s">
        <v>212</v>
      </c>
      <c r="BO1" s="298" t="s">
        <v>213</v>
      </c>
      <c r="BP1" s="297" t="s">
        <v>214</v>
      </c>
      <c r="BQ1" s="297" t="s">
        <v>215</v>
      </c>
      <c r="BR1" s="297" t="s">
        <v>216</v>
      </c>
      <c r="BS1" s="297" t="s">
        <v>217</v>
      </c>
      <c r="BT1" s="301" t="s">
        <v>578</v>
      </c>
      <c r="BU1" s="302" t="s">
        <v>579</v>
      </c>
      <c r="BV1" s="303"/>
    </row>
    <row r="2" spans="1:74" s="54" customFormat="1" ht="14.25" customHeight="1">
      <c r="A2" s="360" t="s">
        <v>93</v>
      </c>
      <c r="B2" s="141">
        <v>1</v>
      </c>
      <c r="C2" s="141" t="str">
        <f>IF(Calculator!G8="","",Calculator!$B$5)</f>
        <v/>
      </c>
      <c r="D2" s="141" t="str">
        <f>IF(C2="","",ROUND(Calculator!D8,3))</f>
        <v/>
      </c>
      <c r="E2" s="141" t="str">
        <f>IF(C2="","",Calculations!$D$5)</f>
        <v/>
      </c>
      <c r="F2" s="141" t="str">
        <f>IF(C2="","",Calculator!E8)</f>
        <v/>
      </c>
      <c r="G2" s="141" t="str">
        <f>IF(C2="","",Calculations!G17)</f>
        <v/>
      </c>
      <c r="H2" s="141"/>
      <c r="I2" s="141"/>
      <c r="J2" s="141"/>
      <c r="K2" s="141"/>
      <c r="L2" s="141"/>
      <c r="M2" s="141"/>
      <c r="N2" s="141"/>
      <c r="O2" s="141"/>
      <c r="P2" s="141" t="str">
        <f>IF(C2="","",Calculations!H17)</f>
        <v/>
      </c>
      <c r="Q2" s="141"/>
      <c r="R2" s="141"/>
      <c r="S2" s="141" t="str">
        <f>IF(C2="","",Calculator!J8)</f>
        <v/>
      </c>
      <c r="T2" s="141" t="str">
        <f>IF(C2="","",Calculations!C17)</f>
        <v/>
      </c>
      <c r="U2" s="141"/>
      <c r="V2" s="141"/>
      <c r="W2" s="141"/>
      <c r="X2" s="141"/>
      <c r="Y2" s="141"/>
      <c r="Z2" s="141"/>
      <c r="AA2" s="141" t="str">
        <f>IF(C2="","",Calculations!F17)</f>
        <v/>
      </c>
      <c r="AB2" s="141"/>
      <c r="AC2" s="141"/>
      <c r="AD2" s="141"/>
      <c r="AE2" s="141"/>
      <c r="AF2" s="141"/>
      <c r="AG2" s="141"/>
      <c r="AH2" s="141"/>
      <c r="AI2" s="141"/>
      <c r="AJ2" s="141" t="str">
        <f>IF(C2="","",Calculations!B17)</f>
        <v/>
      </c>
      <c r="AK2" s="141"/>
      <c r="AL2" s="141"/>
      <c r="AM2" s="141"/>
      <c r="AN2" s="141"/>
      <c r="AO2" s="141"/>
      <c r="AP2" s="141" t="str">
        <f>IF(C2="","",Calculations!D17)</f>
        <v/>
      </c>
      <c r="AQ2" s="141"/>
      <c r="AR2" s="141" t="str">
        <f>IF(C2="","",ROUND(Calculations!K17,6))</f>
        <v/>
      </c>
      <c r="AS2" s="141"/>
      <c r="AT2" s="141"/>
      <c r="AU2" s="141"/>
      <c r="AV2" s="141"/>
      <c r="AW2" s="141"/>
      <c r="AX2" s="141"/>
      <c r="AY2" s="141" t="str">
        <f>IF(C2="","",Calculator!F8)</f>
        <v/>
      </c>
      <c r="AZ2" s="141" t="str">
        <f>IF(C2="","",Calculator!G8)</f>
        <v/>
      </c>
      <c r="BA2" s="141" t="str">
        <f>IF(BB2="","",ROUND(IF(SUM($BB$2:$BB$58)&gt;(0.5*Summary!$C$10),(BB2/SUM($BB$2:$BB$58))*(0.5*Summary!$C$10),'Data Export'!BB2),2))</f>
        <v/>
      </c>
      <c r="BB2" s="141" t="str">
        <f>IF(C2="","",Calculations!M17)</f>
        <v/>
      </c>
      <c r="BC2" s="141"/>
      <c r="BD2" s="141"/>
      <c r="BE2" s="141"/>
      <c r="BF2" s="141"/>
      <c r="BG2" s="141"/>
      <c r="BH2" s="141"/>
      <c r="BI2" s="141"/>
      <c r="BJ2" s="141"/>
      <c r="BK2" s="141"/>
      <c r="BL2" s="141"/>
      <c r="BM2" s="141" t="str">
        <f>IF(C2="","",993519)</f>
        <v/>
      </c>
      <c r="BN2" s="141" t="str">
        <f>IF(C2="","","PE-7500-EE-41")</f>
        <v/>
      </c>
      <c r="BO2" s="141"/>
      <c r="BP2" s="141"/>
      <c r="BQ2" s="141"/>
      <c r="BR2" s="141">
        <v>25</v>
      </c>
      <c r="BS2" s="141" t="str">
        <f>IF(C2="","",Calculations!H17)</f>
        <v/>
      </c>
      <c r="BT2" s="81">
        <v>15</v>
      </c>
      <c r="BU2" s="290">
        <v>2.4000000000000001E-4</v>
      </c>
    </row>
    <row r="3" spans="1:74" s="54" customFormat="1" ht="14.25" customHeight="1">
      <c r="A3" s="362"/>
      <c r="B3">
        <v>2</v>
      </c>
      <c r="C3" t="str">
        <f>IF(Calculator!G9="","",Calculator!$B$5)</f>
        <v/>
      </c>
      <c r="D3" t="str">
        <f>IF(C3="","",ROUND(Calculator!D9,3))</f>
        <v/>
      </c>
      <c r="E3" t="str">
        <f>IF(C3="","",Calculations!$D$5)</f>
        <v/>
      </c>
      <c r="F3" t="str">
        <f>IF(C3="","",Calculator!E9)</f>
        <v/>
      </c>
      <c r="G3" t="str">
        <f>IF(C3="","",Calculations!G18)</f>
        <v/>
      </c>
      <c r="H3"/>
      <c r="I3"/>
      <c r="J3"/>
      <c r="K3"/>
      <c r="L3"/>
      <c r="M3"/>
      <c r="N3"/>
      <c r="O3"/>
      <c r="P3" t="str">
        <f>IF(C3="","",Calculations!H18)</f>
        <v/>
      </c>
      <c r="Q3"/>
      <c r="R3"/>
      <c r="S3" t="str">
        <f>IF(C3="","",Calculator!J9)</f>
        <v/>
      </c>
      <c r="T3" t="str">
        <f>IF(C3="","",Calculations!C18)</f>
        <v/>
      </c>
      <c r="U3"/>
      <c r="V3"/>
      <c r="W3"/>
      <c r="X3"/>
      <c r="Y3"/>
      <c r="Z3"/>
      <c r="AA3" t="str">
        <f>IF(C3="","",Calculations!F18)</f>
        <v/>
      </c>
      <c r="AB3"/>
      <c r="AC3"/>
      <c r="AD3"/>
      <c r="AE3"/>
      <c r="AF3"/>
      <c r="AG3"/>
      <c r="AH3"/>
      <c r="AI3"/>
      <c r="AJ3" t="str">
        <f>IF(C3="","",Calculations!B18)</f>
        <v/>
      </c>
      <c r="AK3"/>
      <c r="AL3"/>
      <c r="AM3"/>
      <c r="AN3"/>
      <c r="AO3"/>
      <c r="AP3" t="str">
        <f>IF(C3="","",Calculations!D18)</f>
        <v/>
      </c>
      <c r="AQ3"/>
      <c r="AR3" t="str">
        <f>IF(C3="","",ROUND(Calculations!K18,6))</f>
        <v/>
      </c>
      <c r="AS3"/>
      <c r="AT3"/>
      <c r="AU3"/>
      <c r="AV3"/>
      <c r="AW3"/>
      <c r="AX3"/>
      <c r="AY3" t="str">
        <f>IF(C3="","",Calculator!F9)</f>
        <v/>
      </c>
      <c r="AZ3" t="str">
        <f>IF(C3="","",Calculator!G9)</f>
        <v/>
      </c>
      <c r="BA3" t="str">
        <f>IF(BB3="","",ROUND(IF(SUM($BB$2:$BB$58)&gt;(0.5*Summary!$C$10),(BB3/SUM($BB$2:$BB$58))*(0.5*Summary!$C$10),'Data Export'!BB3),2))</f>
        <v/>
      </c>
      <c r="BB3" t="str">
        <f>IF(C3="","",Calculations!M18)</f>
        <v/>
      </c>
      <c r="BC3"/>
      <c r="BD3"/>
      <c r="BE3"/>
      <c r="BF3"/>
      <c r="BG3"/>
      <c r="BH3"/>
      <c r="BI3"/>
      <c r="BJ3"/>
      <c r="BK3"/>
      <c r="BL3"/>
      <c r="BM3" t="str">
        <f t="shared" ref="BM3:BM58" si="0">IF(C3="","",993519)</f>
        <v/>
      </c>
      <c r="BN3" t="str">
        <f t="shared" ref="BN3:BN58" si="1">IF(C3="","","PE-7500-EE-41")</f>
        <v/>
      </c>
      <c r="BO3"/>
      <c r="BP3"/>
      <c r="BQ3"/>
      <c r="BR3"/>
      <c r="BS3" t="str">
        <f>IF(C3="","",Calculations!H18)</f>
        <v/>
      </c>
      <c r="BU3" s="291"/>
    </row>
    <row r="4" spans="1:74" s="54" customFormat="1">
      <c r="A4" s="362"/>
      <c r="B4">
        <v>3</v>
      </c>
      <c r="C4" t="str">
        <f>IF(Calculator!G10="","",Calculator!$B$5)</f>
        <v/>
      </c>
      <c r="D4" t="str">
        <f>IF(C4="","",ROUND(Calculator!D10,3))</f>
        <v/>
      </c>
      <c r="E4" t="str">
        <f>IF(C4="","",Calculations!$D$5)</f>
        <v/>
      </c>
      <c r="F4" t="str">
        <f>IF(C4="","",Calculator!E10)</f>
        <v/>
      </c>
      <c r="G4" t="str">
        <f>IF(C4="","",Calculations!G19)</f>
        <v/>
      </c>
      <c r="H4"/>
      <c r="I4"/>
      <c r="J4"/>
      <c r="K4"/>
      <c r="L4"/>
      <c r="M4"/>
      <c r="N4"/>
      <c r="O4"/>
      <c r="P4" t="str">
        <f>IF(C4="","",Calculations!H19)</f>
        <v/>
      </c>
      <c r="Q4"/>
      <c r="R4"/>
      <c r="S4" t="str">
        <f>IF(C4="","",Calculator!J10)</f>
        <v/>
      </c>
      <c r="T4" t="str">
        <f>IF(C4="","",Calculations!C19)</f>
        <v/>
      </c>
      <c r="U4"/>
      <c r="V4"/>
      <c r="W4"/>
      <c r="X4"/>
      <c r="Y4"/>
      <c r="Z4"/>
      <c r="AA4" t="str">
        <f>IF(C4="","",Calculations!F19)</f>
        <v/>
      </c>
      <c r="AB4"/>
      <c r="AC4"/>
      <c r="AD4"/>
      <c r="AE4"/>
      <c r="AF4"/>
      <c r="AG4"/>
      <c r="AH4"/>
      <c r="AI4"/>
      <c r="AJ4" t="str">
        <f>IF(C4="","",Calculations!B19)</f>
        <v/>
      </c>
      <c r="AK4"/>
      <c r="AL4"/>
      <c r="AM4"/>
      <c r="AN4"/>
      <c r="AO4"/>
      <c r="AP4" t="str">
        <f>IF(C4="","",Calculations!D19)</f>
        <v/>
      </c>
      <c r="AQ4"/>
      <c r="AR4" t="str">
        <f>IF(C4="","",ROUND(Calculations!K19,6))</f>
        <v/>
      </c>
      <c r="AS4"/>
      <c r="AT4"/>
      <c r="AU4"/>
      <c r="AV4"/>
      <c r="AW4"/>
      <c r="AX4"/>
      <c r="AY4" t="str">
        <f>IF(C4="","",Calculator!F10)</f>
        <v/>
      </c>
      <c r="AZ4" t="str">
        <f>IF(C4="","",Calculator!G10)</f>
        <v/>
      </c>
      <c r="BA4" t="str">
        <f>IF(BB4="","",ROUND(IF(SUM($BB$2:$BB$58)&gt;(0.5*Summary!$C$10),(BB4/SUM($BB$2:$BB$58))*(0.5*Summary!$C$10),'Data Export'!BB4),2))</f>
        <v/>
      </c>
      <c r="BB4" t="str">
        <f>IF(C4="","",Calculations!M19)</f>
        <v/>
      </c>
      <c r="BC4"/>
      <c r="BD4"/>
      <c r="BE4"/>
      <c r="BF4"/>
      <c r="BG4"/>
      <c r="BH4"/>
      <c r="BI4"/>
      <c r="BJ4"/>
      <c r="BK4"/>
      <c r="BL4"/>
      <c r="BM4" t="str">
        <f t="shared" si="0"/>
        <v/>
      </c>
      <c r="BN4" t="str">
        <f t="shared" si="1"/>
        <v/>
      </c>
      <c r="BO4"/>
      <c r="BP4"/>
      <c r="BQ4"/>
      <c r="BR4"/>
      <c r="BS4" t="str">
        <f>IF(C4="","",Calculations!H19)</f>
        <v/>
      </c>
      <c r="BU4" s="291"/>
    </row>
    <row r="5" spans="1:74" s="54" customFormat="1" ht="15" thickBot="1">
      <c r="A5" s="361"/>
      <c r="B5" s="142">
        <v>4</v>
      </c>
      <c r="C5" s="142" t="str">
        <f>IF(Calculator!G11="","",Calculator!$B$5)</f>
        <v/>
      </c>
      <c r="D5" s="142" t="str">
        <f>IF(C5="","",ROUND(Calculator!D11,3))</f>
        <v/>
      </c>
      <c r="E5" s="142" t="str">
        <f>IF(C5="","",Calculations!$D$5)</f>
        <v/>
      </c>
      <c r="F5" s="142" t="str">
        <f>IF(C5="","",Calculator!E11)</f>
        <v/>
      </c>
      <c r="G5" s="142" t="str">
        <f>IF(C5="","",Calculations!G20)</f>
        <v/>
      </c>
      <c r="H5" s="142"/>
      <c r="I5" s="142"/>
      <c r="J5" s="142"/>
      <c r="K5" s="142"/>
      <c r="L5" s="142"/>
      <c r="M5" s="142"/>
      <c r="N5" s="142"/>
      <c r="O5" s="142"/>
      <c r="P5" s="142" t="str">
        <f>IF(C5="","",Calculations!H20)</f>
        <v/>
      </c>
      <c r="Q5" s="142"/>
      <c r="R5" s="142"/>
      <c r="S5" s="142" t="str">
        <f>IF(C5="","",Calculator!J11)</f>
        <v/>
      </c>
      <c r="T5" s="142" t="str">
        <f>IF(C5="","",Calculations!C20)</f>
        <v/>
      </c>
      <c r="U5" s="142"/>
      <c r="V5" s="142"/>
      <c r="W5" s="142"/>
      <c r="X5" s="142"/>
      <c r="Y5" s="142"/>
      <c r="Z5" s="142"/>
      <c r="AA5" s="142" t="str">
        <f>IF(C5="","",Calculations!F20)</f>
        <v/>
      </c>
      <c r="AB5" s="142"/>
      <c r="AC5" s="142"/>
      <c r="AD5" s="142"/>
      <c r="AE5" s="142"/>
      <c r="AF5" s="142"/>
      <c r="AG5" s="142"/>
      <c r="AH5" s="142"/>
      <c r="AI5" s="142"/>
      <c r="AJ5" s="142" t="str">
        <f>IF(C5="","",Calculations!B20)</f>
        <v/>
      </c>
      <c r="AK5" s="142"/>
      <c r="AL5" s="142"/>
      <c r="AM5" s="142"/>
      <c r="AN5" s="142"/>
      <c r="AO5" s="142"/>
      <c r="AP5" s="142" t="str">
        <f>IF(C5="","",Calculations!D20)</f>
        <v/>
      </c>
      <c r="AQ5" s="142"/>
      <c r="AR5" s="142" t="str">
        <f>IF(C5="","",ROUND(Calculations!K20,6))</f>
        <v/>
      </c>
      <c r="AS5" s="142"/>
      <c r="AT5" s="142"/>
      <c r="AU5" s="142"/>
      <c r="AV5" s="142"/>
      <c r="AW5" s="142"/>
      <c r="AX5" s="142"/>
      <c r="AY5" s="142" t="str">
        <f>IF(C5="","",Calculator!F11)</f>
        <v/>
      </c>
      <c r="AZ5" s="142" t="str">
        <f>IF(C5="","",Calculator!G11)</f>
        <v/>
      </c>
      <c r="BA5" s="142" t="str">
        <f>IF(BB5="","",ROUND(IF(SUM($BB$2:$BB$58)&gt;(0.5*Summary!$C$10),(BB5/SUM($BB$2:$BB$58))*(0.5*Summary!$C$10),'Data Export'!BB5),2))</f>
        <v/>
      </c>
      <c r="BB5" s="142" t="str">
        <f>IF(C5="","",Calculations!M20)</f>
        <v/>
      </c>
      <c r="BC5" s="142"/>
      <c r="BD5" s="142"/>
      <c r="BE5" s="142"/>
      <c r="BF5" s="142"/>
      <c r="BG5" s="142"/>
      <c r="BH5" s="142"/>
      <c r="BI5" s="142"/>
      <c r="BJ5" s="142"/>
      <c r="BK5" s="142"/>
      <c r="BL5" s="142"/>
      <c r="BM5" s="142" t="str">
        <f t="shared" si="0"/>
        <v/>
      </c>
      <c r="BN5" s="142" t="str">
        <f t="shared" si="1"/>
        <v/>
      </c>
      <c r="BO5" s="142"/>
      <c r="BP5" s="142"/>
      <c r="BQ5" s="142"/>
      <c r="BR5" s="142"/>
      <c r="BS5" s="142" t="str">
        <f>IF(C5="","",Calculations!H20)</f>
        <v/>
      </c>
      <c r="BT5" s="87"/>
      <c r="BU5" s="293"/>
    </row>
    <row r="6" spans="1:74" s="54" customFormat="1" ht="14.25" customHeight="1">
      <c r="A6" s="360" t="s">
        <v>94</v>
      </c>
      <c r="B6" s="141">
        <v>5</v>
      </c>
      <c r="C6" s="141" t="str">
        <f>IF(Calculator!G17="","",Calculator!$B$14)</f>
        <v/>
      </c>
      <c r="D6" s="141" t="str">
        <f>IF(C6="","",ROUND(Calculator!D17,3))</f>
        <v/>
      </c>
      <c r="E6" s="141" t="str">
        <f>IF(C6="","",Calculations!$E$25)</f>
        <v/>
      </c>
      <c r="F6" s="141" t="str">
        <f>IF(C6="","",Calculator!E17)</f>
        <v/>
      </c>
      <c r="G6" s="141"/>
      <c r="H6" s="141"/>
      <c r="I6" s="141"/>
      <c r="J6" s="141"/>
      <c r="K6" s="141"/>
      <c r="L6" s="141"/>
      <c r="M6" s="141"/>
      <c r="N6" s="141"/>
      <c r="O6" s="141"/>
      <c r="P6" s="141"/>
      <c r="Q6" s="141"/>
      <c r="R6" s="141"/>
      <c r="S6" s="141" t="str">
        <f>IF(C6="","",Calculator!I17)</f>
        <v/>
      </c>
      <c r="T6" s="141"/>
      <c r="U6" s="141"/>
      <c r="V6" s="141"/>
      <c r="W6" s="141"/>
      <c r="X6" s="141"/>
      <c r="Y6" s="141"/>
      <c r="Z6" s="141"/>
      <c r="AA6" s="141"/>
      <c r="AB6" s="141" t="str">
        <f>IF(C6="","",Calculations!$C$24)</f>
        <v/>
      </c>
      <c r="AC6" s="141"/>
      <c r="AD6" s="141"/>
      <c r="AE6" s="141"/>
      <c r="AF6" s="141"/>
      <c r="AG6" s="141"/>
      <c r="AH6" s="141" t="str">
        <f>IF(C6="","",Calculator!H17)</f>
        <v/>
      </c>
      <c r="AI6" s="141"/>
      <c r="AJ6" s="141"/>
      <c r="AK6" s="141"/>
      <c r="AL6" s="141"/>
      <c r="AM6" s="141"/>
      <c r="AN6" s="141"/>
      <c r="AO6" s="141"/>
      <c r="AP6" s="141"/>
      <c r="AQ6" s="141"/>
      <c r="AR6" s="141" t="str">
        <f>IF(C6="","",ROUND(Calculator!B17,6))</f>
        <v/>
      </c>
      <c r="AS6" s="141"/>
      <c r="AT6" s="141"/>
      <c r="AU6" s="141"/>
      <c r="AV6" s="141"/>
      <c r="AW6" s="141"/>
      <c r="AX6" s="141"/>
      <c r="AY6" s="141" t="str">
        <f>IF(C6="","",Calculator!F17)</f>
        <v/>
      </c>
      <c r="AZ6" s="141" t="str">
        <f>IF(C6="","",Calculator!G17)</f>
        <v/>
      </c>
      <c r="BA6" s="141" t="str">
        <f>IF(BB6="","",ROUND(IF(SUM($BB$2:$BB$58)&gt;(0.5*Summary!$C$10),(BB6/SUM($BB$2:$BB$58))*(0.5*Summary!$C$10),'Data Export'!BB6),2))</f>
        <v/>
      </c>
      <c r="BB6" s="141" t="str">
        <f>IF(C6="","",Calculations!G28)</f>
        <v/>
      </c>
      <c r="BC6" s="141"/>
      <c r="BD6" s="141"/>
      <c r="BE6" s="141"/>
      <c r="BF6" s="141"/>
      <c r="BG6" s="141"/>
      <c r="BH6" s="141"/>
      <c r="BI6" s="141"/>
      <c r="BJ6" s="141"/>
      <c r="BK6" s="141"/>
      <c r="BL6" s="141"/>
      <c r="BM6" s="141" t="str">
        <f t="shared" si="0"/>
        <v/>
      </c>
      <c r="BN6" s="141" t="str">
        <f t="shared" si="1"/>
        <v/>
      </c>
      <c r="BO6" s="141"/>
      <c r="BP6" s="141"/>
      <c r="BQ6" s="141"/>
      <c r="BR6" s="141">
        <v>10</v>
      </c>
      <c r="BS6" s="141"/>
      <c r="BT6" s="81">
        <v>5</v>
      </c>
      <c r="BU6" s="114">
        <v>6.3210000000000002E-3</v>
      </c>
    </row>
    <row r="7" spans="1:74" s="54" customFormat="1" ht="14.25" customHeight="1">
      <c r="A7" s="362"/>
      <c r="B7">
        <v>6</v>
      </c>
      <c r="C7" t="str">
        <f>IF(Calculator!G18="","",Calculator!$B$14)</f>
        <v/>
      </c>
      <c r="D7" t="str">
        <f>IF(C7="","",ROUND(Calculator!D18,3))</f>
        <v/>
      </c>
      <c r="E7" t="str">
        <f>IF(C7="","",Calculations!$E$25)</f>
        <v/>
      </c>
      <c r="F7" t="str">
        <f>IF(C7="","",Calculator!E18)</f>
        <v/>
      </c>
      <c r="G7"/>
      <c r="H7"/>
      <c r="I7"/>
      <c r="J7"/>
      <c r="K7"/>
      <c r="L7"/>
      <c r="M7"/>
      <c r="N7"/>
      <c r="O7"/>
      <c r="P7"/>
      <c r="Q7"/>
      <c r="R7"/>
      <c r="S7" t="str">
        <f>IF(C7="","",Calculator!I18)</f>
        <v/>
      </c>
      <c r="T7"/>
      <c r="U7"/>
      <c r="V7"/>
      <c r="W7"/>
      <c r="X7"/>
      <c r="Y7"/>
      <c r="Z7"/>
      <c r="AA7"/>
      <c r="AB7" t="str">
        <f>IF(C7="","",Calculations!$C$24)</f>
        <v/>
      </c>
      <c r="AC7"/>
      <c r="AD7"/>
      <c r="AE7"/>
      <c r="AF7"/>
      <c r="AG7"/>
      <c r="AH7" t="str">
        <f>IF(C7="","",Calculator!H18)</f>
        <v/>
      </c>
      <c r="AI7"/>
      <c r="AJ7"/>
      <c r="AK7"/>
      <c r="AL7"/>
      <c r="AM7"/>
      <c r="AN7"/>
      <c r="AO7"/>
      <c r="AP7"/>
      <c r="AQ7"/>
      <c r="AR7" t="str">
        <f>IF(C7="","",ROUND(Calculator!B18,6))</f>
        <v/>
      </c>
      <c r="AS7"/>
      <c r="AT7"/>
      <c r="AU7"/>
      <c r="AV7"/>
      <c r="AW7"/>
      <c r="AX7"/>
      <c r="AY7" t="str">
        <f>IF(C7="","",Calculator!F18)</f>
        <v/>
      </c>
      <c r="AZ7" t="str">
        <f>IF(C7="","",Calculator!G18)</f>
        <v/>
      </c>
      <c r="BA7" t="str">
        <f>IF(BB7="","",ROUND(IF(SUM($BB$2:$BB$58)&gt;(0.5*Summary!$C$10),(BB7/SUM($BB$2:$BB$58))*(0.5*Summary!$C$10),'Data Export'!BB7),2))</f>
        <v/>
      </c>
      <c r="BB7" t="str">
        <f>IF(C7="","",Calculations!G29)</f>
        <v/>
      </c>
      <c r="BC7"/>
      <c r="BD7"/>
      <c r="BE7"/>
      <c r="BF7"/>
      <c r="BG7"/>
      <c r="BH7"/>
      <c r="BI7"/>
      <c r="BJ7"/>
      <c r="BK7"/>
      <c r="BL7"/>
      <c r="BM7" t="str">
        <f t="shared" si="0"/>
        <v/>
      </c>
      <c r="BN7" t="str">
        <f t="shared" si="1"/>
        <v/>
      </c>
      <c r="BO7"/>
      <c r="BP7"/>
      <c r="BQ7"/>
      <c r="BR7"/>
      <c r="BS7"/>
      <c r="BU7" s="291"/>
    </row>
    <row r="8" spans="1:74" s="54" customFormat="1">
      <c r="A8" s="362"/>
      <c r="B8">
        <v>7</v>
      </c>
      <c r="C8" t="str">
        <f>IF(Calculator!G19="","",Calculator!$B$14)</f>
        <v/>
      </c>
      <c r="D8" t="str">
        <f>IF(C8="","",ROUND(Calculator!D19,3))</f>
        <v/>
      </c>
      <c r="E8" t="str">
        <f>IF(C8="","",Calculations!$E$25)</f>
        <v/>
      </c>
      <c r="F8" t="str">
        <f>IF(C8="","",Calculator!E19)</f>
        <v/>
      </c>
      <c r="G8"/>
      <c r="H8"/>
      <c r="I8"/>
      <c r="J8"/>
      <c r="K8"/>
      <c r="L8"/>
      <c r="M8"/>
      <c r="N8"/>
      <c r="O8"/>
      <c r="P8"/>
      <c r="Q8"/>
      <c r="R8"/>
      <c r="S8" t="str">
        <f>IF(C8="","",Calculator!I19)</f>
        <v/>
      </c>
      <c r="T8"/>
      <c r="U8"/>
      <c r="V8"/>
      <c r="W8"/>
      <c r="X8"/>
      <c r="Y8"/>
      <c r="Z8"/>
      <c r="AA8"/>
      <c r="AB8" t="str">
        <f>IF(C8="","",Calculations!$C$24)</f>
        <v/>
      </c>
      <c r="AC8"/>
      <c r="AD8"/>
      <c r="AE8"/>
      <c r="AF8"/>
      <c r="AG8"/>
      <c r="AH8" t="str">
        <f>IF(C8="","",Calculator!H19)</f>
        <v/>
      </c>
      <c r="AI8"/>
      <c r="AJ8"/>
      <c r="AK8"/>
      <c r="AL8"/>
      <c r="AM8"/>
      <c r="AN8"/>
      <c r="AO8"/>
      <c r="AP8"/>
      <c r="AQ8"/>
      <c r="AR8" t="str">
        <f>IF(C8="","",ROUND(Calculator!B19,6))</f>
        <v/>
      </c>
      <c r="AS8"/>
      <c r="AT8"/>
      <c r="AU8"/>
      <c r="AV8"/>
      <c r="AW8"/>
      <c r="AX8"/>
      <c r="AY8" t="str">
        <f>IF(C8="","",Calculator!F19)</f>
        <v/>
      </c>
      <c r="AZ8" t="str">
        <f>IF(C8="","",Calculator!G19)</f>
        <v/>
      </c>
      <c r="BA8" t="str">
        <f>IF(BB8="","",ROUND(IF(SUM($BB$2:$BB$58)&gt;(0.5*Summary!$C$10),(BB8/SUM($BB$2:$BB$58))*(0.5*Summary!$C$10),'Data Export'!BB8),2))</f>
        <v/>
      </c>
      <c r="BB8" t="str">
        <f>IF(C8="","",Calculations!G30)</f>
        <v/>
      </c>
      <c r="BC8"/>
      <c r="BD8"/>
      <c r="BE8"/>
      <c r="BF8"/>
      <c r="BG8"/>
      <c r="BH8"/>
      <c r="BI8"/>
      <c r="BJ8"/>
      <c r="BK8"/>
      <c r="BL8"/>
      <c r="BM8" t="str">
        <f t="shared" si="0"/>
        <v/>
      </c>
      <c r="BN8" t="str">
        <f t="shared" si="1"/>
        <v/>
      </c>
      <c r="BO8"/>
      <c r="BP8"/>
      <c r="BQ8"/>
      <c r="BR8"/>
      <c r="BS8"/>
      <c r="BU8" s="291"/>
    </row>
    <row r="9" spans="1:74" s="54" customFormat="1" ht="15" thickBot="1">
      <c r="A9" s="361"/>
      <c r="B9" s="142">
        <v>8</v>
      </c>
      <c r="C9" s="142" t="str">
        <f>IF(Calculator!G20="","",Calculator!$B$14)</f>
        <v/>
      </c>
      <c r="D9" s="142" t="str">
        <f>IF(C9="","",ROUND(Calculator!D20,3))</f>
        <v/>
      </c>
      <c r="E9" s="142" t="str">
        <f>IF(C9="","",Calculations!$E$25)</f>
        <v/>
      </c>
      <c r="F9" s="142" t="str">
        <f>IF(C9="","",Calculator!E20)</f>
        <v/>
      </c>
      <c r="G9" s="142"/>
      <c r="H9" s="142"/>
      <c r="I9" s="142"/>
      <c r="J9" s="142"/>
      <c r="K9" s="142"/>
      <c r="L9" s="142"/>
      <c r="M9" s="142"/>
      <c r="N9" s="142"/>
      <c r="O9" s="142"/>
      <c r="P9" s="142"/>
      <c r="Q9" s="142"/>
      <c r="R9" s="142"/>
      <c r="S9" s="142" t="str">
        <f>IF(C9="","",Calculator!I20)</f>
        <v/>
      </c>
      <c r="T9" s="142"/>
      <c r="U9" s="142"/>
      <c r="V9" s="142"/>
      <c r="W9" s="142"/>
      <c r="X9" s="142"/>
      <c r="Y9" s="142"/>
      <c r="Z9" s="142"/>
      <c r="AA9" s="142"/>
      <c r="AB9" s="142" t="str">
        <f>IF(C9="","",Calculations!$C$24)</f>
        <v/>
      </c>
      <c r="AC9" s="142"/>
      <c r="AD9" s="142"/>
      <c r="AE9" s="142"/>
      <c r="AF9" s="142"/>
      <c r="AG9" s="142"/>
      <c r="AH9" s="142" t="str">
        <f>IF(C9="","",Calculator!H20)</f>
        <v/>
      </c>
      <c r="AI9" s="142"/>
      <c r="AJ9" s="142"/>
      <c r="AK9" s="142"/>
      <c r="AL9" s="142"/>
      <c r="AM9" s="142"/>
      <c r="AN9" s="142"/>
      <c r="AO9" s="142"/>
      <c r="AP9" s="142"/>
      <c r="AQ9" s="142"/>
      <c r="AR9" s="142" t="str">
        <f>IF(C9="","",ROUND(Calculator!B20,6))</f>
        <v/>
      </c>
      <c r="AS9" s="142"/>
      <c r="AT9" s="142"/>
      <c r="AU9" s="142"/>
      <c r="AV9" s="142"/>
      <c r="AW9" s="142"/>
      <c r="AX9" s="142"/>
      <c r="AY9" s="142" t="str">
        <f>IF(C9="","",Calculator!F20)</f>
        <v/>
      </c>
      <c r="AZ9" s="142" t="str">
        <f>IF(C9="","",Calculator!G20)</f>
        <v/>
      </c>
      <c r="BA9" s="142" t="str">
        <f>IF(BB9="","",ROUND(IF(SUM($BB$2:$BB$58)&gt;(0.5*Summary!$C$10),(BB9/SUM($BB$2:$BB$58))*(0.5*Summary!$C$10),'Data Export'!BB9),2))</f>
        <v/>
      </c>
      <c r="BB9" s="142" t="str">
        <f>IF(C9="","",Calculations!G31)</f>
        <v/>
      </c>
      <c r="BC9" s="142"/>
      <c r="BD9" s="142"/>
      <c r="BE9" s="142"/>
      <c r="BF9" s="142"/>
      <c r="BG9" s="142"/>
      <c r="BH9" s="142"/>
      <c r="BI9" s="142"/>
      <c r="BJ9" s="142"/>
      <c r="BK9" s="142"/>
      <c r="BL9" s="142"/>
      <c r="BM9" s="142" t="str">
        <f t="shared" si="0"/>
        <v/>
      </c>
      <c r="BN9" s="142" t="str">
        <f t="shared" si="1"/>
        <v/>
      </c>
      <c r="BO9" s="142"/>
      <c r="BP9" s="142"/>
      <c r="BQ9" s="142"/>
      <c r="BR9" s="142"/>
      <c r="BS9" s="142"/>
      <c r="BT9" s="87"/>
      <c r="BU9" s="293"/>
    </row>
    <row r="10" spans="1:74" s="54" customFormat="1" ht="14.25" customHeight="1">
      <c r="A10" s="360" t="s">
        <v>95</v>
      </c>
      <c r="B10" s="141">
        <v>9</v>
      </c>
      <c r="C10" s="141" t="str">
        <f>IF(Calculator!G26="","",Calculator!$B$23)</f>
        <v/>
      </c>
      <c r="D10" s="141" t="str">
        <f>IF(C10="","",ROUND(Calculator!D26,3))</f>
        <v/>
      </c>
      <c r="E10" s="141" t="str">
        <f>IF(C10="","",Calculations!$D$36)</f>
        <v/>
      </c>
      <c r="F10" s="141" t="str">
        <f>IF(C10="","",Calculator!E26)</f>
        <v/>
      </c>
      <c r="G10" s="141"/>
      <c r="H10" s="141"/>
      <c r="I10" s="141" t="str">
        <f>Calculations!J54</f>
        <v/>
      </c>
      <c r="J10" s="141"/>
      <c r="K10" s="141"/>
      <c r="L10" s="141"/>
      <c r="M10" s="141"/>
      <c r="N10" s="141"/>
      <c r="O10" s="141"/>
      <c r="P10" s="141"/>
      <c r="Q10" s="141"/>
      <c r="R10" s="141"/>
      <c r="S10" s="141" t="str">
        <f>IF(C10="","",Calculator!K26)</f>
        <v/>
      </c>
      <c r="T10" s="141"/>
      <c r="U10" s="141"/>
      <c r="V10" s="141"/>
      <c r="W10" s="141"/>
      <c r="X10" s="141"/>
      <c r="Y10" s="141"/>
      <c r="Z10" s="141"/>
      <c r="AA10" s="141"/>
      <c r="AB10" s="141"/>
      <c r="AC10" s="141"/>
      <c r="AD10" s="141"/>
      <c r="AE10" s="141"/>
      <c r="AF10" s="141"/>
      <c r="AG10" s="141"/>
      <c r="AH10" s="141"/>
      <c r="AI10" s="141"/>
      <c r="AJ10" s="141"/>
      <c r="AK10" s="141"/>
      <c r="AL10" s="141"/>
      <c r="AM10" s="141"/>
      <c r="AN10" s="141" t="str">
        <f>IF(C10="","",Calculator!J26)</f>
        <v/>
      </c>
      <c r="AO10" s="141"/>
      <c r="AP10" s="141" t="str">
        <f>IF(C10="","",Calculator!I26)</f>
        <v/>
      </c>
      <c r="AQ10" s="141"/>
      <c r="AR10" s="141" t="str">
        <f>IF(C10="","",ROUND(Calculator!B26,6))</f>
        <v/>
      </c>
      <c r="AS10" s="141"/>
      <c r="AT10" s="141"/>
      <c r="AU10" s="141"/>
      <c r="AV10" s="141"/>
      <c r="AW10" s="141"/>
      <c r="AX10" s="141"/>
      <c r="AY10" s="141" t="str">
        <f>IF(C10="","",Calculator!F26)</f>
        <v/>
      </c>
      <c r="AZ10" s="141" t="str">
        <f>IF(C10="","",Calculator!G26)</f>
        <v/>
      </c>
      <c r="BA10" s="141" t="str">
        <f>IF(BB10="","",ROUND(IF(SUM($BB$2:$BB$58)&gt;(0.5*Summary!$C$10),(BB10/SUM($BB$2:$BB$58))*(0.5*Summary!$C$10),'Data Export'!BB10),2))</f>
        <v/>
      </c>
      <c r="BB10" s="141" t="str">
        <f>Calculations!K54</f>
        <v/>
      </c>
      <c r="BC10" s="141"/>
      <c r="BD10" s="141"/>
      <c r="BE10" s="141"/>
      <c r="BF10" s="141"/>
      <c r="BG10" s="141"/>
      <c r="BH10" s="141"/>
      <c r="BI10" s="141"/>
      <c r="BJ10" s="141"/>
      <c r="BK10" s="141"/>
      <c r="BL10" s="141"/>
      <c r="BM10" s="141" t="str">
        <f t="shared" si="0"/>
        <v/>
      </c>
      <c r="BN10" s="141" t="str">
        <f t="shared" si="1"/>
        <v/>
      </c>
      <c r="BO10" s="141"/>
      <c r="BP10" s="141"/>
      <c r="BQ10" s="141"/>
      <c r="BR10" s="141">
        <v>3.52</v>
      </c>
      <c r="BS10" s="141"/>
      <c r="BT10" s="81">
        <v>4</v>
      </c>
      <c r="BU10" s="290">
        <v>7.45E-3</v>
      </c>
    </row>
    <row r="11" spans="1:74" s="54" customFormat="1" ht="14.25" customHeight="1">
      <c r="A11" s="362"/>
      <c r="B11">
        <v>10</v>
      </c>
      <c r="C11" t="str">
        <f>IF(Calculator!G27="","",Calculator!$B$23)</f>
        <v/>
      </c>
      <c r="D11" t="str">
        <f>IF(C11="","",ROUND(Calculator!D27,3))</f>
        <v/>
      </c>
      <c r="E11" t="str">
        <f>IF(C11="","",Calculations!$D$36)</f>
        <v/>
      </c>
      <c r="F11" t="str">
        <f>IF(C11="","",Calculator!E27)</f>
        <v/>
      </c>
      <c r="G11"/>
      <c r="H11"/>
      <c r="I11" t="str">
        <f>Calculations!J55</f>
        <v/>
      </c>
      <c r="J11"/>
      <c r="K11"/>
      <c r="L11"/>
      <c r="M11"/>
      <c r="N11"/>
      <c r="O11"/>
      <c r="P11"/>
      <c r="Q11"/>
      <c r="R11"/>
      <c r="S11" t="str">
        <f>IF(C11="","",Calculator!K27)</f>
        <v/>
      </c>
      <c r="T11"/>
      <c r="U11"/>
      <c r="V11"/>
      <c r="W11"/>
      <c r="X11"/>
      <c r="Y11"/>
      <c r="Z11"/>
      <c r="AA11"/>
      <c r="AB11"/>
      <c r="AC11"/>
      <c r="AD11"/>
      <c r="AE11"/>
      <c r="AF11"/>
      <c r="AG11"/>
      <c r="AH11"/>
      <c r="AI11"/>
      <c r="AJ11"/>
      <c r="AK11"/>
      <c r="AL11"/>
      <c r="AM11"/>
      <c r="AN11" t="str">
        <f>IF(C11="","",Calculator!J27)</f>
        <v/>
      </c>
      <c r="AO11"/>
      <c r="AP11" t="str">
        <f>IF(C11="","",Calculator!I27)</f>
        <v/>
      </c>
      <c r="AQ11"/>
      <c r="AR11" t="str">
        <f>IF(C11="","",ROUND(Calculator!B27,6))</f>
        <v/>
      </c>
      <c r="AS11"/>
      <c r="AT11"/>
      <c r="AU11"/>
      <c r="AV11"/>
      <c r="AW11"/>
      <c r="AX11"/>
      <c r="AY11" t="str">
        <f>IF(C11="","",Calculator!F27)</f>
        <v/>
      </c>
      <c r="AZ11" t="str">
        <f>IF(C11="","",Calculator!G27)</f>
        <v/>
      </c>
      <c r="BA11" t="str">
        <f>IF(BB11="","",ROUND(IF(SUM($BB$2:$BB$58)&gt;(0.5*Summary!$C$10),(BB11/SUM($BB$2:$BB$58))*(0.5*Summary!$C$10),'Data Export'!BB11),2))</f>
        <v/>
      </c>
      <c r="BB11" t="str">
        <f>Calculations!K55</f>
        <v/>
      </c>
      <c r="BC11"/>
      <c r="BD11"/>
      <c r="BE11"/>
      <c r="BF11"/>
      <c r="BG11"/>
      <c r="BH11"/>
      <c r="BI11"/>
      <c r="BJ11"/>
      <c r="BK11"/>
      <c r="BL11"/>
      <c r="BM11" t="str">
        <f t="shared" si="0"/>
        <v/>
      </c>
      <c r="BN11" t="str">
        <f t="shared" si="1"/>
        <v/>
      </c>
      <c r="BO11"/>
      <c r="BP11"/>
      <c r="BQ11"/>
      <c r="BR11"/>
      <c r="BS11"/>
      <c r="BU11" s="291"/>
    </row>
    <row r="12" spans="1:74" s="54" customFormat="1">
      <c r="A12" s="362"/>
      <c r="B12">
        <v>11</v>
      </c>
      <c r="C12" t="str">
        <f>IF(Calculator!G28="","",Calculator!$B$23)</f>
        <v/>
      </c>
      <c r="D12" t="str">
        <f>IF(C12="","",ROUND(Calculator!D28,3))</f>
        <v/>
      </c>
      <c r="E12" t="str">
        <f>IF(C12="","",Calculations!$D$36)</f>
        <v/>
      </c>
      <c r="F12" t="str">
        <f>IF(C12="","",Calculator!E28)</f>
        <v/>
      </c>
      <c r="G12"/>
      <c r="H12"/>
      <c r="I12" t="str">
        <f>Calculations!J56</f>
        <v/>
      </c>
      <c r="J12"/>
      <c r="K12"/>
      <c r="L12"/>
      <c r="M12"/>
      <c r="N12"/>
      <c r="O12"/>
      <c r="P12"/>
      <c r="Q12"/>
      <c r="R12"/>
      <c r="S12" t="str">
        <f>IF(C12="","",Calculator!K28)</f>
        <v/>
      </c>
      <c r="T12"/>
      <c r="U12"/>
      <c r="V12"/>
      <c r="W12"/>
      <c r="X12"/>
      <c r="Y12"/>
      <c r="Z12"/>
      <c r="AA12"/>
      <c r="AB12"/>
      <c r="AC12"/>
      <c r="AD12"/>
      <c r="AE12"/>
      <c r="AF12"/>
      <c r="AG12"/>
      <c r="AH12"/>
      <c r="AI12"/>
      <c r="AJ12"/>
      <c r="AK12"/>
      <c r="AL12"/>
      <c r="AM12"/>
      <c r="AN12" t="str">
        <f>IF(C12="","",Calculator!J28)</f>
        <v/>
      </c>
      <c r="AO12"/>
      <c r="AP12" t="str">
        <f>IF(C12="","",Calculator!I28)</f>
        <v/>
      </c>
      <c r="AQ12"/>
      <c r="AR12" t="str">
        <f>IF(C12="","",ROUND(Calculator!B28,6))</f>
        <v/>
      </c>
      <c r="AS12"/>
      <c r="AT12"/>
      <c r="AU12"/>
      <c r="AV12"/>
      <c r="AW12"/>
      <c r="AX12"/>
      <c r="AY12" t="str">
        <f>IF(C12="","",Calculator!F28)</f>
        <v/>
      </c>
      <c r="AZ12" t="str">
        <f>IF(C12="","",Calculator!G28)</f>
        <v/>
      </c>
      <c r="BA12" t="str">
        <f>IF(BB12="","",ROUND(IF(SUM($BB$2:$BB$58)&gt;(0.5*Summary!$C$10),(BB12/SUM($BB$2:$BB$58))*(0.5*Summary!$C$10),'Data Export'!BB12),2))</f>
        <v/>
      </c>
      <c r="BB12" t="str">
        <f>Calculations!K56</f>
        <v/>
      </c>
      <c r="BC12"/>
      <c r="BD12"/>
      <c r="BE12"/>
      <c r="BF12"/>
      <c r="BG12"/>
      <c r="BH12"/>
      <c r="BI12"/>
      <c r="BJ12"/>
      <c r="BK12"/>
      <c r="BL12"/>
      <c r="BM12" t="str">
        <f t="shared" si="0"/>
        <v/>
      </c>
      <c r="BN12" t="str">
        <f t="shared" si="1"/>
        <v/>
      </c>
      <c r="BO12"/>
      <c r="BP12"/>
      <c r="BQ12"/>
      <c r="BR12"/>
      <c r="BS12"/>
      <c r="BU12" s="291"/>
    </row>
    <row r="13" spans="1:74" s="54" customFormat="1">
      <c r="A13" s="362"/>
      <c r="B13">
        <v>12</v>
      </c>
      <c r="C13" t="str">
        <f>IF(Calculator!G29="","",Calculator!$B$23)</f>
        <v/>
      </c>
      <c r="D13" t="str">
        <f>IF(C13="","",ROUND(Calculator!D29,3))</f>
        <v/>
      </c>
      <c r="E13" t="str">
        <f>IF(C13="","",Calculations!$D$36)</f>
        <v/>
      </c>
      <c r="F13" t="str">
        <f>IF(C13="","",Calculator!E29)</f>
        <v/>
      </c>
      <c r="G13"/>
      <c r="H13"/>
      <c r="I13" t="str">
        <f>Calculations!J57</f>
        <v/>
      </c>
      <c r="J13"/>
      <c r="K13"/>
      <c r="L13"/>
      <c r="M13"/>
      <c r="N13"/>
      <c r="O13"/>
      <c r="P13"/>
      <c r="Q13"/>
      <c r="R13"/>
      <c r="S13" t="str">
        <f>IF(C13="","",Calculator!K29)</f>
        <v/>
      </c>
      <c r="T13"/>
      <c r="U13"/>
      <c r="V13"/>
      <c r="W13"/>
      <c r="X13"/>
      <c r="Y13"/>
      <c r="Z13"/>
      <c r="AA13"/>
      <c r="AB13"/>
      <c r="AC13"/>
      <c r="AD13"/>
      <c r="AE13"/>
      <c r="AF13"/>
      <c r="AG13"/>
      <c r="AH13"/>
      <c r="AI13"/>
      <c r="AJ13"/>
      <c r="AK13"/>
      <c r="AL13"/>
      <c r="AM13"/>
      <c r="AN13" t="str">
        <f>IF(C13="","",Calculator!J29)</f>
        <v/>
      </c>
      <c r="AO13"/>
      <c r="AP13" t="str">
        <f>IF(C13="","",Calculator!I29)</f>
        <v/>
      </c>
      <c r="AQ13"/>
      <c r="AR13" t="str">
        <f>IF(C13="","",ROUND(Calculator!B29,6))</f>
        <v/>
      </c>
      <c r="AS13"/>
      <c r="AT13"/>
      <c r="AU13"/>
      <c r="AV13"/>
      <c r="AW13"/>
      <c r="AX13"/>
      <c r="AY13" t="str">
        <f>IF(C13="","",Calculator!F29)</f>
        <v/>
      </c>
      <c r="AZ13" t="str">
        <f>IF(C13="","",Calculator!G29)</f>
        <v/>
      </c>
      <c r="BA13" t="str">
        <f>IF(BB13="","",ROUND(IF(SUM($BB$2:$BB$58)&gt;(0.5*Summary!$C$10),(BB13/SUM($BB$2:$BB$58))*(0.5*Summary!$C$10),'Data Export'!BB13),2))</f>
        <v/>
      </c>
      <c r="BB13" t="str">
        <f>Calculations!K57</f>
        <v/>
      </c>
      <c r="BC13"/>
      <c r="BD13"/>
      <c r="BE13"/>
      <c r="BF13"/>
      <c r="BG13"/>
      <c r="BH13"/>
      <c r="BI13"/>
      <c r="BJ13"/>
      <c r="BK13"/>
      <c r="BL13"/>
      <c r="BM13" t="str">
        <f t="shared" si="0"/>
        <v/>
      </c>
      <c r="BN13" t="str">
        <f t="shared" si="1"/>
        <v/>
      </c>
      <c r="BO13"/>
      <c r="BP13"/>
      <c r="BQ13"/>
      <c r="BR13"/>
      <c r="BS13"/>
      <c r="BU13" s="291"/>
    </row>
    <row r="14" spans="1:74" s="54" customFormat="1">
      <c r="A14" s="362"/>
      <c r="B14">
        <v>13</v>
      </c>
      <c r="C14" t="str">
        <f>IF(Calculator!G30="","",Calculator!$B$23)</f>
        <v/>
      </c>
      <c r="D14" t="str">
        <f>IF(C14="","",ROUND(Calculator!D30,3))</f>
        <v/>
      </c>
      <c r="E14" t="str">
        <f>IF(C14="","",Calculations!$D$36)</f>
        <v/>
      </c>
      <c r="F14" t="str">
        <f>IF(C14="","",Calculator!E30)</f>
        <v/>
      </c>
      <c r="G14"/>
      <c r="H14"/>
      <c r="I14" t="str">
        <f>Calculations!J58</f>
        <v/>
      </c>
      <c r="J14"/>
      <c r="K14"/>
      <c r="L14"/>
      <c r="M14"/>
      <c r="N14"/>
      <c r="O14"/>
      <c r="P14"/>
      <c r="Q14"/>
      <c r="R14"/>
      <c r="S14" t="str">
        <f>IF(C14="","",Calculator!K30)</f>
        <v/>
      </c>
      <c r="T14"/>
      <c r="U14"/>
      <c r="V14"/>
      <c r="W14"/>
      <c r="X14"/>
      <c r="Y14"/>
      <c r="Z14"/>
      <c r="AA14"/>
      <c r="AB14"/>
      <c r="AC14"/>
      <c r="AD14"/>
      <c r="AE14"/>
      <c r="AF14"/>
      <c r="AG14"/>
      <c r="AH14"/>
      <c r="AI14"/>
      <c r="AJ14"/>
      <c r="AK14"/>
      <c r="AL14"/>
      <c r="AM14"/>
      <c r="AN14" t="str">
        <f>IF(C14="","",Calculator!J30)</f>
        <v/>
      </c>
      <c r="AO14"/>
      <c r="AP14" t="str">
        <f>IF(C14="","",Calculator!I30)</f>
        <v/>
      </c>
      <c r="AQ14"/>
      <c r="AR14" t="str">
        <f>IF(C14="","",ROUND(Calculator!B30,6))</f>
        <v/>
      </c>
      <c r="AS14"/>
      <c r="AT14"/>
      <c r="AU14"/>
      <c r="AV14"/>
      <c r="AW14"/>
      <c r="AX14"/>
      <c r="AY14" t="str">
        <f>IF(C14="","",Calculator!F30)</f>
        <v/>
      </c>
      <c r="AZ14" t="str">
        <f>IF(C14="","",Calculator!G30)</f>
        <v/>
      </c>
      <c r="BA14" t="str">
        <f>IF(BB14="","",ROUND(IF(SUM($BB$2:$BB$58)&gt;(0.5*Summary!$C$10),(BB14/SUM($BB$2:$BB$58))*(0.5*Summary!$C$10),'Data Export'!BB14),2))</f>
        <v/>
      </c>
      <c r="BB14" t="str">
        <f>Calculations!K58</f>
        <v/>
      </c>
      <c r="BC14"/>
      <c r="BD14"/>
      <c r="BE14"/>
      <c r="BF14"/>
      <c r="BG14"/>
      <c r="BH14"/>
      <c r="BI14"/>
      <c r="BJ14"/>
      <c r="BK14"/>
      <c r="BL14"/>
      <c r="BM14" t="str">
        <f t="shared" si="0"/>
        <v/>
      </c>
      <c r="BN14" t="str">
        <f t="shared" si="1"/>
        <v/>
      </c>
      <c r="BO14"/>
      <c r="BP14"/>
      <c r="BQ14"/>
      <c r="BR14"/>
      <c r="BS14"/>
      <c r="BU14" s="291"/>
    </row>
    <row r="15" spans="1:74" s="54" customFormat="1">
      <c r="A15" s="362"/>
      <c r="B15">
        <v>14</v>
      </c>
      <c r="C15" t="str">
        <f>IF(Calculator!G31="","",Calculator!$B$23)</f>
        <v/>
      </c>
      <c r="D15" t="str">
        <f>IF(C15="","",ROUND(Calculator!D31,3))</f>
        <v/>
      </c>
      <c r="E15" t="str">
        <f>IF(C15="","",Calculations!$D$36)</f>
        <v/>
      </c>
      <c r="F15" t="str">
        <f>IF(C15="","",Calculator!E31)</f>
        <v/>
      </c>
      <c r="G15"/>
      <c r="H15"/>
      <c r="I15" t="str">
        <f>Calculations!J59</f>
        <v/>
      </c>
      <c r="J15"/>
      <c r="K15"/>
      <c r="L15"/>
      <c r="M15"/>
      <c r="N15"/>
      <c r="O15"/>
      <c r="P15"/>
      <c r="Q15"/>
      <c r="R15"/>
      <c r="S15" t="str">
        <f>IF(C15="","",Calculator!K31)</f>
        <v/>
      </c>
      <c r="T15"/>
      <c r="U15"/>
      <c r="V15"/>
      <c r="W15"/>
      <c r="X15"/>
      <c r="Y15"/>
      <c r="Z15"/>
      <c r="AA15"/>
      <c r="AB15"/>
      <c r="AC15"/>
      <c r="AD15"/>
      <c r="AE15"/>
      <c r="AF15"/>
      <c r="AG15"/>
      <c r="AH15"/>
      <c r="AI15"/>
      <c r="AJ15"/>
      <c r="AK15"/>
      <c r="AL15"/>
      <c r="AM15"/>
      <c r="AN15" t="str">
        <f>IF(C15="","",Calculator!J31)</f>
        <v/>
      </c>
      <c r="AO15"/>
      <c r="AP15" t="str">
        <f>IF(C15="","",Calculator!I31)</f>
        <v/>
      </c>
      <c r="AQ15"/>
      <c r="AR15" t="str">
        <f>IF(C15="","",ROUND(Calculator!B31,6))</f>
        <v/>
      </c>
      <c r="AS15"/>
      <c r="AT15"/>
      <c r="AU15"/>
      <c r="AV15"/>
      <c r="AW15"/>
      <c r="AX15"/>
      <c r="AY15" t="str">
        <f>IF(C15="","",Calculator!F31)</f>
        <v/>
      </c>
      <c r="AZ15" t="str">
        <f>IF(C15="","",Calculator!G31)</f>
        <v/>
      </c>
      <c r="BA15" t="str">
        <f>IF(BB15="","",ROUND(IF(SUM($BB$2:$BB$58)&gt;(0.5*Summary!$C$10),(BB15/SUM($BB$2:$BB$58))*(0.5*Summary!$C$10),'Data Export'!BB15),2))</f>
        <v/>
      </c>
      <c r="BB15" t="str">
        <f>Calculations!K59</f>
        <v/>
      </c>
      <c r="BC15"/>
      <c r="BD15"/>
      <c r="BE15"/>
      <c r="BF15"/>
      <c r="BG15"/>
      <c r="BH15"/>
      <c r="BI15"/>
      <c r="BJ15"/>
      <c r="BK15"/>
      <c r="BL15"/>
      <c r="BM15" t="str">
        <f t="shared" si="0"/>
        <v/>
      </c>
      <c r="BN15" t="str">
        <f t="shared" si="1"/>
        <v/>
      </c>
      <c r="BO15"/>
      <c r="BP15"/>
      <c r="BQ15"/>
      <c r="BR15"/>
      <c r="BS15"/>
      <c r="BU15" s="291"/>
    </row>
    <row r="16" spans="1:74" s="54" customFormat="1">
      <c r="A16" s="362"/>
      <c r="B16">
        <v>15</v>
      </c>
      <c r="C16" t="str">
        <f>IF(Calculator!G32="","",Calculator!$B$23)</f>
        <v/>
      </c>
      <c r="D16" t="str">
        <f>IF(C16="","",ROUND(Calculator!D32,3))</f>
        <v/>
      </c>
      <c r="E16" t="str">
        <f>IF(C16="","",Calculations!$D$36)</f>
        <v/>
      </c>
      <c r="F16" t="str">
        <f>IF(C16="","",Calculator!E32)</f>
        <v/>
      </c>
      <c r="G16"/>
      <c r="H16"/>
      <c r="I16" t="str">
        <f>Calculations!J60</f>
        <v/>
      </c>
      <c r="J16"/>
      <c r="K16"/>
      <c r="L16"/>
      <c r="M16"/>
      <c r="N16"/>
      <c r="O16"/>
      <c r="P16"/>
      <c r="Q16"/>
      <c r="R16"/>
      <c r="S16" t="str">
        <f>IF(C16="","",Calculator!K32)</f>
        <v/>
      </c>
      <c r="T16"/>
      <c r="U16"/>
      <c r="V16"/>
      <c r="W16"/>
      <c r="X16"/>
      <c r="Y16"/>
      <c r="Z16"/>
      <c r="AA16"/>
      <c r="AB16"/>
      <c r="AC16"/>
      <c r="AD16"/>
      <c r="AE16"/>
      <c r="AF16"/>
      <c r="AG16"/>
      <c r="AH16"/>
      <c r="AI16"/>
      <c r="AJ16"/>
      <c r="AK16"/>
      <c r="AL16"/>
      <c r="AM16"/>
      <c r="AN16" t="str">
        <f>IF(C16="","",Calculator!J32)</f>
        <v/>
      </c>
      <c r="AO16"/>
      <c r="AP16" t="str">
        <f>IF(C16="","",Calculator!I32)</f>
        <v/>
      </c>
      <c r="AQ16"/>
      <c r="AR16" t="str">
        <f>IF(C16="","",ROUND(Calculator!B32,6))</f>
        <v/>
      </c>
      <c r="AS16"/>
      <c r="AT16"/>
      <c r="AU16"/>
      <c r="AV16"/>
      <c r="AW16"/>
      <c r="AX16"/>
      <c r="AY16" t="str">
        <f>IF(C16="","",Calculator!F32)</f>
        <v/>
      </c>
      <c r="AZ16" t="str">
        <f>IF(C16="","",Calculator!G32)</f>
        <v/>
      </c>
      <c r="BA16" t="str">
        <f>IF(BB16="","",ROUND(IF(SUM($BB$2:$BB$58)&gt;(0.5*Summary!$C$10),(BB16/SUM($BB$2:$BB$58))*(0.5*Summary!$C$10),'Data Export'!BB16),2))</f>
        <v/>
      </c>
      <c r="BB16" t="str">
        <f>Calculations!K60</f>
        <v/>
      </c>
      <c r="BC16"/>
      <c r="BD16"/>
      <c r="BE16"/>
      <c r="BF16"/>
      <c r="BG16"/>
      <c r="BH16"/>
      <c r="BI16"/>
      <c r="BJ16"/>
      <c r="BK16"/>
      <c r="BL16"/>
      <c r="BM16" t="str">
        <f t="shared" si="0"/>
        <v/>
      </c>
      <c r="BN16" t="str">
        <f t="shared" si="1"/>
        <v/>
      </c>
      <c r="BO16"/>
      <c r="BP16"/>
      <c r="BQ16"/>
      <c r="BR16"/>
      <c r="BS16"/>
      <c r="BU16" s="291"/>
    </row>
    <row r="17" spans="1:73" s="54" customFormat="1" ht="15" thickBot="1">
      <c r="A17" s="361"/>
      <c r="B17" s="142">
        <v>16</v>
      </c>
      <c r="C17" s="142" t="str">
        <f>IF(Calculator!G33="","",Calculator!$B$23)</f>
        <v/>
      </c>
      <c r="D17" s="142" t="str">
        <f>IF(C17="","",ROUND(Calculator!D33,3))</f>
        <v/>
      </c>
      <c r="E17" s="142" t="str">
        <f>IF(C17="","",Calculations!$D$36)</f>
        <v/>
      </c>
      <c r="F17" s="142" t="str">
        <f>IF(C17="","",Calculator!E33)</f>
        <v/>
      </c>
      <c r="G17" s="142"/>
      <c r="H17" s="142"/>
      <c r="I17" s="142" t="str">
        <f>Calculations!J61</f>
        <v/>
      </c>
      <c r="J17" s="142"/>
      <c r="K17" s="142"/>
      <c r="L17" s="142"/>
      <c r="M17" s="142"/>
      <c r="N17" s="142"/>
      <c r="O17" s="142"/>
      <c r="P17" s="142"/>
      <c r="Q17" s="142"/>
      <c r="R17" s="142"/>
      <c r="S17" s="142" t="str">
        <f>IF(C17="","",Calculator!K33)</f>
        <v/>
      </c>
      <c r="T17" s="142"/>
      <c r="U17" s="142"/>
      <c r="V17" s="142"/>
      <c r="W17" s="142"/>
      <c r="X17" s="142"/>
      <c r="Y17" s="142"/>
      <c r="Z17" s="142"/>
      <c r="AA17" s="142"/>
      <c r="AB17" s="142"/>
      <c r="AC17" s="142"/>
      <c r="AD17" s="142"/>
      <c r="AE17" s="142"/>
      <c r="AF17" s="142"/>
      <c r="AG17" s="142"/>
      <c r="AH17" s="142"/>
      <c r="AI17" s="142"/>
      <c r="AJ17" s="142"/>
      <c r="AK17" s="142"/>
      <c r="AL17" s="142"/>
      <c r="AM17" s="142"/>
      <c r="AN17" s="142" t="str">
        <f>IF(C17="","",Calculator!J33)</f>
        <v/>
      </c>
      <c r="AO17" s="142"/>
      <c r="AP17" s="142" t="str">
        <f>IF(C17="","",Calculator!I33)</f>
        <v/>
      </c>
      <c r="AQ17" s="142"/>
      <c r="AR17" s="142" t="str">
        <f>IF(C17="","",ROUND(Calculator!B33,6))</f>
        <v/>
      </c>
      <c r="AS17" s="142"/>
      <c r="AT17" s="142"/>
      <c r="AU17" s="142"/>
      <c r="AV17" s="142"/>
      <c r="AW17" s="142"/>
      <c r="AX17" s="142"/>
      <c r="AY17" s="142" t="str">
        <f>IF(C17="","",Calculator!F33)</f>
        <v/>
      </c>
      <c r="AZ17" s="142" t="str">
        <f>IF(C17="","",Calculator!G33)</f>
        <v/>
      </c>
      <c r="BA17" s="142" t="str">
        <f>IF(BB17="","",ROUND(IF(SUM($BB$2:$BB$58)&gt;(0.5*Summary!$C$10),(BB17/SUM($BB$2:$BB$58))*(0.5*Summary!$C$10),'Data Export'!BB17),2))</f>
        <v/>
      </c>
      <c r="BB17" s="142" t="str">
        <f>Calculations!K61</f>
        <v/>
      </c>
      <c r="BC17" s="142"/>
      <c r="BD17" s="142"/>
      <c r="BE17" s="142"/>
      <c r="BF17" s="142"/>
      <c r="BG17" s="142"/>
      <c r="BH17" s="142"/>
      <c r="BI17" s="142"/>
      <c r="BJ17" s="142"/>
      <c r="BK17" s="142"/>
      <c r="BL17" s="142"/>
      <c r="BM17" s="142" t="str">
        <f t="shared" si="0"/>
        <v/>
      </c>
      <c r="BN17" s="142" t="str">
        <f t="shared" si="1"/>
        <v/>
      </c>
      <c r="BO17" s="142"/>
      <c r="BP17" s="142"/>
      <c r="BQ17" s="142"/>
      <c r="BR17" s="142"/>
      <c r="BS17" s="142"/>
      <c r="BT17" s="87"/>
      <c r="BU17" s="293"/>
    </row>
    <row r="18" spans="1:73" s="54" customFormat="1" ht="14.25" customHeight="1">
      <c r="A18" s="360" t="s">
        <v>96</v>
      </c>
      <c r="B18">
        <v>17</v>
      </c>
      <c r="C18" t="str">
        <f>IF(Calculator!G39="","",Calculator!$B$36)</f>
        <v/>
      </c>
      <c r="D18" t="str">
        <f>IF(C18="","",ROUND(Calculator!D39,3))</f>
        <v/>
      </c>
      <c r="E18" t="str">
        <f>IF(C18="","",Calculations!$C$66)</f>
        <v/>
      </c>
      <c r="F18" t="str">
        <f>IF(C18="","",Calculator!E39)</f>
        <v/>
      </c>
      <c r="G18"/>
      <c r="H18"/>
      <c r="I18"/>
      <c r="J18" t="str">
        <f>IF(C18="","",Calculations!D77)</f>
        <v/>
      </c>
      <c r="K18"/>
      <c r="L18" t="str">
        <f>IF(C18="","",Calculations!L77)</f>
        <v/>
      </c>
      <c r="M18"/>
      <c r="N18"/>
      <c r="O18"/>
      <c r="P18"/>
      <c r="Q18"/>
      <c r="R18"/>
      <c r="S18" t="str">
        <f>IF(C18="","",Calculator!I39)</f>
        <v/>
      </c>
      <c r="T18"/>
      <c r="U18"/>
      <c r="V18" t="str">
        <f>IF(C18="","",Calculations!N77)</f>
        <v/>
      </c>
      <c r="W18"/>
      <c r="X18"/>
      <c r="Y18"/>
      <c r="Z18" t="str">
        <f>IF(C18="","",Calculations!$G$66)</f>
        <v/>
      </c>
      <c r="AA18"/>
      <c r="AB18"/>
      <c r="AC18"/>
      <c r="AD18" t="str">
        <f>IF(C18="","",Calculations!B77)</f>
        <v/>
      </c>
      <c r="AE18"/>
      <c r="AF18" t="str">
        <f>IF(C18="","",Calculations!$C$68)</f>
        <v/>
      </c>
      <c r="AG18"/>
      <c r="AH18"/>
      <c r="AI18"/>
      <c r="AJ18"/>
      <c r="AK18"/>
      <c r="AL18"/>
      <c r="AM18"/>
      <c r="AN18"/>
      <c r="AO18"/>
      <c r="AP18"/>
      <c r="AQ18"/>
      <c r="AR18" t="str">
        <f>IF(C18="","",ROUND(Calculator!B39,6))</f>
        <v/>
      </c>
      <c r="AS18"/>
      <c r="AT18"/>
      <c r="AU18"/>
      <c r="AV18"/>
      <c r="AW18"/>
      <c r="AX18"/>
      <c r="AY18" t="str">
        <f>IF(C18="","",Calculator!F39)</f>
        <v/>
      </c>
      <c r="AZ18" t="str">
        <f>IF(C18="","",Calculator!G39)</f>
        <v/>
      </c>
      <c r="BA18" t="str">
        <f>IF(BB18="","",ROUND(IF(SUM($BB$2:$BB$58)&gt;(0.5*Summary!$C$10),(BB18/SUM($BB$2:$BB$58))*(0.5*Summary!$C$10),'Data Export'!BB18),2))</f>
        <v/>
      </c>
      <c r="BB18" t="str">
        <f>IF(C18="","",Calculations!S77)</f>
        <v/>
      </c>
      <c r="BC18"/>
      <c r="BD18"/>
      <c r="BE18"/>
      <c r="BF18"/>
      <c r="BG18"/>
      <c r="BH18"/>
      <c r="BI18"/>
      <c r="BJ18"/>
      <c r="BK18"/>
      <c r="BL18"/>
      <c r="BM18" t="str">
        <f t="shared" si="0"/>
        <v/>
      </c>
      <c r="BN18" t="str">
        <f t="shared" si="1"/>
        <v/>
      </c>
      <c r="BO18"/>
      <c r="BP18"/>
      <c r="BQ18"/>
      <c r="BR18">
        <v>14</v>
      </c>
      <c r="BS18"/>
      <c r="BT18" s="81">
        <v>7</v>
      </c>
      <c r="BU18" s="114">
        <v>6.5821000000000005E-2</v>
      </c>
    </row>
    <row r="19" spans="1:73" s="54" customFormat="1" ht="14.25" customHeight="1" thickBot="1">
      <c r="A19" s="361"/>
      <c r="B19">
        <v>18</v>
      </c>
      <c r="C19" t="str">
        <f>IF(Calculator!G40="","",Calculator!$B$36)</f>
        <v/>
      </c>
      <c r="D19" t="str">
        <f>IF(C19="","",ROUND(Calculator!D40,3))</f>
        <v/>
      </c>
      <c r="E19" t="str">
        <f>IF(C19="","",Calculations!$C$66)</f>
        <v/>
      </c>
      <c r="F19" t="str">
        <f>IF(C19="","",Calculator!E40)</f>
        <v/>
      </c>
      <c r="G19"/>
      <c r="H19"/>
      <c r="I19"/>
      <c r="J19" t="str">
        <f>IF(C19="","",Calculations!D78)</f>
        <v/>
      </c>
      <c r="K19"/>
      <c r="L19" t="str">
        <f>IF(C19="","",Calculations!L78)</f>
        <v/>
      </c>
      <c r="M19"/>
      <c r="N19"/>
      <c r="O19"/>
      <c r="P19"/>
      <c r="Q19"/>
      <c r="R19"/>
      <c r="S19" t="str">
        <f>IF(C19="","",Calculator!I40)</f>
        <v/>
      </c>
      <c r="T19"/>
      <c r="U19"/>
      <c r="V19" t="str">
        <f>IF(C19="","",Calculations!N78)</f>
        <v/>
      </c>
      <c r="W19"/>
      <c r="X19"/>
      <c r="Y19"/>
      <c r="Z19" t="str">
        <f>IF(C19="","",Calculations!$G$66)</f>
        <v/>
      </c>
      <c r="AA19"/>
      <c r="AB19"/>
      <c r="AC19"/>
      <c r="AD19" t="str">
        <f>IF(C19="","",Calculations!B78)</f>
        <v/>
      </c>
      <c r="AE19"/>
      <c r="AF19" t="str">
        <f>IF(C19="","",Calculations!$C$68)</f>
        <v/>
      </c>
      <c r="AG19"/>
      <c r="AH19"/>
      <c r="AI19"/>
      <c r="AJ19"/>
      <c r="AK19"/>
      <c r="AL19"/>
      <c r="AM19"/>
      <c r="AN19"/>
      <c r="AO19"/>
      <c r="AP19"/>
      <c r="AQ19"/>
      <c r="AR19" t="str">
        <f>IF(C19="","",ROUND(Calculator!B40,6))</f>
        <v/>
      </c>
      <c r="AS19"/>
      <c r="AT19"/>
      <c r="AU19"/>
      <c r="AV19"/>
      <c r="AW19"/>
      <c r="AX19"/>
      <c r="AY19" t="str">
        <f>IF(C19="","",Calculator!F40)</f>
        <v/>
      </c>
      <c r="AZ19" t="str">
        <f>IF(C19="","",Calculator!G40)</f>
        <v/>
      </c>
      <c r="BA19" t="str">
        <f>IF(BB19="","",ROUND(IF(SUM($BB$2:$BB$58)&gt;(0.5*Summary!$C$10),(BB19/SUM($BB$2:$BB$58))*(0.5*Summary!$C$10),'Data Export'!BB19),2))</f>
        <v/>
      </c>
      <c r="BB19" t="str">
        <f>IF(C19="","",Calculations!S78)</f>
        <v/>
      </c>
      <c r="BC19"/>
      <c r="BD19"/>
      <c r="BE19"/>
      <c r="BF19"/>
      <c r="BG19"/>
      <c r="BH19"/>
      <c r="BI19"/>
      <c r="BJ19"/>
      <c r="BK19"/>
      <c r="BL19"/>
      <c r="BM19" t="str">
        <f t="shared" si="0"/>
        <v/>
      </c>
      <c r="BN19" t="str">
        <f t="shared" si="1"/>
        <v/>
      </c>
      <c r="BO19"/>
      <c r="BP19"/>
      <c r="BQ19"/>
      <c r="BR19"/>
      <c r="BS19"/>
      <c r="BT19" s="87"/>
      <c r="BU19" s="293"/>
    </row>
    <row r="20" spans="1:73" s="54" customFormat="1" ht="14.25" customHeight="1">
      <c r="A20" s="360" t="s">
        <v>97</v>
      </c>
      <c r="B20" s="141">
        <v>19</v>
      </c>
      <c r="C20" s="141" t="str">
        <f>IF(Calculator!G46="","",Calculator!$B$43)</f>
        <v/>
      </c>
      <c r="D20" s="141" t="str">
        <f>IF(C20="","",ROUND(Calculator!D46,3))</f>
        <v/>
      </c>
      <c r="E20" s="141" t="str">
        <f>IF(C20="","",Calculations!$G$83)</f>
        <v/>
      </c>
      <c r="F20" s="141" t="str">
        <f>IF(C20="","",Calculator!E46)</f>
        <v/>
      </c>
      <c r="G20" s="141"/>
      <c r="H20" s="141"/>
      <c r="I20" s="141" t="str">
        <f>IF(C20="","",Calculator!I46)</f>
        <v/>
      </c>
      <c r="J20" s="141"/>
      <c r="K20" s="141"/>
      <c r="L20" s="141" t="str">
        <f>IF(C20="","",Calculations!N94)</f>
        <v/>
      </c>
      <c r="M20" s="141"/>
      <c r="N20" s="141"/>
      <c r="O20" s="141"/>
      <c r="P20" s="141"/>
      <c r="Q20" s="141"/>
      <c r="R20" s="141"/>
      <c r="S20" s="141" t="str">
        <f>IF(C20="","",Calculator!J46)</f>
        <v/>
      </c>
      <c r="T20" s="141"/>
      <c r="U20" s="141"/>
      <c r="V20" s="141" t="str">
        <f>IF(C20="","",Calculations!O94)</f>
        <v/>
      </c>
      <c r="W20" s="141"/>
      <c r="X20" s="141"/>
      <c r="Y20" s="141"/>
      <c r="Z20" s="141" t="str">
        <f>IF(C20="","",Calculations!$G$85)</f>
        <v/>
      </c>
      <c r="AA20" s="141"/>
      <c r="AB20" s="141"/>
      <c r="AC20" s="141"/>
      <c r="AD20" s="141"/>
      <c r="AE20" s="141"/>
      <c r="AF20" s="141" t="str">
        <f>IF(C20="","",Calculations!$C$83)</f>
        <v/>
      </c>
      <c r="AG20" s="141"/>
      <c r="AH20" s="141"/>
      <c r="AI20" s="141"/>
      <c r="AJ20" s="141"/>
      <c r="AK20" s="141"/>
      <c r="AL20" s="141"/>
      <c r="AM20" s="141"/>
      <c r="AN20" s="141"/>
      <c r="AO20" s="141"/>
      <c r="AP20" s="141"/>
      <c r="AQ20" s="141"/>
      <c r="AR20" s="141" t="str">
        <f>IF(C20="","",ROUND(Calculator!B46,6))</f>
        <v/>
      </c>
      <c r="AS20" s="141"/>
      <c r="AT20" s="141"/>
      <c r="AU20" s="141"/>
      <c r="AV20" s="141"/>
      <c r="AW20" s="141"/>
      <c r="AX20" s="141"/>
      <c r="AY20" s="141" t="str">
        <f>IF(C20="","",Calculator!F46)</f>
        <v/>
      </c>
      <c r="AZ20" s="141" t="str">
        <f>IF(C20="","",Calculator!G46)</f>
        <v/>
      </c>
      <c r="BA20" s="141" t="str">
        <f>IF(BB20="","",ROUND(IF(SUM($BB$2:$BB$58)&gt;(0.5*Summary!$C$10),(BB20/SUM($BB$2:$BB$58))*(0.5*Summary!$C$10),'Data Export'!BB20),2))</f>
        <v/>
      </c>
      <c r="BB20" s="141" t="str">
        <f>IF(C20="","",Calculations!T94)</f>
        <v/>
      </c>
      <c r="BC20" s="141"/>
      <c r="BD20" s="141"/>
      <c r="BE20" s="141"/>
      <c r="BF20" s="141"/>
      <c r="BG20" s="141"/>
      <c r="BH20" s="141"/>
      <c r="BI20" s="141"/>
      <c r="BJ20" s="141"/>
      <c r="BK20" s="141"/>
      <c r="BL20" s="141"/>
      <c r="BM20" s="141" t="str">
        <f t="shared" si="0"/>
        <v/>
      </c>
      <c r="BN20" s="141" t="str">
        <f t="shared" si="1"/>
        <v/>
      </c>
      <c r="BO20" s="141"/>
      <c r="BP20" s="141"/>
      <c r="BQ20" s="141"/>
      <c r="BR20" s="141">
        <v>2</v>
      </c>
      <c r="BS20" s="141"/>
      <c r="BT20" s="81">
        <v>6</v>
      </c>
      <c r="BU20" s="290">
        <v>0.69581000000000004</v>
      </c>
    </row>
    <row r="21" spans="1:73" s="54" customFormat="1" ht="14.25" customHeight="1" thickBot="1">
      <c r="A21" s="361"/>
      <c r="B21" s="142">
        <v>20</v>
      </c>
      <c r="C21" s="142" t="str">
        <f>IF(Calculator!G47="","",Calculator!$B$43)</f>
        <v/>
      </c>
      <c r="D21" s="142" t="str">
        <f>IF(C21="","",ROUND(Calculator!D47,3))</f>
        <v/>
      </c>
      <c r="E21" s="142" t="str">
        <f>IF(C21="","",Calculations!$G$83)</f>
        <v/>
      </c>
      <c r="F21" s="142" t="str">
        <f>IF(C21="","",Calculator!E47)</f>
        <v/>
      </c>
      <c r="G21" s="142"/>
      <c r="H21" s="142"/>
      <c r="I21" s="142" t="str">
        <f>IF(C21="","",Calculator!I47)</f>
        <v/>
      </c>
      <c r="J21" s="142"/>
      <c r="K21" s="142"/>
      <c r="L21" s="142" t="str">
        <f>IF(C21="","",Calculations!N95)</f>
        <v/>
      </c>
      <c r="M21" s="142"/>
      <c r="N21" s="142"/>
      <c r="O21" s="142"/>
      <c r="P21" s="142"/>
      <c r="Q21" s="142"/>
      <c r="R21" s="142"/>
      <c r="S21" s="142" t="str">
        <f>IF(C21="","",Calculator!J47)</f>
        <v/>
      </c>
      <c r="T21" s="142"/>
      <c r="U21" s="142"/>
      <c r="V21" s="142" t="str">
        <f>IF(C21="","",Calculations!O95)</f>
        <v/>
      </c>
      <c r="W21" s="142"/>
      <c r="X21" s="142"/>
      <c r="Y21" s="142"/>
      <c r="Z21" s="142" t="str">
        <f>IF(C21="","",Calculations!$G$85)</f>
        <v/>
      </c>
      <c r="AA21" s="142"/>
      <c r="AB21" s="142"/>
      <c r="AC21" s="142"/>
      <c r="AD21" s="142"/>
      <c r="AE21" s="142"/>
      <c r="AF21" s="142" t="str">
        <f>IF(C21="","",Calculations!$C$83)</f>
        <v/>
      </c>
      <c r="AG21" s="142"/>
      <c r="AH21" s="142"/>
      <c r="AI21" s="142"/>
      <c r="AJ21" s="142"/>
      <c r="AK21" s="142"/>
      <c r="AL21" s="142"/>
      <c r="AM21" s="142"/>
      <c r="AN21" s="142"/>
      <c r="AO21" s="142"/>
      <c r="AP21" s="142"/>
      <c r="AQ21" s="142"/>
      <c r="AR21" s="142" t="str">
        <f>IF(C21="","",ROUND(Calculator!B47,6))</f>
        <v/>
      </c>
      <c r="AS21" s="142"/>
      <c r="AT21" s="142"/>
      <c r="AU21" s="142"/>
      <c r="AV21" s="142"/>
      <c r="AW21" s="142"/>
      <c r="AX21" s="142"/>
      <c r="AY21" s="142" t="str">
        <f>IF(C21="","",Calculator!F47)</f>
        <v/>
      </c>
      <c r="AZ21" s="142" t="str">
        <f>IF(C21="","",Calculator!G47)</f>
        <v/>
      </c>
      <c r="BA21" s="142" t="str">
        <f>IF(BB21="","",ROUND(IF(SUM($BB$2:$BB$58)&gt;(0.5*Summary!$C$10),(BB21/SUM($BB$2:$BB$58))*(0.5*Summary!$C$10),'Data Export'!BB21),2))</f>
        <v/>
      </c>
      <c r="BB21" s="142" t="str">
        <f>IF(C21="","",Calculations!T95)</f>
        <v/>
      </c>
      <c r="BC21" s="142"/>
      <c r="BD21" s="142"/>
      <c r="BE21" s="142"/>
      <c r="BF21" s="142"/>
      <c r="BG21" s="142"/>
      <c r="BH21" s="142"/>
      <c r="BI21" s="142"/>
      <c r="BJ21" s="142"/>
      <c r="BK21" s="142"/>
      <c r="BL21" s="142"/>
      <c r="BM21" s="142" t="str">
        <f t="shared" si="0"/>
        <v/>
      </c>
      <c r="BN21" s="142" t="str">
        <f t="shared" si="1"/>
        <v/>
      </c>
      <c r="BO21" s="142"/>
      <c r="BP21" s="142"/>
      <c r="BQ21" s="142"/>
      <c r="BR21" s="142"/>
      <c r="BS21" s="142"/>
      <c r="BT21" s="87"/>
      <c r="BU21" s="293"/>
    </row>
    <row r="22" spans="1:73" s="54" customFormat="1">
      <c r="A22" s="362" t="s">
        <v>98</v>
      </c>
      <c r="B22">
        <v>21</v>
      </c>
      <c r="C22" t="str">
        <f>IF(Calculator!G54="","",Calculator!$B$50)</f>
        <v/>
      </c>
      <c r="D22" t="str">
        <f>IF(C22="","",ROUND(Calculator!D54,3))</f>
        <v/>
      </c>
      <c r="E22" t="str">
        <f>IF(C22="","",Calculations!$E$100)</f>
        <v/>
      </c>
      <c r="F22" t="str">
        <f>IF(C22="","",Calculator!E54)</f>
        <v/>
      </c>
      <c r="G22"/>
      <c r="H22"/>
      <c r="I22"/>
      <c r="J22"/>
      <c r="K22" t="str">
        <f>IF(C22="","",Calculations!J132)</f>
        <v/>
      </c>
      <c r="L22"/>
      <c r="M22" t="str">
        <f>IF(C22="","",Calculator!J54)</f>
        <v/>
      </c>
      <c r="N22" t="str">
        <f>IF(C22="","",Calculator!I54)</f>
        <v/>
      </c>
      <c r="O22" t="str">
        <f>IF(C22="","",'Ice Machine Incentive Ref'!U14)</f>
        <v/>
      </c>
      <c r="P22"/>
      <c r="Q22"/>
      <c r="R22"/>
      <c r="S22" t="str">
        <f>IF(C22="","",Calculator!O54)</f>
        <v/>
      </c>
      <c r="T22"/>
      <c r="U22" t="str">
        <f>IF(C22="","",Calculations!T132)</f>
        <v/>
      </c>
      <c r="V22"/>
      <c r="W22" t="str">
        <f>IF(C22="","",Calculations!Z132)</f>
        <v/>
      </c>
      <c r="X22" t="str">
        <f>IF(C22="","",Calculator!K54)</f>
        <v/>
      </c>
      <c r="Y22" t="str">
        <f>IF(C22="","",Calculator!M54)</f>
        <v/>
      </c>
      <c r="Z22"/>
      <c r="AA22"/>
      <c r="AB22"/>
      <c r="AC22"/>
      <c r="AD22"/>
      <c r="AE22"/>
      <c r="AF22"/>
      <c r="AG22" t="str">
        <f>IF(C22="","",Calculations!O132)</f>
        <v/>
      </c>
      <c r="AH22"/>
      <c r="AI22" t="str">
        <f>IF(C22="","",Calculations!R132)</f>
        <v/>
      </c>
      <c r="AJ22"/>
      <c r="AK22"/>
      <c r="AL22"/>
      <c r="AM22"/>
      <c r="AN22"/>
      <c r="AO22"/>
      <c r="AP22"/>
      <c r="AQ22"/>
      <c r="AR22" t="str">
        <f>IF(C22="","",ROUND(Calculator!B54,6))</f>
        <v/>
      </c>
      <c r="AS22"/>
      <c r="AT22"/>
      <c r="AU22"/>
      <c r="AV22"/>
      <c r="AW22"/>
      <c r="AX22"/>
      <c r="AY22" t="str">
        <f>IF(C22="","",Calculator!F54)</f>
        <v/>
      </c>
      <c r="AZ22" t="str">
        <f>IF(C22="","",Calculator!G54)</f>
        <v/>
      </c>
      <c r="BA22" t="str">
        <f>IF(BB22="","",ROUND(IF(SUM($BB$2:$BB$58)&gt;(0.5*Summary!$C$10),(BB22/SUM($BB$2:$BB$58))*(0.5*Summary!$C$10),'Data Export'!BB22),2))</f>
        <v/>
      </c>
      <c r="BB22" t="str">
        <f>IF(C22="","",Calculations!Y132)</f>
        <v/>
      </c>
      <c r="BC22"/>
      <c r="BD22"/>
      <c r="BE22"/>
      <c r="BF22"/>
      <c r="BG22"/>
      <c r="BH22"/>
      <c r="BI22"/>
      <c r="BJ22"/>
      <c r="BK22"/>
      <c r="BL22"/>
      <c r="BM22" t="str">
        <f t="shared" si="0"/>
        <v/>
      </c>
      <c r="BN22" t="str">
        <f t="shared" si="1"/>
        <v/>
      </c>
      <c r="BO22"/>
      <c r="BP22"/>
      <c r="BQ22"/>
      <c r="BR22">
        <v>25</v>
      </c>
      <c r="BS22"/>
      <c r="BT22" s="81">
        <v>11</v>
      </c>
      <c r="BU22" s="290">
        <v>0.64127999999999996</v>
      </c>
    </row>
    <row r="23" spans="1:73" s="54" customFormat="1">
      <c r="A23" s="362"/>
      <c r="B23">
        <v>22</v>
      </c>
      <c r="C23" t="str">
        <f>IF(Calculator!G55="","",Calculator!$B$50)</f>
        <v/>
      </c>
      <c r="D23" t="str">
        <f>IF(C23="","",ROUND(Calculator!D55,3))</f>
        <v/>
      </c>
      <c r="E23" t="str">
        <f>IF(C23="","",Calculations!$E$100)</f>
        <v/>
      </c>
      <c r="F23" t="str">
        <f>IF(C23="","",Calculator!E55)</f>
        <v/>
      </c>
      <c r="G23"/>
      <c r="H23"/>
      <c r="I23"/>
      <c r="J23"/>
      <c r="K23" t="str">
        <f>IF(C23="","",Calculations!J133)</f>
        <v/>
      </c>
      <c r="L23"/>
      <c r="M23" t="str">
        <f>IF(C23="","",Calculator!J55)</f>
        <v/>
      </c>
      <c r="N23" t="str">
        <f>IF(C23="","",Calculator!I55)</f>
        <v/>
      </c>
      <c r="O23" t="str">
        <f>IF(C23="","",'Ice Machine Incentive Ref'!U15)</f>
        <v/>
      </c>
      <c r="P23"/>
      <c r="Q23"/>
      <c r="R23"/>
      <c r="S23" t="str">
        <f>IF(C23="","",Calculator!O55)</f>
        <v/>
      </c>
      <c r="T23"/>
      <c r="U23" t="str">
        <f>IF(C23="","",Calculations!T133)</f>
        <v/>
      </c>
      <c r="V23"/>
      <c r="W23" t="str">
        <f>IF(C23="","",Calculations!Z133)</f>
        <v/>
      </c>
      <c r="X23" t="str">
        <f>IF(C23="","",Calculator!K55)</f>
        <v/>
      </c>
      <c r="Y23" t="str">
        <f>IF(C23="","",Calculator!M55)</f>
        <v/>
      </c>
      <c r="Z23"/>
      <c r="AA23"/>
      <c r="AB23"/>
      <c r="AC23"/>
      <c r="AD23"/>
      <c r="AE23"/>
      <c r="AF23"/>
      <c r="AG23" t="str">
        <f>IF(C23="","",Calculations!O133)</f>
        <v/>
      </c>
      <c r="AH23"/>
      <c r="AI23" t="str">
        <f>IF(C23="","",Calculations!R133)</f>
        <v/>
      </c>
      <c r="AJ23"/>
      <c r="AK23"/>
      <c r="AL23"/>
      <c r="AM23"/>
      <c r="AN23"/>
      <c r="AO23"/>
      <c r="AP23"/>
      <c r="AQ23"/>
      <c r="AR23" t="str">
        <f>IF(C23="","",ROUND(Calculator!B55,6))</f>
        <v/>
      </c>
      <c r="AS23"/>
      <c r="AT23"/>
      <c r="AU23"/>
      <c r="AV23"/>
      <c r="AW23"/>
      <c r="AX23"/>
      <c r="AY23" t="str">
        <f>IF(C23="","",Calculator!F55)</f>
        <v/>
      </c>
      <c r="AZ23" t="str">
        <f>IF(C23="","",Calculator!G55)</f>
        <v/>
      </c>
      <c r="BA23" t="str">
        <f>IF(BB23="","",ROUND(IF(SUM($BB$2:$BB$58)&gt;(0.5*Summary!$C$10),(BB23/SUM($BB$2:$BB$58))*(0.5*Summary!$C$10),'Data Export'!BB23),2))</f>
        <v/>
      </c>
      <c r="BB23" t="str">
        <f>IF(C23="","",Calculations!Y133)</f>
        <v/>
      </c>
      <c r="BC23"/>
      <c r="BD23"/>
      <c r="BE23"/>
      <c r="BF23"/>
      <c r="BG23"/>
      <c r="BH23"/>
      <c r="BI23"/>
      <c r="BJ23"/>
      <c r="BK23"/>
      <c r="BL23"/>
      <c r="BM23" t="str">
        <f t="shared" si="0"/>
        <v/>
      </c>
      <c r="BN23" t="str">
        <f t="shared" si="1"/>
        <v/>
      </c>
      <c r="BO23"/>
      <c r="BP23"/>
      <c r="BQ23"/>
      <c r="BR23"/>
      <c r="BS23"/>
      <c r="BU23" s="291"/>
    </row>
    <row r="24" spans="1:73" s="54" customFormat="1" ht="14.25" customHeight="1">
      <c r="A24" s="362"/>
      <c r="B24">
        <v>23</v>
      </c>
      <c r="C24" t="str">
        <f>IF(Calculator!G56="","",Calculator!$B$50)</f>
        <v/>
      </c>
      <c r="D24" t="str">
        <f>IF(C24="","",ROUND(Calculator!D56,3))</f>
        <v/>
      </c>
      <c r="E24" t="str">
        <f>IF(C24="","",Calculations!$E$100)</f>
        <v/>
      </c>
      <c r="F24" t="str">
        <f>IF(C24="","",Calculator!E56)</f>
        <v/>
      </c>
      <c r="G24"/>
      <c r="H24"/>
      <c r="I24"/>
      <c r="J24"/>
      <c r="K24" t="str">
        <f>IF(C24="","",Calculations!J134)</f>
        <v/>
      </c>
      <c r="L24"/>
      <c r="M24" t="str">
        <f>IF(C24="","",Calculator!J56)</f>
        <v/>
      </c>
      <c r="N24" t="str">
        <f>IF(C24="","",Calculator!I56)</f>
        <v/>
      </c>
      <c r="O24" t="str">
        <f>IF(C24="","",'Ice Machine Incentive Ref'!U16)</f>
        <v/>
      </c>
      <c r="P24"/>
      <c r="Q24"/>
      <c r="R24"/>
      <c r="S24" t="str">
        <f>IF(C24="","",Calculator!O56)</f>
        <v/>
      </c>
      <c r="T24"/>
      <c r="U24" t="str">
        <f>IF(C24="","",Calculations!T134)</f>
        <v/>
      </c>
      <c r="V24"/>
      <c r="W24" t="str">
        <f>IF(C24="","",Calculations!Z134)</f>
        <v/>
      </c>
      <c r="X24" t="str">
        <f>IF(C24="","",Calculator!K56)</f>
        <v/>
      </c>
      <c r="Y24" t="str">
        <f>IF(C24="","",Calculator!M56)</f>
        <v/>
      </c>
      <c r="Z24"/>
      <c r="AA24"/>
      <c r="AB24"/>
      <c r="AC24"/>
      <c r="AD24"/>
      <c r="AE24"/>
      <c r="AF24"/>
      <c r="AG24" t="str">
        <f>IF(C24="","",Calculations!O134)</f>
        <v/>
      </c>
      <c r="AH24"/>
      <c r="AI24" t="str">
        <f>IF(C24="","",Calculations!R134)</f>
        <v/>
      </c>
      <c r="AJ24"/>
      <c r="AK24"/>
      <c r="AL24"/>
      <c r="AM24"/>
      <c r="AN24"/>
      <c r="AO24"/>
      <c r="AP24"/>
      <c r="AQ24"/>
      <c r="AR24" t="str">
        <f>IF(C24="","",ROUND(Calculator!B56,6))</f>
        <v/>
      </c>
      <c r="AS24"/>
      <c r="AT24"/>
      <c r="AU24"/>
      <c r="AV24"/>
      <c r="AW24"/>
      <c r="AX24"/>
      <c r="AY24" t="str">
        <f>IF(C24="","",Calculator!F56)</f>
        <v/>
      </c>
      <c r="AZ24" t="str">
        <f>IF(C24="","",Calculator!G56)</f>
        <v/>
      </c>
      <c r="BA24" t="str">
        <f>IF(BB24="","",ROUND(IF(SUM($BB$2:$BB$58)&gt;(0.5*Summary!$C$10),(BB24/SUM($BB$2:$BB$58))*(0.5*Summary!$C$10),'Data Export'!BB24),2))</f>
        <v/>
      </c>
      <c r="BB24" t="str">
        <f>IF(C24="","",Calculations!Y134)</f>
        <v/>
      </c>
      <c r="BC24"/>
      <c r="BD24"/>
      <c r="BE24"/>
      <c r="BF24"/>
      <c r="BG24"/>
      <c r="BH24"/>
      <c r="BI24"/>
      <c r="BJ24"/>
      <c r="BK24"/>
      <c r="BL24"/>
      <c r="BM24" t="str">
        <f t="shared" si="0"/>
        <v/>
      </c>
      <c r="BN24" t="str">
        <f t="shared" si="1"/>
        <v/>
      </c>
      <c r="BO24"/>
      <c r="BP24"/>
      <c r="BQ24"/>
      <c r="BR24"/>
      <c r="BS24"/>
      <c r="BU24" s="291"/>
    </row>
    <row r="25" spans="1:73" s="54" customFormat="1" ht="14.25" customHeight="1" thickBot="1">
      <c r="A25" s="361"/>
      <c r="B25" s="142">
        <v>24</v>
      </c>
      <c r="C25" s="142" t="str">
        <f>IF(Calculator!G57="","",Calculator!$B$50)</f>
        <v/>
      </c>
      <c r="D25" s="142" t="str">
        <f>IF(C25="","",ROUND(Calculator!D57,3))</f>
        <v/>
      </c>
      <c r="E25" s="142" t="str">
        <f>IF(C25="","",Calculations!$E$100)</f>
        <v/>
      </c>
      <c r="F25" s="142" t="str">
        <f>IF(C25="","",Calculator!E57)</f>
        <v/>
      </c>
      <c r="G25" s="142"/>
      <c r="H25" s="142"/>
      <c r="I25" s="142"/>
      <c r="J25" s="142"/>
      <c r="K25" s="142" t="str">
        <f>IF(C25="","",Calculations!J135)</f>
        <v/>
      </c>
      <c r="L25" s="142"/>
      <c r="M25" s="142" t="str">
        <f>IF(C25="","",Calculator!J57)</f>
        <v/>
      </c>
      <c r="N25" s="142" t="str">
        <f>IF(C25="","",Calculator!I57)</f>
        <v/>
      </c>
      <c r="O25" s="142" t="str">
        <f>IF(C25="","",'Ice Machine Incentive Ref'!U17)</f>
        <v/>
      </c>
      <c r="P25" s="142"/>
      <c r="Q25" s="142"/>
      <c r="R25" s="142"/>
      <c r="S25" s="142" t="str">
        <f>IF(C25="","",Calculator!O57)</f>
        <v/>
      </c>
      <c r="T25" s="142"/>
      <c r="U25" s="142" t="str">
        <f>IF(C25="","",Calculations!T135)</f>
        <v/>
      </c>
      <c r="V25" s="142"/>
      <c r="W25" s="142" t="str">
        <f>IF(C25="","",Calculations!Z135)</f>
        <v/>
      </c>
      <c r="X25" s="142" t="str">
        <f>IF(C25="","",Calculator!K57)</f>
        <v/>
      </c>
      <c r="Y25" s="142" t="str">
        <f>IF(C25="","",Calculator!M57)</f>
        <v/>
      </c>
      <c r="Z25" s="142"/>
      <c r="AA25" s="142"/>
      <c r="AB25" s="142"/>
      <c r="AC25" s="142"/>
      <c r="AD25" s="142"/>
      <c r="AE25" s="142"/>
      <c r="AF25" s="142"/>
      <c r="AG25" s="142" t="str">
        <f>IF(C25="","",Calculations!O135)</f>
        <v/>
      </c>
      <c r="AH25" s="142"/>
      <c r="AI25" s="142" t="str">
        <f>IF(C25="","",Calculations!R135)</f>
        <v/>
      </c>
      <c r="AJ25" s="142"/>
      <c r="AK25" s="142"/>
      <c r="AL25" s="142"/>
      <c r="AM25" s="142"/>
      <c r="AN25" s="142"/>
      <c r="AO25" s="142"/>
      <c r="AP25" s="142"/>
      <c r="AQ25" s="142"/>
      <c r="AR25" s="142" t="str">
        <f>IF(C25="","",ROUND(Calculator!B57,6))</f>
        <v/>
      </c>
      <c r="AS25" s="142"/>
      <c r="AT25" s="142"/>
      <c r="AU25" s="142"/>
      <c r="AV25" s="142"/>
      <c r="AW25" s="142"/>
      <c r="AX25" s="142"/>
      <c r="AY25" s="142" t="str">
        <f>IF(C25="","",Calculator!F57)</f>
        <v/>
      </c>
      <c r="AZ25" s="142" t="str">
        <f>IF(C25="","",Calculator!G57)</f>
        <v/>
      </c>
      <c r="BA25" s="142" t="str">
        <f>IF(BB25="","",ROUND(IF(SUM($BB$2:$BB$58)&gt;(0.5*Summary!$C$10),(BB25/SUM($BB$2:$BB$58))*(0.5*Summary!$C$10),'Data Export'!BB25),2))</f>
        <v/>
      </c>
      <c r="BB25" s="142" t="str">
        <f>IF(C25="","",Calculations!Y135)</f>
        <v/>
      </c>
      <c r="BC25" s="142"/>
      <c r="BD25" s="142"/>
      <c r="BE25" s="142"/>
      <c r="BF25" s="142"/>
      <c r="BG25" s="142"/>
      <c r="BH25" s="142"/>
      <c r="BI25" s="142"/>
      <c r="BJ25" s="142"/>
      <c r="BK25" s="142"/>
      <c r="BL25" s="142"/>
      <c r="BM25" s="142" t="str">
        <f t="shared" si="0"/>
        <v/>
      </c>
      <c r="BN25" s="142" t="str">
        <f t="shared" si="1"/>
        <v/>
      </c>
      <c r="BO25" s="142"/>
      <c r="BP25" s="142"/>
      <c r="BQ25" s="142"/>
      <c r="BR25" s="142"/>
      <c r="BS25" s="142"/>
      <c r="BT25" s="87"/>
      <c r="BU25" s="293"/>
    </row>
    <row r="26" spans="1:73" s="54" customFormat="1" ht="14.25" customHeight="1">
      <c r="A26" s="360" t="s">
        <v>99</v>
      </c>
      <c r="B26" s="141">
        <v>25</v>
      </c>
      <c r="C26" s="141" t="str">
        <f>IF(Calculator!G63="","",Calculator!$B$60)</f>
        <v/>
      </c>
      <c r="D26" s="141" t="str">
        <f>IF(C26="","",ROUND(Calculator!D63,3))</f>
        <v/>
      </c>
      <c r="E26" s="141" t="str">
        <f>IF(C26="","",Calculations!$E$100)</f>
        <v/>
      </c>
      <c r="F26" s="141" t="str">
        <f>IF(C26="","",Calculator!E63)</f>
        <v/>
      </c>
      <c r="G26" s="141"/>
      <c r="H26" s="141"/>
      <c r="I26" s="141"/>
      <c r="J26" s="141"/>
      <c r="K26" s="141"/>
      <c r="L26" s="141" t="str">
        <f>IF(C26="","",Calculations!M151)</f>
        <v/>
      </c>
      <c r="M26" s="141"/>
      <c r="N26" s="141"/>
      <c r="O26" s="141"/>
      <c r="P26" s="141"/>
      <c r="Q26" s="141"/>
      <c r="R26" s="141"/>
      <c r="S26" s="141" t="str">
        <f>IF(C26="","",Calculator!J63)</f>
        <v/>
      </c>
      <c r="T26" s="141"/>
      <c r="U26" s="141"/>
      <c r="V26" s="141" t="str">
        <f>IF(C26="","",Calculations!N151)</f>
        <v/>
      </c>
      <c r="W26" s="141"/>
      <c r="X26" s="141"/>
      <c r="Y26" s="141"/>
      <c r="Z26" s="141" t="str">
        <f>IF(C26="","",Calculations!$G$140)</f>
        <v/>
      </c>
      <c r="AA26" s="141"/>
      <c r="AB26" s="141"/>
      <c r="AC26" s="141"/>
      <c r="AD26" s="141"/>
      <c r="AE26" s="141"/>
      <c r="AF26" s="141" t="str">
        <f>IF(C26="","",Calculations!$C$142)</f>
        <v/>
      </c>
      <c r="AG26" s="141"/>
      <c r="AH26" s="141"/>
      <c r="AI26" s="141"/>
      <c r="AJ26" s="141"/>
      <c r="AK26" s="141"/>
      <c r="AL26" s="141" t="str">
        <f>IF(C26="","",Calculator!H63)</f>
        <v/>
      </c>
      <c r="AM26" s="141" t="str">
        <f>IF(C26="","",Calculations!$J$140)</f>
        <v/>
      </c>
      <c r="AN26" s="141"/>
      <c r="AO26" s="141"/>
      <c r="AP26" s="141"/>
      <c r="AQ26" s="141"/>
      <c r="AR26" s="141" t="str">
        <f>IF(C26="","",ROUND(Calculator!B63,6))</f>
        <v/>
      </c>
      <c r="AS26" s="141"/>
      <c r="AT26" s="141"/>
      <c r="AU26" s="141"/>
      <c r="AV26" s="141"/>
      <c r="AW26" s="141"/>
      <c r="AX26" s="141"/>
      <c r="AY26" s="141" t="str">
        <f>IF(C26="","",Calculator!F63)</f>
        <v/>
      </c>
      <c r="AZ26" s="141" t="str">
        <f>IF(C26="","",Calculator!G63)</f>
        <v/>
      </c>
      <c r="BA26" s="141" t="str">
        <f>IF(BB26="","",ROUND(IF(SUM($BB$2:$BB$58)&gt;(0.5*Summary!$C$10),(BB26/SUM($BB$2:$BB$58))*(0.5*Summary!$C$10),'Data Export'!BB26),2))</f>
        <v/>
      </c>
      <c r="BB26" s="141" t="str">
        <f>IF(C26="","",Calculations!S151)</f>
        <v/>
      </c>
      <c r="BC26" s="141"/>
      <c r="BD26" s="141"/>
      <c r="BE26" s="141"/>
      <c r="BF26" s="141"/>
      <c r="BG26" s="141"/>
      <c r="BH26" s="141"/>
      <c r="BI26" s="141"/>
      <c r="BJ26" s="141"/>
      <c r="BK26" s="141"/>
      <c r="BL26" s="141"/>
      <c r="BM26" s="141" t="str">
        <f t="shared" si="0"/>
        <v/>
      </c>
      <c r="BN26" s="141" t="str">
        <f t="shared" si="1"/>
        <v/>
      </c>
      <c r="BO26" s="141"/>
      <c r="BP26" s="141"/>
      <c r="BQ26" s="141"/>
      <c r="BR26" s="141">
        <v>36</v>
      </c>
      <c r="BS26" s="141"/>
      <c r="BT26" s="81">
        <v>12</v>
      </c>
      <c r="BU26" s="290">
        <v>0.71257999999999999</v>
      </c>
    </row>
    <row r="27" spans="1:73" s="54" customFormat="1" ht="14.25" customHeight="1" thickBot="1">
      <c r="A27" s="361"/>
      <c r="B27" s="142">
        <v>26</v>
      </c>
      <c r="C27" s="142" t="str">
        <f>IF(Calculator!G64="","",Calculator!$B$60)</f>
        <v/>
      </c>
      <c r="D27" s="142" t="str">
        <f>IF(C27="","",ROUND(Calculator!D64,3))</f>
        <v/>
      </c>
      <c r="E27" s="142" t="str">
        <f>IF(C27="","",Calculations!$E$100)</f>
        <v/>
      </c>
      <c r="F27" s="142" t="str">
        <f>IF(C27="","",Calculator!E64)</f>
        <v/>
      </c>
      <c r="G27" s="142"/>
      <c r="H27" s="142"/>
      <c r="I27" s="142"/>
      <c r="J27" s="142"/>
      <c r="K27" s="142"/>
      <c r="L27" s="142" t="str">
        <f>IF(C27="","",Calculations!M152)</f>
        <v/>
      </c>
      <c r="M27" s="142"/>
      <c r="N27" s="142"/>
      <c r="O27" s="142"/>
      <c r="P27" s="142"/>
      <c r="Q27" s="142"/>
      <c r="R27" s="142"/>
      <c r="S27" s="142" t="str">
        <f>IF(C27="","",Calculator!J64)</f>
        <v/>
      </c>
      <c r="T27" s="142"/>
      <c r="U27" s="142"/>
      <c r="V27" s="142" t="str">
        <f>IF(C27="","",Calculations!N152)</f>
        <v/>
      </c>
      <c r="W27" s="142"/>
      <c r="X27" s="142"/>
      <c r="Y27" s="142"/>
      <c r="Z27" s="142" t="str">
        <f>IF(C27="","",Calculations!$G$140)</f>
        <v/>
      </c>
      <c r="AA27" s="142"/>
      <c r="AB27" s="142"/>
      <c r="AC27" s="142"/>
      <c r="AD27" s="142"/>
      <c r="AE27" s="142"/>
      <c r="AF27" s="142" t="str">
        <f>IF(C27="","",Calculations!$C$142)</f>
        <v/>
      </c>
      <c r="AG27" s="142"/>
      <c r="AH27" s="142"/>
      <c r="AI27" s="142"/>
      <c r="AJ27" s="142"/>
      <c r="AK27" s="142"/>
      <c r="AL27" s="142" t="str">
        <f>IF(C27="","",Calculator!H64)</f>
        <v/>
      </c>
      <c r="AM27" s="142" t="str">
        <f>IF(C27="","",Calculations!$J$140)</f>
        <v/>
      </c>
      <c r="AN27" s="142"/>
      <c r="AO27" s="142"/>
      <c r="AP27" s="142"/>
      <c r="AQ27" s="142"/>
      <c r="AR27" s="142" t="str">
        <f>IF(C27="","",ROUND(Calculator!B64,6))</f>
        <v/>
      </c>
      <c r="AS27" s="142"/>
      <c r="AT27" s="142"/>
      <c r="AU27" s="142"/>
      <c r="AV27" s="142"/>
      <c r="AW27" s="142"/>
      <c r="AX27" s="142"/>
      <c r="AY27" s="142" t="str">
        <f>IF(C27="","",Calculator!F64)</f>
        <v/>
      </c>
      <c r="AZ27" s="142" t="str">
        <f>IF(C27="","",Calculator!G64)</f>
        <v/>
      </c>
      <c r="BA27" s="142" t="str">
        <f>IF(BB27="","",ROUND(IF(SUM($BB$2:$BB$58)&gt;(0.5*Summary!$C$10),(BB27/SUM($BB$2:$BB$58))*(0.5*Summary!$C$10),'Data Export'!BB27),2))</f>
        <v/>
      </c>
      <c r="BB27" s="142" t="str">
        <f>IF(C27="","",Calculations!S152)</f>
        <v/>
      </c>
      <c r="BC27" s="142"/>
      <c r="BD27" s="142"/>
      <c r="BE27" s="142"/>
      <c r="BF27" s="142"/>
      <c r="BG27" s="142"/>
      <c r="BH27" s="142"/>
      <c r="BI27" s="142"/>
      <c r="BJ27" s="142"/>
      <c r="BK27" s="142"/>
      <c r="BL27" s="142"/>
      <c r="BM27" s="142" t="str">
        <f t="shared" si="0"/>
        <v/>
      </c>
      <c r="BN27" s="142" t="str">
        <f t="shared" si="1"/>
        <v/>
      </c>
      <c r="BO27" s="142"/>
      <c r="BP27" s="142"/>
      <c r="BQ27" s="142"/>
      <c r="BR27" s="142"/>
      <c r="BS27" s="142"/>
      <c r="BT27" s="87"/>
      <c r="BU27" s="293"/>
    </row>
    <row r="28" spans="1:73" s="54" customFormat="1" ht="15" thickBot="1">
      <c r="A28" s="360" t="s">
        <v>100</v>
      </c>
      <c r="B28" s="141">
        <v>27</v>
      </c>
      <c r="C28" s="141" t="str">
        <f>IF(Calculator!G70="","",Calculator!$B$67)</f>
        <v/>
      </c>
      <c r="D28" s="141" t="str">
        <f>IF(C28="","",ROUND(Calculator!D70,3))</f>
        <v/>
      </c>
      <c r="E28" s="141" t="str">
        <f>IF(C28="","",Calculations!$E$100)</f>
        <v/>
      </c>
      <c r="F28" s="141" t="str">
        <f>IF(C28="","",Calculator!E79)</f>
        <v/>
      </c>
      <c r="G28" s="141"/>
      <c r="H28" s="141"/>
      <c r="I28" s="141"/>
      <c r="J28" s="141"/>
      <c r="K28" s="141"/>
      <c r="L28" s="141" t="str">
        <f>IF(C28="","",Calculations!X173)</f>
        <v/>
      </c>
      <c r="M28" s="141"/>
      <c r="N28" s="141"/>
      <c r="O28" s="141"/>
      <c r="P28" s="141"/>
      <c r="Q28" s="141"/>
      <c r="R28" s="141"/>
      <c r="S28" s="141" t="str">
        <f>IF(C28="","",Calculator!J70)</f>
        <v/>
      </c>
      <c r="T28" s="141"/>
      <c r="U28" s="141"/>
      <c r="V28" s="141" t="str">
        <f>IF(C28="","",Calculations!Y173)</f>
        <v/>
      </c>
      <c r="W28" s="141"/>
      <c r="X28" s="141"/>
      <c r="Y28" s="141"/>
      <c r="Z28" s="141" t="str">
        <f>IF(C28="","",Calculations!$G$157)</f>
        <v/>
      </c>
      <c r="AA28" s="141"/>
      <c r="AB28" s="141"/>
      <c r="AC28" s="141"/>
      <c r="AD28" s="141"/>
      <c r="AE28" s="141"/>
      <c r="AF28" s="141" t="str">
        <f>IF(C28="","",Calculations!$C$159)</f>
        <v/>
      </c>
      <c r="AG28" s="141"/>
      <c r="AH28" s="141"/>
      <c r="AI28" s="141"/>
      <c r="AJ28" s="141"/>
      <c r="AK28" s="141" t="str">
        <f>IF(C28="","",Calculations!C173)</f>
        <v/>
      </c>
      <c r="AL28" s="141"/>
      <c r="AM28" s="141" t="str">
        <f>IF(C28="","",Calculations!$J$156)</f>
        <v/>
      </c>
      <c r="AN28" s="141"/>
      <c r="AO28" s="141"/>
      <c r="AP28" s="141"/>
      <c r="AQ28" s="141"/>
      <c r="AR28" s="141" t="str">
        <f>IF(C28="","",ROUND(Calculator!B70,6))</f>
        <v/>
      </c>
      <c r="AS28" s="141"/>
      <c r="AT28" s="141"/>
      <c r="AU28" s="141"/>
      <c r="AV28" s="141"/>
      <c r="AW28" s="141"/>
      <c r="AX28" s="141"/>
      <c r="AY28" s="141" t="str">
        <f>IF(C28="","",Calculator!F79)</f>
        <v/>
      </c>
      <c r="AZ28" s="141" t="str">
        <f>IF(C28="","",Calculator!G79)</f>
        <v/>
      </c>
      <c r="BA28" s="141" t="str">
        <f>IF(BB28="","",ROUND(IF(SUM($BB$2:$BB$58)&gt;(0.5*Summary!$C$10),(BB28/SUM($BB$2:$BB$58))*(0.5*Summary!$C$10),'Data Export'!BB28),2))</f>
        <v/>
      </c>
      <c r="BB28" s="141" t="str">
        <f>IF(C28="","",Calculations!AD173)</f>
        <v/>
      </c>
      <c r="BC28" s="141"/>
      <c r="BD28" s="141"/>
      <c r="BE28" s="141"/>
      <c r="BF28" s="141"/>
      <c r="BG28" s="141"/>
      <c r="BH28" s="141"/>
      <c r="BI28" s="141"/>
      <c r="BJ28" s="141"/>
      <c r="BK28" s="141"/>
      <c r="BL28" s="141"/>
      <c r="BM28" s="141" t="str">
        <f t="shared" si="0"/>
        <v/>
      </c>
      <c r="BN28" s="141" t="str">
        <f t="shared" si="1"/>
        <v/>
      </c>
      <c r="BO28" s="141"/>
      <c r="BP28" s="141"/>
      <c r="BQ28" s="141"/>
      <c r="BR28" s="141">
        <v>2.54</v>
      </c>
      <c r="BS28" s="141"/>
      <c r="BT28" s="81">
        <v>2.6539999999999999</v>
      </c>
      <c r="BU28" s="114">
        <v>0.129856</v>
      </c>
    </row>
    <row r="29" spans="1:73" s="54" customFormat="1">
      <c r="A29" s="362"/>
      <c r="B29">
        <v>28</v>
      </c>
      <c r="C29" t="str">
        <f>IF(Calculator!G71="","",Calculator!$B$67)</f>
        <v/>
      </c>
      <c r="D29" t="str">
        <f>IF(C29="","",ROUND(Calculator!D71,3))</f>
        <v/>
      </c>
      <c r="E29" t="str">
        <f>IF(C29="","",Calculations!$E$100)</f>
        <v/>
      </c>
      <c r="F29" t="str">
        <f>IF(C29="","",Calculator!E80)</f>
        <v/>
      </c>
      <c r="G29"/>
      <c r="H29"/>
      <c r="I29"/>
      <c r="J29"/>
      <c r="K29"/>
      <c r="L29" t="str">
        <f>IF(C29="","",Calculations!X174)</f>
        <v/>
      </c>
      <c r="M29"/>
      <c r="N29"/>
      <c r="O29"/>
      <c r="P29"/>
      <c r="Q29"/>
      <c r="R29"/>
      <c r="S29" t="str">
        <f>IF(C29="","",Calculator!J71)</f>
        <v/>
      </c>
      <c r="T29"/>
      <c r="U29"/>
      <c r="V29" t="str">
        <f>IF(C29="","",Calculations!Y174)</f>
        <v/>
      </c>
      <c r="W29"/>
      <c r="X29"/>
      <c r="Y29"/>
      <c r="Z29" t="str">
        <f>IF(C29="","",Calculations!$G$157)</f>
        <v/>
      </c>
      <c r="AA29"/>
      <c r="AB29"/>
      <c r="AC29"/>
      <c r="AD29"/>
      <c r="AE29" t="str">
        <f>IF(C29="","",Calculations!$C$159)</f>
        <v/>
      </c>
      <c r="AF29"/>
      <c r="AG29"/>
      <c r="AH29"/>
      <c r="AI29"/>
      <c r="AJ29"/>
      <c r="AK29" t="str">
        <f>IF(C29="","",Calculations!C174)</f>
        <v/>
      </c>
      <c r="AL29"/>
      <c r="AM29" t="str">
        <f>IF(C29="","",Calculations!$J$156)</f>
        <v/>
      </c>
      <c r="AN29"/>
      <c r="AO29"/>
      <c r="AP29"/>
      <c r="AQ29"/>
      <c r="AR29" s="141" t="str">
        <f>IF(C29="","",ROUND(Calculator!B71,6))</f>
        <v/>
      </c>
      <c r="AS29"/>
      <c r="AT29"/>
      <c r="AU29"/>
      <c r="AV29"/>
      <c r="AW29"/>
      <c r="AX29"/>
      <c r="AY29" t="str">
        <f>IF(C29="","",Calculator!F80)</f>
        <v/>
      </c>
      <c r="AZ29" t="str">
        <f>IF(C29="","",Calculator!G80)</f>
        <v/>
      </c>
      <c r="BA29" t="str">
        <f>IF(BB29="","",ROUND(IF(SUM($BB$2:$BB$58)&gt;(0.5*Summary!$C$10),(BB29/SUM($BB$2:$BB$58))*(0.5*Summary!$C$10),'Data Export'!BB29),2))</f>
        <v/>
      </c>
      <c r="BB29" t="str">
        <f>IF(C29="","",Calculations!AD174)</f>
        <v/>
      </c>
      <c r="BC29"/>
      <c r="BD29"/>
      <c r="BE29"/>
      <c r="BF29"/>
      <c r="BG29"/>
      <c r="BH29"/>
      <c r="BI29"/>
      <c r="BJ29"/>
      <c r="BK29"/>
      <c r="BL29"/>
      <c r="BM29" t="str">
        <f t="shared" si="0"/>
        <v/>
      </c>
      <c r="BN29" t="str">
        <f t="shared" si="1"/>
        <v/>
      </c>
      <c r="BO29"/>
      <c r="BP29"/>
      <c r="BQ29"/>
      <c r="BR29"/>
      <c r="BS29"/>
      <c r="BU29" s="291"/>
    </row>
    <row r="30" spans="1:73" s="54" customFormat="1" ht="14.25" customHeight="1">
      <c r="A30" s="362"/>
      <c r="B30">
        <v>29</v>
      </c>
      <c r="C30" t="str">
        <f>IF(Calculator!G72="","",Calculator!$B$67)</f>
        <v/>
      </c>
      <c r="D30" t="str">
        <f>IF(C30="","",ROUND(Calculator!D72,3))</f>
        <v/>
      </c>
      <c r="E30" t="str">
        <f>IF(C30="","",Calculations!$E$100)</f>
        <v/>
      </c>
      <c r="F30" t="str">
        <f>IF(C30="","",Calculator!E81)</f>
        <v/>
      </c>
      <c r="G30"/>
      <c r="H30"/>
      <c r="I30"/>
      <c r="J30"/>
      <c r="K30"/>
      <c r="L30" t="str">
        <f>IF(C30="","",Calculations!X175)</f>
        <v/>
      </c>
      <c r="M30"/>
      <c r="N30"/>
      <c r="O30"/>
      <c r="P30"/>
      <c r="Q30"/>
      <c r="R30"/>
      <c r="S30" t="str">
        <f>IF(C30="","",Calculator!J72)</f>
        <v/>
      </c>
      <c r="T30"/>
      <c r="U30"/>
      <c r="V30" t="str">
        <f>IF(C30="","",Calculations!Y175)</f>
        <v/>
      </c>
      <c r="W30"/>
      <c r="X30"/>
      <c r="Y30"/>
      <c r="Z30" t="str">
        <f>IF(C30="","",Calculations!$G$157)</f>
        <v/>
      </c>
      <c r="AA30"/>
      <c r="AB30"/>
      <c r="AC30"/>
      <c r="AD30"/>
      <c r="AE30" t="str">
        <f>IF(C30="","",Calculations!$C$159)</f>
        <v/>
      </c>
      <c r="AF30"/>
      <c r="AG30"/>
      <c r="AH30"/>
      <c r="AI30"/>
      <c r="AJ30"/>
      <c r="AK30" t="str">
        <f>IF(C30="","",Calculations!C175)</f>
        <v/>
      </c>
      <c r="AL30"/>
      <c r="AM30" t="str">
        <f>IF(C30="","",Calculations!$J$156)</f>
        <v/>
      </c>
      <c r="AN30"/>
      <c r="AO30"/>
      <c r="AP30"/>
      <c r="AQ30"/>
      <c r="AR30" t="str">
        <f>IF(C30="","",ROUND(Calculator!B72,6))</f>
        <v/>
      </c>
      <c r="AS30"/>
      <c r="AT30"/>
      <c r="AU30"/>
      <c r="AV30"/>
      <c r="AW30"/>
      <c r="AX30"/>
      <c r="AY30" t="str">
        <f>IF(C30="","",Calculator!F81)</f>
        <v/>
      </c>
      <c r="AZ30" t="str">
        <f>IF(C30="","",Calculator!G81)</f>
        <v/>
      </c>
      <c r="BA30" t="str">
        <f>IF(BB30="","",ROUND(IF(SUM($BB$2:$BB$58)&gt;(0.5*Summary!$C$10),(BB30/SUM($BB$2:$BB$58))*(0.5*Summary!$C$10),'Data Export'!BB30),2))</f>
        <v/>
      </c>
      <c r="BB30" t="str">
        <f>IF(C30="","",Calculations!AD175)</f>
        <v/>
      </c>
      <c r="BC30"/>
      <c r="BD30"/>
      <c r="BE30"/>
      <c r="BF30"/>
      <c r="BG30"/>
      <c r="BH30"/>
      <c r="BI30"/>
      <c r="BJ30"/>
      <c r="BK30"/>
      <c r="BL30"/>
      <c r="BM30" t="str">
        <f t="shared" si="0"/>
        <v/>
      </c>
      <c r="BN30" t="str">
        <f t="shared" si="1"/>
        <v/>
      </c>
      <c r="BO30"/>
      <c r="BP30"/>
      <c r="BQ30"/>
      <c r="BR30"/>
      <c r="BS30"/>
      <c r="BU30" s="291"/>
    </row>
    <row r="31" spans="1:73" s="54" customFormat="1" ht="14.25" customHeight="1" thickBot="1">
      <c r="A31" s="361"/>
      <c r="B31" s="142">
        <v>30</v>
      </c>
      <c r="C31" s="142" t="str">
        <f>IF(Calculator!G73="","",Calculator!$B$67)</f>
        <v/>
      </c>
      <c r="D31" s="142" t="str">
        <f>IF(C31="","",ROUND(Calculator!D73,3))</f>
        <v/>
      </c>
      <c r="E31" s="142" t="str">
        <f>IF(C31="","",Calculations!$E$100)</f>
        <v/>
      </c>
      <c r="F31" s="142" t="str">
        <f>IF(C31="","",Calculator!E82)</f>
        <v/>
      </c>
      <c r="G31" s="142"/>
      <c r="H31" s="142"/>
      <c r="I31" s="142"/>
      <c r="J31" s="142"/>
      <c r="K31" s="142"/>
      <c r="L31" s="142" t="str">
        <f>IF(C31="","",Calculations!X176)</f>
        <v/>
      </c>
      <c r="M31" s="142"/>
      <c r="N31" s="142"/>
      <c r="O31" s="142"/>
      <c r="P31" s="142"/>
      <c r="Q31" s="142"/>
      <c r="R31" s="142"/>
      <c r="S31" s="142" t="str">
        <f>IF(C31="","",Calculator!J73)</f>
        <v/>
      </c>
      <c r="T31" s="142"/>
      <c r="U31" s="142"/>
      <c r="V31" s="142" t="str">
        <f>IF(C31="","",Calculations!Y176)</f>
        <v/>
      </c>
      <c r="W31" s="142"/>
      <c r="X31" s="142"/>
      <c r="Y31" s="142"/>
      <c r="Z31" s="142" t="str">
        <f>IF(C31="","",Calculations!$G$157)</f>
        <v/>
      </c>
      <c r="AA31" s="142"/>
      <c r="AB31" s="142"/>
      <c r="AC31" s="142"/>
      <c r="AD31" s="142"/>
      <c r="AE31" s="142" t="str">
        <f>IF(C31="","",Calculations!$C$159)</f>
        <v/>
      </c>
      <c r="AF31" s="142"/>
      <c r="AG31" s="142"/>
      <c r="AH31" s="142"/>
      <c r="AI31" s="142"/>
      <c r="AJ31" s="142"/>
      <c r="AK31" s="142" t="str">
        <f>IF(C31="","",Calculations!C176)</f>
        <v/>
      </c>
      <c r="AL31" s="142"/>
      <c r="AM31" s="142" t="str">
        <f>IF(C31="","",Calculations!$J$156)</f>
        <v/>
      </c>
      <c r="AN31" s="142"/>
      <c r="AO31" s="142"/>
      <c r="AP31" s="142"/>
      <c r="AQ31" s="142"/>
      <c r="AR31" t="str">
        <f>IF(C31="","",ROUND(Calculator!B73,6))</f>
        <v/>
      </c>
      <c r="AS31" s="142"/>
      <c r="AT31" s="142"/>
      <c r="AU31" s="142"/>
      <c r="AV31" s="142"/>
      <c r="AW31" s="142"/>
      <c r="AX31" s="142"/>
      <c r="AY31" s="142" t="str">
        <f>IF(C31="","",Calculator!F82)</f>
        <v/>
      </c>
      <c r="AZ31" s="142" t="str">
        <f>IF(C31="","",Calculator!G82)</f>
        <v/>
      </c>
      <c r="BA31" s="142" t="str">
        <f>IF(BB31="","",ROUND(IF(SUM($BB$2:$BB$58)&gt;(0.5*Summary!$C$10),(BB31/SUM($BB$2:$BB$58))*(0.5*Summary!$C$10),'Data Export'!BB31),2))</f>
        <v/>
      </c>
      <c r="BB31" s="142" t="str">
        <f>IF(C31="","",Calculations!AD176)</f>
        <v/>
      </c>
      <c r="BC31" s="142"/>
      <c r="BD31" s="142"/>
      <c r="BE31" s="142"/>
      <c r="BF31" s="142"/>
      <c r="BG31" s="142"/>
      <c r="BH31" s="142"/>
      <c r="BI31" s="142"/>
      <c r="BJ31" s="142"/>
      <c r="BK31" s="142"/>
      <c r="BL31" s="142"/>
      <c r="BM31" s="142" t="str">
        <f t="shared" si="0"/>
        <v/>
      </c>
      <c r="BN31" s="142" t="str">
        <f t="shared" si="1"/>
        <v/>
      </c>
      <c r="BO31" s="142"/>
      <c r="BP31" s="142"/>
      <c r="BQ31" s="142"/>
      <c r="BR31" s="142"/>
      <c r="BS31" s="142"/>
      <c r="BT31" s="87"/>
      <c r="BU31" s="293"/>
    </row>
    <row r="32" spans="1:73" s="54" customFormat="1">
      <c r="A32" s="360" t="s">
        <v>101</v>
      </c>
      <c r="B32" s="141">
        <v>31</v>
      </c>
      <c r="C32" s="141" t="str">
        <f>IF(Calculator!G79="","",Calculator!$B$76)</f>
        <v/>
      </c>
      <c r="D32" s="141" t="str">
        <f>IF(C32="","",ROUND(Calculator!D79,3))</f>
        <v/>
      </c>
      <c r="E32" s="141" t="str">
        <f>IF(C32="","",Calculations!$E$100)</f>
        <v/>
      </c>
      <c r="F32" s="141" t="str">
        <f>IF(C32="","",Calculator!E79)</f>
        <v/>
      </c>
      <c r="G32" s="141"/>
      <c r="H32" s="141"/>
      <c r="I32" s="141"/>
      <c r="J32" s="141"/>
      <c r="K32" s="141"/>
      <c r="L32" s="141" t="str">
        <f>IF(C32="","",Calculations!Y204)</f>
        <v/>
      </c>
      <c r="M32" s="141"/>
      <c r="N32" s="141"/>
      <c r="O32" s="141"/>
      <c r="P32" s="141"/>
      <c r="Q32" s="141"/>
      <c r="R32" s="141"/>
      <c r="S32" s="141" t="str">
        <f>IF(C32="","",Calculator!J79)</f>
        <v/>
      </c>
      <c r="T32" s="141"/>
      <c r="U32" s="141"/>
      <c r="V32" s="141" t="str">
        <f>IF(C32="","",Calculations!Z204)</f>
        <v/>
      </c>
      <c r="W32" s="141"/>
      <c r="X32" s="141"/>
      <c r="Y32" s="141"/>
      <c r="Z32" s="141" t="str">
        <f>IF(C32="","",Calculations!$C$185)</f>
        <v/>
      </c>
      <c r="AA32" s="141"/>
      <c r="AB32" s="141"/>
      <c r="AC32" s="141" t="str">
        <f>IF(C32="","",Calculator!I79)</f>
        <v/>
      </c>
      <c r="AD32" s="141"/>
      <c r="AE32" s="141" t="str">
        <f>IF(C32="","",Calculations!$C$181)</f>
        <v/>
      </c>
      <c r="AF32" s="141"/>
      <c r="AG32" s="141"/>
      <c r="AH32" s="141"/>
      <c r="AI32" s="141"/>
      <c r="AJ32" s="141"/>
      <c r="AK32" s="141" t="str">
        <f>IF(C32="","",Calculator!H79)</f>
        <v/>
      </c>
      <c r="AL32" s="141"/>
      <c r="AM32" s="141"/>
      <c r="AN32" s="141"/>
      <c r="AO32" s="141"/>
      <c r="AP32" s="141"/>
      <c r="AQ32" s="141"/>
      <c r="AR32" s="141" t="str">
        <f>IF(C32="","",ROUND(Calculator!B79,6))</f>
        <v/>
      </c>
      <c r="AS32" s="141"/>
      <c r="AT32" s="141"/>
      <c r="AU32" s="141"/>
      <c r="AV32" s="141"/>
      <c r="AW32" s="141"/>
      <c r="AX32" s="141"/>
      <c r="AY32" s="141" t="str">
        <f>IF(C32="","",Calculator!F79)</f>
        <v/>
      </c>
      <c r="AZ32" s="141" t="str">
        <f>IF(C32="","",Calculator!G79)</f>
        <v/>
      </c>
      <c r="BA32" s="141" t="str">
        <f>IF(BB32="","",ROUND(IF(SUM($BB$2:$BB$58)&gt;(0.5*Summary!$C$10),(BB32/SUM($BB$2:$BB$58))*(0.5*Summary!$C$10),'Data Export'!BB32),2))</f>
        <v/>
      </c>
      <c r="BB32" s="141" t="str">
        <f>IF(C32="","",Calculations!AB204)</f>
        <v/>
      </c>
      <c r="BC32" s="141"/>
      <c r="BD32" s="141"/>
      <c r="BE32" s="141"/>
      <c r="BF32" s="141"/>
      <c r="BG32" s="141"/>
      <c r="BH32" s="141"/>
      <c r="BI32" s="141"/>
      <c r="BJ32" s="141"/>
      <c r="BK32" s="141"/>
      <c r="BL32" s="141"/>
      <c r="BM32" s="141" t="str">
        <f t="shared" si="0"/>
        <v/>
      </c>
      <c r="BN32" s="141" t="str">
        <f t="shared" si="1"/>
        <v/>
      </c>
      <c r="BO32" s="141"/>
      <c r="BP32" s="141"/>
      <c r="BQ32" s="141"/>
      <c r="BR32" s="141">
        <v>1.36</v>
      </c>
      <c r="BS32" s="141"/>
      <c r="BT32" s="81">
        <v>2.78</v>
      </c>
      <c r="BU32" s="114">
        <v>4.568E-3</v>
      </c>
    </row>
    <row r="33" spans="1:73" s="54" customFormat="1">
      <c r="A33" s="362"/>
      <c r="B33">
        <v>32</v>
      </c>
      <c r="C33" t="str">
        <f>IF(Calculator!G80="","",Calculator!$B$76)</f>
        <v/>
      </c>
      <c r="D33" t="str">
        <f>IF(C33="","",ROUND(Calculator!D80,3))</f>
        <v/>
      </c>
      <c r="E33" t="str">
        <f>IF(C33="","",Calculations!$E$100)</f>
        <v/>
      </c>
      <c r="F33" t="str">
        <f>IF(C33="","",Calculator!E80)</f>
        <v/>
      </c>
      <c r="G33"/>
      <c r="H33"/>
      <c r="I33"/>
      <c r="J33"/>
      <c r="K33"/>
      <c r="L33" t="str">
        <f>IF(C33="","",Calculations!Y205)</f>
        <v/>
      </c>
      <c r="M33"/>
      <c r="N33"/>
      <c r="O33"/>
      <c r="P33"/>
      <c r="Q33"/>
      <c r="R33"/>
      <c r="S33" t="str">
        <f>IF(C33="","",Calculator!J80)</f>
        <v/>
      </c>
      <c r="T33"/>
      <c r="U33"/>
      <c r="V33" t="str">
        <f>IF(C33="","",Calculations!Z205)</f>
        <v/>
      </c>
      <c r="W33"/>
      <c r="X33"/>
      <c r="Y33"/>
      <c r="Z33" t="str">
        <f>IF(C33="","",Calculations!$C$185)</f>
        <v/>
      </c>
      <c r="AA33"/>
      <c r="AB33"/>
      <c r="AC33" t="str">
        <f>IF(C33="","",Calculator!I80)</f>
        <v/>
      </c>
      <c r="AD33"/>
      <c r="AE33" t="str">
        <f>IF(C33="","",Calculations!$C$181)</f>
        <v/>
      </c>
      <c r="AF33"/>
      <c r="AG33"/>
      <c r="AH33"/>
      <c r="AI33"/>
      <c r="AJ33"/>
      <c r="AK33" t="str">
        <f>IF(C33="","",Calculator!H80)</f>
        <v/>
      </c>
      <c r="AL33"/>
      <c r="AM33"/>
      <c r="AN33"/>
      <c r="AO33"/>
      <c r="AP33"/>
      <c r="AQ33"/>
      <c r="AR33" t="str">
        <f>IF(C33="","",ROUND(Calculator!B80,6))</f>
        <v/>
      </c>
      <c r="AS33"/>
      <c r="AT33"/>
      <c r="AU33"/>
      <c r="AV33"/>
      <c r="AW33"/>
      <c r="AX33"/>
      <c r="AY33" t="str">
        <f>IF(C33="","",Calculator!F80)</f>
        <v/>
      </c>
      <c r="AZ33" t="str">
        <f>IF(C33="","",Calculator!G80)</f>
        <v/>
      </c>
      <c r="BA33" t="str">
        <f>IF(BB33="","",ROUND(IF(SUM($BB$2:$BB$58)&gt;(0.5*Summary!$C$10),(BB33/SUM($BB$2:$BB$58))*(0.5*Summary!$C$10),'Data Export'!BB33),2))</f>
        <v/>
      </c>
      <c r="BB33" t="str">
        <f>IF(C33="","",Calculations!AB205)</f>
        <v/>
      </c>
      <c r="BC33"/>
      <c r="BD33"/>
      <c r="BE33"/>
      <c r="BF33"/>
      <c r="BG33"/>
      <c r="BH33"/>
      <c r="BI33"/>
      <c r="BJ33"/>
      <c r="BK33"/>
      <c r="BL33"/>
      <c r="BM33" t="str">
        <f t="shared" si="0"/>
        <v/>
      </c>
      <c r="BN33" t="str">
        <f t="shared" si="1"/>
        <v/>
      </c>
      <c r="BO33"/>
      <c r="BP33"/>
      <c r="BQ33"/>
      <c r="BR33"/>
      <c r="BS33"/>
      <c r="BU33" s="291"/>
    </row>
    <row r="34" spans="1:73" s="54" customFormat="1" ht="14.25" customHeight="1">
      <c r="A34" s="362"/>
      <c r="B34">
        <v>33</v>
      </c>
      <c r="C34" t="str">
        <f>IF(Calculator!G81="","",Calculator!$B$76)</f>
        <v/>
      </c>
      <c r="D34" t="str">
        <f>IF(C34="","",ROUND(Calculator!D81,3))</f>
        <v/>
      </c>
      <c r="E34" t="str">
        <f>IF(C34="","",Calculations!$E$100)</f>
        <v/>
      </c>
      <c r="F34" t="str">
        <f>IF(C34="","",Calculator!E81)</f>
        <v/>
      </c>
      <c r="G34"/>
      <c r="H34"/>
      <c r="I34"/>
      <c r="J34"/>
      <c r="K34"/>
      <c r="L34" t="str">
        <f>IF(C34="","",Calculations!Y206)</f>
        <v/>
      </c>
      <c r="M34"/>
      <c r="N34"/>
      <c r="O34"/>
      <c r="P34"/>
      <c r="Q34"/>
      <c r="R34"/>
      <c r="S34" t="str">
        <f>IF(C34="","",Calculator!J81)</f>
        <v/>
      </c>
      <c r="T34"/>
      <c r="U34"/>
      <c r="V34" t="str">
        <f>IF(C34="","",Calculations!Z206)</f>
        <v/>
      </c>
      <c r="W34"/>
      <c r="X34"/>
      <c r="Y34"/>
      <c r="Z34" t="str">
        <f>IF(C34="","",Calculations!$C$185)</f>
        <v/>
      </c>
      <c r="AA34"/>
      <c r="AB34"/>
      <c r="AC34" t="str">
        <f>IF(C34="","",Calculator!I81)</f>
        <v/>
      </c>
      <c r="AD34"/>
      <c r="AE34" t="str">
        <f>IF(C34="","",Calculations!$C$181)</f>
        <v/>
      </c>
      <c r="AF34"/>
      <c r="AG34"/>
      <c r="AH34"/>
      <c r="AI34"/>
      <c r="AJ34"/>
      <c r="AK34" t="str">
        <f>IF(C34="","",Calculator!H81)</f>
        <v/>
      </c>
      <c r="AL34"/>
      <c r="AM34"/>
      <c r="AN34"/>
      <c r="AO34"/>
      <c r="AP34"/>
      <c r="AQ34"/>
      <c r="AR34" t="str">
        <f>IF(C34="","",ROUND(Calculator!B81,6))</f>
        <v/>
      </c>
      <c r="AS34"/>
      <c r="AT34"/>
      <c r="AU34"/>
      <c r="AV34"/>
      <c r="AW34"/>
      <c r="AX34"/>
      <c r="AY34" t="str">
        <f>IF(C34="","",Calculator!F81)</f>
        <v/>
      </c>
      <c r="AZ34" t="str">
        <f>IF(C34="","",Calculator!G81)</f>
        <v/>
      </c>
      <c r="BA34" t="str">
        <f>IF(BB34="","",ROUND(IF(SUM($BB$2:$BB$58)&gt;(0.5*Summary!$C$10),(BB34/SUM($BB$2:$BB$58))*(0.5*Summary!$C$10),'Data Export'!BB34),2))</f>
        <v/>
      </c>
      <c r="BB34" t="str">
        <f>IF(C34="","",Calculations!AB206)</f>
        <v/>
      </c>
      <c r="BC34"/>
      <c r="BD34"/>
      <c r="BE34"/>
      <c r="BF34"/>
      <c r="BG34"/>
      <c r="BH34"/>
      <c r="BI34"/>
      <c r="BJ34"/>
      <c r="BK34"/>
      <c r="BL34"/>
      <c r="BM34" t="str">
        <f t="shared" si="0"/>
        <v/>
      </c>
      <c r="BN34" t="str">
        <f t="shared" si="1"/>
        <v/>
      </c>
      <c r="BO34"/>
      <c r="BP34"/>
      <c r="BQ34"/>
      <c r="BR34"/>
      <c r="BS34"/>
      <c r="BU34" s="291"/>
    </row>
    <row r="35" spans="1:73" s="54" customFormat="1" ht="14.25" customHeight="1" thickBot="1">
      <c r="A35" s="361"/>
      <c r="B35" s="142">
        <v>34</v>
      </c>
      <c r="C35" s="142" t="str">
        <f>IF(Calculator!G82="","",Calculator!$B$76)</f>
        <v/>
      </c>
      <c r="D35" s="142" t="str">
        <f>IF(C35="","",ROUND(Calculator!D82,3))</f>
        <v/>
      </c>
      <c r="E35" s="142" t="str">
        <f>IF(C35="","",Calculations!$E$100)</f>
        <v/>
      </c>
      <c r="F35" s="142" t="str">
        <f>IF(C35="","",Calculator!E82)</f>
        <v/>
      </c>
      <c r="G35" s="142"/>
      <c r="H35" s="142"/>
      <c r="I35" s="142"/>
      <c r="J35" s="142"/>
      <c r="K35" s="142"/>
      <c r="L35" s="142" t="str">
        <f>IF(C35="","",Calculations!Y207)</f>
        <v/>
      </c>
      <c r="M35" s="142"/>
      <c r="N35" s="142"/>
      <c r="O35" s="142"/>
      <c r="P35" s="142"/>
      <c r="Q35" s="142"/>
      <c r="R35" s="142"/>
      <c r="S35" s="142" t="str">
        <f>IF(C35="","",Calculator!J82)</f>
        <v/>
      </c>
      <c r="T35" s="142"/>
      <c r="U35" s="142"/>
      <c r="V35" s="142" t="str">
        <f>IF(C35="","",Calculations!Z207)</f>
        <v/>
      </c>
      <c r="W35" s="142"/>
      <c r="X35" s="142"/>
      <c r="Y35" s="142"/>
      <c r="Z35" s="142" t="str">
        <f>IF(C35="","",Calculations!$C$185)</f>
        <v/>
      </c>
      <c r="AA35" s="142"/>
      <c r="AB35" s="142"/>
      <c r="AC35" s="142" t="str">
        <f>IF(C35="","",Calculator!I82)</f>
        <v/>
      </c>
      <c r="AD35" s="142"/>
      <c r="AE35" s="142" t="str">
        <f>IF(C35="","",Calculations!$C$181)</f>
        <v/>
      </c>
      <c r="AF35" s="142"/>
      <c r="AG35" s="142"/>
      <c r="AH35" s="142"/>
      <c r="AI35" s="142"/>
      <c r="AJ35" s="142"/>
      <c r="AK35" s="142" t="str">
        <f>IF(C35="","",Calculator!H82)</f>
        <v/>
      </c>
      <c r="AL35" s="142"/>
      <c r="AM35" s="142"/>
      <c r="AN35" s="142"/>
      <c r="AO35" s="142"/>
      <c r="AP35" s="142"/>
      <c r="AQ35" s="142"/>
      <c r="AR35" s="142" t="str">
        <f>IF(C35="","",ROUND(Calculator!B82,6))</f>
        <v/>
      </c>
      <c r="AS35" s="142"/>
      <c r="AT35" s="142"/>
      <c r="AU35" s="142"/>
      <c r="AV35" s="142"/>
      <c r="AW35" s="142"/>
      <c r="AX35" s="142"/>
      <c r="AY35" s="142" t="str">
        <f>IF(C35="","",Calculator!F82)</f>
        <v/>
      </c>
      <c r="AZ35" s="142" t="str">
        <f>IF(C35="","",Calculator!G82)</f>
        <v/>
      </c>
      <c r="BA35" s="142" t="str">
        <f>IF(BB35="","",ROUND(IF(SUM($BB$2:$BB$58)&gt;(0.5*Summary!$C$10),(BB35/SUM($BB$2:$BB$58))*(0.5*Summary!$C$10),'Data Export'!BB35),2))</f>
        <v/>
      </c>
      <c r="BB35" s="142" t="str">
        <f>IF(C35="","",Calculations!AB207)</f>
        <v/>
      </c>
      <c r="BC35" s="142"/>
      <c r="BD35" s="142"/>
      <c r="BE35" s="142"/>
      <c r="BF35" s="142"/>
      <c r="BG35" s="142"/>
      <c r="BH35" s="142"/>
      <c r="BI35" s="142"/>
      <c r="BJ35" s="142"/>
      <c r="BK35" s="142"/>
      <c r="BL35" s="142"/>
      <c r="BM35" s="142" t="str">
        <f t="shared" si="0"/>
        <v/>
      </c>
      <c r="BN35" s="142" t="str">
        <f t="shared" si="1"/>
        <v/>
      </c>
      <c r="BO35" s="142"/>
      <c r="BP35" s="142"/>
      <c r="BQ35" s="142"/>
      <c r="BR35" s="142"/>
      <c r="BS35" s="142"/>
      <c r="BT35" s="87"/>
      <c r="BU35" s="293"/>
    </row>
    <row r="36" spans="1:73" s="54" customFormat="1" ht="14.25" customHeight="1">
      <c r="A36" s="360" t="s">
        <v>102</v>
      </c>
      <c r="B36" s="141">
        <v>35</v>
      </c>
      <c r="C36" s="141" t="str">
        <f>IF(Calculator!G88="","",Calculator!$B$85)</f>
        <v/>
      </c>
      <c r="D36" s="141" t="str">
        <f>IF(C36="","",ROUND(Calculator!D88,3))</f>
        <v/>
      </c>
      <c r="E36" s="141" t="str">
        <f>IF(C36="","",Calculations!$E$100)</f>
        <v/>
      </c>
      <c r="F36" s="141" t="str">
        <f>IF(C36="","",Calculator!E88)</f>
        <v/>
      </c>
      <c r="G36" s="141"/>
      <c r="H36" s="141"/>
      <c r="I36" s="141"/>
      <c r="J36" s="141"/>
      <c r="K36" s="141"/>
      <c r="L36" s="141"/>
      <c r="M36" s="141"/>
      <c r="N36" s="141"/>
      <c r="O36" s="141"/>
      <c r="P36" s="141"/>
      <c r="Q36" s="141"/>
      <c r="R36" s="141"/>
      <c r="S36" s="141" t="str">
        <f>IF(C36="","",Calculator!I88)</f>
        <v/>
      </c>
      <c r="T36" s="141"/>
      <c r="U36" s="141"/>
      <c r="V36" s="141"/>
      <c r="W36" s="141"/>
      <c r="X36" s="141"/>
      <c r="Y36" s="141"/>
      <c r="Z36" s="141" t="str">
        <f>IF(C36="","",Calculations!$C$214)</f>
        <v/>
      </c>
      <c r="AA36" s="141"/>
      <c r="AB36" s="141"/>
      <c r="AC36" s="141"/>
      <c r="AD36" s="141"/>
      <c r="AE36" s="141"/>
      <c r="AF36" s="141"/>
      <c r="AG36" s="141"/>
      <c r="AH36" s="141"/>
      <c r="AI36" s="141"/>
      <c r="AJ36" s="141"/>
      <c r="AK36" s="141"/>
      <c r="AL36" s="141"/>
      <c r="AM36" s="141"/>
      <c r="AN36" s="141"/>
      <c r="AO36" s="141"/>
      <c r="AP36" s="141"/>
      <c r="AQ36" s="141"/>
      <c r="AR36" s="141" t="str">
        <f>IF(C36="","",ROUND(Calculator!B88,6))</f>
        <v/>
      </c>
      <c r="AS36" s="141"/>
      <c r="AT36" s="141"/>
      <c r="AU36" s="141" t="str">
        <f>IF(C36="","",Calculator!H88)</f>
        <v/>
      </c>
      <c r="AV36" s="141"/>
      <c r="AW36" s="141"/>
      <c r="AX36" s="141"/>
      <c r="AY36" s="141" t="str">
        <f>IF(C36="","",Calculator!F88)</f>
        <v/>
      </c>
      <c r="AZ36" s="141" t="str">
        <f>IF(C36="","",Calculator!G88)</f>
        <v/>
      </c>
      <c r="BA36" s="141" t="str">
        <f>IF(BB36="","",ROUND(IF(SUM($BB$2:$BB$58)&gt;(0.5*Summary!$C$10),(BB36/SUM($BB$2:$BB$58))*(0.5*Summary!$C$10),'Data Export'!BB36),2))</f>
        <v/>
      </c>
      <c r="BB36" s="141" t="str">
        <f>IF(C36="","",Calculations!D222)</f>
        <v/>
      </c>
      <c r="BC36" s="141"/>
      <c r="BD36" s="141"/>
      <c r="BE36" s="141"/>
      <c r="BF36" s="141"/>
      <c r="BG36" s="141"/>
      <c r="BH36" s="141"/>
      <c r="BI36" s="141"/>
      <c r="BJ36" s="141"/>
      <c r="BK36" s="141"/>
      <c r="BL36" s="141"/>
      <c r="BM36" s="141" t="str">
        <f t="shared" si="0"/>
        <v/>
      </c>
      <c r="BN36" s="141" t="str">
        <f t="shared" si="1"/>
        <v/>
      </c>
      <c r="BO36" s="141"/>
      <c r="BP36" s="141"/>
      <c r="BQ36" s="141"/>
      <c r="BS36" s="141"/>
      <c r="BU36" s="291"/>
    </row>
    <row r="37" spans="1:73" s="54" customFormat="1" ht="14.25" customHeight="1" thickBot="1">
      <c r="A37" s="361"/>
      <c r="B37" s="142">
        <v>36</v>
      </c>
      <c r="C37" s="142" t="str">
        <f>IF(Calculator!G89="","",Calculator!$B$85)</f>
        <v/>
      </c>
      <c r="D37" s="142" t="str">
        <f>IF(C37="","",ROUND(Calculator!D89,3))</f>
        <v/>
      </c>
      <c r="E37" s="142" t="str">
        <f>IF(C37="","",Calculations!$E$100)</f>
        <v/>
      </c>
      <c r="F37" s="142" t="str">
        <f>IF(C37="","",Calculator!E89)</f>
        <v/>
      </c>
      <c r="G37" s="142"/>
      <c r="H37" s="142"/>
      <c r="I37" s="142"/>
      <c r="J37" s="142"/>
      <c r="K37" s="142"/>
      <c r="L37" s="142"/>
      <c r="M37" s="142"/>
      <c r="N37" s="142"/>
      <c r="O37" s="142"/>
      <c r="P37" s="142"/>
      <c r="Q37" s="142"/>
      <c r="R37" s="142"/>
      <c r="S37" s="142" t="str">
        <f>IF(C37="","",Calculator!I89)</f>
        <v/>
      </c>
      <c r="T37" s="142"/>
      <c r="U37" s="142"/>
      <c r="V37" s="142"/>
      <c r="W37" s="142"/>
      <c r="X37" s="142"/>
      <c r="Y37" s="142"/>
      <c r="Z37" s="142" t="str">
        <f>IF(C37="","",Calculations!$C$214)</f>
        <v/>
      </c>
      <c r="AA37" s="142"/>
      <c r="AB37" s="142"/>
      <c r="AC37" s="142"/>
      <c r="AD37" s="142"/>
      <c r="AE37" s="142"/>
      <c r="AF37" s="142"/>
      <c r="AG37" s="142"/>
      <c r="AH37" s="142"/>
      <c r="AI37" s="142"/>
      <c r="AJ37" s="142"/>
      <c r="AK37" s="142"/>
      <c r="AL37" s="142"/>
      <c r="AM37" s="142"/>
      <c r="AN37" s="142"/>
      <c r="AO37" s="142"/>
      <c r="AP37" s="142"/>
      <c r="AQ37" s="142"/>
      <c r="AR37" s="142" t="str">
        <f>IF(C37="","",ROUND(Calculator!B89,6))</f>
        <v/>
      </c>
      <c r="AS37" s="142"/>
      <c r="AT37" s="142"/>
      <c r="AU37" s="142" t="str">
        <f>IF(C37="","",Calculator!H89)</f>
        <v/>
      </c>
      <c r="AV37" s="142"/>
      <c r="AW37" s="142"/>
      <c r="AX37" s="142"/>
      <c r="AY37" s="142" t="str">
        <f>IF(C37="","",Calculator!F89)</f>
        <v/>
      </c>
      <c r="AZ37" s="142" t="str">
        <f>IF(C37="","",Calculator!G89)</f>
        <v/>
      </c>
      <c r="BA37" s="142" t="str">
        <f>IF(BB37="","",ROUND(IF(SUM($BB$2:$BB$58)&gt;(0.5*Summary!$C$10),(BB37/SUM($BB$2:$BB$58))*(0.5*Summary!$C$10),'Data Export'!BB37),2))</f>
        <v/>
      </c>
      <c r="BB37" s="142" t="str">
        <f>IF(C37="","",Calculations!D223)</f>
        <v/>
      </c>
      <c r="BC37" s="142"/>
      <c r="BD37" s="142"/>
      <c r="BE37" s="142"/>
      <c r="BF37" s="142"/>
      <c r="BG37" s="142"/>
      <c r="BH37" s="142"/>
      <c r="BI37" s="142"/>
      <c r="BJ37" s="142"/>
      <c r="BK37" s="142"/>
      <c r="BL37" s="142"/>
      <c r="BM37" s="142" t="str">
        <f t="shared" si="0"/>
        <v/>
      </c>
      <c r="BN37" s="142" t="str">
        <f t="shared" si="1"/>
        <v/>
      </c>
      <c r="BO37" s="142"/>
      <c r="BP37" s="142"/>
      <c r="BQ37" s="142"/>
      <c r="BR37" s="142"/>
      <c r="BS37" s="142"/>
      <c r="BU37" s="291"/>
    </row>
    <row r="38" spans="1:73" s="54" customFormat="1">
      <c r="A38" s="360" t="s">
        <v>103</v>
      </c>
      <c r="B38" s="141">
        <v>37</v>
      </c>
      <c r="C38" s="141" t="str">
        <f>IF(Calculator!G95="","",Calculator!$B$92)</f>
        <v/>
      </c>
      <c r="D38" s="141" t="str">
        <f>IF(C38="","",ROUND(Calculator!D95,3))</f>
        <v/>
      </c>
      <c r="E38" s="141" t="str">
        <f>IF(C38="","",Calculations!$E$100)</f>
        <v/>
      </c>
      <c r="F38" s="141" t="str">
        <f>IF(C38="","",Calculator!E95)</f>
        <v/>
      </c>
      <c r="G38" s="141"/>
      <c r="H38" s="141"/>
      <c r="I38" s="141"/>
      <c r="J38" s="141"/>
      <c r="K38" s="141"/>
      <c r="L38" s="141"/>
      <c r="M38" s="141"/>
      <c r="N38" s="141"/>
      <c r="O38" s="141"/>
      <c r="P38" s="141"/>
      <c r="Q38" s="141"/>
      <c r="R38" s="141"/>
      <c r="S38" s="141" t="str">
        <f>IF(C38="","",Calculator!I95)</f>
        <v/>
      </c>
      <c r="T38" s="141"/>
      <c r="U38" s="141"/>
      <c r="V38" s="141"/>
      <c r="W38" s="141"/>
      <c r="X38" s="141"/>
      <c r="Y38" s="141"/>
      <c r="Z38" s="141"/>
      <c r="AA38" s="141"/>
      <c r="AB38" s="141"/>
      <c r="AC38" s="141"/>
      <c r="AD38" s="141"/>
      <c r="AE38" s="141"/>
      <c r="AF38" s="141"/>
      <c r="AG38" s="141"/>
      <c r="AH38" s="141"/>
      <c r="AI38" s="141"/>
      <c r="AJ38" s="141"/>
      <c r="AK38" s="141"/>
      <c r="AL38" s="141"/>
      <c r="AM38" s="141"/>
      <c r="AN38" s="141"/>
      <c r="AO38" s="141"/>
      <c r="AP38" s="141"/>
      <c r="AQ38" s="141"/>
      <c r="AR38" s="141" t="str">
        <f>IF(C38="","",ROUND(Calculator!B95,6))</f>
        <v/>
      </c>
      <c r="AS38" s="141"/>
      <c r="AT38" s="141"/>
      <c r="AU38" s="141"/>
      <c r="AV38" s="141"/>
      <c r="AW38" s="141"/>
      <c r="AX38" s="141"/>
      <c r="AY38" s="141" t="str">
        <f>IF(C38="","",Calculator!F95)</f>
        <v/>
      </c>
      <c r="AZ38" s="141" t="str">
        <f>IF(C38="","",Calculator!G95)</f>
        <v/>
      </c>
      <c r="BA38" s="141" t="str">
        <f>IF(BB38="","",ROUND(IF(SUM($BB$2:$BB$58)&gt;(0.5*Summary!$C$10),(BB38/SUM($BB$2:$BB$58))*(0.5*Summary!$C$10),'Data Export'!BB38),2))</f>
        <v/>
      </c>
      <c r="BB38" s="141" t="str">
        <f>IF(C38="","",Calculations!D238)</f>
        <v/>
      </c>
      <c r="BC38" s="141"/>
      <c r="BD38" s="141"/>
      <c r="BE38" s="141"/>
      <c r="BF38" s="141"/>
      <c r="BG38" s="141"/>
      <c r="BH38" s="141"/>
      <c r="BI38" s="141"/>
      <c r="BJ38" s="141"/>
      <c r="BK38" s="141"/>
      <c r="BL38" s="141"/>
      <c r="BM38" s="141" t="str">
        <f t="shared" si="0"/>
        <v/>
      </c>
      <c r="BN38" s="141" t="str">
        <f t="shared" si="1"/>
        <v/>
      </c>
      <c r="BO38" s="141"/>
      <c r="BP38" s="141"/>
      <c r="BQ38" s="141"/>
      <c r="BR38" s="141">
        <v>4.25</v>
      </c>
      <c r="BS38" s="141"/>
      <c r="BT38" s="81">
        <v>3.6539999999999999</v>
      </c>
      <c r="BU38" s="290">
        <v>9.8519999999999996E-2</v>
      </c>
    </row>
    <row r="39" spans="1:73" s="54" customFormat="1">
      <c r="A39" s="362"/>
      <c r="B39">
        <v>38</v>
      </c>
      <c r="C39" t="str">
        <f>IF(Calculator!G96="","",Calculator!$B$92)</f>
        <v/>
      </c>
      <c r="D39" t="str">
        <f>IF(C39="","",ROUND(Calculator!D96,3))</f>
        <v/>
      </c>
      <c r="E39" t="str">
        <f>IF(C39="","",Calculations!$E$100)</f>
        <v/>
      </c>
      <c r="F39" t="str">
        <f>IF(C39="","",Calculator!E96)</f>
        <v/>
      </c>
      <c r="G39"/>
      <c r="H39"/>
      <c r="I39"/>
      <c r="J39"/>
      <c r="K39"/>
      <c r="L39"/>
      <c r="M39"/>
      <c r="N39"/>
      <c r="O39"/>
      <c r="P39"/>
      <c r="Q39"/>
      <c r="R39"/>
      <c r="S39" t="str">
        <f>IF(C39="","",Calculator!I96)</f>
        <v/>
      </c>
      <c r="T39"/>
      <c r="U39"/>
      <c r="V39"/>
      <c r="W39"/>
      <c r="X39"/>
      <c r="Y39"/>
      <c r="Z39"/>
      <c r="AA39"/>
      <c r="AB39"/>
      <c r="AC39"/>
      <c r="AD39"/>
      <c r="AE39"/>
      <c r="AF39"/>
      <c r="AG39"/>
      <c r="AH39"/>
      <c r="AI39"/>
      <c r="AJ39"/>
      <c r="AK39"/>
      <c r="AL39"/>
      <c r="AM39"/>
      <c r="AN39"/>
      <c r="AO39"/>
      <c r="AP39"/>
      <c r="AQ39"/>
      <c r="AR39" t="str">
        <f>IF(C39="","",ROUND(Calculator!B96,6))</f>
        <v/>
      </c>
      <c r="AS39"/>
      <c r="AT39"/>
      <c r="AU39"/>
      <c r="AV39"/>
      <c r="AW39"/>
      <c r="AX39"/>
      <c r="AY39" t="str">
        <f>IF(C39="","",Calculator!F96)</f>
        <v/>
      </c>
      <c r="AZ39" t="str">
        <f>IF(C39="","",Calculator!G96)</f>
        <v/>
      </c>
      <c r="BA39" t="str">
        <f>IF(BB39="","",ROUND(IF(SUM($BB$2:$BB$58)&gt;(0.5*Summary!$C$10),(BB39/SUM($BB$2:$BB$58))*(0.5*Summary!$C$10),'Data Export'!BB39),2))</f>
        <v/>
      </c>
      <c r="BB39" t="str">
        <f>IF(C39="","",Calculations!D239)</f>
        <v/>
      </c>
      <c r="BC39"/>
      <c r="BD39"/>
      <c r="BE39"/>
      <c r="BF39"/>
      <c r="BG39"/>
      <c r="BH39"/>
      <c r="BI39"/>
      <c r="BJ39"/>
      <c r="BK39"/>
      <c r="BL39"/>
      <c r="BM39" t="str">
        <f t="shared" si="0"/>
        <v/>
      </c>
      <c r="BN39" t="str">
        <f t="shared" si="1"/>
        <v/>
      </c>
      <c r="BO39"/>
      <c r="BP39"/>
      <c r="BQ39"/>
      <c r="BR39"/>
      <c r="BS39"/>
      <c r="BU39" s="291"/>
    </row>
    <row r="40" spans="1:73" s="54" customFormat="1">
      <c r="A40" s="362"/>
      <c r="B40">
        <v>39</v>
      </c>
      <c r="C40" t="str">
        <f>IF(Calculator!G97="","",Calculator!$B$92)</f>
        <v/>
      </c>
      <c r="D40" t="str">
        <f>IF(C40="","",ROUND(Calculator!D97,3))</f>
        <v/>
      </c>
      <c r="E40" t="str">
        <f>IF(C40="","",Calculations!$E$100)</f>
        <v/>
      </c>
      <c r="F40" t="str">
        <f>IF(C40="","",Calculator!E97)</f>
        <v/>
      </c>
      <c r="G40"/>
      <c r="H40"/>
      <c r="I40"/>
      <c r="J40"/>
      <c r="K40"/>
      <c r="L40"/>
      <c r="M40"/>
      <c r="N40"/>
      <c r="O40"/>
      <c r="P40"/>
      <c r="Q40"/>
      <c r="R40"/>
      <c r="S40" t="str">
        <f>IF(C40="","",Calculator!I97)</f>
        <v/>
      </c>
      <c r="T40"/>
      <c r="U40"/>
      <c r="V40"/>
      <c r="W40"/>
      <c r="X40"/>
      <c r="Y40"/>
      <c r="Z40"/>
      <c r="AA40"/>
      <c r="AB40"/>
      <c r="AC40"/>
      <c r="AD40"/>
      <c r="AE40"/>
      <c r="AF40"/>
      <c r="AG40"/>
      <c r="AH40"/>
      <c r="AI40"/>
      <c r="AJ40"/>
      <c r="AK40"/>
      <c r="AL40"/>
      <c r="AM40"/>
      <c r="AN40"/>
      <c r="AO40"/>
      <c r="AP40"/>
      <c r="AQ40"/>
      <c r="AR40" t="str">
        <f>IF(C40="","",ROUND(Calculator!B97,6))</f>
        <v/>
      </c>
      <c r="AS40"/>
      <c r="AT40"/>
      <c r="AU40"/>
      <c r="AV40"/>
      <c r="AW40"/>
      <c r="AX40"/>
      <c r="AY40" t="str">
        <f>IF(C40="","",Calculator!F97)</f>
        <v/>
      </c>
      <c r="AZ40" t="str">
        <f>IF(C40="","",Calculator!G97)</f>
        <v/>
      </c>
      <c r="BA40" t="str">
        <f>IF(BB40="","",ROUND(IF(SUM($BB$2:$BB$58)&gt;(0.5*Summary!$C$10),(BB40/SUM($BB$2:$BB$58))*(0.5*Summary!$C$10),'Data Export'!BB40),2))</f>
        <v/>
      </c>
      <c r="BB40" t="str">
        <f>IF(C40="","",Calculations!D240)</f>
        <v/>
      </c>
      <c r="BC40"/>
      <c r="BD40"/>
      <c r="BE40"/>
      <c r="BF40"/>
      <c r="BG40"/>
      <c r="BH40"/>
      <c r="BI40"/>
      <c r="BJ40"/>
      <c r="BK40"/>
      <c r="BL40"/>
      <c r="BM40" t="str">
        <f t="shared" si="0"/>
        <v/>
      </c>
      <c r="BN40" t="str">
        <f t="shared" si="1"/>
        <v/>
      </c>
      <c r="BO40"/>
      <c r="BP40"/>
      <c r="BQ40"/>
      <c r="BR40"/>
      <c r="BS40"/>
      <c r="BU40" s="291"/>
    </row>
    <row r="41" spans="1:73" s="54" customFormat="1">
      <c r="A41" s="362"/>
      <c r="B41">
        <v>40</v>
      </c>
      <c r="C41" t="str">
        <f>IF(Calculator!G98="","",Calculator!$B$92)</f>
        <v/>
      </c>
      <c r="D41" t="str">
        <f>IF(C41="","",ROUND(Calculator!D98,3))</f>
        <v/>
      </c>
      <c r="E41" t="str">
        <f>IF(C41="","",Calculations!$E$100)</f>
        <v/>
      </c>
      <c r="F41" t="str">
        <f>IF(C41="","",Calculator!E98)</f>
        <v/>
      </c>
      <c r="G41"/>
      <c r="H41"/>
      <c r="I41"/>
      <c r="J41"/>
      <c r="K41"/>
      <c r="L41"/>
      <c r="M41"/>
      <c r="N41"/>
      <c r="O41"/>
      <c r="P41"/>
      <c r="Q41"/>
      <c r="R41"/>
      <c r="S41" t="str">
        <f>IF(C41="","",Calculator!I98)</f>
        <v/>
      </c>
      <c r="T41"/>
      <c r="U41"/>
      <c r="V41"/>
      <c r="W41"/>
      <c r="X41"/>
      <c r="Y41"/>
      <c r="Z41"/>
      <c r="AA41"/>
      <c r="AB41"/>
      <c r="AC41"/>
      <c r="AD41"/>
      <c r="AE41"/>
      <c r="AF41"/>
      <c r="AG41"/>
      <c r="AH41"/>
      <c r="AI41"/>
      <c r="AJ41"/>
      <c r="AK41"/>
      <c r="AL41"/>
      <c r="AM41"/>
      <c r="AN41"/>
      <c r="AO41"/>
      <c r="AP41"/>
      <c r="AQ41"/>
      <c r="AR41" t="str">
        <f>IF(C41="","",ROUND(Calculator!B98,6))</f>
        <v/>
      </c>
      <c r="AS41"/>
      <c r="AT41"/>
      <c r="AU41"/>
      <c r="AV41"/>
      <c r="AW41"/>
      <c r="AX41"/>
      <c r="AY41" t="str">
        <f>IF(C41="","",Calculator!F98)</f>
        <v/>
      </c>
      <c r="AZ41" t="str">
        <f>IF(C41="","",Calculator!G98)</f>
        <v/>
      </c>
      <c r="BA41" t="str">
        <f>IF(BB41="","",ROUND(IF(SUM($BB$2:$BB$58)&gt;(0.5*Summary!$C$10),(BB41/SUM($BB$2:$BB$58))*(0.5*Summary!$C$10),'Data Export'!BB41),2))</f>
        <v/>
      </c>
      <c r="BB41" t="str">
        <f>IF(C41="","",Calculations!D241)</f>
        <v/>
      </c>
      <c r="BC41"/>
      <c r="BD41"/>
      <c r="BE41"/>
      <c r="BF41"/>
      <c r="BG41"/>
      <c r="BH41"/>
      <c r="BI41"/>
      <c r="BJ41"/>
      <c r="BK41"/>
      <c r="BL41"/>
      <c r="BM41" t="str">
        <f t="shared" si="0"/>
        <v/>
      </c>
      <c r="BN41" t="str">
        <f t="shared" si="1"/>
        <v/>
      </c>
      <c r="BO41"/>
      <c r="BP41"/>
      <c r="BQ41"/>
      <c r="BR41"/>
      <c r="BS41"/>
      <c r="BU41" s="291"/>
    </row>
    <row r="42" spans="1:73" s="54" customFormat="1" ht="11.45" customHeight="1" thickBot="1">
      <c r="A42" s="361"/>
      <c r="B42" s="142">
        <v>41</v>
      </c>
      <c r="C42" s="142" t="str">
        <f>IF(Calculator!G99="","",Calculator!$B$92)</f>
        <v/>
      </c>
      <c r="D42" s="142" t="str">
        <f>IF(C42="","",ROUND(Calculator!D99,3))</f>
        <v/>
      </c>
      <c r="E42" s="142" t="str">
        <f>IF(C42="","",Calculations!$E$100)</f>
        <v/>
      </c>
      <c r="F42" s="142" t="str">
        <f>IF(C42="","",Calculator!E99)</f>
        <v/>
      </c>
      <c r="G42" s="142"/>
      <c r="H42" s="142"/>
      <c r="I42" s="142"/>
      <c r="J42" s="142"/>
      <c r="K42" s="142"/>
      <c r="L42" s="142"/>
      <c r="M42" s="142"/>
      <c r="N42" s="142"/>
      <c r="O42" s="142"/>
      <c r="P42" s="142"/>
      <c r="Q42" s="142"/>
      <c r="R42" s="142"/>
      <c r="S42" s="142" t="str">
        <f>IF(C42="","",Calculator!I99)</f>
        <v/>
      </c>
      <c r="T42" s="142"/>
      <c r="U42" s="142"/>
      <c r="V42" s="142"/>
      <c r="W42" s="142"/>
      <c r="X42" s="142"/>
      <c r="Y42" s="142"/>
      <c r="Z42" s="142"/>
      <c r="AA42" s="142"/>
      <c r="AB42" s="142"/>
      <c r="AC42" s="142"/>
      <c r="AD42" s="142"/>
      <c r="AE42" s="142"/>
      <c r="AF42" s="142"/>
      <c r="AG42" s="142"/>
      <c r="AH42" s="142"/>
      <c r="AI42" s="142"/>
      <c r="AJ42" s="142"/>
      <c r="AK42" s="142"/>
      <c r="AL42" s="142"/>
      <c r="AM42" s="142"/>
      <c r="AN42" s="142"/>
      <c r="AO42" s="142"/>
      <c r="AP42" s="142"/>
      <c r="AQ42" s="142"/>
      <c r="AR42" s="142" t="str">
        <f>IF(C42="","",ROUND(Calculator!B99,6))</f>
        <v/>
      </c>
      <c r="AS42" s="142"/>
      <c r="AT42" s="142"/>
      <c r="AU42" s="142"/>
      <c r="AV42" s="142"/>
      <c r="AW42" s="142"/>
      <c r="AX42" s="142"/>
      <c r="AY42" s="142" t="str">
        <f>IF(C42="","",Calculator!F99)</f>
        <v/>
      </c>
      <c r="AZ42" s="142" t="str">
        <f>IF(C42="","",Calculator!G99)</f>
        <v/>
      </c>
      <c r="BA42" s="142" t="str">
        <f>IF(BB42="","",ROUND(IF(SUM($BB$2:$BB$58)&gt;(0.5*Summary!$C$10),(BB42/SUM($BB$2:$BB$58))*(0.5*Summary!$C$10),'Data Export'!BB42),2))</f>
        <v/>
      </c>
      <c r="BB42" s="142" t="str">
        <f>IF(C42="","",Calculations!D242)</f>
        <v/>
      </c>
      <c r="BC42" s="142"/>
      <c r="BD42" s="142"/>
      <c r="BE42" s="142"/>
      <c r="BF42" s="142"/>
      <c r="BG42" s="142"/>
      <c r="BH42" s="142"/>
      <c r="BI42" s="142"/>
      <c r="BJ42" s="142"/>
      <c r="BK42" s="142"/>
      <c r="BL42" s="142"/>
      <c r="BM42" s="142" t="str">
        <f t="shared" si="0"/>
        <v/>
      </c>
      <c r="BN42" s="142" t="str">
        <f t="shared" si="1"/>
        <v/>
      </c>
      <c r="BO42" s="142"/>
      <c r="BP42" s="142"/>
      <c r="BQ42" s="142"/>
      <c r="BR42" s="142"/>
      <c r="BS42" s="142"/>
      <c r="BT42" s="87"/>
      <c r="BU42" s="293"/>
    </row>
    <row r="43" spans="1:73" s="54" customFormat="1">
      <c r="A43" s="360" t="s">
        <v>105</v>
      </c>
      <c r="B43" s="141">
        <v>42</v>
      </c>
      <c r="C43" s="141" t="str">
        <f>IF(Calculator!I105="","",Calculator!$B$102)</f>
        <v/>
      </c>
      <c r="D43" s="141" t="str">
        <f>IF(C43="","",ROUND(Calculator!D105,3))</f>
        <v/>
      </c>
      <c r="E43" s="141" t="str">
        <f>IF(C43="","",Calculator!E105)</f>
        <v/>
      </c>
      <c r="F43" s="141" t="str">
        <f>IF(C43="","",Calculator!G105)</f>
        <v/>
      </c>
      <c r="G43" s="141"/>
      <c r="H43" s="141"/>
      <c r="I43" s="141"/>
      <c r="J43" s="141"/>
      <c r="K43" s="141"/>
      <c r="L43" s="141" t="str">
        <f>IF(C43="","",Calculations!J288)</f>
        <v/>
      </c>
      <c r="M43" s="141"/>
      <c r="N43" s="141"/>
      <c r="O43" s="141"/>
      <c r="P43" s="141"/>
      <c r="Q43" s="141" t="str">
        <f>IF(C43="","",Calculations!E288)</f>
        <v/>
      </c>
      <c r="R43" s="141" t="str">
        <f>IF(C43="","",Calculations!D288)</f>
        <v/>
      </c>
      <c r="S43" s="141" t="str">
        <f>IF(C43="","",Calculator!N105)</f>
        <v/>
      </c>
      <c r="T43" s="141"/>
      <c r="U43" s="141"/>
      <c r="V43" s="141" t="str">
        <f>IF(C43="","",Calculations!K288)</f>
        <v/>
      </c>
      <c r="W43" s="141"/>
      <c r="X43" s="141"/>
      <c r="Y43" s="141"/>
      <c r="Z43" s="141" t="str">
        <f>IF(C43="","",Calculations!$K$247)</f>
        <v/>
      </c>
      <c r="AA43" s="141"/>
      <c r="AB43" s="141"/>
      <c r="AC43" s="141"/>
      <c r="AD43" s="141"/>
      <c r="AE43" s="141"/>
      <c r="AF43" s="141"/>
      <c r="AG43" s="141"/>
      <c r="AH43" s="141"/>
      <c r="AI43" s="141"/>
      <c r="AJ43" s="141"/>
      <c r="AK43" s="141"/>
      <c r="AL43" s="141"/>
      <c r="AM43" s="141"/>
      <c r="AN43" s="141"/>
      <c r="AO43" s="141" t="str">
        <f>IF(C43="","",Calculations!$F$247)</f>
        <v/>
      </c>
      <c r="AP43" s="141" t="str">
        <f>IF(C43="","",Calculations!C288)</f>
        <v/>
      </c>
      <c r="AQ43" s="141"/>
      <c r="AR43" s="141" t="str">
        <f>IF(C43="","",ROUND(Calculator!B105,6))</f>
        <v/>
      </c>
      <c r="AS43" s="141" t="str">
        <f>IF(C43="","",Calculations!S288)</f>
        <v/>
      </c>
      <c r="AT43" s="141"/>
      <c r="AU43" s="141"/>
      <c r="AV43" s="141" t="str">
        <f>IF(C43="","",Calculations!G288)</f>
        <v/>
      </c>
      <c r="AW43" s="141"/>
      <c r="AX43" s="141"/>
      <c r="AY43" s="141" t="str">
        <f>IF(C43="","",Calculator!H105)</f>
        <v/>
      </c>
      <c r="AZ43" s="141" t="str">
        <f>IF(C43="","",Calculator!I105)</f>
        <v/>
      </c>
      <c r="BA43" s="141" t="str">
        <f>IF(BB43="","",ROUND(IF(SUM($BB$2:$BB$58)&gt;(0.5*Summary!$C$10),(BB43/SUM($BB$2:$BB$58))*(0.5*Summary!$C$10),'Data Export'!BB43),2))</f>
        <v/>
      </c>
      <c r="BB43" s="141" t="str">
        <f>Calculations!R288</f>
        <v/>
      </c>
      <c r="BC43" s="141"/>
      <c r="BD43" s="141"/>
      <c r="BE43" s="141"/>
      <c r="BF43" s="141"/>
      <c r="BG43" s="141"/>
      <c r="BH43" s="141"/>
      <c r="BI43" s="141"/>
      <c r="BJ43" s="141"/>
      <c r="BK43" s="141"/>
      <c r="BL43" s="141"/>
      <c r="BM43" s="141" t="str">
        <f t="shared" si="0"/>
        <v/>
      </c>
      <c r="BN43" s="141" t="str">
        <f t="shared" si="1"/>
        <v/>
      </c>
      <c r="BO43" s="141"/>
      <c r="BP43" s="141"/>
      <c r="BQ43" s="141"/>
      <c r="BR43" s="141">
        <v>1.3620000000000001</v>
      </c>
      <c r="BS43" s="141"/>
      <c r="BT43" s="54">
        <v>4.2809999999999997</v>
      </c>
      <c r="BU43" s="292">
        <v>0.4758</v>
      </c>
    </row>
    <row r="44" spans="1:73" s="54" customFormat="1">
      <c r="A44" s="362"/>
      <c r="B44">
        <v>43</v>
      </c>
      <c r="C44" t="str">
        <f>IF(Calculator!I106="","",Calculator!$B$102)</f>
        <v/>
      </c>
      <c r="D44" t="str">
        <f>IF(C44="","",ROUND(Calculator!D106,3))</f>
        <v/>
      </c>
      <c r="E44" t="str">
        <f>IF(C44="","",Calculator!E106)</f>
        <v/>
      </c>
      <c r="F44" t="str">
        <f>IF(C44="","",Calculator!G106)</f>
        <v/>
      </c>
      <c r="G44"/>
      <c r="H44"/>
      <c r="I44"/>
      <c r="J44"/>
      <c r="K44"/>
      <c r="L44" t="str">
        <f>IF(C44="","",Calculations!J289)</f>
        <v/>
      </c>
      <c r="M44"/>
      <c r="N44"/>
      <c r="O44"/>
      <c r="P44"/>
      <c r="Q44" t="str">
        <f>IF(C44="","",Calculations!E289)</f>
        <v/>
      </c>
      <c r="R44" t="str">
        <f>IF(C44="","",Calculations!D289)</f>
        <v/>
      </c>
      <c r="S44" t="str">
        <f>IF(C44="","",Calculator!N106)</f>
        <v/>
      </c>
      <c r="T44"/>
      <c r="U44"/>
      <c r="V44" t="str">
        <f>IF(C44="","",Calculations!K289)</f>
        <v/>
      </c>
      <c r="W44"/>
      <c r="X44"/>
      <c r="Y44"/>
      <c r="Z44" t="str">
        <f>IF(C44="","",Calculations!$K$247)</f>
        <v/>
      </c>
      <c r="AA44"/>
      <c r="AB44"/>
      <c r="AC44"/>
      <c r="AD44"/>
      <c r="AE44"/>
      <c r="AF44"/>
      <c r="AG44"/>
      <c r="AH44"/>
      <c r="AI44"/>
      <c r="AJ44"/>
      <c r="AK44"/>
      <c r="AL44"/>
      <c r="AM44"/>
      <c r="AN44"/>
      <c r="AO44" t="str">
        <f>IF(C44="","",Calculations!$F$247)</f>
        <v/>
      </c>
      <c r="AP44" t="str">
        <f>IF(C44="","",Calculations!C289)</f>
        <v/>
      </c>
      <c r="AQ44"/>
      <c r="AR44" t="str">
        <f>IF(C44="","",ROUND(Calculator!B106,6))</f>
        <v/>
      </c>
      <c r="AS44" t="str">
        <f>IF(C44="","",Calculations!S289)</f>
        <v/>
      </c>
      <c r="AT44"/>
      <c r="AU44"/>
      <c r="AV44" t="str">
        <f>IF(C44="","",Calculations!G289)</f>
        <v/>
      </c>
      <c r="AW44"/>
      <c r="AX44"/>
      <c r="AY44" t="str">
        <f>IF(C44="","",Calculator!H106)</f>
        <v/>
      </c>
      <c r="AZ44" t="str">
        <f>IF(C44="","",Calculator!I106)</f>
        <v/>
      </c>
      <c r="BA44" t="str">
        <f>IF(BB44="","",ROUND(IF(SUM($BB$2:$BB$58)&gt;(0.5*Summary!$C$10),(BB44/SUM($BB$2:$BB$58))*(0.5*Summary!$C$10),'Data Export'!BB44),2))</f>
        <v/>
      </c>
      <c r="BB44" t="str">
        <f>Calculations!R289</f>
        <v/>
      </c>
      <c r="BC44"/>
      <c r="BD44"/>
      <c r="BE44"/>
      <c r="BF44"/>
      <c r="BG44"/>
      <c r="BH44"/>
      <c r="BI44"/>
      <c r="BJ44"/>
      <c r="BK44"/>
      <c r="BL44"/>
      <c r="BM44" t="str">
        <f t="shared" si="0"/>
        <v/>
      </c>
      <c r="BN44" t="str">
        <f t="shared" si="1"/>
        <v/>
      </c>
      <c r="BO44"/>
      <c r="BP44"/>
      <c r="BQ44"/>
      <c r="BR44"/>
      <c r="BS44"/>
      <c r="BU44" s="291"/>
    </row>
    <row r="45" spans="1:73" s="54" customFormat="1">
      <c r="A45" s="362"/>
      <c r="B45">
        <v>44</v>
      </c>
      <c r="C45" t="str">
        <f>IF(Calculator!I107="","",Calculator!$B$102)</f>
        <v/>
      </c>
      <c r="D45" t="str">
        <f>IF(C45="","",ROUND(Calculator!D107,3))</f>
        <v/>
      </c>
      <c r="E45" t="str">
        <f>IF(C45="","",Calculator!E107)</f>
        <v/>
      </c>
      <c r="F45" t="str">
        <f>IF(C45="","",Calculator!G107)</f>
        <v/>
      </c>
      <c r="G45"/>
      <c r="H45"/>
      <c r="I45"/>
      <c r="J45"/>
      <c r="K45"/>
      <c r="L45" t="str">
        <f>IF(C45="","",Calculations!J290)</f>
        <v/>
      </c>
      <c r="M45"/>
      <c r="N45"/>
      <c r="O45"/>
      <c r="P45"/>
      <c r="Q45" t="str">
        <f>IF(C45="","",Calculations!E290)</f>
        <v/>
      </c>
      <c r="R45" t="str">
        <f>IF(C45="","",Calculations!D290)</f>
        <v/>
      </c>
      <c r="S45" t="str">
        <f>IF(C45="","",Calculator!N107)</f>
        <v/>
      </c>
      <c r="T45"/>
      <c r="U45"/>
      <c r="V45" t="str">
        <f>IF(C45="","",Calculations!K290)</f>
        <v/>
      </c>
      <c r="W45"/>
      <c r="X45"/>
      <c r="Y45"/>
      <c r="Z45" t="str">
        <f>IF(C45="","",Calculations!$K$247)</f>
        <v/>
      </c>
      <c r="AA45"/>
      <c r="AB45"/>
      <c r="AC45"/>
      <c r="AD45"/>
      <c r="AE45"/>
      <c r="AF45"/>
      <c r="AG45"/>
      <c r="AH45"/>
      <c r="AI45"/>
      <c r="AJ45"/>
      <c r="AK45"/>
      <c r="AL45"/>
      <c r="AM45"/>
      <c r="AN45"/>
      <c r="AO45" t="str">
        <f>IF(C45="","",Calculations!$F$247)</f>
        <v/>
      </c>
      <c r="AP45" t="str">
        <f>IF(C45="","",Calculations!C290)</f>
        <v/>
      </c>
      <c r="AQ45"/>
      <c r="AR45" t="str">
        <f>IF(C45="","",ROUND(Calculator!B107,6))</f>
        <v/>
      </c>
      <c r="AS45" t="str">
        <f>IF(C45="","",Calculations!S290)</f>
        <v/>
      </c>
      <c r="AT45"/>
      <c r="AU45"/>
      <c r="AV45" t="str">
        <f>IF(C45="","",Calculations!G290)</f>
        <v/>
      </c>
      <c r="AW45"/>
      <c r="AX45"/>
      <c r="AY45" t="str">
        <f>IF(C45="","",Calculator!H107)</f>
        <v/>
      </c>
      <c r="AZ45" t="str">
        <f>IF(C45="","",Calculator!I107)</f>
        <v/>
      </c>
      <c r="BA45" t="str">
        <f>IF(BB45="","",ROUND(IF(SUM($BB$2:$BB$58)&gt;(0.5*Summary!$C$10),(BB45/SUM($BB$2:$BB$58))*(0.5*Summary!$C$10),'Data Export'!BB45),2))</f>
        <v/>
      </c>
      <c r="BB45" t="str">
        <f>Calculations!R290</f>
        <v/>
      </c>
      <c r="BC45"/>
      <c r="BD45"/>
      <c r="BE45"/>
      <c r="BF45"/>
      <c r="BG45"/>
      <c r="BH45"/>
      <c r="BI45"/>
      <c r="BJ45"/>
      <c r="BK45"/>
      <c r="BL45"/>
      <c r="BM45" t="str">
        <f t="shared" si="0"/>
        <v/>
      </c>
      <c r="BN45" t="str">
        <f t="shared" si="1"/>
        <v/>
      </c>
      <c r="BO45"/>
      <c r="BP45"/>
      <c r="BQ45"/>
      <c r="BR45"/>
      <c r="BS45"/>
      <c r="BU45" s="291"/>
    </row>
    <row r="46" spans="1:73" s="54" customFormat="1">
      <c r="A46" s="362"/>
      <c r="B46">
        <v>45</v>
      </c>
      <c r="C46" t="str">
        <f>IF(Calculator!I108="","",Calculator!$B$102)</f>
        <v/>
      </c>
      <c r="D46" t="str">
        <f>IF(C46="","",ROUND(Calculator!D108,3))</f>
        <v/>
      </c>
      <c r="E46" t="str">
        <f>IF(C46="","",Calculator!E108)</f>
        <v/>
      </c>
      <c r="F46" t="str">
        <f>IF(C46="","",Calculator!G108)</f>
        <v/>
      </c>
      <c r="G46"/>
      <c r="H46"/>
      <c r="I46"/>
      <c r="J46"/>
      <c r="K46"/>
      <c r="L46" t="str">
        <f>IF(C46="","",Calculations!J291)</f>
        <v/>
      </c>
      <c r="M46"/>
      <c r="N46"/>
      <c r="O46"/>
      <c r="P46"/>
      <c r="Q46" t="str">
        <f>IF(C46="","",Calculations!E291)</f>
        <v/>
      </c>
      <c r="R46" t="str">
        <f>IF(C46="","",Calculations!D291)</f>
        <v/>
      </c>
      <c r="S46" t="str">
        <f>IF(C46="","",Calculator!N108)</f>
        <v/>
      </c>
      <c r="T46"/>
      <c r="U46"/>
      <c r="V46" t="str">
        <f>IF(C46="","",Calculations!K291)</f>
        <v/>
      </c>
      <c r="W46"/>
      <c r="X46"/>
      <c r="Y46"/>
      <c r="Z46" t="str">
        <f>IF(C46="","",Calculations!$K$247)</f>
        <v/>
      </c>
      <c r="AA46"/>
      <c r="AB46"/>
      <c r="AC46"/>
      <c r="AD46"/>
      <c r="AE46"/>
      <c r="AF46"/>
      <c r="AG46"/>
      <c r="AH46"/>
      <c r="AI46"/>
      <c r="AJ46"/>
      <c r="AK46"/>
      <c r="AL46"/>
      <c r="AM46"/>
      <c r="AN46"/>
      <c r="AO46" t="str">
        <f>IF(C46="","",Calculations!$F$247)</f>
        <v/>
      </c>
      <c r="AP46" t="str">
        <f>IF(C46="","",Calculations!C291)</f>
        <v/>
      </c>
      <c r="AQ46"/>
      <c r="AR46" t="str">
        <f>IF(C46="","",ROUND(Calculator!B108,6))</f>
        <v/>
      </c>
      <c r="AS46" t="str">
        <f>IF(C46="","",Calculations!S291)</f>
        <v/>
      </c>
      <c r="AT46"/>
      <c r="AU46"/>
      <c r="AV46" t="str">
        <f>IF(C46="","",Calculations!G291)</f>
        <v/>
      </c>
      <c r="AW46"/>
      <c r="AX46"/>
      <c r="AY46" t="str">
        <f>IF(C46="","",Calculator!H108)</f>
        <v/>
      </c>
      <c r="AZ46" t="str">
        <f>IF(C46="","",Calculator!I108)</f>
        <v/>
      </c>
      <c r="BA46" t="str">
        <f>IF(BB46="","",ROUND(IF(SUM($BB$2:$BB$58)&gt;(0.5*Summary!$C$10),(BB46/SUM($BB$2:$BB$58))*(0.5*Summary!$C$10),'Data Export'!BB46),2))</f>
        <v/>
      </c>
      <c r="BB46" t="str">
        <f>Calculations!R291</f>
        <v/>
      </c>
      <c r="BC46"/>
      <c r="BD46"/>
      <c r="BE46"/>
      <c r="BF46"/>
      <c r="BG46"/>
      <c r="BH46"/>
      <c r="BI46"/>
      <c r="BJ46"/>
      <c r="BK46"/>
      <c r="BL46"/>
      <c r="BM46" t="str">
        <f t="shared" si="0"/>
        <v/>
      </c>
      <c r="BN46" t="str">
        <f t="shared" si="1"/>
        <v/>
      </c>
      <c r="BO46"/>
      <c r="BP46"/>
      <c r="BQ46"/>
      <c r="BR46"/>
      <c r="BS46"/>
      <c r="BU46" s="291"/>
    </row>
    <row r="47" spans="1:73" s="54" customFormat="1">
      <c r="A47" s="362"/>
      <c r="B47">
        <v>46</v>
      </c>
      <c r="C47" t="str">
        <f>IF(Calculator!I109="","",Calculator!$B$102)</f>
        <v/>
      </c>
      <c r="D47" t="str">
        <f>IF(C47="","",ROUND(Calculator!D109,3))</f>
        <v/>
      </c>
      <c r="E47" t="str">
        <f>IF(C47="","",Calculator!E109)</f>
        <v/>
      </c>
      <c r="F47" t="str">
        <f>IF(C47="","",Calculator!G109)</f>
        <v/>
      </c>
      <c r="G47"/>
      <c r="H47"/>
      <c r="I47"/>
      <c r="J47"/>
      <c r="K47"/>
      <c r="L47" t="str">
        <f>IF(C47="","",Calculations!J292)</f>
        <v/>
      </c>
      <c r="M47"/>
      <c r="N47"/>
      <c r="O47"/>
      <c r="P47"/>
      <c r="Q47" t="str">
        <f>IF(C47="","",Calculations!E292)</f>
        <v/>
      </c>
      <c r="R47" t="str">
        <f>IF(C47="","",Calculations!D292)</f>
        <v/>
      </c>
      <c r="S47" t="str">
        <f>IF(C47="","",Calculator!N109)</f>
        <v/>
      </c>
      <c r="T47"/>
      <c r="U47"/>
      <c r="V47" t="str">
        <f>IF(C47="","",Calculations!K292)</f>
        <v/>
      </c>
      <c r="W47"/>
      <c r="X47"/>
      <c r="Y47"/>
      <c r="Z47" t="str">
        <f>IF(C47="","",Calculations!$K$247)</f>
        <v/>
      </c>
      <c r="AA47"/>
      <c r="AB47"/>
      <c r="AC47"/>
      <c r="AD47"/>
      <c r="AE47"/>
      <c r="AF47"/>
      <c r="AG47"/>
      <c r="AH47"/>
      <c r="AI47"/>
      <c r="AJ47"/>
      <c r="AK47"/>
      <c r="AL47"/>
      <c r="AM47"/>
      <c r="AN47"/>
      <c r="AO47" t="str">
        <f>IF(C47="","",Calculations!$F$247)</f>
        <v/>
      </c>
      <c r="AP47" t="str">
        <f>IF(C47="","",Calculations!C292)</f>
        <v/>
      </c>
      <c r="AQ47"/>
      <c r="AR47" t="str">
        <f>IF(C47="","",ROUND(Calculator!B109,6))</f>
        <v/>
      </c>
      <c r="AS47" t="str">
        <f>IF(C47="","",Calculations!S292)</f>
        <v/>
      </c>
      <c r="AT47"/>
      <c r="AU47"/>
      <c r="AV47" t="str">
        <f>IF(C47="","",Calculations!G292)</f>
        <v/>
      </c>
      <c r="AW47"/>
      <c r="AX47"/>
      <c r="AY47" t="str">
        <f>IF(C47="","",Calculator!H109)</f>
        <v/>
      </c>
      <c r="AZ47" t="str">
        <f>IF(C47="","",Calculator!I109)</f>
        <v/>
      </c>
      <c r="BA47" t="str">
        <f>IF(BB47="","",ROUND(IF(SUM($BB$2:$BB$58)&gt;(0.5*Summary!$C$10),(BB47/SUM($BB$2:$BB$58))*(0.5*Summary!$C$10),'Data Export'!BB47),2))</f>
        <v/>
      </c>
      <c r="BB47" t="str">
        <f>Calculations!R292</f>
        <v/>
      </c>
      <c r="BC47"/>
      <c r="BD47"/>
      <c r="BE47"/>
      <c r="BF47"/>
      <c r="BG47"/>
      <c r="BH47"/>
      <c r="BI47"/>
      <c r="BJ47"/>
      <c r="BK47"/>
      <c r="BL47"/>
      <c r="BM47" t="str">
        <f t="shared" si="0"/>
        <v/>
      </c>
      <c r="BN47" t="str">
        <f t="shared" si="1"/>
        <v/>
      </c>
      <c r="BO47"/>
      <c r="BP47"/>
      <c r="BQ47"/>
      <c r="BR47"/>
      <c r="BS47"/>
      <c r="BU47" s="291"/>
    </row>
    <row r="48" spans="1:73" s="54" customFormat="1">
      <c r="A48" s="362"/>
      <c r="B48">
        <v>47</v>
      </c>
      <c r="C48" t="str">
        <f>IF(Calculator!I110="","",Calculator!$B$102)</f>
        <v/>
      </c>
      <c r="D48" t="str">
        <f>IF(C48="","",ROUND(Calculator!D110,3))</f>
        <v/>
      </c>
      <c r="E48" t="str">
        <f>IF(C48="","",Calculator!E110)</f>
        <v/>
      </c>
      <c r="F48" t="str">
        <f>IF(C48="","",Calculator!G110)</f>
        <v/>
      </c>
      <c r="G48"/>
      <c r="H48"/>
      <c r="I48"/>
      <c r="J48"/>
      <c r="K48"/>
      <c r="L48" t="str">
        <f>IF(C48="","",Calculations!J293)</f>
        <v/>
      </c>
      <c r="M48"/>
      <c r="N48"/>
      <c r="O48"/>
      <c r="P48"/>
      <c r="Q48" t="str">
        <f>IF(C48="","",Calculations!E293)</f>
        <v/>
      </c>
      <c r="R48" t="str">
        <f>IF(C48="","",Calculations!D293)</f>
        <v/>
      </c>
      <c r="S48" t="str">
        <f>IF(C48="","",Calculator!N110)</f>
        <v/>
      </c>
      <c r="T48"/>
      <c r="U48"/>
      <c r="V48" t="str">
        <f>IF(C48="","",Calculations!K293)</f>
        <v/>
      </c>
      <c r="W48"/>
      <c r="X48"/>
      <c r="Y48"/>
      <c r="Z48" t="str">
        <f>IF(C48="","",Calculations!$K$247)</f>
        <v/>
      </c>
      <c r="AA48"/>
      <c r="AB48"/>
      <c r="AC48"/>
      <c r="AD48"/>
      <c r="AE48"/>
      <c r="AF48"/>
      <c r="AG48"/>
      <c r="AH48"/>
      <c r="AI48"/>
      <c r="AJ48"/>
      <c r="AK48"/>
      <c r="AL48"/>
      <c r="AM48"/>
      <c r="AN48"/>
      <c r="AO48" t="str">
        <f>IF(C48="","",Calculations!$F$247)</f>
        <v/>
      </c>
      <c r="AP48" t="str">
        <f>IF(C48="","",Calculations!C293)</f>
        <v/>
      </c>
      <c r="AQ48"/>
      <c r="AR48" t="str">
        <f>IF(C48="","",ROUND(Calculator!B110,6))</f>
        <v/>
      </c>
      <c r="AS48" t="str">
        <f>IF(C48="","",Calculations!S293)</f>
        <v/>
      </c>
      <c r="AT48"/>
      <c r="AU48"/>
      <c r="AV48" t="str">
        <f>IF(C48="","",Calculations!G293)</f>
        <v/>
      </c>
      <c r="AW48"/>
      <c r="AX48"/>
      <c r="AY48" t="str">
        <f>IF(C48="","",Calculator!H110)</f>
        <v/>
      </c>
      <c r="AZ48" t="str">
        <f>IF(C48="","",Calculator!I110)</f>
        <v/>
      </c>
      <c r="BA48" t="str">
        <f>IF(BB48="","",ROUND(IF(SUM($BB$2:$BB$58)&gt;(0.5*Summary!$C$10),(BB48/SUM($BB$2:$BB$58))*(0.5*Summary!$C$10),'Data Export'!BB48),2))</f>
        <v/>
      </c>
      <c r="BB48" t="str">
        <f>Calculations!R293</f>
        <v/>
      </c>
      <c r="BC48"/>
      <c r="BD48"/>
      <c r="BE48"/>
      <c r="BF48"/>
      <c r="BG48"/>
      <c r="BH48"/>
      <c r="BI48"/>
      <c r="BJ48"/>
      <c r="BK48"/>
      <c r="BL48"/>
      <c r="BM48" t="str">
        <f t="shared" si="0"/>
        <v/>
      </c>
      <c r="BN48" t="str">
        <f t="shared" si="1"/>
        <v/>
      </c>
      <c r="BO48"/>
      <c r="BP48"/>
      <c r="BQ48"/>
      <c r="BR48"/>
      <c r="BS48"/>
      <c r="BU48" s="291"/>
    </row>
    <row r="49" spans="1:73" s="54" customFormat="1" ht="14.25" customHeight="1">
      <c r="A49" s="362"/>
      <c r="B49">
        <v>48</v>
      </c>
      <c r="C49" t="str">
        <f>IF(Calculator!I111="","",Calculator!$B$102)</f>
        <v/>
      </c>
      <c r="D49" t="str">
        <f>IF(C49="","",ROUND(Calculator!D111,3))</f>
        <v/>
      </c>
      <c r="E49" t="str">
        <f>IF(C49="","",Calculator!E111)</f>
        <v/>
      </c>
      <c r="F49" t="str">
        <f>IF(C49="","",Calculator!G111)</f>
        <v/>
      </c>
      <c r="G49"/>
      <c r="H49"/>
      <c r="I49"/>
      <c r="J49"/>
      <c r="K49"/>
      <c r="L49" t="str">
        <f>IF(C49="","",Calculations!J294)</f>
        <v/>
      </c>
      <c r="M49"/>
      <c r="N49"/>
      <c r="O49"/>
      <c r="P49"/>
      <c r="Q49" t="str">
        <f>IF(C49="","",Calculations!E294)</f>
        <v/>
      </c>
      <c r="R49" t="str">
        <f>IF(C49="","",Calculations!D294)</f>
        <v/>
      </c>
      <c r="S49" t="str">
        <f>IF(C49="","",Calculator!N111)</f>
        <v/>
      </c>
      <c r="T49"/>
      <c r="U49"/>
      <c r="V49" t="str">
        <f>IF(C49="","",Calculations!K294)</f>
        <v/>
      </c>
      <c r="W49"/>
      <c r="X49"/>
      <c r="Y49"/>
      <c r="Z49" t="str">
        <f>IF(C49="","",Calculations!$K$247)</f>
        <v/>
      </c>
      <c r="AA49"/>
      <c r="AB49"/>
      <c r="AC49"/>
      <c r="AD49"/>
      <c r="AE49"/>
      <c r="AF49"/>
      <c r="AG49"/>
      <c r="AH49"/>
      <c r="AI49"/>
      <c r="AJ49"/>
      <c r="AK49"/>
      <c r="AL49"/>
      <c r="AM49"/>
      <c r="AN49"/>
      <c r="AO49" t="str">
        <f>IF(C49="","",Calculations!$F$247)</f>
        <v/>
      </c>
      <c r="AP49" t="str">
        <f>IF(C49="","",Calculations!C294)</f>
        <v/>
      </c>
      <c r="AQ49"/>
      <c r="AR49" t="str">
        <f>IF(C49="","",ROUND(Calculator!B111,6))</f>
        <v/>
      </c>
      <c r="AS49" t="str">
        <f>IF(C49="","",Calculations!S294)</f>
        <v/>
      </c>
      <c r="AT49"/>
      <c r="AU49"/>
      <c r="AV49" t="str">
        <f>IF(C49="","",Calculations!G294)</f>
        <v/>
      </c>
      <c r="AW49"/>
      <c r="AX49"/>
      <c r="AY49" t="str">
        <f>IF(C49="","",Calculator!H111)</f>
        <v/>
      </c>
      <c r="AZ49" t="str">
        <f>IF(C49="","",Calculator!I111)</f>
        <v/>
      </c>
      <c r="BA49" t="str">
        <f>IF(BB49="","",ROUND(IF(SUM($BB$2:$BB$58)&gt;(0.5*Summary!$C$10),(BB49/SUM($BB$2:$BB$58))*(0.5*Summary!$C$10),'Data Export'!BB49),2))</f>
        <v/>
      </c>
      <c r="BB49" t="str">
        <f>Calculations!R294</f>
        <v/>
      </c>
      <c r="BC49"/>
      <c r="BD49"/>
      <c r="BE49"/>
      <c r="BF49"/>
      <c r="BG49"/>
      <c r="BH49"/>
      <c r="BI49"/>
      <c r="BJ49"/>
      <c r="BK49"/>
      <c r="BL49"/>
      <c r="BM49" t="str">
        <f t="shared" si="0"/>
        <v/>
      </c>
      <c r="BN49" t="str">
        <f t="shared" si="1"/>
        <v/>
      </c>
      <c r="BO49"/>
      <c r="BP49"/>
      <c r="BQ49"/>
      <c r="BR49"/>
      <c r="BS49"/>
      <c r="BU49" s="291"/>
    </row>
    <row r="50" spans="1:73" s="54" customFormat="1" ht="14.25" customHeight="1" thickBot="1">
      <c r="A50" s="361"/>
      <c r="B50" s="142">
        <v>49</v>
      </c>
      <c r="C50" s="142" t="str">
        <f>IF(Calculator!I112="","",Calculator!$B$102)</f>
        <v/>
      </c>
      <c r="D50" s="142" t="str">
        <f>IF(C50="","",ROUND(Calculator!D112,3))</f>
        <v/>
      </c>
      <c r="E50" s="142" t="str">
        <f>IF(C50="","",Calculator!E112)</f>
        <v/>
      </c>
      <c r="F50" s="142" t="str">
        <f>IF(C50="","",Calculator!G112)</f>
        <v/>
      </c>
      <c r="G50" s="142"/>
      <c r="H50" s="142"/>
      <c r="I50" s="142"/>
      <c r="J50" s="142"/>
      <c r="K50" s="142"/>
      <c r="L50" s="142" t="str">
        <f>IF(C50="","",Calculations!J295)</f>
        <v/>
      </c>
      <c r="M50" s="142"/>
      <c r="N50" s="142"/>
      <c r="O50" s="142"/>
      <c r="P50" s="142"/>
      <c r="Q50" s="142" t="str">
        <f>IF(C50="","",Calculations!E295)</f>
        <v/>
      </c>
      <c r="R50" s="142" t="str">
        <f>IF(C50="","",Calculations!D295)</f>
        <v/>
      </c>
      <c r="S50" s="142" t="str">
        <f>IF(C50="","",Calculator!N112)</f>
        <v/>
      </c>
      <c r="T50" s="142"/>
      <c r="U50" s="142"/>
      <c r="V50" s="142" t="str">
        <f>IF(C50="","",Calculations!K295)</f>
        <v/>
      </c>
      <c r="W50" s="142"/>
      <c r="X50" s="142"/>
      <c r="Y50" s="142"/>
      <c r="Z50" s="142" t="str">
        <f>IF(C50="","",Calculations!$K$247)</f>
        <v/>
      </c>
      <c r="AA50" s="142"/>
      <c r="AB50" s="142"/>
      <c r="AC50" s="142"/>
      <c r="AD50" s="142"/>
      <c r="AE50" s="142"/>
      <c r="AF50" s="142"/>
      <c r="AG50" s="142"/>
      <c r="AH50" s="142"/>
      <c r="AI50" s="142"/>
      <c r="AJ50" s="142"/>
      <c r="AK50" s="142"/>
      <c r="AL50" s="142"/>
      <c r="AM50" s="142"/>
      <c r="AN50" s="142"/>
      <c r="AO50" s="142" t="str">
        <f>IF(C50="","",Calculations!$F$247)</f>
        <v/>
      </c>
      <c r="AP50" s="142" t="str">
        <f>IF(C50="","",Calculations!C295)</f>
        <v/>
      </c>
      <c r="AQ50" s="142"/>
      <c r="AR50" s="142" t="str">
        <f>IF(C50="","",ROUND(Calculator!B112,6))</f>
        <v/>
      </c>
      <c r="AS50" s="142" t="str">
        <f>IF(C50="","",Calculations!S295)</f>
        <v/>
      </c>
      <c r="AT50" s="142"/>
      <c r="AU50" s="142"/>
      <c r="AV50" s="142" t="str">
        <f>IF(C50="","",Calculations!G295)</f>
        <v/>
      </c>
      <c r="AW50" s="142"/>
      <c r="AX50" s="142"/>
      <c r="AY50" s="142" t="str">
        <f>IF(C50="","",Calculator!H112)</f>
        <v/>
      </c>
      <c r="AZ50" s="142" t="str">
        <f>IF(C50="","",Calculator!I112)</f>
        <v/>
      </c>
      <c r="BA50" s="142" t="str">
        <f>IF(BB50="","",ROUND(IF(SUM($BB$2:$BB$58)&gt;(0.5*Summary!$C$10),(BB50/SUM($BB$2:$BB$58))*(0.5*Summary!$C$10),'Data Export'!BB50),2))</f>
        <v/>
      </c>
      <c r="BB50" s="142" t="str">
        <f>Calculations!R295</f>
        <v/>
      </c>
      <c r="BC50" s="142"/>
      <c r="BD50" s="142"/>
      <c r="BE50" s="142"/>
      <c r="BF50" s="142"/>
      <c r="BG50" s="142"/>
      <c r="BH50" s="142"/>
      <c r="BI50" s="142"/>
      <c r="BJ50" s="142"/>
      <c r="BK50" s="142"/>
      <c r="BL50" s="142"/>
      <c r="BM50" s="142" t="str">
        <f t="shared" si="0"/>
        <v/>
      </c>
      <c r="BN50" s="142" t="str">
        <f t="shared" si="1"/>
        <v/>
      </c>
      <c r="BO50" s="142"/>
      <c r="BP50" s="142"/>
      <c r="BQ50" s="142"/>
      <c r="BR50" s="142"/>
      <c r="BS50" s="142"/>
      <c r="BU50" s="291"/>
    </row>
    <row r="51" spans="1:73" s="54" customFormat="1">
      <c r="A51" s="360" t="s">
        <v>106</v>
      </c>
      <c r="B51" s="141">
        <v>50</v>
      </c>
      <c r="C51" s="141" t="str">
        <f>IF(Calculator!G118="","",Calculator!$B$115)</f>
        <v/>
      </c>
      <c r="D51" s="141" t="str">
        <f>IF(C51="","",ROUND(Calculator!D118,3))</f>
        <v/>
      </c>
      <c r="E51" s="141" t="str">
        <f>IF(C51="","",Calculations!$D$300)</f>
        <v/>
      </c>
      <c r="F51" s="141" t="str">
        <f>IF(C51="","",Calculator!E118)</f>
        <v/>
      </c>
      <c r="G51" s="141"/>
      <c r="H51" s="141"/>
      <c r="I51" s="141"/>
      <c r="J51" s="141"/>
      <c r="K51" s="141"/>
      <c r="L51" s="141"/>
      <c r="M51" s="141"/>
      <c r="N51" s="141"/>
      <c r="O51" s="141"/>
      <c r="P51" s="141"/>
      <c r="Q51" s="141"/>
      <c r="R51" s="141"/>
      <c r="S51" s="141" t="str">
        <f>IF(C51="","",Calculator!I118)</f>
        <v/>
      </c>
      <c r="T51" s="141"/>
      <c r="U51" s="141"/>
      <c r="V51" s="141"/>
      <c r="W51" s="141"/>
      <c r="X51" s="141"/>
      <c r="Y51" s="141"/>
      <c r="Z51" s="141" t="str">
        <f>IF(C51="","",Calculations!$E$300)</f>
        <v/>
      </c>
      <c r="AA51" s="141"/>
      <c r="AB51" s="141"/>
      <c r="AC51" s="141"/>
      <c r="AD51" s="141"/>
      <c r="AE51" s="141"/>
      <c r="AF51" s="141"/>
      <c r="AG51" s="141"/>
      <c r="AH51" s="141"/>
      <c r="AI51" s="141"/>
      <c r="AJ51" s="141"/>
      <c r="AK51" s="141"/>
      <c r="AL51" s="141"/>
      <c r="AM51" s="141"/>
      <c r="AN51" s="141"/>
      <c r="AO51" s="141"/>
      <c r="AP51" s="141"/>
      <c r="AQ51" s="141"/>
      <c r="AR51" s="141" t="str">
        <f>IF(C51="","",ROUND(Calculator!B118,6))</f>
        <v/>
      </c>
      <c r="AS51" s="141"/>
      <c r="AT51" s="141"/>
      <c r="AU51" s="141"/>
      <c r="AV51" s="141" t="str">
        <f>IF(C51="","",Calculator!H118)</f>
        <v/>
      </c>
      <c r="AW51" s="141"/>
      <c r="AX51" s="141"/>
      <c r="AY51" s="141" t="str">
        <f>IF(C51="","",Calculator!F118)</f>
        <v/>
      </c>
      <c r="AZ51" s="141" t="str">
        <f>IF(C51="","",Calculator!G118)</f>
        <v/>
      </c>
      <c r="BA51" s="141" t="str">
        <f>IF(BB51="","",ROUND(IF(SUM($BB$2:$BB$58)&gt;(0.5*Summary!$C$10),(BB51/SUM($BB$2:$BB$58))*(0.5*Summary!$C$10),'Data Export'!BB51),2))</f>
        <v/>
      </c>
      <c r="BB51" s="141" t="str">
        <f>IF(C51="","",Calculations!K310)</f>
        <v/>
      </c>
      <c r="BC51" s="141"/>
      <c r="BD51" s="141"/>
      <c r="BE51" s="141"/>
      <c r="BF51" s="141"/>
      <c r="BG51" s="141"/>
      <c r="BH51" s="141"/>
      <c r="BI51" s="141"/>
      <c r="BJ51" s="141"/>
      <c r="BK51" s="141"/>
      <c r="BL51" s="141"/>
      <c r="BM51" s="141" t="str">
        <f t="shared" si="0"/>
        <v/>
      </c>
      <c r="BN51" s="141" t="str">
        <f t="shared" si="1"/>
        <v/>
      </c>
      <c r="BO51" s="141"/>
      <c r="BP51" s="141"/>
      <c r="BQ51" s="141"/>
      <c r="BR51" s="141">
        <v>2</v>
      </c>
      <c r="BS51" s="141"/>
      <c r="BT51" s="81">
        <v>6.42</v>
      </c>
      <c r="BU51" s="290">
        <v>2.5799999999999998E-3</v>
      </c>
    </row>
    <row r="52" spans="1:73" s="54" customFormat="1" ht="14.25" customHeight="1">
      <c r="A52" s="362"/>
      <c r="B52">
        <v>51</v>
      </c>
      <c r="C52" t="str">
        <f>IF(Calculator!G119="","",Calculator!$B$115)</f>
        <v/>
      </c>
      <c r="D52" t="str">
        <f>IF(C52="","",ROUND(Calculator!D119,3))</f>
        <v/>
      </c>
      <c r="E52" t="str">
        <f>IF(C52="","",Calculations!$D$300)</f>
        <v/>
      </c>
      <c r="F52" t="str">
        <f>IF(C52="","",Calculator!E119)</f>
        <v/>
      </c>
      <c r="G52"/>
      <c r="H52"/>
      <c r="I52"/>
      <c r="J52"/>
      <c r="K52"/>
      <c r="L52"/>
      <c r="M52"/>
      <c r="N52"/>
      <c r="O52"/>
      <c r="P52"/>
      <c r="Q52"/>
      <c r="R52"/>
      <c r="S52" t="str">
        <f>IF(C52="","",Calculator!I119)</f>
        <v/>
      </c>
      <c r="T52"/>
      <c r="U52"/>
      <c r="V52"/>
      <c r="W52"/>
      <c r="X52"/>
      <c r="Y52"/>
      <c r="Z52" t="str">
        <f>IF(C52="","",Calculations!$E$300)</f>
        <v/>
      </c>
      <c r="AA52"/>
      <c r="AB52"/>
      <c r="AC52"/>
      <c r="AD52"/>
      <c r="AE52"/>
      <c r="AF52"/>
      <c r="AG52"/>
      <c r="AH52"/>
      <c r="AI52"/>
      <c r="AJ52"/>
      <c r="AK52"/>
      <c r="AL52"/>
      <c r="AM52"/>
      <c r="AN52"/>
      <c r="AO52"/>
      <c r="AP52"/>
      <c r="AQ52"/>
      <c r="AR52" t="str">
        <f>IF(C52="","",ROUND(Calculator!B119,6))</f>
        <v/>
      </c>
      <c r="AS52"/>
      <c r="AT52"/>
      <c r="AU52"/>
      <c r="AV52" t="str">
        <f>IF(C52="","",Calculator!H119)</f>
        <v/>
      </c>
      <c r="AW52"/>
      <c r="AX52"/>
      <c r="AY52" t="str">
        <f>IF(C52="","",Calculator!F119)</f>
        <v/>
      </c>
      <c r="AZ52" t="str">
        <f>IF(C52="","",Calculator!G119)</f>
        <v/>
      </c>
      <c r="BA52" t="str">
        <f>IF(BB52="","",ROUND(IF(SUM($BB$2:$BB$58)&gt;(0.5*Summary!$C$10),(BB52/SUM($BB$2:$BB$58))*(0.5*Summary!$C$10),'Data Export'!BB52),2))</f>
        <v/>
      </c>
      <c r="BB52" t="str">
        <f>IF(C52="","",Calculations!K311)</f>
        <v/>
      </c>
      <c r="BC52"/>
      <c r="BD52"/>
      <c r="BE52"/>
      <c r="BF52"/>
      <c r="BG52"/>
      <c r="BH52"/>
      <c r="BI52"/>
      <c r="BJ52"/>
      <c r="BK52"/>
      <c r="BL52"/>
      <c r="BM52" t="str">
        <f t="shared" si="0"/>
        <v/>
      </c>
      <c r="BN52" t="str">
        <f t="shared" si="1"/>
        <v/>
      </c>
      <c r="BO52"/>
      <c r="BP52"/>
      <c r="BQ52"/>
      <c r="BR52"/>
      <c r="BS52"/>
      <c r="BU52" s="291"/>
    </row>
    <row r="53" spans="1:73" s="54" customFormat="1" ht="14.25" customHeight="1" thickBot="1">
      <c r="A53" s="361"/>
      <c r="B53" s="142">
        <v>52</v>
      </c>
      <c r="C53" s="142" t="str">
        <f>IF(Calculator!G120="","",Calculator!$B$115)</f>
        <v/>
      </c>
      <c r="D53" s="142" t="str">
        <f>IF(C53="","",ROUND(Calculator!D120,3))</f>
        <v/>
      </c>
      <c r="E53" s="142" t="str">
        <f>IF(C53="","",Calculations!$D$300)</f>
        <v/>
      </c>
      <c r="F53" s="142" t="str">
        <f>IF(C53="","",Calculator!E120)</f>
        <v/>
      </c>
      <c r="G53" s="142"/>
      <c r="H53" s="142"/>
      <c r="I53" s="142"/>
      <c r="J53" s="142"/>
      <c r="K53" s="142"/>
      <c r="L53" s="142"/>
      <c r="M53" s="142"/>
      <c r="N53" s="142"/>
      <c r="O53" s="142"/>
      <c r="P53" s="142"/>
      <c r="Q53" s="142"/>
      <c r="R53" s="142"/>
      <c r="S53" s="142" t="str">
        <f>IF(C53="","",Calculator!I120)</f>
        <v/>
      </c>
      <c r="T53" s="142"/>
      <c r="U53" s="142"/>
      <c r="V53" s="142"/>
      <c r="W53" s="142"/>
      <c r="X53" s="142"/>
      <c r="Y53" s="142"/>
      <c r="Z53" s="142" t="str">
        <f>IF(C53="","",Calculations!$E$300)</f>
        <v/>
      </c>
      <c r="AA53" s="142"/>
      <c r="AB53" s="142"/>
      <c r="AC53" s="142"/>
      <c r="AD53" s="142"/>
      <c r="AE53" s="142"/>
      <c r="AF53" s="142"/>
      <c r="AG53" s="142"/>
      <c r="AH53" s="142"/>
      <c r="AI53" s="142"/>
      <c r="AJ53" s="142"/>
      <c r="AK53" s="142"/>
      <c r="AL53" s="142"/>
      <c r="AM53" s="142"/>
      <c r="AN53" s="142"/>
      <c r="AO53" s="142"/>
      <c r="AP53" s="142"/>
      <c r="AQ53" s="142"/>
      <c r="AR53" s="142" t="str">
        <f>IF(C53="","",ROUND(Calculator!B120,6))</f>
        <v/>
      </c>
      <c r="AS53" s="142"/>
      <c r="AT53" s="142"/>
      <c r="AU53" s="142"/>
      <c r="AV53" s="142" t="str">
        <f>IF(C53="","",Calculator!H120)</f>
        <v/>
      </c>
      <c r="AW53" s="142"/>
      <c r="AX53" s="142"/>
      <c r="AY53" s="142" t="str">
        <f>IF(C53="","",Calculator!F120)</f>
        <v/>
      </c>
      <c r="AZ53" s="142" t="str">
        <f>IF(C53="","",Calculator!G120)</f>
        <v/>
      </c>
      <c r="BA53" s="142" t="str">
        <f>IF(BB53="","",ROUND(IF(SUM($BB$2:$BB$58)&gt;(0.5*Summary!$C$10),(BB53/SUM($BB$2:$BB$58))*(0.5*Summary!$C$10),'Data Export'!BB53),2))</f>
        <v/>
      </c>
      <c r="BB53" s="142" t="str">
        <f>IF(C53="","",Calculations!K312)</f>
        <v/>
      </c>
      <c r="BC53" s="142"/>
      <c r="BD53" s="142"/>
      <c r="BE53" s="142"/>
      <c r="BF53" s="142"/>
      <c r="BG53" s="142"/>
      <c r="BH53" s="142"/>
      <c r="BI53" s="142"/>
      <c r="BJ53" s="142"/>
      <c r="BK53" s="142"/>
      <c r="BL53" s="142"/>
      <c r="BM53" s="142" t="str">
        <f t="shared" si="0"/>
        <v/>
      </c>
      <c r="BN53" s="142" t="str">
        <f t="shared" si="1"/>
        <v/>
      </c>
      <c r="BO53" s="142"/>
      <c r="BP53" s="142"/>
      <c r="BQ53" s="142"/>
      <c r="BR53" s="142"/>
      <c r="BS53" s="142"/>
      <c r="BT53" s="87"/>
      <c r="BU53" s="293"/>
    </row>
    <row r="54" spans="1:73" s="54" customFormat="1">
      <c r="A54" s="360" t="s">
        <v>107</v>
      </c>
      <c r="B54" s="141">
        <v>53</v>
      </c>
      <c r="C54" s="141" t="str">
        <f>IF(Calculator!G126="","",Calculator!$B$123)</f>
        <v/>
      </c>
      <c r="D54" s="141" t="str">
        <f>IF(C54="","",ROUND(Calculator!D126,3))</f>
        <v/>
      </c>
      <c r="E54" s="141" t="str">
        <f>IF(C54="","",Calculations!$F$317)</f>
        <v/>
      </c>
      <c r="F54" s="141" t="str">
        <f>IF(C54="","",Calculator!E126)</f>
        <v/>
      </c>
      <c r="G54" s="141" t="str">
        <f>IF(C54="","",Calculations!$H$317)</f>
        <v/>
      </c>
      <c r="H54" s="141" t="str">
        <f>IF(C54="","",Calculations!$H$316)</f>
        <v/>
      </c>
      <c r="I54" s="141"/>
      <c r="J54" s="141"/>
      <c r="K54" s="141"/>
      <c r="L54" s="141" t="str">
        <f>IF(C54="","",Calculations!D364)</f>
        <v/>
      </c>
      <c r="M54" s="141"/>
      <c r="N54" s="141"/>
      <c r="O54" s="141"/>
      <c r="P54" s="141"/>
      <c r="Q54" s="141"/>
      <c r="R54" s="141"/>
      <c r="S54" s="141" t="str">
        <f>IF(C54="","",Calculator!L126)</f>
        <v/>
      </c>
      <c r="T54" s="141"/>
      <c r="U54" s="141"/>
      <c r="V54" s="141" t="str">
        <f>IF(C54="","",Calculations!E364)</f>
        <v/>
      </c>
      <c r="W54" s="141"/>
      <c r="X54" s="141"/>
      <c r="Y54" s="141"/>
      <c r="Z54" s="141"/>
      <c r="AA54" s="141"/>
      <c r="AB54" s="141"/>
      <c r="AC54" s="141"/>
      <c r="AD54" s="141"/>
      <c r="AE54" s="141"/>
      <c r="AF54" s="141"/>
      <c r="AG54" s="141"/>
      <c r="AH54" s="141"/>
      <c r="AI54" s="141"/>
      <c r="AJ54" s="141"/>
      <c r="AK54" s="141"/>
      <c r="AL54" s="141"/>
      <c r="AM54" s="141"/>
      <c r="AN54" s="141"/>
      <c r="AO54" s="141"/>
      <c r="AP54" s="141"/>
      <c r="AQ54" s="141"/>
      <c r="AR54" s="141" t="str">
        <f>IF(C54="","",ROUND(Calculations!J364,6))</f>
        <v/>
      </c>
      <c r="AS54" s="141"/>
      <c r="AT54" s="141"/>
      <c r="AU54" s="141"/>
      <c r="AV54" s="141"/>
      <c r="AW54" s="141"/>
      <c r="AX54" s="141"/>
      <c r="AY54" s="141" t="str">
        <f>IF(C54="","",Calculator!F126)</f>
        <v/>
      </c>
      <c r="AZ54" s="141" t="str">
        <f>IF(C54="","",Calculator!G126)</f>
        <v/>
      </c>
      <c r="BA54" s="141" t="str">
        <f>IF(BB54="","",ROUND(IF(SUM($BB$2:$BB$58)&gt;(0.5*Summary!$C$10),(BB54/SUM($BB$2:$BB$58))*(0.5*Summary!$C$10),'Data Export'!BB54),2))</f>
        <v/>
      </c>
      <c r="BB54" t="str">
        <f>IF(C54="","",Calculations!N364)</f>
        <v/>
      </c>
      <c r="BC54" s="141" t="str">
        <f>IF(C54="","",Calculations!L364)</f>
        <v/>
      </c>
      <c r="BD54" s="141" t="str">
        <f>IF(C54="","",Calculations!M364)</f>
        <v/>
      </c>
      <c r="BE54" s="141" t="str">
        <f>IF(C54="","",Calculations!F364)</f>
        <v/>
      </c>
      <c r="BF54" s="141" t="str">
        <f>IF(C54="","",Calculations!G364)</f>
        <v/>
      </c>
      <c r="BG54" s="141" t="str">
        <f>IF(C54="","",Calculator!H126)</f>
        <v/>
      </c>
      <c r="BH54" s="141" t="str">
        <f>IF(C54="","",Calculator!I126)</f>
        <v/>
      </c>
      <c r="BI54" s="141"/>
      <c r="BJ54" s="141"/>
      <c r="BK54" s="141"/>
      <c r="BL54" s="141"/>
      <c r="BM54" s="141" t="str">
        <f t="shared" si="0"/>
        <v/>
      </c>
      <c r="BN54" s="141" t="str">
        <f t="shared" si="1"/>
        <v/>
      </c>
      <c r="BO54" s="141"/>
      <c r="BP54" s="141"/>
      <c r="BQ54" s="141"/>
      <c r="BR54" s="141">
        <v>4</v>
      </c>
      <c r="BS54" s="141"/>
      <c r="BT54" s="54">
        <v>7.2149999999999999</v>
      </c>
      <c r="BU54" s="292">
        <v>6.3570000000000002E-2</v>
      </c>
    </row>
    <row r="55" spans="1:73" s="54" customFormat="1">
      <c r="A55" s="362"/>
      <c r="B55">
        <v>54</v>
      </c>
      <c r="C55" t="str">
        <f>IF(Calculator!G127="","",Calculator!$B$123)</f>
        <v/>
      </c>
      <c r="D55" t="str">
        <f>IF(C55="","",ROUND(Calculator!D127,3))</f>
        <v/>
      </c>
      <c r="E55" t="str">
        <f>IF(C55="","",Calculations!$F$317)</f>
        <v/>
      </c>
      <c r="F55" t="str">
        <f>IF(C55="","",Calculator!E127)</f>
        <v/>
      </c>
      <c r="G55" t="str">
        <f>IF(C55="","",Calculations!$H$317)</f>
        <v/>
      </c>
      <c r="H55" t="str">
        <f>IF(C55="","",Calculations!$H$316)</f>
        <v/>
      </c>
      <c r="I55"/>
      <c r="J55"/>
      <c r="K55"/>
      <c r="L55" t="str">
        <f>IF(C55="","",Calculations!D365)</f>
        <v/>
      </c>
      <c r="M55"/>
      <c r="N55"/>
      <c r="O55"/>
      <c r="P55"/>
      <c r="Q55"/>
      <c r="R55"/>
      <c r="S55" t="str">
        <f>IF(C55="","",Calculator!L127)</f>
        <v/>
      </c>
      <c r="T55"/>
      <c r="U55"/>
      <c r="V55" t="str">
        <f>IF(C55="","",Calculations!E365)</f>
        <v/>
      </c>
      <c r="W55"/>
      <c r="X55"/>
      <c r="Y55"/>
      <c r="Z55"/>
      <c r="AA55"/>
      <c r="AB55"/>
      <c r="AC55"/>
      <c r="AD55"/>
      <c r="AE55"/>
      <c r="AF55"/>
      <c r="AG55"/>
      <c r="AH55"/>
      <c r="AI55"/>
      <c r="AJ55"/>
      <c r="AK55"/>
      <c r="AL55"/>
      <c r="AM55"/>
      <c r="AN55"/>
      <c r="AO55"/>
      <c r="AP55"/>
      <c r="AQ55"/>
      <c r="AR55" t="str">
        <f>IF(C55="","",ROUND(Calculations!J365,6))</f>
        <v/>
      </c>
      <c r="AS55"/>
      <c r="AT55"/>
      <c r="AU55"/>
      <c r="AV55"/>
      <c r="AW55"/>
      <c r="AX55"/>
      <c r="AY55" t="str">
        <f>IF(C55="","",Calculator!F127)</f>
        <v/>
      </c>
      <c r="AZ55" t="str">
        <f>IF(C55="","",Calculator!G127)</f>
        <v/>
      </c>
      <c r="BA55" t="str">
        <f>IF(BB55="","",ROUND(IF(SUM($BB$2:$BB$58)&gt;(0.5*Summary!$C$10),(BB55/SUM($BB$2:$BB$58))*(0.5*Summary!$C$10),'Data Export'!BB55),2))</f>
        <v/>
      </c>
      <c r="BB55" t="str">
        <f>IF(C55="","",Calculations!N365)</f>
        <v/>
      </c>
      <c r="BC55" t="str">
        <f>IF(C55="","",Calculations!L365)</f>
        <v/>
      </c>
      <c r="BD55" t="str">
        <f>IF(C55="","",Calculations!M365)</f>
        <v/>
      </c>
      <c r="BE55" t="str">
        <f>IF(C55="","",Calculations!F365)</f>
        <v/>
      </c>
      <c r="BF55" t="str">
        <f>IF(C55="","",Calculations!G365)</f>
        <v/>
      </c>
      <c r="BG55" t="str">
        <f>IF(C55="","",Calculator!H127)</f>
        <v/>
      </c>
      <c r="BH55" t="str">
        <f>IF(C55="","",Calculator!I127)</f>
        <v/>
      </c>
      <c r="BI55"/>
      <c r="BJ55"/>
      <c r="BK55"/>
      <c r="BL55"/>
      <c r="BM55" t="str">
        <f t="shared" si="0"/>
        <v/>
      </c>
      <c r="BN55" t="str">
        <f t="shared" si="1"/>
        <v/>
      </c>
      <c r="BO55"/>
      <c r="BP55"/>
      <c r="BQ55"/>
      <c r="BR55"/>
      <c r="BS55"/>
      <c r="BU55" s="291"/>
    </row>
    <row r="56" spans="1:73" s="54" customFormat="1">
      <c r="A56" s="362"/>
      <c r="B56">
        <v>55</v>
      </c>
      <c r="C56" t="str">
        <f>IF(Calculator!G128="","",Calculator!$B$123)</f>
        <v/>
      </c>
      <c r="D56" t="str">
        <f>IF(C56="","",ROUND(Calculator!D128,3))</f>
        <v/>
      </c>
      <c r="E56" t="str">
        <f>IF(C56="","",Calculations!$F$317)</f>
        <v/>
      </c>
      <c r="F56" t="str">
        <f>IF(C56="","",Calculator!E128)</f>
        <v/>
      </c>
      <c r="G56" t="str">
        <f>IF(C56="","",Calculations!$H$317)</f>
        <v/>
      </c>
      <c r="H56" t="str">
        <f>IF(C56="","",Calculations!$H$316)</f>
        <v/>
      </c>
      <c r="I56"/>
      <c r="J56"/>
      <c r="K56"/>
      <c r="L56" t="str">
        <f>IF(C56="","",Calculations!D366)</f>
        <v/>
      </c>
      <c r="M56"/>
      <c r="N56"/>
      <c r="O56"/>
      <c r="P56"/>
      <c r="Q56"/>
      <c r="R56"/>
      <c r="S56" t="str">
        <f>IF(C56="","",Calculator!L128)</f>
        <v/>
      </c>
      <c r="T56"/>
      <c r="U56"/>
      <c r="V56" t="str">
        <f>IF(C56="","",Calculations!E366)</f>
        <v/>
      </c>
      <c r="W56"/>
      <c r="X56"/>
      <c r="Y56"/>
      <c r="Z56"/>
      <c r="AA56"/>
      <c r="AB56"/>
      <c r="AC56"/>
      <c r="AD56"/>
      <c r="AE56"/>
      <c r="AF56"/>
      <c r="AG56"/>
      <c r="AH56"/>
      <c r="AI56"/>
      <c r="AJ56"/>
      <c r="AK56"/>
      <c r="AL56"/>
      <c r="AM56"/>
      <c r="AN56"/>
      <c r="AO56"/>
      <c r="AP56"/>
      <c r="AQ56"/>
      <c r="AR56" t="str">
        <f>IF(C56="","",ROUND(Calculations!J366,6))</f>
        <v/>
      </c>
      <c r="AS56"/>
      <c r="AT56"/>
      <c r="AU56"/>
      <c r="AV56"/>
      <c r="AW56"/>
      <c r="AX56"/>
      <c r="AY56" t="str">
        <f>IF(C56="","",Calculator!F128)</f>
        <v/>
      </c>
      <c r="AZ56" t="str">
        <f>IF(C56="","",Calculator!G128)</f>
        <v/>
      </c>
      <c r="BA56" t="str">
        <f>IF(BB56="","",ROUND(IF(SUM($BB$2:$BB$58)&gt;(0.5*Summary!$C$10),(BB56/SUM($BB$2:$BB$58))*(0.5*Summary!$C$10),'Data Export'!BB56),2))</f>
        <v/>
      </c>
      <c r="BB56" t="str">
        <f>IF(C56="","",Calculations!N366)</f>
        <v/>
      </c>
      <c r="BC56" t="str">
        <f>IF(C56="","",Calculations!L366)</f>
        <v/>
      </c>
      <c r="BD56" t="str">
        <f>IF(C56="","",Calculations!M366)</f>
        <v/>
      </c>
      <c r="BE56" t="str">
        <f>IF(C56="","",Calculations!F366)</f>
        <v/>
      </c>
      <c r="BF56" t="str">
        <f>IF(C56="","",Calculations!G366)</f>
        <v/>
      </c>
      <c r="BG56" t="str">
        <f>IF(C56="","",Calculator!H128)</f>
        <v/>
      </c>
      <c r="BH56" t="str">
        <f>IF(C56="","",Calculator!I128)</f>
        <v/>
      </c>
      <c r="BI56"/>
      <c r="BJ56"/>
      <c r="BK56"/>
      <c r="BL56"/>
      <c r="BM56" t="str">
        <f t="shared" si="0"/>
        <v/>
      </c>
      <c r="BN56" t="str">
        <f t="shared" si="1"/>
        <v/>
      </c>
      <c r="BO56"/>
      <c r="BP56"/>
      <c r="BQ56"/>
      <c r="BR56"/>
      <c r="BS56"/>
      <c r="BU56" s="291"/>
    </row>
    <row r="57" spans="1:73" s="54" customFormat="1" ht="14.25" customHeight="1">
      <c r="A57" s="362"/>
      <c r="B57">
        <v>56</v>
      </c>
      <c r="C57" t="str">
        <f>IF(Calculator!G129="","",Calculator!$B$123)</f>
        <v/>
      </c>
      <c r="D57" t="str">
        <f>IF(C57="","",ROUND(Calculator!D129,3))</f>
        <v/>
      </c>
      <c r="E57" t="str">
        <f>IF(C57="","",Calculations!$F$317)</f>
        <v/>
      </c>
      <c r="F57" t="str">
        <f>IF(C57="","",Calculator!E129)</f>
        <v/>
      </c>
      <c r="G57" t="str">
        <f>IF(C57="","",Calculations!$H$317)</f>
        <v/>
      </c>
      <c r="H57" t="str">
        <f>IF(C57="","",Calculations!$H$316)</f>
        <v/>
      </c>
      <c r="I57"/>
      <c r="J57"/>
      <c r="K57"/>
      <c r="L57" t="str">
        <f>IF(C57="","",Calculations!D367)</f>
        <v/>
      </c>
      <c r="M57"/>
      <c r="N57"/>
      <c r="O57"/>
      <c r="P57"/>
      <c r="Q57"/>
      <c r="R57"/>
      <c r="S57" t="str">
        <f>IF(C57="","",Calculator!L129)</f>
        <v/>
      </c>
      <c r="T57"/>
      <c r="U57"/>
      <c r="V57" t="str">
        <f>IF(C57="","",Calculations!E367)</f>
        <v/>
      </c>
      <c r="W57"/>
      <c r="X57"/>
      <c r="Y57"/>
      <c r="Z57"/>
      <c r="AA57"/>
      <c r="AB57"/>
      <c r="AC57"/>
      <c r="AD57"/>
      <c r="AE57"/>
      <c r="AF57"/>
      <c r="AG57"/>
      <c r="AH57"/>
      <c r="AI57"/>
      <c r="AJ57"/>
      <c r="AK57"/>
      <c r="AL57"/>
      <c r="AM57"/>
      <c r="AN57"/>
      <c r="AO57"/>
      <c r="AP57"/>
      <c r="AQ57"/>
      <c r="AR57" t="str">
        <f>IF(C57="","",ROUND(Calculations!J367,6))</f>
        <v/>
      </c>
      <c r="AS57"/>
      <c r="AT57"/>
      <c r="AU57"/>
      <c r="AV57"/>
      <c r="AW57"/>
      <c r="AX57"/>
      <c r="AY57" t="str">
        <f>IF(C57="","",Calculator!F129)</f>
        <v/>
      </c>
      <c r="AZ57" t="str">
        <f>IF(C57="","",Calculator!G129)</f>
        <v/>
      </c>
      <c r="BA57" t="str">
        <f>IF(BB57="","",ROUND(IF(SUM($BB$2:$BB$58)&gt;(0.5*Summary!$C$10),(BB57/SUM($BB$2:$BB$58))*(0.5*Summary!$C$10),'Data Export'!BB57),2))</f>
        <v/>
      </c>
      <c r="BB57" t="str">
        <f>IF(C57="","",Calculations!N367)</f>
        <v/>
      </c>
      <c r="BC57" t="str">
        <f>IF(C57="","",Calculations!L367)</f>
        <v/>
      </c>
      <c r="BD57" t="str">
        <f>IF(C57="","",Calculations!M367)</f>
        <v/>
      </c>
      <c r="BE57" t="str">
        <f>IF(C57="","",Calculations!F367)</f>
        <v/>
      </c>
      <c r="BF57" t="str">
        <f>IF(C57="","",Calculations!G367)</f>
        <v/>
      </c>
      <c r="BG57" t="str">
        <f>IF(C57="","",Calculator!H129)</f>
        <v/>
      </c>
      <c r="BH57" t="str">
        <f>IF(C57="","",Calculator!I129)</f>
        <v/>
      </c>
      <c r="BI57"/>
      <c r="BJ57"/>
      <c r="BK57"/>
      <c r="BL57"/>
      <c r="BM57" t="str">
        <f t="shared" si="0"/>
        <v/>
      </c>
      <c r="BN57" t="str">
        <f t="shared" si="1"/>
        <v/>
      </c>
      <c r="BO57"/>
      <c r="BP57"/>
      <c r="BQ57"/>
      <c r="BR57"/>
      <c r="BS57"/>
      <c r="BU57" s="291"/>
    </row>
    <row r="58" spans="1:73" s="54" customFormat="1" ht="14.25" customHeight="1" thickBot="1">
      <c r="A58" s="361"/>
      <c r="B58" s="142">
        <v>57</v>
      </c>
      <c r="C58" s="142" t="str">
        <f>IF(Calculator!G130="","",Calculator!$B$123)</f>
        <v/>
      </c>
      <c r="D58" s="142" t="str">
        <f>IF(C58="","",ROUND(Calculator!D130,3))</f>
        <v/>
      </c>
      <c r="E58" s="142" t="str">
        <f>IF(C58="","",Calculations!$F$317)</f>
        <v/>
      </c>
      <c r="F58" s="142" t="str">
        <f>IF(C58="","",Calculator!E130)</f>
        <v/>
      </c>
      <c r="G58" s="142" t="str">
        <f>IF(C58="","",Calculations!$H$317)</f>
        <v/>
      </c>
      <c r="H58" s="142" t="str">
        <f>IF(C58="","",Calculations!$H$316)</f>
        <v/>
      </c>
      <c r="I58" s="142"/>
      <c r="J58" s="142"/>
      <c r="K58" s="142"/>
      <c r="L58" s="142" t="str">
        <f>IF(C58="","",Calculations!D368)</f>
        <v/>
      </c>
      <c r="M58" s="142"/>
      <c r="N58" s="142"/>
      <c r="O58" s="142"/>
      <c r="P58" s="142"/>
      <c r="Q58" s="142"/>
      <c r="R58" s="142"/>
      <c r="S58" s="142" t="str">
        <f>IF(C58="","",Calculator!L130)</f>
        <v/>
      </c>
      <c r="T58" s="142"/>
      <c r="U58" s="142"/>
      <c r="V58" s="142" t="str">
        <f>IF(C58="","",Calculations!E368)</f>
        <v/>
      </c>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t="str">
        <f>IF(C58="","",ROUND(Calculations!J368,6))</f>
        <v/>
      </c>
      <c r="AS58" s="142"/>
      <c r="AT58" s="142"/>
      <c r="AU58" s="142"/>
      <c r="AV58" s="142"/>
      <c r="AW58" s="142"/>
      <c r="AX58" s="142"/>
      <c r="AY58" s="142" t="str">
        <f>IF(C58="","",Calculator!F130)</f>
        <v/>
      </c>
      <c r="AZ58" s="142" t="str">
        <f>IF(C58="","",Calculator!G130)</f>
        <v/>
      </c>
      <c r="BA58" s="142" t="str">
        <f>IF(BB58="","",ROUND(IF(SUM($BB$2:$BB$58)&gt;(0.5*Summary!$C$10),(BB58/SUM($BB$2:$BB$58))*(0.5*Summary!$C$10),'Data Export'!BB58),2))</f>
        <v/>
      </c>
      <c r="BB58" s="142" t="str">
        <f>IF(C58="","",Calculations!N368)</f>
        <v/>
      </c>
      <c r="BC58" s="142" t="str">
        <f>IF(C58="","",Calculations!L368)</f>
        <v/>
      </c>
      <c r="BD58" s="142" t="str">
        <f>IF(C58="","",Calculations!M368)</f>
        <v/>
      </c>
      <c r="BE58" s="142" t="str">
        <f>IF(C58="","",Calculations!F368)</f>
        <v/>
      </c>
      <c r="BF58" s="142" t="str">
        <f>IF(C58="","",Calculations!G368)</f>
        <v/>
      </c>
      <c r="BG58" s="142" t="str">
        <f>IF(C58="","",Calculator!H130)</f>
        <v/>
      </c>
      <c r="BH58" s="142" t="str">
        <f>IF(C58="","",Calculator!I130)</f>
        <v/>
      </c>
      <c r="BI58" s="142"/>
      <c r="BJ58" s="142"/>
      <c r="BK58" s="142"/>
      <c r="BL58" s="142"/>
      <c r="BM58" s="142" t="str">
        <f t="shared" si="0"/>
        <v/>
      </c>
      <c r="BN58" s="142" t="str">
        <f t="shared" si="1"/>
        <v/>
      </c>
      <c r="BO58" s="142"/>
      <c r="BP58" s="142"/>
      <c r="BQ58" s="142"/>
      <c r="BR58" s="142"/>
      <c r="BS58" s="142"/>
      <c r="BT58" s="87"/>
      <c r="BU58" s="293"/>
    </row>
  </sheetData>
  <mergeCells count="14">
    <mergeCell ref="A54:A58"/>
    <mergeCell ref="A28:A31"/>
    <mergeCell ref="A32:A35"/>
    <mergeCell ref="A36:A37"/>
    <mergeCell ref="A38:A42"/>
    <mergeCell ref="A43:A50"/>
    <mergeCell ref="A51:A53"/>
    <mergeCell ref="A26:A27"/>
    <mergeCell ref="A18:A19"/>
    <mergeCell ref="A2:A5"/>
    <mergeCell ref="A6:A9"/>
    <mergeCell ref="A10:A17"/>
    <mergeCell ref="A20:A21"/>
    <mergeCell ref="A22:A25"/>
  </mergeCells>
  <conditionalFormatting sqref="G1">
    <cfRule type="duplicateValues" dxfId="37" priority="39"/>
  </conditionalFormatting>
  <conditionalFormatting sqref="K1">
    <cfRule type="duplicateValues" dxfId="36" priority="40"/>
  </conditionalFormatting>
  <conditionalFormatting sqref="L1">
    <cfRule type="duplicateValues" dxfId="35" priority="41"/>
  </conditionalFormatting>
  <conditionalFormatting sqref="M1">
    <cfRule type="duplicateValues" dxfId="34" priority="42"/>
  </conditionalFormatting>
  <conditionalFormatting sqref="N1">
    <cfRule type="duplicateValues" dxfId="33" priority="43"/>
  </conditionalFormatting>
  <conditionalFormatting sqref="P1">
    <cfRule type="duplicateValues" dxfId="32" priority="44"/>
  </conditionalFormatting>
  <conditionalFormatting sqref="R1">
    <cfRule type="duplicateValues" dxfId="31" priority="45"/>
  </conditionalFormatting>
  <conditionalFormatting sqref="T1">
    <cfRule type="duplicateValues" dxfId="30" priority="46"/>
  </conditionalFormatting>
  <conditionalFormatting sqref="V1">
    <cfRule type="duplicateValues" dxfId="29" priority="47"/>
  </conditionalFormatting>
  <conditionalFormatting sqref="W1">
    <cfRule type="duplicateValues" dxfId="28" priority="48"/>
  </conditionalFormatting>
  <conditionalFormatting sqref="Y1">
    <cfRule type="duplicateValues" dxfId="27" priority="49"/>
  </conditionalFormatting>
  <conditionalFormatting sqref="Z1">
    <cfRule type="duplicateValues" dxfId="26" priority="50"/>
  </conditionalFormatting>
  <conditionalFormatting sqref="AA1">
    <cfRule type="duplicateValues" dxfId="25" priority="52"/>
  </conditionalFormatting>
  <conditionalFormatting sqref="AB1">
    <cfRule type="duplicateValues" dxfId="24" priority="54"/>
  </conditionalFormatting>
  <conditionalFormatting sqref="AC1">
    <cfRule type="duplicateValues" dxfId="23" priority="55"/>
  </conditionalFormatting>
  <conditionalFormatting sqref="AD1">
    <cfRule type="duplicateValues" dxfId="22" priority="56"/>
  </conditionalFormatting>
  <conditionalFormatting sqref="AE1">
    <cfRule type="duplicateValues" dxfId="21" priority="57"/>
  </conditionalFormatting>
  <conditionalFormatting sqref="AF1">
    <cfRule type="duplicateValues" dxfId="20" priority="58"/>
  </conditionalFormatting>
  <conditionalFormatting sqref="AG1">
    <cfRule type="duplicateValues" dxfId="19" priority="59"/>
  </conditionalFormatting>
  <conditionalFormatting sqref="AH1">
    <cfRule type="duplicateValues" dxfId="18" priority="60"/>
  </conditionalFormatting>
  <conditionalFormatting sqref="AI1">
    <cfRule type="duplicateValues" dxfId="17" priority="61"/>
  </conditionalFormatting>
  <conditionalFormatting sqref="AJ1">
    <cfRule type="duplicateValues" dxfId="16" priority="62"/>
  </conditionalFormatting>
  <conditionalFormatting sqref="AK1">
    <cfRule type="duplicateValues" dxfId="15" priority="63"/>
  </conditionalFormatting>
  <conditionalFormatting sqref="AL1">
    <cfRule type="duplicateValues" dxfId="14" priority="64"/>
  </conditionalFormatting>
  <conditionalFormatting sqref="AM1">
    <cfRule type="duplicateValues" dxfId="13" priority="65"/>
  </conditionalFormatting>
  <conditionalFormatting sqref="AN1">
    <cfRule type="duplicateValues" dxfId="12" priority="66"/>
  </conditionalFormatting>
  <conditionalFormatting sqref="AO1">
    <cfRule type="duplicateValues" dxfId="11" priority="67"/>
  </conditionalFormatting>
  <conditionalFormatting sqref="AP1">
    <cfRule type="duplicateValues" dxfId="10" priority="68"/>
  </conditionalFormatting>
  <conditionalFormatting sqref="AQ1">
    <cfRule type="duplicateValues" dxfId="9" priority="69"/>
  </conditionalFormatting>
  <conditionalFormatting sqref="AR1">
    <cfRule type="duplicateValues" dxfId="8" priority="70"/>
  </conditionalFormatting>
  <conditionalFormatting sqref="AS1">
    <cfRule type="duplicateValues" dxfId="7" priority="71"/>
  </conditionalFormatting>
  <conditionalFormatting sqref="AT1">
    <cfRule type="duplicateValues" dxfId="6" priority="72"/>
  </conditionalFormatting>
  <conditionalFormatting sqref="AU1">
    <cfRule type="duplicateValues" dxfId="5" priority="73"/>
  </conditionalFormatting>
  <conditionalFormatting sqref="AW1">
    <cfRule type="duplicateValues" dxfId="4" priority="74"/>
  </conditionalFormatting>
  <conditionalFormatting sqref="AX1">
    <cfRule type="duplicateValues" dxfId="3" priority="75"/>
  </conditionalFormatting>
  <conditionalFormatting sqref="BI1">
    <cfRule type="duplicateValues" dxfId="2" priority="51"/>
  </conditionalFormatting>
  <conditionalFormatting sqref="BR1">
    <cfRule type="duplicateValues" dxfId="1" priority="53"/>
  </conditionalFormatting>
  <conditionalFormatting sqref="BS1:BT1">
    <cfRule type="duplicateValues" dxfId="0" priority="76"/>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tint="-0.14999847407452621"/>
  </sheetPr>
  <dimension ref="B1:CN369"/>
  <sheetViews>
    <sheetView zoomScale="70" zoomScaleNormal="70" workbookViewId="0">
      <selection activeCell="L4" sqref="L4"/>
    </sheetView>
  </sheetViews>
  <sheetFormatPr defaultColWidth="8.75" defaultRowHeight="14.25"/>
  <cols>
    <col min="1" max="1" width="3.625" style="6" customWidth="1"/>
    <col min="2" max="2" width="46.75" style="1" customWidth="1"/>
    <col min="3" max="3" width="22.125" style="1" customWidth="1"/>
    <col min="4" max="4" width="20.375" style="1" customWidth="1"/>
    <col min="5" max="5" width="23.875" style="1" customWidth="1"/>
    <col min="6" max="6" width="18.875" style="1" customWidth="1"/>
    <col min="7" max="7" width="15.5" style="1" customWidth="1"/>
    <col min="8" max="8" width="16.25" style="1" customWidth="1"/>
    <col min="9" max="9" width="14.5" style="1" customWidth="1"/>
    <col min="10" max="10" width="14.125" style="1" customWidth="1"/>
    <col min="11" max="11" width="17.75" style="1" customWidth="1"/>
    <col min="12" max="12" width="13.75" style="1" customWidth="1"/>
    <col min="13" max="13" width="15.125" style="1" customWidth="1"/>
    <col min="14" max="14" width="12" style="1" customWidth="1"/>
    <col min="15" max="15" width="15.75" style="1" customWidth="1"/>
    <col min="16" max="16" width="15.125" style="1" customWidth="1"/>
    <col min="17" max="17" width="12.375" style="1" customWidth="1"/>
    <col min="18" max="18" width="9.875" style="1" bestFit="1" customWidth="1"/>
    <col min="19" max="19" width="11.625" style="1" customWidth="1"/>
    <col min="20" max="20" width="11.25" style="1" customWidth="1"/>
    <col min="21" max="21" width="10.75" style="1" customWidth="1"/>
    <col min="22" max="22" width="17.125" style="1" bestFit="1" customWidth="1"/>
    <col min="23" max="23" width="14.25" style="1" customWidth="1"/>
    <col min="24" max="24" width="11.75" style="6" customWidth="1"/>
    <col min="25" max="25" width="17.25" style="6" customWidth="1"/>
    <col min="26" max="26" width="12.5" style="6" customWidth="1"/>
    <col min="27" max="27" width="13.75" style="6" customWidth="1"/>
    <col min="28" max="28" width="14.5" style="6" customWidth="1"/>
    <col min="29" max="16384" width="8.75" style="6"/>
  </cols>
  <sheetData>
    <row r="1" spans="2:28" ht="18.600000000000001" customHeight="1"/>
    <row r="2" spans="2:28" s="33" customFormat="1" ht="18.600000000000001" customHeight="1" thickBot="1">
      <c r="B2" s="375" t="s">
        <v>93</v>
      </c>
      <c r="C2" s="375"/>
      <c r="D2" s="375"/>
      <c r="E2" s="375"/>
      <c r="F2" s="375"/>
      <c r="G2" s="375"/>
      <c r="H2" s="375"/>
      <c r="I2" s="375"/>
      <c r="J2" s="375"/>
      <c r="K2" s="16"/>
      <c r="L2" s="16"/>
      <c r="M2" s="16"/>
      <c r="N2" s="16"/>
      <c r="O2" s="16"/>
      <c r="P2" s="16"/>
      <c r="Q2" s="16"/>
      <c r="R2" s="16"/>
      <c r="S2" s="16"/>
      <c r="T2" s="16"/>
      <c r="U2" s="16"/>
      <c r="V2" s="16"/>
      <c r="W2" s="16"/>
    </row>
    <row r="3" spans="2:28" ht="18">
      <c r="B3" s="7" t="s">
        <v>218</v>
      </c>
      <c r="E3" s="7" t="s">
        <v>219</v>
      </c>
      <c r="I3" s="7" t="s">
        <v>88</v>
      </c>
      <c r="S3" s="6"/>
      <c r="T3" s="6"/>
      <c r="U3" s="6"/>
      <c r="V3" s="6"/>
      <c r="W3" s="6"/>
    </row>
    <row r="4" spans="2:28" ht="15">
      <c r="B4" s="32" t="s">
        <v>37</v>
      </c>
      <c r="C4" s="32" t="s">
        <v>75</v>
      </c>
      <c r="D4" s="117" t="s">
        <v>157</v>
      </c>
      <c r="E4" s="14" t="s">
        <v>220</v>
      </c>
      <c r="F4" s="14">
        <v>0.13</v>
      </c>
      <c r="G4" s="14" t="s">
        <v>221</v>
      </c>
      <c r="I4" s="137">
        <v>40</v>
      </c>
      <c r="J4" s="14" t="s">
        <v>222</v>
      </c>
      <c r="S4" s="6"/>
      <c r="U4" s="6"/>
      <c r="V4" s="6"/>
      <c r="W4" s="6"/>
    </row>
    <row r="5" spans="2:28">
      <c r="B5" s="32" t="s">
        <v>223</v>
      </c>
      <c r="C5" s="32" t="s">
        <v>224</v>
      </c>
      <c r="D5" s="40" t="s">
        <v>225</v>
      </c>
      <c r="E5" s="14" t="s">
        <v>226</v>
      </c>
      <c r="F5" s="14">
        <v>0.90700000000000003</v>
      </c>
      <c r="G5" s="14" t="s">
        <v>221</v>
      </c>
      <c r="S5" s="6"/>
      <c r="U5" s="6"/>
      <c r="V5" s="6"/>
      <c r="W5" s="6"/>
    </row>
    <row r="6" spans="2:28">
      <c r="B6" s="32" t="s">
        <v>227</v>
      </c>
      <c r="C6" s="32" t="s">
        <v>228</v>
      </c>
      <c r="E6" s="14" t="s">
        <v>229</v>
      </c>
      <c r="F6" s="14">
        <v>8760</v>
      </c>
      <c r="G6" s="14" t="s">
        <v>221</v>
      </c>
      <c r="S6" s="6"/>
      <c r="U6" s="6"/>
      <c r="V6" s="6"/>
      <c r="W6" s="6"/>
    </row>
    <row r="7" spans="2:28" ht="14.25" customHeight="1">
      <c r="L7" s="7"/>
      <c r="M7" s="7"/>
    </row>
    <row r="8" spans="2:28" ht="18">
      <c r="B8" s="7" t="s">
        <v>230</v>
      </c>
      <c r="F8" s="6"/>
      <c r="G8" s="6"/>
      <c r="H8" s="6"/>
      <c r="L8" s="7"/>
      <c r="M8" s="7"/>
      <c r="Q8" s="6"/>
      <c r="R8" s="6"/>
      <c r="S8" s="6"/>
      <c r="T8" s="6"/>
      <c r="U8" s="6"/>
      <c r="V8" s="6"/>
      <c r="W8" s="6"/>
    </row>
    <row r="9" spans="2:28" s="8" customFormat="1" ht="34.15" customHeight="1">
      <c r="B9" s="18" t="s">
        <v>231</v>
      </c>
      <c r="C9" s="18" t="s">
        <v>37</v>
      </c>
      <c r="D9" s="18" t="s">
        <v>75</v>
      </c>
      <c r="E9" s="19" t="str">
        <f>B4</f>
        <v>Control Type</v>
      </c>
      <c r="F9" s="19" t="s">
        <v>232</v>
      </c>
      <c r="G9" s="19" t="s">
        <v>233</v>
      </c>
      <c r="I9" s="1"/>
      <c r="J9" s="1"/>
      <c r="K9" s="1"/>
      <c r="L9" s="7"/>
      <c r="M9" s="7"/>
      <c r="N9" s="6"/>
      <c r="O9" s="6"/>
      <c r="P9" s="6"/>
    </row>
    <row r="10" spans="2:28" ht="14.25" customHeight="1">
      <c r="B10" s="14" t="str">
        <f>CONCATENATE(C10,D10)</f>
        <v>On/Off ControlsRefrigerator</v>
      </c>
      <c r="C10" s="32" t="s">
        <v>223</v>
      </c>
      <c r="D10" s="17" t="s">
        <v>224</v>
      </c>
      <c r="E10" s="31">
        <v>0.58899999999999997</v>
      </c>
      <c r="F10" s="31">
        <v>0.25</v>
      </c>
      <c r="G10" s="17">
        <v>1.25</v>
      </c>
      <c r="H10" s="6"/>
      <c r="L10" s="7"/>
      <c r="M10" s="7"/>
      <c r="N10" s="6"/>
      <c r="O10" s="6"/>
      <c r="P10" s="6"/>
      <c r="Q10" s="6"/>
      <c r="R10" s="6"/>
      <c r="S10" s="6"/>
      <c r="T10" s="6"/>
      <c r="U10" s="6"/>
      <c r="V10" s="6"/>
      <c r="W10" s="6"/>
    </row>
    <row r="11" spans="2:28" ht="14.25" customHeight="1">
      <c r="B11" s="14" t="str">
        <f>CONCATENATE(C11,D11)</f>
        <v>On/Off ControlsFreezer</v>
      </c>
      <c r="C11" s="32" t="s">
        <v>223</v>
      </c>
      <c r="D11" s="17" t="s">
        <v>228</v>
      </c>
      <c r="E11" s="31">
        <v>0.58899999999999997</v>
      </c>
      <c r="F11" s="31">
        <v>0.21</v>
      </c>
      <c r="G11" s="17">
        <v>1.5</v>
      </c>
      <c r="H11" s="6"/>
      <c r="L11" s="7"/>
      <c r="M11" s="7"/>
      <c r="N11" s="6"/>
      <c r="O11" s="6"/>
      <c r="P11" s="6"/>
      <c r="Q11" s="6"/>
      <c r="R11" s="6"/>
      <c r="S11" s="6"/>
      <c r="T11" s="6"/>
      <c r="U11" s="6"/>
      <c r="V11" s="6"/>
      <c r="W11" s="6"/>
    </row>
    <row r="12" spans="2:28" ht="14.25" customHeight="1">
      <c r="B12" s="14" t="str">
        <f>CONCATENATE(C12,D12)</f>
        <v>Micropulse ControlsRefrigerator</v>
      </c>
      <c r="C12" s="32" t="s">
        <v>227</v>
      </c>
      <c r="D12" s="17" t="s">
        <v>224</v>
      </c>
      <c r="E12" s="31">
        <v>0.42799999999999999</v>
      </c>
      <c r="F12" s="31">
        <v>0.36</v>
      </c>
      <c r="G12" s="17">
        <v>1.25</v>
      </c>
      <c r="H12" s="6"/>
      <c r="L12" s="7"/>
      <c r="M12" s="7"/>
      <c r="N12" s="6"/>
      <c r="O12" s="6"/>
      <c r="P12" s="6"/>
      <c r="Q12" s="6"/>
      <c r="R12" s="6"/>
      <c r="S12" s="6"/>
      <c r="T12" s="6"/>
      <c r="U12" s="6"/>
      <c r="V12" s="6"/>
      <c r="W12" s="6"/>
    </row>
    <row r="13" spans="2:28" ht="14.25" customHeight="1">
      <c r="B13" s="14" t="str">
        <f>CONCATENATE(C13,D13)</f>
        <v>Micropulse ControlsFreezer</v>
      </c>
      <c r="C13" s="32" t="s">
        <v>227</v>
      </c>
      <c r="D13" s="17" t="s">
        <v>228</v>
      </c>
      <c r="E13" s="31">
        <v>0.42799999999999999</v>
      </c>
      <c r="F13" s="31">
        <v>0.3</v>
      </c>
      <c r="G13" s="17">
        <v>1.5</v>
      </c>
      <c r="H13" s="6"/>
      <c r="L13" s="7"/>
      <c r="M13" s="7"/>
      <c r="N13" s="6"/>
      <c r="O13" s="6"/>
      <c r="P13" s="6"/>
      <c r="Q13" s="6"/>
      <c r="R13" s="6"/>
      <c r="S13" s="6"/>
      <c r="T13" s="6"/>
      <c r="U13" s="6"/>
      <c r="V13" s="6"/>
      <c r="W13" s="6"/>
    </row>
    <row r="14" spans="2:28" ht="14.25" customHeight="1">
      <c r="L14" s="7"/>
      <c r="M14" s="7"/>
    </row>
    <row r="15" spans="2:28" ht="18">
      <c r="B15" s="7" t="s">
        <v>12</v>
      </c>
      <c r="L15" s="7"/>
      <c r="M15" s="7"/>
    </row>
    <row r="16" spans="2:28" s="8" customFormat="1" ht="36" customHeight="1">
      <c r="B16" s="18" t="str">
        <f>Calculator!G7</f>
        <v># of Doors</v>
      </c>
      <c r="C16" s="18" t="str">
        <f>Calculator!H7</f>
        <v>Control Type</v>
      </c>
      <c r="D16" s="18" t="str">
        <f>Calculator!I7</f>
        <v>Temperature</v>
      </c>
      <c r="E16" s="18" t="s">
        <v>231</v>
      </c>
      <c r="F16" s="19" t="s">
        <v>234</v>
      </c>
      <c r="G16" s="19" t="s">
        <v>232</v>
      </c>
      <c r="H16" s="19" t="s">
        <v>233</v>
      </c>
      <c r="I16" s="19" t="s">
        <v>235</v>
      </c>
      <c r="J16" s="19" t="s">
        <v>236</v>
      </c>
      <c r="K16" s="18" t="s">
        <v>237</v>
      </c>
      <c r="L16" s="18" t="s">
        <v>82</v>
      </c>
      <c r="M16" s="18" t="s">
        <v>118</v>
      </c>
      <c r="O16" s="7"/>
      <c r="P16" s="1"/>
      <c r="Q16" s="1"/>
      <c r="R16" s="1"/>
      <c r="S16" s="1"/>
      <c r="T16" s="1"/>
      <c r="U16" s="1"/>
      <c r="V16" s="1"/>
      <c r="W16" s="6"/>
      <c r="X16" s="6"/>
      <c r="Y16" s="6"/>
      <c r="Z16" s="6"/>
      <c r="AA16" s="6"/>
      <c r="AB16" s="6"/>
    </row>
    <row r="17" spans="2:24" ht="14.25" customHeight="1">
      <c r="B17" s="14">
        <f>Calculator!G8</f>
        <v>0</v>
      </c>
      <c r="C17" s="17">
        <f>Calculator!H8</f>
        <v>0</v>
      </c>
      <c r="D17" s="17">
        <f>Calculator!I8</f>
        <v>0</v>
      </c>
      <c r="E17" s="17" t="str">
        <f>CONCATENATE(C17,D17)</f>
        <v>00</v>
      </c>
      <c r="F17" s="17" t="e">
        <f>VLOOKUP(E17,$B$10:$G$13,4,FALSE)</f>
        <v>#N/A</v>
      </c>
      <c r="G17" s="17" t="e">
        <f>VLOOKUP(E17,$B$10:$G$13,5,FALSE)</f>
        <v>#N/A</v>
      </c>
      <c r="H17" s="17" t="e">
        <f>VLOOKUP(E17,$B$10:$G$13,6,FALSE)</f>
        <v>#N/A</v>
      </c>
      <c r="I17" s="17" t="e">
        <f>L17*ETDF!$G$4</f>
        <v>#N/A</v>
      </c>
      <c r="J17" s="17" t="e">
        <f>L17*ETDF!$H$4</f>
        <v>#N/A</v>
      </c>
      <c r="K17" s="17" t="e">
        <f>I17</f>
        <v>#N/A</v>
      </c>
      <c r="L17" s="17" t="e">
        <f>$F$4*($F$5-F17)*B17*$F$6*H17</f>
        <v>#N/A</v>
      </c>
      <c r="M17" s="124">
        <f>IFERROR(ROUND(B17*$I$4,2),"")</f>
        <v>0</v>
      </c>
      <c r="N17" s="7"/>
      <c r="O17" s="7"/>
      <c r="W17" s="6"/>
    </row>
    <row r="18" spans="2:24" ht="14.25" customHeight="1">
      <c r="B18" s="14">
        <f>Calculator!G9</f>
        <v>0</v>
      </c>
      <c r="C18" s="17">
        <f>Calculator!H9</f>
        <v>0</v>
      </c>
      <c r="D18" s="17">
        <f>Calculator!I9</f>
        <v>0</v>
      </c>
      <c r="E18" s="17" t="str">
        <f>CONCATENATE(C18,D18)</f>
        <v>00</v>
      </c>
      <c r="F18" s="17" t="e">
        <f>VLOOKUP(E18,$B$10:$G$13,4,FALSE)</f>
        <v>#N/A</v>
      </c>
      <c r="G18" s="17" t="e">
        <f>VLOOKUP(E18,$B$10:$G$13,5,FALSE)</f>
        <v>#N/A</v>
      </c>
      <c r="H18" s="17" t="e">
        <f>VLOOKUP(E18,$B$10:$G$13,6,FALSE)</f>
        <v>#N/A</v>
      </c>
      <c r="I18" s="17" t="e">
        <f>L18*ETDF!$G$4</f>
        <v>#N/A</v>
      </c>
      <c r="J18" s="17" t="e">
        <f>L18*ETDF!$H$4</f>
        <v>#N/A</v>
      </c>
      <c r="K18" s="17" t="e">
        <f>I18</f>
        <v>#N/A</v>
      </c>
      <c r="L18" s="17" t="e">
        <f>$F$4*($F$5-F18)*B18*$F$6*H18</f>
        <v>#N/A</v>
      </c>
      <c r="M18" s="124">
        <f>IFERROR(ROUND(B18*$I$4,2),"")</f>
        <v>0</v>
      </c>
      <c r="N18" s="7"/>
      <c r="O18" s="7"/>
      <c r="W18" s="6"/>
    </row>
    <row r="19" spans="2:24" ht="14.25" customHeight="1">
      <c r="B19" s="14">
        <f>Calculator!G10</f>
        <v>0</v>
      </c>
      <c r="C19" s="17">
        <f>Calculator!H10</f>
        <v>0</v>
      </c>
      <c r="D19" s="17">
        <f>Calculator!I10</f>
        <v>0</v>
      </c>
      <c r="E19" s="17" t="str">
        <f>CONCATENATE(C19,D19)</f>
        <v>00</v>
      </c>
      <c r="F19" s="17" t="e">
        <f>VLOOKUP(E19,$B$10:$G$13,4,FALSE)</f>
        <v>#N/A</v>
      </c>
      <c r="G19" s="17" t="e">
        <f>VLOOKUP(E19,$B$10:$G$13,5,FALSE)</f>
        <v>#N/A</v>
      </c>
      <c r="H19" s="17" t="e">
        <f>VLOOKUP(E19,$B$10:$G$13,6,FALSE)</f>
        <v>#N/A</v>
      </c>
      <c r="I19" s="17" t="e">
        <f>L19*ETDF!$G$4</f>
        <v>#N/A</v>
      </c>
      <c r="J19" s="17" t="e">
        <f>L19*ETDF!$H$4</f>
        <v>#N/A</v>
      </c>
      <c r="K19" s="17" t="e">
        <f>I19</f>
        <v>#N/A</v>
      </c>
      <c r="L19" s="17" t="e">
        <f>$F$4*($F$5-F19)*B19*$F$6*H19</f>
        <v>#N/A</v>
      </c>
      <c r="M19" s="124">
        <f>IFERROR(ROUND(B19*$I$4,2),"")</f>
        <v>0</v>
      </c>
      <c r="N19" s="7"/>
      <c r="O19" s="7"/>
      <c r="W19" s="6"/>
    </row>
    <row r="20" spans="2:24" ht="14.25" customHeight="1">
      <c r="B20" s="14">
        <f>Calculator!G11</f>
        <v>0</v>
      </c>
      <c r="C20" s="17">
        <f>Calculator!H11</f>
        <v>0</v>
      </c>
      <c r="D20" s="17">
        <f>Calculator!I11</f>
        <v>0</v>
      </c>
      <c r="E20" s="17" t="str">
        <f>CONCATENATE(C20,D20)</f>
        <v>00</v>
      </c>
      <c r="F20" s="17" t="e">
        <f>VLOOKUP(E20,$B$10:$G$13,4,FALSE)</f>
        <v>#N/A</v>
      </c>
      <c r="G20" s="17" t="e">
        <f>VLOOKUP(E20,$B$10:$G$13,5,FALSE)</f>
        <v>#N/A</v>
      </c>
      <c r="H20" s="17" t="e">
        <f>VLOOKUP(E20,$B$10:$G$13,6,FALSE)</f>
        <v>#N/A</v>
      </c>
      <c r="I20" s="17" t="e">
        <f>L20*ETDF!$G$4</f>
        <v>#N/A</v>
      </c>
      <c r="J20" s="17" t="e">
        <f>L20*ETDF!$H$4</f>
        <v>#N/A</v>
      </c>
      <c r="K20" s="17" t="e">
        <f>I20</f>
        <v>#N/A</v>
      </c>
      <c r="L20" s="17" t="e">
        <f>$F$4*($F$5-F20)*B20*$F$6*H20</f>
        <v>#N/A</v>
      </c>
      <c r="M20" s="124">
        <f>IFERROR(ROUND(B20*$I$4,2),"")</f>
        <v>0</v>
      </c>
      <c r="N20" s="7"/>
      <c r="O20" s="7"/>
      <c r="W20" s="6"/>
    </row>
    <row r="22" spans="2:24" s="33" customFormat="1" ht="18.600000000000001" customHeight="1" thickBot="1">
      <c r="B22" s="375" t="s">
        <v>238</v>
      </c>
      <c r="C22" s="375"/>
      <c r="D22" s="375"/>
      <c r="E22" s="375"/>
      <c r="F22" s="375"/>
      <c r="G22" s="375"/>
      <c r="H22" s="375"/>
      <c r="I22" s="375"/>
      <c r="J22" s="375"/>
      <c r="K22" s="16"/>
      <c r="L22" s="16"/>
      <c r="M22" s="16"/>
      <c r="N22" s="16"/>
      <c r="O22" s="16"/>
      <c r="P22" s="16"/>
      <c r="Q22" s="16"/>
      <c r="R22" s="16"/>
      <c r="S22" s="16"/>
      <c r="T22" s="16"/>
      <c r="U22" s="16"/>
      <c r="V22" s="16"/>
      <c r="W22" s="16"/>
    </row>
    <row r="23" spans="2:24" ht="18">
      <c r="B23" s="7" t="s">
        <v>219</v>
      </c>
      <c r="F23" s="7" t="s">
        <v>88</v>
      </c>
      <c r="P23" s="6"/>
      <c r="Q23" s="6"/>
      <c r="R23" s="6"/>
      <c r="S23" s="6"/>
      <c r="T23" s="6"/>
      <c r="U23" s="6"/>
      <c r="V23" s="6"/>
      <c r="W23" s="6"/>
    </row>
    <row r="24" spans="2:24" ht="15">
      <c r="B24" s="14" t="s">
        <v>239</v>
      </c>
      <c r="C24" s="14">
        <v>2.2549999999999999</v>
      </c>
      <c r="D24" s="14" t="s">
        <v>240</v>
      </c>
      <c r="E24" s="117" t="s">
        <v>157</v>
      </c>
      <c r="F24" s="137">
        <v>8</v>
      </c>
      <c r="G24" s="14" t="s">
        <v>241</v>
      </c>
      <c r="H24" s="1" t="s">
        <v>242</v>
      </c>
      <c r="P24" s="6"/>
      <c r="R24" s="6"/>
      <c r="S24" s="6"/>
      <c r="T24" s="6"/>
      <c r="U24" s="6"/>
      <c r="V24" s="6"/>
      <c r="W24" s="6"/>
    </row>
    <row r="25" spans="2:24">
      <c r="E25" s="40" t="s">
        <v>225</v>
      </c>
      <c r="K25" s="58"/>
    </row>
    <row r="26" spans="2:24" ht="18">
      <c r="B26" s="7" t="s">
        <v>12</v>
      </c>
      <c r="K26" s="58"/>
    </row>
    <row r="27" spans="2:24" s="8" customFormat="1" ht="36" customHeight="1">
      <c r="B27" s="19" t="str">
        <f>Calculator!G16</f>
        <v>QTY</v>
      </c>
      <c r="C27" s="19" t="str">
        <f>Calculator!H16</f>
        <v>Length per Case (ft)</v>
      </c>
      <c r="D27" s="19" t="s">
        <v>243</v>
      </c>
      <c r="E27" s="18" t="s">
        <v>237</v>
      </c>
      <c r="F27" s="18" t="s">
        <v>82</v>
      </c>
      <c r="G27" s="18" t="s">
        <v>118</v>
      </c>
      <c r="H27" s="1"/>
      <c r="I27" s="1"/>
      <c r="J27" s="1"/>
      <c r="K27" s="1"/>
      <c r="L27" s="1"/>
      <c r="M27" s="1"/>
      <c r="N27" s="1"/>
      <c r="O27" s="1"/>
      <c r="P27" s="1"/>
      <c r="Q27" s="1"/>
      <c r="R27" s="1"/>
      <c r="S27" s="6"/>
      <c r="T27" s="6"/>
      <c r="U27" s="6"/>
      <c r="V27" s="6"/>
      <c r="W27" s="6"/>
      <c r="X27" s="6"/>
    </row>
    <row r="28" spans="2:24">
      <c r="B28" s="17">
        <f>Calculator!G17</f>
        <v>0</v>
      </c>
      <c r="C28" s="17">
        <f>Calculator!H17</f>
        <v>0</v>
      </c>
      <c r="D28" s="17">
        <f>B28*C28</f>
        <v>0</v>
      </c>
      <c r="E28" s="17">
        <v>0</v>
      </c>
      <c r="F28" s="17">
        <f>D28*400.5/$C$24</f>
        <v>0</v>
      </c>
      <c r="G28" s="124">
        <f>IFERROR(MIN(ROUND(C28*$F$24*B28,2),500*B28),"")</f>
        <v>0</v>
      </c>
      <c r="S28" s="6"/>
      <c r="T28" s="6"/>
      <c r="U28" s="6"/>
      <c r="V28" s="6"/>
      <c r="W28" s="6"/>
    </row>
    <row r="29" spans="2:24">
      <c r="B29" s="17">
        <f>Calculator!G18</f>
        <v>0</v>
      </c>
      <c r="C29" s="17">
        <f>Calculator!H18</f>
        <v>0</v>
      </c>
      <c r="D29" s="17">
        <f>B29*C29</f>
        <v>0</v>
      </c>
      <c r="E29" s="17">
        <v>0</v>
      </c>
      <c r="F29" s="17">
        <f>D29*400.5/$C$24</f>
        <v>0</v>
      </c>
      <c r="G29" s="124">
        <f>IFERROR(MIN(ROUND(C29*$F$24*B29,2),500*B29),"")</f>
        <v>0</v>
      </c>
      <c r="S29" s="6"/>
      <c r="T29" s="6"/>
      <c r="U29" s="6"/>
      <c r="V29" s="6"/>
      <c r="W29" s="6"/>
    </row>
    <row r="30" spans="2:24">
      <c r="B30" s="17">
        <f>Calculator!G19</f>
        <v>0</v>
      </c>
      <c r="C30" s="17">
        <f>Calculator!H19</f>
        <v>0</v>
      </c>
      <c r="D30" s="17">
        <f>B30*C30</f>
        <v>0</v>
      </c>
      <c r="E30" s="17">
        <v>0</v>
      </c>
      <c r="F30" s="17">
        <f>D30*400.5/$C$24</f>
        <v>0</v>
      </c>
      <c r="G30" s="124">
        <f>IFERROR(MIN(ROUND(C30*$F$24*B30,2),500*B30),"")</f>
        <v>0</v>
      </c>
      <c r="S30" s="6"/>
      <c r="T30" s="6"/>
      <c r="U30" s="6"/>
      <c r="V30" s="6"/>
      <c r="W30" s="6"/>
    </row>
    <row r="31" spans="2:24">
      <c r="B31" s="17">
        <f>Calculator!G20</f>
        <v>0</v>
      </c>
      <c r="C31" s="17">
        <f>Calculator!H20</f>
        <v>0</v>
      </c>
      <c r="D31" s="17">
        <f>B31*C31</f>
        <v>0</v>
      </c>
      <c r="E31" s="17">
        <v>0</v>
      </c>
      <c r="F31" s="17">
        <f>D31*400.5/$C$24</f>
        <v>0</v>
      </c>
      <c r="G31" s="124">
        <f>IFERROR(MIN(ROUND(C31*$F$24*B31,2),500*B31),"")</f>
        <v>0</v>
      </c>
      <c r="S31" s="6"/>
      <c r="T31" s="6"/>
      <c r="U31" s="6"/>
      <c r="V31" s="6"/>
      <c r="W31" s="6"/>
    </row>
    <row r="33" spans="2:23" s="33" customFormat="1" ht="18.600000000000001" customHeight="1" thickBot="1">
      <c r="B33" s="375" t="s">
        <v>95</v>
      </c>
      <c r="C33" s="375"/>
      <c r="D33" s="375"/>
      <c r="E33" s="375"/>
      <c r="F33" s="375"/>
      <c r="G33" s="375"/>
      <c r="H33" s="375"/>
      <c r="I33" s="375"/>
      <c r="J33" s="375"/>
      <c r="K33" s="16"/>
      <c r="L33" s="16"/>
      <c r="M33" s="16"/>
      <c r="N33" s="16"/>
      <c r="O33" s="16"/>
      <c r="P33" s="16"/>
      <c r="Q33" s="16"/>
      <c r="R33" s="16"/>
      <c r="S33" s="16"/>
      <c r="T33" s="16"/>
      <c r="U33" s="16"/>
      <c r="V33" s="16"/>
      <c r="W33" s="16"/>
    </row>
    <row r="34" spans="2:23" ht="18">
      <c r="B34" s="7" t="s">
        <v>218</v>
      </c>
      <c r="F34" s="7" t="s">
        <v>88</v>
      </c>
      <c r="T34" s="6"/>
      <c r="U34" s="6"/>
      <c r="V34" s="6"/>
      <c r="W34" s="6"/>
    </row>
    <row r="35" spans="2:23" ht="15">
      <c r="B35" s="117" t="s">
        <v>115</v>
      </c>
      <c r="C35" s="117" t="s">
        <v>75</v>
      </c>
      <c r="D35" s="117" t="s">
        <v>157</v>
      </c>
      <c r="E35" s="117" t="s">
        <v>244</v>
      </c>
      <c r="F35" s="137">
        <v>3</v>
      </c>
      <c r="G35" s="14" t="s">
        <v>245</v>
      </c>
      <c r="H35" s="118"/>
      <c r="T35" s="6"/>
      <c r="V35" s="6"/>
      <c r="W35" s="6"/>
    </row>
    <row r="36" spans="2:23">
      <c r="B36" s="40" t="s">
        <v>246</v>
      </c>
      <c r="C36" s="40" t="s">
        <v>247</v>
      </c>
      <c r="D36" s="40" t="s">
        <v>225</v>
      </c>
      <c r="E36" s="40" t="s">
        <v>248</v>
      </c>
      <c r="F36" s="118"/>
      <c r="G36" s="119"/>
      <c r="H36" s="118"/>
      <c r="T36" s="6"/>
      <c r="V36" s="6"/>
      <c r="W36" s="6"/>
    </row>
    <row r="37" spans="2:23">
      <c r="B37" s="40" t="s">
        <v>249</v>
      </c>
      <c r="C37" s="40" t="s">
        <v>228</v>
      </c>
      <c r="D37" s="57"/>
      <c r="E37" s="40" t="s">
        <v>250</v>
      </c>
      <c r="F37" s="118"/>
      <c r="G37" s="119"/>
      <c r="H37" s="118"/>
      <c r="T37" s="6"/>
      <c r="V37" s="6"/>
      <c r="W37" s="6"/>
    </row>
    <row r="38" spans="2:23">
      <c r="B38" s="40" t="s">
        <v>251</v>
      </c>
      <c r="C38" s="40"/>
      <c r="D38" s="57"/>
      <c r="F38" s="118"/>
      <c r="G38" s="119"/>
      <c r="H38" s="118"/>
      <c r="T38" s="6"/>
      <c r="V38" s="6"/>
      <c r="W38" s="6"/>
    </row>
    <row r="39" spans="2:23">
      <c r="B39" s="40" t="s">
        <v>252</v>
      </c>
      <c r="C39" s="40"/>
      <c r="D39" s="57"/>
      <c r="F39" s="118"/>
      <c r="G39" s="118"/>
      <c r="H39" s="118"/>
      <c r="T39" s="6"/>
      <c r="V39" s="6"/>
      <c r="W39" s="6"/>
    </row>
    <row r="42" spans="2:23" ht="18">
      <c r="B42" s="7" t="s">
        <v>253</v>
      </c>
    </row>
    <row r="43" spans="2:23" ht="45">
      <c r="B43" s="18" t="s">
        <v>115</v>
      </c>
      <c r="C43" s="18" t="s">
        <v>254</v>
      </c>
      <c r="D43" s="18" t="s">
        <v>255</v>
      </c>
      <c r="E43" s="18" t="s">
        <v>256</v>
      </c>
      <c r="F43" s="18" t="s">
        <v>257</v>
      </c>
      <c r="G43" s="18" t="s">
        <v>258</v>
      </c>
    </row>
    <row r="44" spans="2:23">
      <c r="B44" s="14" t="s">
        <v>259</v>
      </c>
      <c r="C44" s="14">
        <v>21</v>
      </c>
      <c r="D44" s="14">
        <v>123</v>
      </c>
      <c r="E44" s="14">
        <v>1.6E-2</v>
      </c>
      <c r="F44" s="14">
        <f t="shared" ref="F44:F50" si="0">D44*C44</f>
        <v>2583</v>
      </c>
      <c r="G44" s="14">
        <f t="shared" ref="G44:G50" si="1">E44*C44</f>
        <v>0.33600000000000002</v>
      </c>
    </row>
    <row r="45" spans="2:23">
      <c r="B45" s="14" t="s">
        <v>260</v>
      </c>
      <c r="C45" s="14">
        <v>21</v>
      </c>
      <c r="D45" s="14">
        <v>535</v>
      </c>
      <c r="E45" s="14">
        <v>6.59E-2</v>
      </c>
      <c r="F45" s="14">
        <f t="shared" si="0"/>
        <v>11235</v>
      </c>
      <c r="G45" s="14">
        <f t="shared" si="1"/>
        <v>1.3838999999999999</v>
      </c>
    </row>
    <row r="46" spans="2:23">
      <c r="B46" s="14" t="s">
        <v>261</v>
      </c>
      <c r="C46" s="14">
        <v>21</v>
      </c>
      <c r="D46" s="14">
        <v>19</v>
      </c>
      <c r="E46" s="14">
        <v>2.5000000000000001E-3</v>
      </c>
      <c r="F46" s="14">
        <f t="shared" si="0"/>
        <v>399</v>
      </c>
      <c r="G46" s="14">
        <f t="shared" si="1"/>
        <v>5.2499999999999998E-2</v>
      </c>
    </row>
    <row r="47" spans="2:23">
      <c r="B47" s="14" t="s">
        <v>262</v>
      </c>
      <c r="C47" s="14">
        <v>21</v>
      </c>
      <c r="D47" s="14">
        <v>31</v>
      </c>
      <c r="E47" s="14">
        <v>3.8E-3</v>
      </c>
      <c r="F47" s="14">
        <f t="shared" si="0"/>
        <v>651</v>
      </c>
      <c r="G47" s="14">
        <f t="shared" si="1"/>
        <v>7.9799999999999996E-2</v>
      </c>
    </row>
    <row r="48" spans="2:23">
      <c r="B48" s="14" t="s">
        <v>263</v>
      </c>
      <c r="C48" s="14">
        <v>21</v>
      </c>
      <c r="D48" s="14">
        <v>24</v>
      </c>
      <c r="E48" s="14">
        <v>3.0999999999999999E-3</v>
      </c>
      <c r="F48" s="14">
        <f t="shared" si="0"/>
        <v>504</v>
      </c>
      <c r="G48" s="14">
        <f t="shared" si="1"/>
        <v>6.5099999999999991E-2</v>
      </c>
    </row>
    <row r="49" spans="2:27">
      <c r="B49" s="14" t="s">
        <v>264</v>
      </c>
      <c r="C49" s="14">
        <v>21</v>
      </c>
      <c r="D49" s="14">
        <v>129</v>
      </c>
      <c r="E49" s="14">
        <v>1.5800000000000002E-2</v>
      </c>
      <c r="F49" s="14">
        <f t="shared" si="0"/>
        <v>2709</v>
      </c>
      <c r="G49" s="14">
        <f t="shared" si="1"/>
        <v>0.33180000000000004</v>
      </c>
    </row>
    <row r="50" spans="2:27">
      <c r="B50" s="14" t="s">
        <v>265</v>
      </c>
      <c r="C50" s="14">
        <v>120</v>
      </c>
      <c r="D50" s="14">
        <v>410</v>
      </c>
      <c r="E50" s="14">
        <v>5.3199999999999997E-2</v>
      </c>
      <c r="F50" s="14">
        <f t="shared" si="0"/>
        <v>49200</v>
      </c>
      <c r="G50" s="14">
        <f t="shared" si="1"/>
        <v>6.3839999999999995</v>
      </c>
    </row>
    <row r="52" spans="2:27" ht="18">
      <c r="B52" s="7" t="s">
        <v>12</v>
      </c>
    </row>
    <row r="53" spans="2:27" s="8" customFormat="1" ht="36" customHeight="1">
      <c r="B53" s="18" t="s">
        <v>231</v>
      </c>
      <c r="C53" s="18" t="s">
        <v>65</v>
      </c>
      <c r="D53" s="18" t="s">
        <v>266</v>
      </c>
      <c r="E53" s="18" t="s">
        <v>267</v>
      </c>
      <c r="F53" s="18" t="s">
        <v>235</v>
      </c>
      <c r="G53" s="18" t="s">
        <v>236</v>
      </c>
      <c r="H53" s="18" t="s">
        <v>268</v>
      </c>
      <c r="I53" s="18" t="s">
        <v>269</v>
      </c>
      <c r="J53" s="18" t="s">
        <v>270</v>
      </c>
      <c r="K53" s="18" t="s">
        <v>118</v>
      </c>
      <c r="L53" s="1"/>
      <c r="M53" s="1"/>
      <c r="N53" s="1"/>
      <c r="O53" s="1"/>
      <c r="P53" s="1"/>
      <c r="Q53" s="1"/>
      <c r="R53" s="1"/>
      <c r="S53" s="1"/>
      <c r="T53" s="1"/>
      <c r="U53" s="1"/>
      <c r="V53" s="6"/>
      <c r="W53" s="6"/>
      <c r="X53" s="6"/>
      <c r="Y53" s="6"/>
      <c r="Z53" s="6"/>
      <c r="AA53" s="6"/>
    </row>
    <row r="54" spans="2:27">
      <c r="B54" s="14" t="str">
        <f>CONCATENATE(Calculator!H26,Calculator!I26)</f>
        <v/>
      </c>
      <c r="C54" s="17">
        <f>Calculator!G26</f>
        <v>0</v>
      </c>
      <c r="D54" s="120" t="e">
        <f t="shared" ref="D54:D61" si="2">INDEX($E$44:$E$50,MATCH(B54,$B$44:$B$50,0))</f>
        <v>#N/A</v>
      </c>
      <c r="E54" s="120" t="e">
        <f t="shared" ref="E54:E61" si="3">INDEX($F$44:$F$50,MATCH(B54,$B$44:$B$50,0))</f>
        <v>#N/A</v>
      </c>
      <c r="F54" s="120" t="e">
        <f>I54*ETDF!$G$4</f>
        <v>#N/A</v>
      </c>
      <c r="G54" s="120" t="e">
        <f>ETDF!$H$4*Calculations!I54</f>
        <v>#N/A</v>
      </c>
      <c r="H54" s="17" t="e">
        <f t="shared" ref="H54:H61" si="4">F54</f>
        <v>#N/A</v>
      </c>
      <c r="I54" s="17" t="e">
        <f t="shared" ref="I54:I61" si="5">C54*E54</f>
        <v>#N/A</v>
      </c>
      <c r="J54" s="17" t="str">
        <f t="shared" ref="J54:J61" si="6">IFERROR(C54*INDEX($C$44:$C$50,MATCH(B54,$B$44:$B$50,0)),"")</f>
        <v/>
      </c>
      <c r="K54" s="124" t="str">
        <f t="shared" ref="K54:K61" si="7">IFERROR(ROUND(J54*$F$35,2),"")</f>
        <v/>
      </c>
      <c r="V54" s="6"/>
      <c r="W54" s="6"/>
    </row>
    <row r="55" spans="2:27">
      <c r="B55" s="14" t="str">
        <f>CONCATENATE(Calculator!H27,Calculator!I27)</f>
        <v/>
      </c>
      <c r="C55" s="17">
        <f>Calculator!G27</f>
        <v>0</v>
      </c>
      <c r="D55" s="120" t="e">
        <f t="shared" si="2"/>
        <v>#N/A</v>
      </c>
      <c r="E55" s="120" t="e">
        <f t="shared" si="3"/>
        <v>#N/A</v>
      </c>
      <c r="F55" s="120" t="e">
        <f>I55*ETDF!$G$4</f>
        <v>#N/A</v>
      </c>
      <c r="G55" s="120" t="e">
        <f>ETDF!$H$4*Calculations!I55</f>
        <v>#N/A</v>
      </c>
      <c r="H55" s="17" t="e">
        <f t="shared" si="4"/>
        <v>#N/A</v>
      </c>
      <c r="I55" s="17" t="e">
        <f t="shared" si="5"/>
        <v>#N/A</v>
      </c>
      <c r="J55" s="17" t="str">
        <f t="shared" si="6"/>
        <v/>
      </c>
      <c r="K55" s="124" t="str">
        <f t="shared" si="7"/>
        <v/>
      </c>
      <c r="V55" s="6"/>
      <c r="W55" s="6"/>
    </row>
    <row r="56" spans="2:27">
      <c r="B56" s="14" t="str">
        <f>CONCATENATE(Calculator!H28,Calculator!I28)</f>
        <v/>
      </c>
      <c r="C56" s="17">
        <f>Calculator!G28</f>
        <v>0</v>
      </c>
      <c r="D56" s="120" t="e">
        <f t="shared" si="2"/>
        <v>#N/A</v>
      </c>
      <c r="E56" s="120" t="e">
        <f t="shared" si="3"/>
        <v>#N/A</v>
      </c>
      <c r="F56" s="120" t="e">
        <f>I56*ETDF!$G$4</f>
        <v>#N/A</v>
      </c>
      <c r="G56" s="120" t="e">
        <f>ETDF!$H$4*Calculations!I56</f>
        <v>#N/A</v>
      </c>
      <c r="H56" s="17" t="e">
        <f t="shared" si="4"/>
        <v>#N/A</v>
      </c>
      <c r="I56" s="17" t="e">
        <f t="shared" si="5"/>
        <v>#N/A</v>
      </c>
      <c r="J56" s="17" t="str">
        <f t="shared" si="6"/>
        <v/>
      </c>
      <c r="K56" s="124" t="str">
        <f t="shared" si="7"/>
        <v/>
      </c>
      <c r="V56" s="6"/>
      <c r="W56" s="6"/>
    </row>
    <row r="57" spans="2:27">
      <c r="B57" s="14" t="str">
        <f>CONCATENATE(Calculator!H29,Calculator!I29)</f>
        <v/>
      </c>
      <c r="C57" s="17">
        <f>Calculator!G29</f>
        <v>0</v>
      </c>
      <c r="D57" s="120" t="e">
        <f t="shared" si="2"/>
        <v>#N/A</v>
      </c>
      <c r="E57" s="120" t="e">
        <f t="shared" si="3"/>
        <v>#N/A</v>
      </c>
      <c r="F57" s="120" t="e">
        <f>I57*ETDF!$G$4</f>
        <v>#N/A</v>
      </c>
      <c r="G57" s="120" t="e">
        <f>ETDF!$H$4*Calculations!I57</f>
        <v>#N/A</v>
      </c>
      <c r="H57" s="17" t="e">
        <f t="shared" si="4"/>
        <v>#N/A</v>
      </c>
      <c r="I57" s="17" t="e">
        <f t="shared" si="5"/>
        <v>#N/A</v>
      </c>
      <c r="J57" s="17" t="str">
        <f t="shared" si="6"/>
        <v/>
      </c>
      <c r="K57" s="124" t="str">
        <f t="shared" si="7"/>
        <v/>
      </c>
      <c r="V57" s="6"/>
      <c r="W57" s="6"/>
    </row>
    <row r="58" spans="2:27">
      <c r="B58" s="14" t="str">
        <f>CONCATENATE(Calculator!H30,Calculator!I30)</f>
        <v/>
      </c>
      <c r="C58" s="17">
        <f>Calculator!G30</f>
        <v>0</v>
      </c>
      <c r="D58" s="120" t="e">
        <f t="shared" si="2"/>
        <v>#N/A</v>
      </c>
      <c r="E58" s="120" t="e">
        <f t="shared" si="3"/>
        <v>#N/A</v>
      </c>
      <c r="F58" s="120" t="e">
        <f>I58*ETDF!$G$4</f>
        <v>#N/A</v>
      </c>
      <c r="G58" s="120" t="e">
        <f>ETDF!$H$4*Calculations!I58</f>
        <v>#N/A</v>
      </c>
      <c r="H58" s="17" t="e">
        <f t="shared" si="4"/>
        <v>#N/A</v>
      </c>
      <c r="I58" s="17" t="e">
        <f t="shared" si="5"/>
        <v>#N/A</v>
      </c>
      <c r="J58" s="17" t="str">
        <f t="shared" si="6"/>
        <v/>
      </c>
      <c r="K58" s="124" t="str">
        <f t="shared" si="7"/>
        <v/>
      </c>
      <c r="V58" s="6"/>
      <c r="W58" s="6"/>
    </row>
    <row r="59" spans="2:27">
      <c r="B59" s="14" t="str">
        <f>CONCATENATE(Calculator!H31,Calculator!I31)</f>
        <v/>
      </c>
      <c r="C59" s="17">
        <f>Calculator!G31</f>
        <v>0</v>
      </c>
      <c r="D59" s="120" t="e">
        <f t="shared" si="2"/>
        <v>#N/A</v>
      </c>
      <c r="E59" s="120" t="e">
        <f t="shared" si="3"/>
        <v>#N/A</v>
      </c>
      <c r="F59" s="120" t="e">
        <f>I59*ETDF!$G$4</f>
        <v>#N/A</v>
      </c>
      <c r="G59" s="120" t="e">
        <f>ETDF!$H$4*Calculations!I59</f>
        <v>#N/A</v>
      </c>
      <c r="H59" s="17" t="e">
        <f t="shared" si="4"/>
        <v>#N/A</v>
      </c>
      <c r="I59" s="17" t="e">
        <f t="shared" si="5"/>
        <v>#N/A</v>
      </c>
      <c r="J59" s="17" t="str">
        <f t="shared" si="6"/>
        <v/>
      </c>
      <c r="K59" s="124" t="str">
        <f t="shared" si="7"/>
        <v/>
      </c>
      <c r="V59" s="6"/>
      <c r="W59" s="6"/>
    </row>
    <row r="60" spans="2:27">
      <c r="B60" s="14" t="str">
        <f>CONCATENATE(Calculator!H32,Calculator!I32)</f>
        <v/>
      </c>
      <c r="C60" s="17">
        <f>Calculator!G32</f>
        <v>0</v>
      </c>
      <c r="D60" s="120" t="e">
        <f t="shared" si="2"/>
        <v>#N/A</v>
      </c>
      <c r="E60" s="120" t="e">
        <f t="shared" si="3"/>
        <v>#N/A</v>
      </c>
      <c r="F60" s="120" t="e">
        <f>I60*ETDF!$G$4</f>
        <v>#N/A</v>
      </c>
      <c r="G60" s="120" t="e">
        <f>ETDF!$H$4*Calculations!I60</f>
        <v>#N/A</v>
      </c>
      <c r="H60" s="17" t="e">
        <f t="shared" si="4"/>
        <v>#N/A</v>
      </c>
      <c r="I60" s="17" t="e">
        <f t="shared" si="5"/>
        <v>#N/A</v>
      </c>
      <c r="J60" s="17" t="str">
        <f t="shared" si="6"/>
        <v/>
      </c>
      <c r="K60" s="124" t="str">
        <f t="shared" si="7"/>
        <v/>
      </c>
      <c r="V60" s="6"/>
      <c r="W60" s="6"/>
    </row>
    <row r="61" spans="2:27">
      <c r="B61" s="14" t="str">
        <f>CONCATENATE(Calculator!H33,Calculator!I33)</f>
        <v/>
      </c>
      <c r="C61" s="17">
        <f>Calculator!G33</f>
        <v>0</v>
      </c>
      <c r="D61" s="120" t="e">
        <f t="shared" si="2"/>
        <v>#N/A</v>
      </c>
      <c r="E61" s="120" t="e">
        <f t="shared" si="3"/>
        <v>#N/A</v>
      </c>
      <c r="F61" s="120" t="e">
        <f>I61*ETDF!$G$4</f>
        <v>#N/A</v>
      </c>
      <c r="G61" s="120" t="e">
        <f>ETDF!$H$4*Calculations!I61</f>
        <v>#N/A</v>
      </c>
      <c r="H61" s="17" t="e">
        <f t="shared" si="4"/>
        <v>#N/A</v>
      </c>
      <c r="I61" s="17" t="e">
        <f t="shared" si="5"/>
        <v>#N/A</v>
      </c>
      <c r="J61" s="17" t="str">
        <f t="shared" si="6"/>
        <v/>
      </c>
      <c r="K61" s="124" t="str">
        <f t="shared" si="7"/>
        <v/>
      </c>
      <c r="V61" s="6"/>
      <c r="W61" s="6"/>
    </row>
    <row r="63" spans="2:27" s="33" customFormat="1" ht="18.600000000000001" customHeight="1" thickBot="1">
      <c r="B63" s="375" t="s">
        <v>96</v>
      </c>
      <c r="C63" s="375"/>
      <c r="D63" s="375"/>
      <c r="E63" s="375"/>
      <c r="F63" s="375"/>
      <c r="G63" s="375"/>
      <c r="H63" s="375"/>
      <c r="I63" s="375"/>
      <c r="J63" s="375"/>
      <c r="K63" s="16"/>
      <c r="L63" s="16"/>
      <c r="M63" s="16"/>
      <c r="N63" s="16"/>
      <c r="O63" s="16"/>
      <c r="P63" s="16"/>
      <c r="Q63" s="16"/>
      <c r="R63" s="16"/>
      <c r="S63" s="16"/>
      <c r="T63" s="16"/>
      <c r="U63" s="16"/>
      <c r="V63" s="16"/>
      <c r="W63" s="16"/>
    </row>
    <row r="64" spans="2:27" ht="18">
      <c r="B64" s="7" t="s">
        <v>218</v>
      </c>
      <c r="D64" s="7" t="s">
        <v>219</v>
      </c>
      <c r="H64" s="7" t="s">
        <v>88</v>
      </c>
      <c r="R64" s="6"/>
      <c r="S64" s="6"/>
      <c r="T64" s="6"/>
      <c r="U64" s="6"/>
      <c r="V64" s="6"/>
      <c r="W64" s="6"/>
    </row>
    <row r="65" spans="2:32" ht="15">
      <c r="B65" s="32" t="s">
        <v>71</v>
      </c>
      <c r="C65" s="117" t="s">
        <v>157</v>
      </c>
      <c r="D65" s="14" t="s">
        <v>271</v>
      </c>
      <c r="E65" s="14">
        <v>0.16700000000000001</v>
      </c>
      <c r="F65" s="14" t="s">
        <v>272</v>
      </c>
      <c r="G65" s="117" t="s">
        <v>273</v>
      </c>
      <c r="H65" s="137">
        <v>200</v>
      </c>
      <c r="I65" s="14" t="s">
        <v>274</v>
      </c>
      <c r="R65" s="6"/>
      <c r="T65" s="6"/>
      <c r="U65" s="6"/>
      <c r="V65" s="6"/>
      <c r="W65" s="6"/>
    </row>
    <row r="66" spans="2:32">
      <c r="B66" s="32" t="s">
        <v>275</v>
      </c>
      <c r="C66" s="40" t="s">
        <v>225</v>
      </c>
      <c r="D66" s="14" t="s">
        <v>276</v>
      </c>
      <c r="E66" s="14">
        <v>150</v>
      </c>
      <c r="F66" s="14" t="s">
        <v>277</v>
      </c>
      <c r="G66" s="40" t="s">
        <v>248</v>
      </c>
      <c r="R66" s="6"/>
      <c r="T66" s="6"/>
      <c r="U66" s="6"/>
      <c r="V66" s="6"/>
      <c r="W66" s="6"/>
    </row>
    <row r="67" spans="2:32" ht="15">
      <c r="B67" s="32" t="s">
        <v>278</v>
      </c>
      <c r="C67" s="117" t="s">
        <v>183</v>
      </c>
      <c r="D67" s="14" t="s">
        <v>279</v>
      </c>
      <c r="E67" s="14">
        <v>365</v>
      </c>
      <c r="F67" s="14"/>
      <c r="R67" s="6"/>
      <c r="T67" s="6"/>
      <c r="U67" s="6"/>
      <c r="V67" s="6"/>
      <c r="W67" s="6"/>
    </row>
    <row r="68" spans="2:32">
      <c r="C68" s="40" t="s">
        <v>280</v>
      </c>
    </row>
    <row r="69" spans="2:32" ht="18">
      <c r="B69" s="7" t="s">
        <v>281</v>
      </c>
      <c r="F69" s="6"/>
      <c r="G69" s="6"/>
      <c r="H69" s="7" t="s">
        <v>282</v>
      </c>
      <c r="L69" s="6"/>
      <c r="N69" s="76"/>
      <c r="O69" s="6"/>
      <c r="P69" s="6"/>
      <c r="Q69" s="6"/>
      <c r="R69" s="6"/>
      <c r="S69" s="6"/>
      <c r="T69" s="6"/>
      <c r="U69" s="6"/>
      <c r="V69" s="6"/>
      <c r="W69" s="6"/>
    </row>
    <row r="70" spans="2:32" s="8" customFormat="1" ht="34.15" customHeight="1">
      <c r="B70" s="18" t="s">
        <v>71</v>
      </c>
      <c r="C70" s="19" t="s">
        <v>283</v>
      </c>
      <c r="D70" s="19" t="s">
        <v>284</v>
      </c>
      <c r="E70" s="19" t="s">
        <v>285</v>
      </c>
      <c r="F70" s="19" t="s">
        <v>286</v>
      </c>
      <c r="G70" s="1"/>
      <c r="H70" s="18" t="s">
        <v>231</v>
      </c>
      <c r="I70" s="19" t="s">
        <v>283</v>
      </c>
      <c r="J70" s="19" t="s">
        <v>284</v>
      </c>
      <c r="K70" s="19" t="s">
        <v>285</v>
      </c>
      <c r="L70" s="19" t="s">
        <v>286</v>
      </c>
      <c r="M70" s="6"/>
      <c r="N70" s="77"/>
      <c r="O70" s="77"/>
    </row>
    <row r="71" spans="2:32">
      <c r="B71" s="32" t="s">
        <v>275</v>
      </c>
      <c r="C71" s="36">
        <v>1.2</v>
      </c>
      <c r="D71" s="31">
        <v>0.75</v>
      </c>
      <c r="E71" s="35">
        <v>65</v>
      </c>
      <c r="F71" s="35">
        <v>16</v>
      </c>
      <c r="H71" s="32" t="s">
        <v>275</v>
      </c>
      <c r="I71" s="36">
        <v>0.8</v>
      </c>
      <c r="J71" s="31">
        <v>0.83</v>
      </c>
      <c r="K71" s="35">
        <v>70</v>
      </c>
      <c r="L71" s="35">
        <v>16</v>
      </c>
      <c r="M71" s="6"/>
      <c r="N71" s="78"/>
      <c r="O71" s="79"/>
      <c r="P71" s="6"/>
      <c r="Q71" s="6"/>
      <c r="R71" s="6"/>
      <c r="S71" s="6"/>
      <c r="T71" s="6"/>
      <c r="U71" s="6"/>
      <c r="V71" s="6"/>
      <c r="W71" s="6"/>
    </row>
    <row r="72" spans="2:32">
      <c r="B72" s="32" t="s">
        <v>278</v>
      </c>
      <c r="C72" s="36">
        <v>1.35</v>
      </c>
      <c r="D72" s="31">
        <v>0.7</v>
      </c>
      <c r="E72" s="35">
        <v>100</v>
      </c>
      <c r="F72" s="35">
        <v>12</v>
      </c>
      <c r="H72" s="32" t="s">
        <v>278</v>
      </c>
      <c r="I72" s="36">
        <v>1.1000000000000001</v>
      </c>
      <c r="J72" s="31">
        <v>0.8</v>
      </c>
      <c r="K72" s="35">
        <v>110</v>
      </c>
      <c r="L72" s="35">
        <v>12</v>
      </c>
      <c r="M72" s="6"/>
      <c r="N72" s="78"/>
      <c r="O72" s="79"/>
      <c r="P72" s="6"/>
      <c r="Q72" s="6"/>
      <c r="R72" s="6"/>
      <c r="S72" s="6"/>
      <c r="T72" s="6"/>
      <c r="U72" s="6"/>
      <c r="V72" s="6"/>
      <c r="W72" s="6"/>
    </row>
    <row r="73" spans="2:32">
      <c r="N73" s="57"/>
      <c r="O73" s="6"/>
      <c r="P73" s="6"/>
    </row>
    <row r="74" spans="2:32" ht="18">
      <c r="B74" s="7" t="s">
        <v>12</v>
      </c>
      <c r="N74" s="6"/>
      <c r="O74" s="6"/>
      <c r="P74" s="6"/>
    </row>
    <row r="75" spans="2:32" s="8" customFormat="1" ht="30" customHeight="1">
      <c r="B75" s="365" t="s">
        <v>71</v>
      </c>
      <c r="C75" s="378" t="s">
        <v>287</v>
      </c>
      <c r="D75" s="380" t="s">
        <v>286</v>
      </c>
      <c r="E75" s="380" t="s">
        <v>288</v>
      </c>
      <c r="F75" s="380"/>
      <c r="G75" s="380"/>
      <c r="H75" s="380" t="s">
        <v>289</v>
      </c>
      <c r="I75" s="380"/>
      <c r="J75" s="380"/>
      <c r="K75" s="365" t="s">
        <v>290</v>
      </c>
      <c r="L75" s="365" t="s">
        <v>291</v>
      </c>
      <c r="M75" s="365" t="s">
        <v>292</v>
      </c>
      <c r="N75" s="365" t="s">
        <v>293</v>
      </c>
      <c r="O75" s="366" t="s">
        <v>235</v>
      </c>
      <c r="P75" s="366" t="s">
        <v>236</v>
      </c>
      <c r="Q75" s="365" t="s">
        <v>237</v>
      </c>
      <c r="R75" s="365" t="s">
        <v>82</v>
      </c>
      <c r="S75" s="366" t="s">
        <v>118</v>
      </c>
      <c r="T75" s="1"/>
      <c r="U75" s="1"/>
      <c r="V75" s="1"/>
      <c r="W75" s="1"/>
      <c r="X75" s="1"/>
      <c r="Y75" s="1"/>
      <c r="Z75" s="1"/>
      <c r="AA75" s="6"/>
      <c r="AB75" s="6"/>
      <c r="AC75" s="6"/>
      <c r="AD75" s="6"/>
      <c r="AE75" s="6"/>
      <c r="AF75" s="6"/>
    </row>
    <row r="76" spans="2:32" s="8" customFormat="1" ht="15">
      <c r="B76" s="365"/>
      <c r="C76" s="379"/>
      <c r="D76" s="380"/>
      <c r="E76" s="37" t="s">
        <v>283</v>
      </c>
      <c r="F76" s="37" t="s">
        <v>284</v>
      </c>
      <c r="G76" s="37" t="s">
        <v>285</v>
      </c>
      <c r="H76" s="37" t="s">
        <v>283</v>
      </c>
      <c r="I76" s="37" t="s">
        <v>284</v>
      </c>
      <c r="J76" s="37" t="s">
        <v>285</v>
      </c>
      <c r="K76" s="365"/>
      <c r="L76" s="365"/>
      <c r="M76" s="365"/>
      <c r="N76" s="365"/>
      <c r="O76" s="368"/>
      <c r="P76" s="368"/>
      <c r="Q76" s="365"/>
      <c r="R76" s="365"/>
      <c r="S76" s="368"/>
      <c r="T76" s="1"/>
      <c r="U76" s="1"/>
      <c r="V76" s="1"/>
      <c r="W76" s="1"/>
      <c r="X76" s="1"/>
      <c r="Y76" s="1"/>
      <c r="Z76" s="1"/>
      <c r="AA76" s="6"/>
      <c r="AB76" s="6"/>
      <c r="AC76" s="6"/>
      <c r="AD76" s="6"/>
      <c r="AE76" s="6"/>
      <c r="AF76" s="6"/>
    </row>
    <row r="77" spans="2:32">
      <c r="B77" s="14">
        <f>IFERROR(Calculator!H39," ")</f>
        <v>0</v>
      </c>
      <c r="C77" s="17">
        <f>Calculator!G39</f>
        <v>0</v>
      </c>
      <c r="D77" s="17" t="str">
        <f>IFERROR(VLOOKUP(B77,$B$71:$F$72,5,FALSE),"0")</f>
        <v>0</v>
      </c>
      <c r="E77" s="17">
        <f>IFERROR(VLOOKUP(B77,$B$71:$F$72,2,FALSE),0)</f>
        <v>0</v>
      </c>
      <c r="F77" s="17">
        <f>IFERROR(VLOOKUP(B77,$B$71:$F$72,3,FALSE),0)</f>
        <v>0</v>
      </c>
      <c r="G77" s="17">
        <f>IFERROR(VLOOKUP(B77,$B$71:$F$72,4,FALSE),0)</f>
        <v>0</v>
      </c>
      <c r="H77" s="17">
        <f>IFERROR(VLOOKUP(B77,$H$71:$L$72,2,FALSE),0)</f>
        <v>0</v>
      </c>
      <c r="I77" s="17">
        <f>IFERROR(VLOOKUP(B77,$H$71:$L$72,3,FALSE),0)</f>
        <v>0</v>
      </c>
      <c r="J77" s="17">
        <f>IFERROR(VLOOKUP(B77,$H$71:$L$72,4,FALSE),0)</f>
        <v>0</v>
      </c>
      <c r="K77" s="17">
        <f>IFERROR(L77/$E$67/D77,0)</f>
        <v>0</v>
      </c>
      <c r="L77" s="17" t="e">
        <f>C77*($E$67*(($E$66*$E$65/F77+E77*(D77-$E$66/G77))))</f>
        <v>#DIV/0!</v>
      </c>
      <c r="M77" s="17">
        <f>IFERROR(N77/$E$67/D77,0)</f>
        <v>0</v>
      </c>
      <c r="N77" s="17" t="e">
        <f>C77*($E$67*(($E$66*$E$65/I77+H77*(D77-$E$66/J77))))</f>
        <v>#DIV/0!</v>
      </c>
      <c r="O77" s="17" t="e">
        <f>R77*ETDF!$G$4</f>
        <v>#DIV/0!</v>
      </c>
      <c r="P77" s="17" t="e">
        <f>R77*ETDF!$H$4</f>
        <v>#DIV/0!</v>
      </c>
      <c r="Q77" s="17" t="e">
        <f>O77</f>
        <v>#DIV/0!</v>
      </c>
      <c r="R77" s="17" t="e">
        <f>L77-N77</f>
        <v>#DIV/0!</v>
      </c>
      <c r="S77" s="124">
        <f>IFERROR(ROUND(C77*$H$65,2),"")</f>
        <v>0</v>
      </c>
      <c r="X77" s="1"/>
      <c r="Y77" s="1"/>
      <c r="Z77" s="1"/>
    </row>
    <row r="78" spans="2:32">
      <c r="B78" s="14">
        <f>IFERROR(Calculator!H40,"")</f>
        <v>0</v>
      </c>
      <c r="C78" s="17">
        <f>Calculator!G40</f>
        <v>0</v>
      </c>
      <c r="D78" s="17" t="str">
        <f>IFERROR(VLOOKUP(B78,$B$71:$F$72,5,FALSE),"0")</f>
        <v>0</v>
      </c>
      <c r="E78" s="17">
        <f>IFERROR(VLOOKUP(B78,$B$71:$F$72,2,FALSE),0)</f>
        <v>0</v>
      </c>
      <c r="F78" s="17">
        <f>IFERROR(VLOOKUP(B78,$B$71:$F$72,3,FALSE),0)</f>
        <v>0</v>
      </c>
      <c r="G78" s="17">
        <f>IFERROR(VLOOKUP(B78,$B$71:$F$72,4,FALSE),0)</f>
        <v>0</v>
      </c>
      <c r="H78" s="17">
        <f>IFERROR(VLOOKUP(B78,$H$71:$L$72,2,FALSE),0)</f>
        <v>0</v>
      </c>
      <c r="I78" s="17">
        <f>IFERROR(VLOOKUP(B78,$H$71:$L$72,3,FALSE),0)</f>
        <v>0</v>
      </c>
      <c r="J78" s="17">
        <f>IFERROR(VLOOKUP(B78,$H$71:$L$72,4,FALSE),0)</f>
        <v>0</v>
      </c>
      <c r="K78" s="17">
        <f>IFERROR(L78/$E$67/D78,0)</f>
        <v>0</v>
      </c>
      <c r="L78" s="17" t="e">
        <f>C78*($E$67*(($E$66*$E$65/F78+E78*(D78-$E$66/G78))))</f>
        <v>#DIV/0!</v>
      </c>
      <c r="M78" s="17">
        <f>IFERROR(N78/$E$67/D78,0)</f>
        <v>0</v>
      </c>
      <c r="N78" s="17" t="e">
        <f>C78*($E$67*(($E$66*$E$65/I78+H78*(D78-$E$66/J78))))</f>
        <v>#DIV/0!</v>
      </c>
      <c r="O78" s="17" t="e">
        <f>R78*ETDF!$G$4</f>
        <v>#DIV/0!</v>
      </c>
      <c r="P78" s="17" t="e">
        <f>R78*ETDF!$H$4</f>
        <v>#DIV/0!</v>
      </c>
      <c r="Q78" s="17" t="e">
        <f>O78</f>
        <v>#DIV/0!</v>
      </c>
      <c r="R78" s="17" t="e">
        <f>L78-N78</f>
        <v>#DIV/0!</v>
      </c>
      <c r="S78" s="124">
        <f>IFERROR(ROUND(C78*$H$65,2),"")</f>
        <v>0</v>
      </c>
      <c r="X78" s="1"/>
      <c r="Y78" s="1"/>
      <c r="Z78" s="1"/>
    </row>
    <row r="80" spans="2:32" s="33" customFormat="1" ht="18.600000000000001" customHeight="1" thickBot="1">
      <c r="B80" s="375" t="s">
        <v>97</v>
      </c>
      <c r="C80" s="375"/>
      <c r="D80" s="375"/>
      <c r="E80" s="375"/>
      <c r="F80" s="375"/>
      <c r="G80" s="375"/>
      <c r="H80" s="375"/>
      <c r="I80" s="375"/>
      <c r="J80" s="375"/>
      <c r="K80" s="16"/>
      <c r="L80" s="16"/>
      <c r="M80" s="16"/>
      <c r="N80" s="16"/>
      <c r="O80" s="16"/>
      <c r="P80" s="16"/>
      <c r="Q80" s="16"/>
      <c r="R80" s="16"/>
      <c r="S80" s="16"/>
      <c r="T80" s="16"/>
      <c r="U80" s="16"/>
      <c r="V80" s="16"/>
      <c r="W80" s="16"/>
    </row>
    <row r="81" spans="2:87" ht="18">
      <c r="B81" s="7" t="s">
        <v>218</v>
      </c>
      <c r="D81" s="7" t="s">
        <v>219</v>
      </c>
      <c r="H81" s="7" t="s">
        <v>88</v>
      </c>
      <c r="R81" s="6"/>
      <c r="S81" s="6"/>
      <c r="T81" s="6"/>
      <c r="U81" s="6"/>
      <c r="V81" s="6"/>
      <c r="W81" s="6"/>
    </row>
    <row r="82" spans="2:87" ht="15">
      <c r="B82" s="32"/>
      <c r="C82" s="117" t="s">
        <v>183</v>
      </c>
      <c r="D82" s="14" t="s">
        <v>271</v>
      </c>
      <c r="E82" s="14">
        <v>0.13900000000000001</v>
      </c>
      <c r="F82" s="14" t="s">
        <v>272</v>
      </c>
      <c r="G82" s="117" t="s">
        <v>157</v>
      </c>
      <c r="H82" s="137">
        <v>250</v>
      </c>
      <c r="I82" s="14" t="s">
        <v>591</v>
      </c>
      <c r="R82" s="6"/>
      <c r="T82" s="6"/>
      <c r="U82" s="6"/>
      <c r="V82" s="6"/>
      <c r="W82" s="6"/>
    </row>
    <row r="83" spans="2:87">
      <c r="B83" s="32"/>
      <c r="C83" s="40" t="s">
        <v>280</v>
      </c>
      <c r="D83" s="14" t="s">
        <v>276</v>
      </c>
      <c r="E83" s="14">
        <v>100</v>
      </c>
      <c r="F83" s="14" t="s">
        <v>277</v>
      </c>
      <c r="G83" s="40" t="s">
        <v>225</v>
      </c>
      <c r="R83" s="6"/>
      <c r="T83" s="6"/>
      <c r="U83" s="6"/>
      <c r="V83" s="6"/>
      <c r="W83" s="6"/>
    </row>
    <row r="84" spans="2:87" ht="15">
      <c r="B84" s="32"/>
      <c r="D84" s="14" t="s">
        <v>279</v>
      </c>
      <c r="E84" s="14">
        <v>365</v>
      </c>
      <c r="F84" s="14"/>
      <c r="G84" s="117" t="s">
        <v>273</v>
      </c>
      <c r="R84" s="6"/>
      <c r="T84" s="6"/>
      <c r="U84" s="6"/>
      <c r="V84" s="6"/>
      <c r="W84" s="6"/>
    </row>
    <row r="85" spans="2:87">
      <c r="G85" s="40" t="s">
        <v>248</v>
      </c>
    </row>
    <row r="86" spans="2:87" ht="18">
      <c r="B86" s="7" t="s">
        <v>281</v>
      </c>
      <c r="G86" s="6"/>
      <c r="H86" s="7" t="s">
        <v>282</v>
      </c>
      <c r="N86" s="6"/>
      <c r="S86" s="6"/>
      <c r="T86" s="6"/>
      <c r="U86" s="6"/>
      <c r="V86" s="6"/>
      <c r="W86" s="6"/>
    </row>
    <row r="87" spans="2:87" s="8" customFormat="1" ht="34.15" customHeight="1">
      <c r="B87" s="18" t="s">
        <v>71</v>
      </c>
      <c r="C87" s="19" t="s">
        <v>283</v>
      </c>
      <c r="D87" s="19" t="s">
        <v>284</v>
      </c>
      <c r="E87" s="19" t="s">
        <v>285</v>
      </c>
      <c r="F87" s="19" t="s">
        <v>286</v>
      </c>
      <c r="H87" s="18" t="s">
        <v>231</v>
      </c>
      <c r="I87" s="19" t="s">
        <v>283</v>
      </c>
      <c r="J87" s="19" t="s">
        <v>284</v>
      </c>
      <c r="K87" s="19" t="s">
        <v>285</v>
      </c>
      <c r="N87" s="6"/>
    </row>
    <row r="88" spans="2:87">
      <c r="B88" s="159" t="s">
        <v>294</v>
      </c>
      <c r="C88" s="160">
        <v>0.4</v>
      </c>
      <c r="D88" s="161">
        <v>0.65</v>
      </c>
      <c r="E88" s="160">
        <v>5.83</v>
      </c>
      <c r="F88" s="162">
        <v>12</v>
      </c>
      <c r="H88" s="14" t="s">
        <v>294</v>
      </c>
      <c r="I88" s="36">
        <v>0.32</v>
      </c>
      <c r="J88" s="31">
        <v>0.7</v>
      </c>
      <c r="K88" s="36">
        <v>6.67</v>
      </c>
      <c r="N88" s="6"/>
      <c r="O88" s="6"/>
      <c r="P88" s="6"/>
      <c r="Q88" s="6"/>
      <c r="R88" s="6"/>
      <c r="S88" s="6"/>
      <c r="T88" s="6"/>
      <c r="U88" s="6"/>
      <c r="V88" s="6"/>
      <c r="W88" s="6"/>
    </row>
    <row r="89" spans="2:87">
      <c r="B89" s="14" t="s">
        <v>295</v>
      </c>
      <c r="C89" s="36">
        <v>0.4</v>
      </c>
      <c r="D89" s="31">
        <v>0.65</v>
      </c>
      <c r="E89" s="36">
        <v>11.67</v>
      </c>
      <c r="F89" s="35">
        <v>12</v>
      </c>
      <c r="H89" s="14" t="s">
        <v>295</v>
      </c>
      <c r="I89" s="36">
        <v>0.32</v>
      </c>
      <c r="J89" s="31">
        <v>0.72</v>
      </c>
      <c r="K89" s="36">
        <v>13.92</v>
      </c>
      <c r="N89" s="6"/>
      <c r="O89" s="6"/>
      <c r="P89" s="6"/>
      <c r="Q89" s="6"/>
      <c r="R89" s="6"/>
      <c r="S89" s="6"/>
      <c r="T89" s="6"/>
      <c r="U89" s="6"/>
      <c r="V89" s="6"/>
      <c r="W89" s="6"/>
    </row>
    <row r="91" spans="2:87" s="8" customFormat="1" ht="18">
      <c r="B91" s="7" t="s">
        <v>12</v>
      </c>
      <c r="C91" s="1"/>
      <c r="D91" s="1"/>
      <c r="E91" s="1"/>
      <c r="F91" s="1"/>
      <c r="G91" s="1"/>
      <c r="H91" s="1"/>
      <c r="I91" s="1"/>
      <c r="J91" s="1"/>
      <c r="K91" s="1"/>
      <c r="L91" s="1"/>
      <c r="M91" s="1"/>
      <c r="N91" s="1"/>
      <c r="O91" s="1"/>
      <c r="P91" s="1"/>
      <c r="Q91" s="1"/>
      <c r="R91" s="1"/>
      <c r="S91" s="1"/>
      <c r="T91" s="1"/>
      <c r="U91" s="1"/>
      <c r="V91" s="1"/>
      <c r="W91" s="1"/>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row>
    <row r="92" spans="2:87" s="8" customFormat="1" ht="30" customHeight="1">
      <c r="B92" s="365" t="s">
        <v>71</v>
      </c>
      <c r="C92" s="378" t="s">
        <v>125</v>
      </c>
      <c r="D92" s="378" t="s">
        <v>131</v>
      </c>
      <c r="E92" s="380" t="s">
        <v>286</v>
      </c>
      <c r="F92" s="52" t="s">
        <v>288</v>
      </c>
      <c r="G92" s="52"/>
      <c r="H92" s="52"/>
      <c r="I92" s="52"/>
      <c r="J92" s="52" t="s">
        <v>289</v>
      </c>
      <c r="K92" s="52"/>
      <c r="L92" s="52"/>
      <c r="M92" s="52"/>
      <c r="N92" s="365" t="s">
        <v>291</v>
      </c>
      <c r="O92" s="365" t="s">
        <v>293</v>
      </c>
      <c r="P92" s="366" t="s">
        <v>235</v>
      </c>
      <c r="Q92" s="366" t="s">
        <v>236</v>
      </c>
      <c r="R92" s="365" t="s">
        <v>237</v>
      </c>
      <c r="S92" s="365" t="s">
        <v>82</v>
      </c>
      <c r="T92" s="366" t="s">
        <v>118</v>
      </c>
      <c r="U92" s="1"/>
      <c r="V92" s="1"/>
      <c r="W92" s="1"/>
      <c r="X92" s="1"/>
      <c r="Y92" s="1"/>
      <c r="Z92" s="1"/>
      <c r="AA92" s="1"/>
      <c r="AB92" s="1"/>
      <c r="AC92" s="6"/>
      <c r="AD92" s="6"/>
      <c r="AE92" s="6"/>
      <c r="AF92" s="6"/>
      <c r="AG92" s="6"/>
      <c r="AH92" s="6"/>
    </row>
    <row r="93" spans="2:87" ht="15">
      <c r="B93" s="365"/>
      <c r="C93" s="379"/>
      <c r="D93" s="379"/>
      <c r="E93" s="380"/>
      <c r="F93" s="37" t="s">
        <v>283</v>
      </c>
      <c r="G93" s="37" t="s">
        <v>284</v>
      </c>
      <c r="H93" s="37" t="s">
        <v>296</v>
      </c>
      <c r="I93" s="37" t="s">
        <v>285</v>
      </c>
      <c r="J93" s="37" t="s">
        <v>283</v>
      </c>
      <c r="K93" s="37" t="s">
        <v>284</v>
      </c>
      <c r="L93" s="37" t="s">
        <v>296</v>
      </c>
      <c r="M93" s="37" t="s">
        <v>285</v>
      </c>
      <c r="N93" s="365"/>
      <c r="O93" s="365"/>
      <c r="P93" s="368"/>
      <c r="Q93" s="368"/>
      <c r="R93" s="365"/>
      <c r="S93" s="365"/>
      <c r="T93" s="368"/>
      <c r="X93" s="1"/>
      <c r="Y93" s="1"/>
      <c r="Z93" s="1"/>
      <c r="AA93" s="1"/>
      <c r="AB93" s="1"/>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row>
    <row r="94" spans="2:87">
      <c r="B94" s="14">
        <f>Calculator!I46</f>
        <v>0</v>
      </c>
      <c r="C94" s="17">
        <f>Calculator!G46</f>
        <v>0</v>
      </c>
      <c r="D94" s="17">
        <f>Calculator!H46</f>
        <v>0</v>
      </c>
      <c r="E94" s="17">
        <v>12</v>
      </c>
      <c r="F94" s="17">
        <v>0.4</v>
      </c>
      <c r="G94" s="17">
        <v>0.65</v>
      </c>
      <c r="H94" s="17">
        <v>4</v>
      </c>
      <c r="I94" s="17">
        <f>IF(D94="Single Sided",$E$88,$E$89)</f>
        <v>11.67</v>
      </c>
      <c r="J94" s="17">
        <v>0.32</v>
      </c>
      <c r="K94" s="17">
        <v>0.7</v>
      </c>
      <c r="L94" s="17">
        <v>2</v>
      </c>
      <c r="M94" s="17">
        <f>IF(D94="single Sided",$K$88,$K$89)</f>
        <v>13.92</v>
      </c>
      <c r="N94" s="17" t="e">
        <f>C94*($E$84*(($E$83*$E$82/G94+H94+F94*B94*(E94-$E$83/(I94*B94)))))</f>
        <v>#DIV/0!</v>
      </c>
      <c r="O94" s="17" t="e">
        <f>C94*($E$84*($E$83*$E$82/K94+L94+J94*B94*(E94-$E$83/(M94*B94))))</f>
        <v>#DIV/0!</v>
      </c>
      <c r="P94" s="17" t="e">
        <f>S94*ETDF!$G$4</f>
        <v>#DIV/0!</v>
      </c>
      <c r="Q94" s="17" t="e">
        <f>S94*ETDF!$H$4</f>
        <v>#DIV/0!</v>
      </c>
      <c r="R94" s="17" t="e">
        <f>P94</f>
        <v>#DIV/0!</v>
      </c>
      <c r="S94" s="17" t="e">
        <f>N94-O94</f>
        <v>#DIV/0!</v>
      </c>
      <c r="T94" s="124">
        <f>IFERROR(ROUND(C94*$H$82,2),"")</f>
        <v>0</v>
      </c>
      <c r="X94" s="1"/>
      <c r="Y94" s="1"/>
      <c r="Z94" s="1"/>
      <c r="AA94" s="1"/>
      <c r="AB94" s="1"/>
    </row>
    <row r="95" spans="2:87">
      <c r="B95" s="14">
        <f>Calculator!I47</f>
        <v>0</v>
      </c>
      <c r="C95" s="17">
        <f>Calculator!G47</f>
        <v>0</v>
      </c>
      <c r="D95" s="17">
        <f>Calculator!H47</f>
        <v>0</v>
      </c>
      <c r="E95" s="17">
        <v>12</v>
      </c>
      <c r="F95" s="17">
        <v>0.4</v>
      </c>
      <c r="G95" s="17">
        <v>0.65</v>
      </c>
      <c r="H95" s="17">
        <v>4</v>
      </c>
      <c r="I95" s="17">
        <f>IF(D95="Single Sided",$E$88,$E$89)</f>
        <v>11.67</v>
      </c>
      <c r="J95" s="17">
        <v>0.32</v>
      </c>
      <c r="K95" s="17">
        <v>0.7</v>
      </c>
      <c r="L95" s="17">
        <v>2</v>
      </c>
      <c r="M95" s="17">
        <f>IF(D95="single Sided",$K$88,$K$89)</f>
        <v>13.92</v>
      </c>
      <c r="N95" s="17" t="e">
        <f>C95*($E$84*(($E$83*$E$82/G95+F95*B95*(E95-$E$83/(I95*B95)))))</f>
        <v>#DIV/0!</v>
      </c>
      <c r="O95" s="17" t="e">
        <f>C95*($E$84*($E$83*$E$82/K95+J95*B95*(E95-$E$83/(M95*B95))))</f>
        <v>#DIV/0!</v>
      </c>
      <c r="P95" s="17" t="e">
        <f>S95*ETDF!$G$4</f>
        <v>#DIV/0!</v>
      </c>
      <c r="Q95" s="17" t="e">
        <f>S95*ETDF!$H$4</f>
        <v>#DIV/0!</v>
      </c>
      <c r="R95" s="17" t="e">
        <f>P95</f>
        <v>#DIV/0!</v>
      </c>
      <c r="S95" s="17" t="e">
        <f>N95-O95</f>
        <v>#DIV/0!</v>
      </c>
      <c r="T95" s="124">
        <f>IFERROR(ROUND(C95*$H$82,2),"")</f>
        <v>0</v>
      </c>
      <c r="X95" s="1"/>
      <c r="Y95" s="1"/>
      <c r="Z95" s="1"/>
      <c r="AA95" s="1"/>
    </row>
    <row r="96" spans="2:87" s="33" customFormat="1" ht="18.600000000000001" customHeight="1">
      <c r="B96" s="1"/>
      <c r="C96" s="1"/>
      <c r="D96" s="1"/>
      <c r="E96" s="1"/>
      <c r="F96" s="1"/>
      <c r="G96" s="1"/>
      <c r="H96" s="1"/>
      <c r="I96" s="1"/>
      <c r="J96" s="1"/>
      <c r="K96" s="1"/>
      <c r="L96" s="1"/>
      <c r="M96" s="1"/>
      <c r="N96" s="1"/>
      <c r="O96" s="1"/>
      <c r="P96" s="1"/>
      <c r="Q96" s="1"/>
      <c r="R96" s="1"/>
      <c r="S96" s="1"/>
      <c r="T96" s="1"/>
      <c r="U96" s="1"/>
      <c r="V96" s="1"/>
      <c r="W96" s="1"/>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row>
    <row r="97" spans="2:82" ht="18.75" thickBot="1">
      <c r="B97" s="375" t="s">
        <v>98</v>
      </c>
      <c r="C97" s="375"/>
      <c r="D97" s="375"/>
      <c r="E97" s="375"/>
      <c r="F97" s="375"/>
      <c r="G97" s="375"/>
      <c r="H97" s="375"/>
      <c r="I97" s="375"/>
      <c r="J97" s="375"/>
      <c r="K97" s="16"/>
      <c r="L97" s="16"/>
      <c r="M97" s="16"/>
      <c r="N97" s="16"/>
      <c r="O97" s="16"/>
      <c r="P97" s="16"/>
      <c r="Q97" s="16"/>
      <c r="R97" s="16"/>
      <c r="S97" s="16"/>
      <c r="T97" s="16"/>
      <c r="U97" s="16"/>
      <c r="V97" s="16"/>
      <c r="W97" s="16"/>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row>
    <row r="98" spans="2:82" ht="18">
      <c r="B98" s="7" t="s">
        <v>218</v>
      </c>
      <c r="F98" s="7" t="s">
        <v>219</v>
      </c>
      <c r="T98" s="6"/>
      <c r="U98" s="6"/>
      <c r="V98" s="6"/>
      <c r="W98" s="6"/>
    </row>
    <row r="99" spans="2:82" ht="15">
      <c r="B99" s="32" t="s">
        <v>297</v>
      </c>
      <c r="C99" s="32" t="s">
        <v>144</v>
      </c>
      <c r="D99" s="40" t="s">
        <v>136</v>
      </c>
      <c r="E99" s="117" t="s">
        <v>157</v>
      </c>
      <c r="F99" s="14" t="s">
        <v>298</v>
      </c>
      <c r="G99" s="14">
        <v>0.4</v>
      </c>
      <c r="H99" s="14"/>
      <c r="T99" s="6"/>
      <c r="V99" s="6"/>
      <c r="W99" s="6"/>
    </row>
    <row r="100" spans="2:82">
      <c r="B100" s="32" t="s">
        <v>299</v>
      </c>
      <c r="C100" s="32" t="s">
        <v>300</v>
      </c>
      <c r="D100" s="40" t="s">
        <v>301</v>
      </c>
      <c r="E100" s="40" t="s">
        <v>225</v>
      </c>
      <c r="F100" s="14" t="s">
        <v>279</v>
      </c>
      <c r="G100" s="14">
        <v>365</v>
      </c>
      <c r="H100" s="14" t="s">
        <v>302</v>
      </c>
      <c r="T100" s="6"/>
      <c r="V100" s="6"/>
      <c r="W100" s="6"/>
    </row>
    <row r="101" spans="2:82">
      <c r="B101" s="32" t="s">
        <v>303</v>
      </c>
      <c r="C101" s="32" t="s">
        <v>304</v>
      </c>
      <c r="D101" s="40" t="s">
        <v>305</v>
      </c>
      <c r="F101" s="14" t="s">
        <v>232</v>
      </c>
      <c r="G101" s="14">
        <v>0.77200000000000002</v>
      </c>
      <c r="H101" s="14"/>
      <c r="T101" s="6"/>
      <c r="V101" s="6"/>
      <c r="W101" s="6"/>
    </row>
    <row r="102" spans="2:82">
      <c r="B102" s="32"/>
      <c r="C102" s="32" t="s">
        <v>306</v>
      </c>
      <c r="D102" s="40" t="s">
        <v>307</v>
      </c>
      <c r="F102" s="34"/>
      <c r="G102" s="34"/>
      <c r="H102" s="34"/>
      <c r="T102" s="6"/>
      <c r="V102" s="6"/>
      <c r="W102" s="6"/>
    </row>
    <row r="103" spans="2:82">
      <c r="B103" s="32"/>
      <c r="C103" s="32" t="s">
        <v>308</v>
      </c>
      <c r="D103" s="108"/>
      <c r="F103" s="34"/>
      <c r="G103" s="34"/>
      <c r="H103" s="34"/>
      <c r="T103" s="6"/>
      <c r="V103" s="6"/>
      <c r="W103" s="6"/>
    </row>
    <row r="105" spans="2:82" s="8" customFormat="1" ht="34.15" customHeight="1">
      <c r="B105" s="7" t="s">
        <v>309</v>
      </c>
      <c r="C105" s="1"/>
      <c r="D105" s="1"/>
      <c r="E105" s="1"/>
      <c r="F105" s="6"/>
      <c r="G105" s="6"/>
      <c r="H105" s="6"/>
      <c r="I105" s="1"/>
      <c r="J105" s="1"/>
      <c r="K105" s="7"/>
      <c r="L105" s="1"/>
      <c r="M105" s="1"/>
      <c r="N105" s="1"/>
      <c r="O105" s="6"/>
      <c r="P105" s="6"/>
      <c r="Q105" s="1"/>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row>
    <row r="106" spans="2:82" ht="15">
      <c r="B106" s="18" t="s">
        <v>231</v>
      </c>
      <c r="C106" s="18"/>
      <c r="D106" s="18"/>
      <c r="E106" s="19"/>
      <c r="F106" s="19" t="s">
        <v>310</v>
      </c>
      <c r="G106" s="19" t="s">
        <v>311</v>
      </c>
      <c r="H106" s="19" t="s">
        <v>312</v>
      </c>
      <c r="I106" s="19" t="s">
        <v>313</v>
      </c>
      <c r="J106" s="8"/>
      <c r="K106" s="93"/>
      <c r="L106" s="93"/>
      <c r="M106" s="93"/>
      <c r="N106" s="94"/>
      <c r="O106" s="94"/>
      <c r="P106" s="94"/>
      <c r="Q106" s="94"/>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row>
    <row r="107" spans="2:82">
      <c r="B107" s="101" t="str">
        <f t="shared" ref="B107:B127" si="8">CONCATENATE(C107,D107,E107)</f>
        <v>BatchIce Making Head&lt; 300</v>
      </c>
      <c r="C107" s="101" t="s">
        <v>299</v>
      </c>
      <c r="D107" s="101" t="s">
        <v>300</v>
      </c>
      <c r="E107" s="102" t="s">
        <v>314</v>
      </c>
      <c r="F107" s="103">
        <v>10</v>
      </c>
      <c r="G107" s="104">
        <v>-1.2330000000000001E-2</v>
      </c>
      <c r="H107" s="106">
        <v>9.1999999999999993</v>
      </c>
      <c r="I107" s="107">
        <v>-1.1339999999999999E-2</v>
      </c>
      <c r="K107" s="97"/>
      <c r="L107" s="97"/>
      <c r="M107" s="97"/>
      <c r="N107" s="98"/>
      <c r="O107" s="99"/>
      <c r="P107" s="100"/>
      <c r="Q107" s="100"/>
      <c r="R107" s="6"/>
      <c r="S107" s="6"/>
      <c r="T107" s="6"/>
      <c r="U107" s="6"/>
      <c r="V107" s="6"/>
      <c r="W107" s="6"/>
    </row>
    <row r="108" spans="2:82" ht="15">
      <c r="B108" s="101" t="str">
        <f t="shared" si="8"/>
        <v>BatchIce Making Head300 ≤ H &lt; 800</v>
      </c>
      <c r="C108" s="101" t="s">
        <v>299</v>
      </c>
      <c r="D108" s="101" t="s">
        <v>300</v>
      </c>
      <c r="E108" s="102" t="s">
        <v>315</v>
      </c>
      <c r="F108" s="103">
        <v>7.05</v>
      </c>
      <c r="G108" s="104">
        <v>-2.5000000000000001E-3</v>
      </c>
      <c r="H108" s="106">
        <v>6.49</v>
      </c>
      <c r="I108" s="107">
        <v>-2.3E-3</v>
      </c>
      <c r="K108" s="97"/>
      <c r="L108" s="97"/>
      <c r="M108" s="97"/>
      <c r="N108" s="98"/>
      <c r="O108" s="99"/>
      <c r="P108" s="100"/>
      <c r="Q108" s="100"/>
      <c r="R108" s="6"/>
      <c r="S108" s="6"/>
      <c r="T108" s="6"/>
      <c r="U108" s="6"/>
      <c r="V108" s="6"/>
      <c r="W108" s="6"/>
    </row>
    <row r="109" spans="2:82" ht="15">
      <c r="B109" s="101" t="str">
        <f t="shared" si="8"/>
        <v>BatchIce Making Head800 ≤ H &lt; 1,500</v>
      </c>
      <c r="C109" s="101" t="s">
        <v>299</v>
      </c>
      <c r="D109" s="101" t="s">
        <v>300</v>
      </c>
      <c r="E109" s="102" t="s">
        <v>316</v>
      </c>
      <c r="F109" s="103">
        <v>5.55</v>
      </c>
      <c r="G109" s="104">
        <v>-6.3000000000000003E-4</v>
      </c>
      <c r="H109" s="106">
        <v>5.1100000000000003</v>
      </c>
      <c r="I109" s="107">
        <v>-5.8E-4</v>
      </c>
      <c r="K109" s="97"/>
      <c r="L109" s="97"/>
      <c r="M109" s="97"/>
      <c r="N109" s="98"/>
      <c r="O109" s="99"/>
      <c r="P109" s="100"/>
      <c r="Q109" s="100"/>
      <c r="R109" s="6"/>
      <c r="S109" s="6"/>
      <c r="T109" s="6"/>
      <c r="U109" s="6"/>
      <c r="V109" s="6"/>
      <c r="W109" s="6"/>
    </row>
    <row r="110" spans="2:82" ht="15">
      <c r="B110" s="101" t="str">
        <f t="shared" si="8"/>
        <v>BatchIce Making Head1,500 ≤ H &lt; 4,000</v>
      </c>
      <c r="C110" s="101" t="s">
        <v>299</v>
      </c>
      <c r="D110" s="101" t="s">
        <v>300</v>
      </c>
      <c r="E110" s="102" t="s">
        <v>317</v>
      </c>
      <c r="F110" s="103">
        <v>4.6100000000000003</v>
      </c>
      <c r="G110" s="104">
        <v>0</v>
      </c>
      <c r="H110" s="106">
        <v>4.24</v>
      </c>
      <c r="I110" s="107">
        <v>0</v>
      </c>
      <c r="K110" s="97"/>
      <c r="L110" s="97"/>
      <c r="M110" s="97"/>
      <c r="N110" s="98"/>
      <c r="O110" s="99"/>
      <c r="P110" s="100"/>
      <c r="Q110" s="100"/>
      <c r="R110" s="6"/>
      <c r="S110" s="6"/>
      <c r="T110" s="6"/>
      <c r="U110" s="6"/>
      <c r="V110" s="6"/>
      <c r="W110" s="6"/>
    </row>
    <row r="111" spans="2:82" ht="28.5">
      <c r="B111" s="105" t="str">
        <f t="shared" si="8"/>
        <v>BatchRemote Condensing w/out Remote Compressor&lt; 988</v>
      </c>
      <c r="C111" s="101" t="s">
        <v>299</v>
      </c>
      <c r="D111" s="32" t="s">
        <v>304</v>
      </c>
      <c r="E111" s="102" t="s">
        <v>318</v>
      </c>
      <c r="F111" s="103">
        <v>7.97</v>
      </c>
      <c r="G111" s="104">
        <v>-3.4199999999999999E-3</v>
      </c>
      <c r="H111" s="106">
        <v>7.17</v>
      </c>
      <c r="I111" s="107">
        <v>-3.0799999999999998E-3</v>
      </c>
      <c r="K111" s="97"/>
      <c r="L111" s="97"/>
      <c r="M111" s="97"/>
      <c r="N111" s="98"/>
      <c r="O111" s="99"/>
      <c r="P111" s="100"/>
      <c r="Q111" s="100"/>
      <c r="R111" s="6"/>
      <c r="S111" s="6"/>
      <c r="T111" s="6"/>
      <c r="U111" s="6"/>
      <c r="V111" s="6"/>
      <c r="W111" s="6"/>
    </row>
    <row r="112" spans="2:82" ht="28.5">
      <c r="B112" s="105" t="str">
        <f t="shared" si="8"/>
        <v>BatchRemote Condensing w/out Remote Compressor988 ≤ H &lt; 4,000</v>
      </c>
      <c r="C112" s="101" t="s">
        <v>299</v>
      </c>
      <c r="D112" s="32" t="s">
        <v>304</v>
      </c>
      <c r="E112" s="102" t="s">
        <v>319</v>
      </c>
      <c r="F112" s="103">
        <v>4.59</v>
      </c>
      <c r="G112" s="104">
        <v>0</v>
      </c>
      <c r="H112" s="106">
        <v>4.13</v>
      </c>
      <c r="I112" s="107">
        <v>0</v>
      </c>
      <c r="K112" s="97"/>
      <c r="L112" s="97"/>
      <c r="M112" s="97"/>
      <c r="N112" s="98"/>
      <c r="O112" s="99"/>
      <c r="P112" s="100"/>
      <c r="Q112" s="100"/>
      <c r="R112" s="6"/>
      <c r="S112" s="6"/>
      <c r="T112" s="6"/>
      <c r="U112" s="6"/>
      <c r="V112" s="6"/>
      <c r="W112" s="6"/>
    </row>
    <row r="113" spans="2:23" ht="28.5">
      <c r="B113" s="105" t="str">
        <f t="shared" si="8"/>
        <v>BatchRemote Condensing with Remote Compressor&lt; 930</v>
      </c>
      <c r="C113" s="101" t="s">
        <v>299</v>
      </c>
      <c r="D113" s="32" t="s">
        <v>306</v>
      </c>
      <c r="E113" s="102" t="s">
        <v>320</v>
      </c>
      <c r="F113" s="103">
        <v>7.97</v>
      </c>
      <c r="G113" s="104">
        <v>-3.4199999999999999E-3</v>
      </c>
      <c r="H113" s="106">
        <v>7.17</v>
      </c>
      <c r="I113" s="107">
        <v>-3.0799999999999998E-3</v>
      </c>
      <c r="K113" s="97"/>
      <c r="L113" s="97"/>
      <c r="M113" s="97"/>
      <c r="N113" s="98"/>
      <c r="O113" s="99"/>
      <c r="P113" s="100"/>
      <c r="Q113" s="100"/>
      <c r="R113" s="6"/>
      <c r="S113" s="6"/>
      <c r="T113" s="6"/>
      <c r="U113" s="6"/>
      <c r="V113" s="6"/>
      <c r="W113" s="6"/>
    </row>
    <row r="114" spans="2:23" ht="28.5">
      <c r="B114" s="105" t="str">
        <f t="shared" si="8"/>
        <v>BatchRemote Condensing with Remote Compressor930 ≤ H &lt; 4,000</v>
      </c>
      <c r="C114" s="101" t="s">
        <v>299</v>
      </c>
      <c r="D114" s="32" t="s">
        <v>306</v>
      </c>
      <c r="E114" s="102" t="s">
        <v>321</v>
      </c>
      <c r="F114" s="103">
        <v>4.79</v>
      </c>
      <c r="G114" s="104">
        <v>0</v>
      </c>
      <c r="H114" s="106">
        <v>4.13</v>
      </c>
      <c r="I114" s="107">
        <v>0</v>
      </c>
      <c r="K114" s="97"/>
      <c r="L114" s="97"/>
      <c r="M114" s="97"/>
      <c r="N114" s="98"/>
      <c r="O114" s="99"/>
      <c r="P114" s="100"/>
      <c r="Q114" s="100"/>
      <c r="R114" s="6"/>
      <c r="S114" s="6"/>
      <c r="T114" s="6"/>
      <c r="U114" s="6"/>
      <c r="V114" s="6"/>
      <c r="W114" s="6"/>
    </row>
    <row r="115" spans="2:23">
      <c r="B115" s="101" t="str">
        <f t="shared" si="8"/>
        <v>BatchSelf Contained Unit&lt; 110</v>
      </c>
      <c r="C115" s="101" t="s">
        <v>299</v>
      </c>
      <c r="D115" s="32" t="s">
        <v>308</v>
      </c>
      <c r="E115" s="102" t="s">
        <v>322</v>
      </c>
      <c r="F115" s="103">
        <v>14.79</v>
      </c>
      <c r="G115" s="104">
        <v>-4.6899999999999997E-2</v>
      </c>
      <c r="H115" s="106">
        <v>12.57</v>
      </c>
      <c r="I115" s="107">
        <v>-3.9899999999999998E-2</v>
      </c>
      <c r="K115" s="97"/>
      <c r="L115" s="97"/>
      <c r="M115" s="97"/>
      <c r="N115" s="98"/>
      <c r="O115" s="99"/>
      <c r="P115" s="100"/>
      <c r="Q115" s="100"/>
      <c r="R115" s="6"/>
      <c r="S115" s="6"/>
      <c r="T115" s="6"/>
      <c r="U115" s="6"/>
      <c r="V115" s="6"/>
      <c r="W115" s="6"/>
    </row>
    <row r="116" spans="2:23" ht="15">
      <c r="B116" s="101" t="str">
        <f t="shared" si="8"/>
        <v>BatchSelf Contained Unit110 ≤ H &lt; 200</v>
      </c>
      <c r="C116" s="101" t="s">
        <v>299</v>
      </c>
      <c r="D116" s="32" t="s">
        <v>308</v>
      </c>
      <c r="E116" s="102" t="s">
        <v>323</v>
      </c>
      <c r="F116" s="103">
        <v>12.42</v>
      </c>
      <c r="G116" s="104">
        <v>-2.5329999999999998E-2</v>
      </c>
      <c r="H116" s="106">
        <v>10.56</v>
      </c>
      <c r="I116" s="107">
        <v>-2.1499999999999998E-2</v>
      </c>
      <c r="K116" s="97"/>
      <c r="L116" s="97"/>
      <c r="M116" s="97"/>
      <c r="N116" s="98"/>
      <c r="O116" s="99"/>
      <c r="P116" s="100"/>
      <c r="Q116" s="100"/>
      <c r="R116" s="6"/>
      <c r="S116" s="6"/>
      <c r="T116" s="6"/>
      <c r="U116" s="6"/>
      <c r="V116" s="6"/>
      <c r="W116" s="6"/>
    </row>
    <row r="117" spans="2:23" ht="15">
      <c r="B117" s="101" t="str">
        <f t="shared" si="8"/>
        <v>BatchSelf Contained Unit200 ≤ H &lt; 4,000</v>
      </c>
      <c r="C117" s="101" t="s">
        <v>299</v>
      </c>
      <c r="D117" s="32" t="s">
        <v>308</v>
      </c>
      <c r="E117" s="102" t="s">
        <v>324</v>
      </c>
      <c r="F117" s="103">
        <v>7.35</v>
      </c>
      <c r="G117" s="104">
        <v>0</v>
      </c>
      <c r="H117" s="106">
        <v>6.25</v>
      </c>
      <c r="I117" s="107">
        <v>0</v>
      </c>
      <c r="J117" s="97"/>
      <c r="K117" s="97"/>
      <c r="L117" s="98"/>
      <c r="M117" s="99"/>
      <c r="N117" s="100"/>
      <c r="O117" s="100"/>
      <c r="P117" s="6"/>
      <c r="Q117" s="6"/>
      <c r="R117" s="6"/>
      <c r="S117" s="6"/>
      <c r="T117" s="6"/>
      <c r="U117" s="6"/>
      <c r="V117" s="6"/>
      <c r="W117" s="6"/>
    </row>
    <row r="118" spans="2:23">
      <c r="B118" s="101" t="str">
        <f t="shared" si="8"/>
        <v>ContinuousIce Making Head&lt; 310</v>
      </c>
      <c r="C118" s="101" t="s">
        <v>303</v>
      </c>
      <c r="D118" s="101" t="s">
        <v>300</v>
      </c>
      <c r="E118" s="102" t="s">
        <v>325</v>
      </c>
      <c r="F118" s="103">
        <v>9.19</v>
      </c>
      <c r="G118" s="104">
        <v>-6.2899999999999996E-3</v>
      </c>
      <c r="H118" s="106">
        <v>7.9</v>
      </c>
      <c r="I118" s="107">
        <v>-5.4089999999999997E-3</v>
      </c>
      <c r="J118" s="97"/>
      <c r="K118" s="97"/>
      <c r="L118" s="98"/>
      <c r="M118" s="99"/>
      <c r="N118" s="100"/>
      <c r="O118" s="100"/>
      <c r="P118" s="6"/>
      <c r="Q118" s="6"/>
      <c r="R118" s="6"/>
      <c r="S118" s="6"/>
      <c r="T118" s="6"/>
      <c r="U118" s="6"/>
      <c r="V118" s="6"/>
      <c r="W118" s="6"/>
    </row>
    <row r="119" spans="2:23" ht="15">
      <c r="B119" s="101" t="str">
        <f t="shared" si="8"/>
        <v>ContinuousIce Making Head310 ≤ H &lt; 820</v>
      </c>
      <c r="C119" s="101" t="s">
        <v>303</v>
      </c>
      <c r="D119" s="101" t="s">
        <v>300</v>
      </c>
      <c r="E119" s="102" t="s">
        <v>326</v>
      </c>
      <c r="F119" s="103">
        <v>8.23</v>
      </c>
      <c r="G119" s="104">
        <v>-3.2000000000000002E-3</v>
      </c>
      <c r="H119" s="106">
        <v>7.08</v>
      </c>
      <c r="I119" s="107">
        <v>-2.7520000000000001E-3</v>
      </c>
      <c r="J119" s="97"/>
      <c r="K119" s="97"/>
      <c r="L119" s="98"/>
      <c r="M119" s="99"/>
      <c r="N119" s="100"/>
      <c r="O119" s="100"/>
      <c r="P119" s="6"/>
      <c r="Q119" s="6"/>
      <c r="R119" s="6"/>
      <c r="S119" s="6"/>
      <c r="T119" s="6"/>
      <c r="U119" s="6"/>
      <c r="V119" s="6"/>
      <c r="W119" s="6"/>
    </row>
    <row r="120" spans="2:23" ht="15">
      <c r="B120" s="101" t="str">
        <f t="shared" si="8"/>
        <v>ContinuousIce Making Head820 ≤ H &lt; 4,000</v>
      </c>
      <c r="C120" s="101" t="s">
        <v>303</v>
      </c>
      <c r="D120" s="101" t="s">
        <v>300</v>
      </c>
      <c r="E120" s="102" t="s">
        <v>327</v>
      </c>
      <c r="F120" s="103">
        <v>5.61</v>
      </c>
      <c r="G120" s="104">
        <v>0</v>
      </c>
      <c r="H120" s="106">
        <v>4.82</v>
      </c>
      <c r="I120" s="107">
        <v>0</v>
      </c>
      <c r="J120" s="97"/>
      <c r="K120" s="97"/>
      <c r="L120" s="98"/>
      <c r="M120" s="99"/>
      <c r="N120" s="100"/>
      <c r="O120" s="100"/>
      <c r="P120" s="6"/>
      <c r="Q120" s="6"/>
      <c r="R120" s="6"/>
      <c r="S120" s="6"/>
      <c r="T120" s="6"/>
      <c r="U120" s="6"/>
      <c r="V120" s="6"/>
      <c r="W120" s="6"/>
    </row>
    <row r="121" spans="2:23" ht="28.5">
      <c r="B121" s="105" t="str">
        <f t="shared" si="8"/>
        <v>ContinuousRemote Condensing w/out Remote Compressor&lt; 800</v>
      </c>
      <c r="C121" s="101" t="s">
        <v>303</v>
      </c>
      <c r="D121" s="32" t="s">
        <v>304</v>
      </c>
      <c r="E121" s="102" t="s">
        <v>328</v>
      </c>
      <c r="F121" s="103">
        <v>9.6999999999999993</v>
      </c>
      <c r="G121" s="104">
        <v>-5.7999999999999996E-3</v>
      </c>
      <c r="H121" s="106">
        <v>7.76</v>
      </c>
      <c r="I121" s="107">
        <v>-4.64E-3</v>
      </c>
      <c r="J121" s="97"/>
      <c r="K121" s="97"/>
      <c r="L121" s="98"/>
      <c r="M121" s="99"/>
      <c r="N121" s="100"/>
      <c r="O121" s="100"/>
      <c r="P121" s="6"/>
      <c r="Q121" s="6"/>
      <c r="R121" s="6"/>
      <c r="S121" s="6"/>
      <c r="T121" s="6"/>
      <c r="U121" s="6"/>
      <c r="V121" s="6"/>
      <c r="W121" s="6"/>
    </row>
    <row r="122" spans="2:23" ht="28.5">
      <c r="B122" s="105" t="str">
        <f t="shared" si="8"/>
        <v>ContinuousRemote Condensing w/out Remote Compressor800 ≤ H &lt; 4,000</v>
      </c>
      <c r="C122" s="101" t="s">
        <v>303</v>
      </c>
      <c r="D122" s="32" t="s">
        <v>304</v>
      </c>
      <c r="E122" s="102" t="s">
        <v>329</v>
      </c>
      <c r="F122" s="103">
        <v>5.0599999999999996</v>
      </c>
      <c r="G122" s="104">
        <v>0</v>
      </c>
      <c r="H122" s="106">
        <v>4.05</v>
      </c>
      <c r="I122" s="107">
        <v>0</v>
      </c>
      <c r="J122" s="97"/>
      <c r="K122" s="97"/>
      <c r="L122" s="98"/>
      <c r="M122" s="99"/>
      <c r="N122" s="100"/>
      <c r="O122" s="100"/>
      <c r="P122" s="6"/>
      <c r="Q122" s="6"/>
      <c r="R122" s="6"/>
      <c r="S122" s="6"/>
      <c r="T122" s="6"/>
      <c r="U122" s="6"/>
      <c r="V122" s="6"/>
      <c r="W122" s="6"/>
    </row>
    <row r="123" spans="2:23" ht="28.5">
      <c r="B123" s="105" t="str">
        <f t="shared" si="8"/>
        <v>ContinuousRemote Condensing with Remote Compressor&lt; 800</v>
      </c>
      <c r="C123" s="101" t="s">
        <v>303</v>
      </c>
      <c r="D123" s="32" t="s">
        <v>306</v>
      </c>
      <c r="E123" s="102" t="s">
        <v>328</v>
      </c>
      <c r="F123" s="103">
        <v>9.9</v>
      </c>
      <c r="G123" s="104">
        <v>-5.7999999999999996E-3</v>
      </c>
      <c r="H123" s="106">
        <v>7.76</v>
      </c>
      <c r="I123" s="107">
        <v>-4.64E-3</v>
      </c>
      <c r="J123" s="97"/>
      <c r="K123" s="97"/>
      <c r="L123" s="98"/>
      <c r="M123" s="99"/>
      <c r="N123" s="100"/>
      <c r="O123" s="100"/>
      <c r="P123" s="6"/>
      <c r="Q123" s="6"/>
      <c r="R123" s="6"/>
      <c r="S123" s="6"/>
      <c r="T123" s="6"/>
      <c r="U123" s="6"/>
      <c r="V123" s="6"/>
      <c r="W123" s="6"/>
    </row>
    <row r="124" spans="2:23" ht="28.5">
      <c r="B124" s="105" t="str">
        <f t="shared" si="8"/>
        <v>ContinuousRemote Condensing with Remote Compressor800 ≤ H &lt; 4,000</v>
      </c>
      <c r="C124" s="101" t="s">
        <v>303</v>
      </c>
      <c r="D124" s="32" t="s">
        <v>306</v>
      </c>
      <c r="E124" s="102" t="s">
        <v>329</v>
      </c>
      <c r="F124" s="103">
        <v>5.26</v>
      </c>
      <c r="G124" s="104">
        <v>0</v>
      </c>
      <c r="H124" s="106">
        <v>4.05</v>
      </c>
      <c r="I124" s="107">
        <v>0</v>
      </c>
      <c r="J124" s="97"/>
      <c r="K124" s="97"/>
      <c r="L124" s="98"/>
      <c r="M124" s="99"/>
      <c r="N124" s="100"/>
      <c r="O124" s="100"/>
      <c r="P124" s="6"/>
      <c r="Q124" s="6"/>
      <c r="R124" s="6"/>
      <c r="S124" s="6"/>
      <c r="T124" s="6"/>
      <c r="U124" s="6"/>
      <c r="V124" s="6"/>
      <c r="W124" s="6"/>
    </row>
    <row r="125" spans="2:23">
      <c r="B125" s="101" t="str">
        <f t="shared" si="8"/>
        <v>ContinuousSelf Contained Unit&lt; 200</v>
      </c>
      <c r="C125" s="101" t="s">
        <v>303</v>
      </c>
      <c r="D125" s="32" t="s">
        <v>308</v>
      </c>
      <c r="E125" s="102" t="s">
        <v>330</v>
      </c>
      <c r="F125" s="103">
        <v>14.22</v>
      </c>
      <c r="G125" s="104">
        <v>-0.03</v>
      </c>
      <c r="H125" s="106">
        <v>12.37</v>
      </c>
      <c r="I125" s="107">
        <v>-2.6100000000000002E-2</v>
      </c>
      <c r="J125" s="97"/>
      <c r="K125" s="97"/>
      <c r="L125" s="98"/>
      <c r="M125" s="99"/>
      <c r="N125" s="100"/>
      <c r="O125" s="100"/>
      <c r="P125" s="6"/>
      <c r="Q125" s="6"/>
      <c r="R125" s="6"/>
      <c r="S125" s="6"/>
      <c r="T125" s="6"/>
      <c r="U125" s="6"/>
      <c r="V125" s="6"/>
      <c r="W125" s="6"/>
    </row>
    <row r="126" spans="2:23" ht="15">
      <c r="B126" s="101" t="str">
        <f t="shared" si="8"/>
        <v>ContinuousSelf Contained Unit200 ≤ H &lt; 700</v>
      </c>
      <c r="C126" s="101" t="s">
        <v>303</v>
      </c>
      <c r="D126" s="32" t="s">
        <v>308</v>
      </c>
      <c r="E126" s="102" t="s">
        <v>331</v>
      </c>
      <c r="F126" s="103">
        <v>9.4700000000000006</v>
      </c>
      <c r="G126" s="104">
        <v>-6.2399999999999999E-3</v>
      </c>
      <c r="H126" s="106">
        <v>8.24</v>
      </c>
      <c r="I126" s="107">
        <v>-5.4289999999999998E-3</v>
      </c>
      <c r="J126" s="97"/>
      <c r="K126" s="97"/>
      <c r="L126" s="98"/>
      <c r="M126" s="99"/>
      <c r="N126" s="100"/>
      <c r="O126" s="100"/>
      <c r="P126" s="6"/>
      <c r="Q126" s="6"/>
      <c r="R126" s="6"/>
      <c r="S126" s="6"/>
      <c r="T126" s="6"/>
      <c r="U126" s="48"/>
      <c r="V126" s="6"/>
      <c r="W126" s="6"/>
    </row>
    <row r="127" spans="2:23" ht="15">
      <c r="B127" s="101" t="str">
        <f t="shared" si="8"/>
        <v>ContinuousSelf Contained Unit700 ≤ H &lt; 4,000</v>
      </c>
      <c r="C127" s="101" t="s">
        <v>303</v>
      </c>
      <c r="D127" s="32" t="s">
        <v>308</v>
      </c>
      <c r="E127" s="102" t="s">
        <v>332</v>
      </c>
      <c r="F127" s="103">
        <v>5.0999999999999996</v>
      </c>
      <c r="G127" s="104">
        <v>0</v>
      </c>
      <c r="H127" s="106">
        <v>4.4400000000000004</v>
      </c>
      <c r="I127" s="107">
        <v>0</v>
      </c>
      <c r="J127" s="97"/>
      <c r="K127" s="97"/>
      <c r="L127" s="98"/>
      <c r="M127" s="99"/>
      <c r="N127" s="100"/>
      <c r="O127" s="100"/>
      <c r="P127" s="6"/>
      <c r="Q127" s="6"/>
      <c r="R127" s="6"/>
      <c r="S127" s="6"/>
      <c r="T127" s="6"/>
      <c r="U127" s="6"/>
      <c r="V127" s="6"/>
      <c r="W127" s="6"/>
    </row>
    <row r="129" spans="2:84" s="8" customFormat="1" ht="36" customHeight="1">
      <c r="B129" s="7" t="s">
        <v>12</v>
      </c>
      <c r="C129" s="1"/>
      <c r="D129" s="1"/>
      <c r="E129" s="1"/>
      <c r="F129" s="1"/>
      <c r="G129" s="1"/>
      <c r="H129" s="1"/>
      <c r="I129" s="1"/>
      <c r="J129" s="1"/>
      <c r="K129" s="1"/>
      <c r="L129" s="1"/>
      <c r="M129" s="1"/>
      <c r="N129" s="1"/>
      <c r="O129" s="1"/>
      <c r="P129" s="1"/>
      <c r="Q129" s="1"/>
      <c r="R129" s="1"/>
      <c r="S129" s="1"/>
      <c r="T129" s="1"/>
      <c r="U129" s="1"/>
      <c r="V129" s="1"/>
      <c r="W129" s="1"/>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row>
    <row r="130" spans="2:84" s="8" customFormat="1" ht="36" customHeight="1">
      <c r="B130" s="376" t="str">
        <f>Calculator!G52</f>
        <v>QTY</v>
      </c>
      <c r="C130" s="372" t="s">
        <v>288</v>
      </c>
      <c r="D130" s="373"/>
      <c r="E130" s="373"/>
      <c r="F130" s="373"/>
      <c r="G130" s="373"/>
      <c r="H130" s="373"/>
      <c r="I130" s="373"/>
      <c r="J130" s="374"/>
      <c r="K130" s="372" t="s">
        <v>289</v>
      </c>
      <c r="L130" s="373"/>
      <c r="M130" s="373"/>
      <c r="N130" s="373"/>
      <c r="O130" s="373"/>
      <c r="P130" s="373"/>
      <c r="Q130" s="373"/>
      <c r="R130" s="373"/>
      <c r="S130" s="373"/>
      <c r="T130" s="374"/>
      <c r="U130" s="164" t="s">
        <v>235</v>
      </c>
      <c r="V130" s="164" t="s">
        <v>236</v>
      </c>
      <c r="W130" s="18" t="s">
        <v>237</v>
      </c>
      <c r="X130" s="18" t="s">
        <v>82</v>
      </c>
      <c r="Y130" s="366" t="s">
        <v>118</v>
      </c>
      <c r="Z130" s="363" t="s">
        <v>174</v>
      </c>
      <c r="AA130" s="1"/>
      <c r="AB130" s="1"/>
      <c r="AC130" s="1"/>
      <c r="AD130" s="1"/>
      <c r="AE130" s="1"/>
      <c r="AF130" s="1"/>
      <c r="AG130" s="1"/>
      <c r="AH130" s="1"/>
      <c r="AI130" s="1"/>
      <c r="AJ130" s="1"/>
      <c r="AK130" s="6"/>
      <c r="AL130" s="6"/>
      <c r="AM130" s="6"/>
      <c r="AN130" s="6"/>
      <c r="AO130" s="6"/>
      <c r="AP130" s="6"/>
    </row>
    <row r="131" spans="2:84" ht="45">
      <c r="B131" s="377"/>
      <c r="C131" s="18" t="s">
        <v>231</v>
      </c>
      <c r="D131" s="18" t="str">
        <f>Calculator!I53</f>
        <v>Operation</v>
      </c>
      <c r="E131" s="18" t="str">
        <f>Calculator!J53</f>
        <v>Baseline Type</v>
      </c>
      <c r="F131" s="18" t="s">
        <v>333</v>
      </c>
      <c r="G131" s="18" t="str">
        <f>Calculator!H52</f>
        <v>Harvest Rate (lbs/day)</v>
      </c>
      <c r="H131" s="19" t="s">
        <v>310</v>
      </c>
      <c r="I131" s="19" t="s">
        <v>311</v>
      </c>
      <c r="J131" s="19" t="s">
        <v>334</v>
      </c>
      <c r="K131" s="18" t="s">
        <v>231</v>
      </c>
      <c r="L131" s="18" t="str">
        <f>Calculator!K53</f>
        <v>Operation</v>
      </c>
      <c r="M131" s="18" t="str">
        <f>Calculator!L53</f>
        <v>New Type</v>
      </c>
      <c r="N131" s="18" t="s">
        <v>333</v>
      </c>
      <c r="O131" s="18" t="str">
        <f>G131</f>
        <v>Harvest Rate (lbs/day)</v>
      </c>
      <c r="P131" s="19" t="s">
        <v>310</v>
      </c>
      <c r="Q131" s="19" t="s">
        <v>311</v>
      </c>
      <c r="R131" s="19" t="s">
        <v>335</v>
      </c>
      <c r="S131" s="19" t="s">
        <v>336</v>
      </c>
      <c r="T131" s="19" t="s">
        <v>337</v>
      </c>
      <c r="U131" s="19"/>
      <c r="V131" s="19"/>
      <c r="W131" s="18"/>
      <c r="X131" s="18"/>
      <c r="Y131" s="368"/>
      <c r="Z131" s="364"/>
      <c r="AA131" s="1"/>
      <c r="AB131" s="1"/>
      <c r="AC131" s="1"/>
      <c r="AD131" s="1"/>
      <c r="AE131" s="1"/>
      <c r="AF131" s="1"/>
      <c r="AG131" s="1"/>
      <c r="AH131" s="1"/>
      <c r="AI131" s="1"/>
      <c r="AJ131" s="1"/>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row>
    <row r="132" spans="2:84">
      <c r="B132" s="17">
        <f>Calculator!G54</f>
        <v>0</v>
      </c>
      <c r="C132" s="14" t="str">
        <f>CONCATENATE(D132,E132,F132)</f>
        <v>00</v>
      </c>
      <c r="D132" s="14">
        <f>Calculator!I54</f>
        <v>0</v>
      </c>
      <c r="E132" s="14">
        <f>Calculator!J54</f>
        <v>0</v>
      </c>
      <c r="F132" s="14" t="str">
        <f>IF(AND(D132=$C$107,E132=$D$107,G132&lt;300),"&lt; 300",IF(AND(D132=$C$108,E132=$D$108,G132&gt;299.9,G132&lt;800),"300 ≤ H &lt; 800",IF(AND(D132=$C$109,E132=$D$109,G132&gt;799.9,G132&lt;1500),"800 ≤ H &lt; 1,500",IF(AND(D132=$C$110,E132=$D$110,G132&gt;1499.9,G132&lt;4000),"1,500 ≤ H &lt; 4,000",IF(AND(D132=$C$111,E132=$D$111,G132&lt;988),"&lt; 988",IF(AND(D132=$C$112,E132=$D$112,G132&gt;987.9,G132&lt;4000),"988 ≤ H &lt; 4,000",IF(AND(D132=$C$113,E132=$D$113,G132&lt;930),"&lt; 930",IF(AND(D132=$C$114,E132=$D$114,G132&gt;929.9,G132&lt;4000),"930 ≤ H &lt; 4,000",IF(AND(D132=$C$115,E132=$D$115,G132&lt;110),"&lt; 110",IF(AND(D132=$C$116,E132=$D$116,G132&gt;109.9,G132&lt;200),"110 ≤ H &lt; 200",IF(AND(D132=$C$117,E132=$D$117,G132&gt;199.9,G132&lt;4000),"200 ≤ H &lt; 4,000",IF(AND(D132=$C$118,E132=$D$118,G132&lt;310),"&lt; 310",IF(AND(D132=$C$119,E132=$D$119,G132&gt;309.9,G132&lt;820),"310 ≤ H &lt; 820",IF(AND(D132=$C$120,E132=$D$120,G132&gt;819.9,G132&lt;4000),"820 ≤ H &lt; 4,000",IF(AND(D132=$C$121,E132=$D$121,G132&lt;800),"&lt; 800",IF(AND(D132=$C$122,E132=$D$122,G132&gt;799.9,G132&lt;4000),"800 ≤ H &lt; 4,000",IF(AND(D132=$C$123,E132=$D$123,G132&lt;800),"&lt; 800",IF(AND(D132=$C$124,E132=$D$124,G132&gt;799.9,G132&lt;4000),"800 ≤ H &lt; 4,000",IF(AND(D132=$C$125,E132=$D$125,G132&lt;200),"&lt; 200",IF(AND(D132=$C$126,E132=$D$126,G132&gt;199.9,G132&lt;700),"200 ≤ H &lt; 700",IF(AND(D132=$C$127,E132=$D$127,G132&gt;699.9,G132&lt;4000),"700 ≤ H &lt; 4,000","")))))))))))))))))))))</f>
        <v/>
      </c>
      <c r="G132" s="14">
        <f>Calculator!H54</f>
        <v>0</v>
      </c>
      <c r="H132" s="14" t="e">
        <f>VLOOKUP(C132,$B$107:$G$127,5,FALSE)</f>
        <v>#N/A</v>
      </c>
      <c r="I132" s="14" t="e">
        <f>VLOOKUP(C132,$B$107:$G$127,6,FALSE)</f>
        <v>#N/A</v>
      </c>
      <c r="J132" s="14" t="e">
        <f>(H132+I132*G132)</f>
        <v>#N/A</v>
      </c>
      <c r="K132" s="14" t="str">
        <f>CONCATENATE(L132,M132,N132)</f>
        <v>00</v>
      </c>
      <c r="L132" s="14">
        <f>Calculator!K54</f>
        <v>0</v>
      </c>
      <c r="M132" s="13">
        <f>Calculator!L54</f>
        <v>0</v>
      </c>
      <c r="N132" s="14" t="str">
        <f>IF(AND(L132=$C$107,M132=$D$107,O132&lt;300),"&lt; 300",IF(AND(L132=$C$108,M132=$D$108,O132&gt;299.9,O132&lt;800),"300 ≤ H &lt; 800",IF(AND(L132=$C$109,M132=$D$109,O132&gt;799.9,O132&lt;1500),"800 ≤ H &lt; 1,500",IF(AND(L132=$C$110,M132=$D$110,O132&gt;1499.9,O132&lt;4000),"1,500 ≤ H &lt; 4,000",IF(AND(L132=$C$111,M132=$D$111,O132&gt;49.9,O132&lt;1000),"50 ≤ H &lt; 1,000",IF(AND(L132=$C$112,M132=$D$112,O132&gt;999.9,O132&lt;400),"1,000 ≤ H &lt; 4,000",IF(AND(L132=$C$113,M132=$D$113,O132&lt;942),"&lt; 942",IF(AND(L132=$C$114,M132=$D$114,O132&gt;941.9,O132&lt;4000),"942 ≤ H &lt; 4,000",IF(AND(L132=$C$115,M132=$D$115,O132&lt;110),"&lt; 110",IF(AND(L132=$C$116,M132=$D$116,O132&gt;109.9,O132&lt;200),"110 ≤ H &lt; 200",IF(AND(L132=$C$117,M132=$D$117,O132&gt;199.9,O132&lt;4000),"200 ≤ H &lt; 4,000",IF(AND(L132=$C$118,M132=$D$118,O132&lt;310),"&lt; 310",IF(AND(L132=$C$119,M132=$D$119,O132&gt;309.9,O132&lt;820),"310 ≤ H &lt; 820",IF(AND(L132=$C$120,M132=$D$120,O132&gt;819.9,O132&lt;4000),"820 ≤ H &lt; 4,000",IF(AND(L132=$C$121,M132=$D$121,O132&lt;800),"&lt; 800",IF(AND(L132=$C$122,M132=$D$122,O132&gt;799.9,O132&lt;4000),"800 ≤ H &lt; 4,000",IF(AND(L132=$C$123,M132=$D$123,O132&lt;800),"&lt; 800",IF(AND(L132=$C$124,M132=$D$124,O132&gt;799.9,O132&lt;4000),"800 ≤ H &lt; 4,000",IF(AND(L132=$C$125,M132=$D$125,O132&lt;200),"&lt; 200",IF(AND(L132=$C$126,M132=$D$126,O132&gt;199.9,O132&lt;700),"200 ≤ H &lt; 700",IF(AND(L132=$C$127,M132=$D$127,O132&gt;699.9,O132&lt;4000),"700 ≤ H &lt; 4,000","")))))))))))))))))))))</f>
        <v/>
      </c>
      <c r="O132" s="14">
        <f>G132</f>
        <v>0</v>
      </c>
      <c r="P132" s="14" t="e">
        <f>VLOOKUP(K132,$B$107:$I$127,7,FALSE)</f>
        <v>#N/A</v>
      </c>
      <c r="Q132" s="14" t="e">
        <f>VLOOKUP(K132,$B$107:$I$127,8,FALSE)</f>
        <v>#N/A</v>
      </c>
      <c r="R132" s="14" t="e">
        <f>(P132+Q132*O132)</f>
        <v>#N/A</v>
      </c>
      <c r="S132" s="47" t="str">
        <f>IF(Calculator!N54="","",Calculator!N54)</f>
        <v/>
      </c>
      <c r="T132" s="17" t="e">
        <f>IF(R132&gt;=S132,S132,"#N/A")</f>
        <v>#N/A</v>
      </c>
      <c r="U132" s="17" t="e">
        <f>X132*ETDF!$G$4</f>
        <v>#N/A</v>
      </c>
      <c r="V132" s="17" t="e">
        <f>X132*ETDF!$H$4</f>
        <v>#N/A</v>
      </c>
      <c r="W132" s="17" t="e">
        <f>U132</f>
        <v>#N/A</v>
      </c>
      <c r="X132" s="17" t="e">
        <f>IF(T132="N/A","new kWh/lb to high",B132*(J132*G132-T132*O132)*$G$100*$G$99/100)</f>
        <v>#N/A</v>
      </c>
      <c r="Y132" s="138" t="str">
        <f>'Ice Machine Incentive Ref'!E7</f>
        <v/>
      </c>
      <c r="Z132" s="14" t="b">
        <f>IF(M132="Ice Making Head","Ice Making Head",IF(M132="Remote Condensing w/out Remote Compressor","Remote Condensing Unit",IF(M132="Remote Condensing with Remote Compressor","Remote Condensing Unit",IF(M132="Self Contained Unit","Self Contained Unit"))))</f>
        <v>0</v>
      </c>
      <c r="AA132" s="1"/>
      <c r="AB132" s="1"/>
      <c r="AC132" s="1"/>
      <c r="AD132" s="1"/>
      <c r="AE132" s="1"/>
      <c r="AF132" s="1"/>
      <c r="AG132" s="1"/>
      <c r="AH132" s="1"/>
      <c r="AI132" s="1"/>
      <c r="AJ132" s="1"/>
    </row>
    <row r="133" spans="2:84">
      <c r="B133" s="17">
        <f>Calculator!G55</f>
        <v>0</v>
      </c>
      <c r="C133" s="13" t="str">
        <f>CONCATENATE(D133,E133,F133)</f>
        <v>00</v>
      </c>
      <c r="D133" s="14">
        <f>Calculator!I55</f>
        <v>0</v>
      </c>
      <c r="E133" s="14">
        <f>Calculator!J55</f>
        <v>0</v>
      </c>
      <c r="F133" s="14" t="str">
        <f>IF(AND(D133=$C$107,E133=$D$107,G133&lt;300),"&lt; 300",IF(AND(D133=$C$108,E133=$D$108,G133&gt;299.9,G133&lt;800),"300 ≤ H &lt; 800",IF(AND(D133=$C$109,E133=$D$109,G133&gt;799.9,G133&lt;1500),"800 ≤ H &lt; 1,500",IF(AND(D133=$C$110,E133=$D$110,G133&gt;1499.9,G133&lt;4000),"1,500 ≤ H &lt; 4,000",IF(AND(D133=$C$111,E133=$D$111,G133&lt;988),"&lt; 988",IF(AND(D133=$C$112,E133=$D$112,G133&gt;987.9,G133&lt;4000),"988 ≤ H &lt; 4,000",IF(AND(D133=$C$113,E133=$D$113,G133&lt;930),"&lt; 930",IF(AND(D133=$C$114,E133=$D$114,G133&gt;929.9,G133&lt;4000),"930 ≤ H &lt; 4,000",IF(AND(D133=$C$115,E133=$D$115,G133&lt;110),"&lt; 110",IF(AND(D133=$C$116,E133=$D$116,G133&gt;109.9,G133&lt;200),"110 ≤ H &lt; 200",IF(AND(D133=$C$117,E133=$D$117,G133&gt;199.9,G133&lt;4000),"200 ≤ H &lt; 4,000",IF(AND(D133=$C$118,E133=$D$118,G133&lt;310),"&lt; 310",IF(AND(D133=$C$119,E133=$D$119,G133&gt;309.9,G133&lt;820),"310 ≤ H &lt; 820",IF(AND(D133=$C$120,E133=$D$120,G133&gt;819.9,G133&lt;4000),"820 ≤ H &lt; 4,000",IF(AND(D133=$C$121,E133=$D$121,G133&lt;800),"&lt; 800",IF(AND(D133=$C$122,E133=$D$122,G133&gt;799.9,G133&lt;4000),"800 ≤ H &lt; 4,000",IF(AND(D133=$C$123,E133=$D$123,G133&lt;800),"&lt; 800",IF(AND(D133=$C$124,E133=$D$124,G133&gt;799.9,G133&lt;4000),"800 ≤ H &lt; 4,000",IF(AND(D133=$C$125,E133=$D$125,G133&lt;200),"&lt; 200",IF(AND(D133=$C$126,E133=$D$126,G133&gt;199.9,G133&lt;700),"200 ≤ H &lt; 700",IF(AND(D133=$C$127,E133=$D$127,G133&gt;699.9,G133&lt;4000),"700 ≤ H &lt; 4,000","")))))))))))))))))))))</f>
        <v/>
      </c>
      <c r="G133" s="14">
        <f>Calculator!H55</f>
        <v>0</v>
      </c>
      <c r="H133" s="14" t="e">
        <f>VLOOKUP(C133,$B$107:$G$127,5,FALSE)</f>
        <v>#N/A</v>
      </c>
      <c r="I133" s="14" t="e">
        <f>VLOOKUP(C133,$B$107:$G$127,6,FALSE)</f>
        <v>#N/A</v>
      </c>
      <c r="J133" s="14" t="e">
        <f>(H133+I133*G133)</f>
        <v>#N/A</v>
      </c>
      <c r="K133" s="14" t="str">
        <f>CONCATENATE(L133,M133,N133)</f>
        <v>00</v>
      </c>
      <c r="L133" s="14">
        <f>Calculator!K55</f>
        <v>0</v>
      </c>
      <c r="M133" s="13">
        <f>Calculator!L55</f>
        <v>0</v>
      </c>
      <c r="N133" s="14" t="str">
        <f>IF(AND(L133=$C$107,M133=$D$107,O133&lt;300),"&lt; 300",IF(AND(L133=$C$108,M133=$D$108,O133&gt;299.9,O133&lt;800),"300 ≤ H &lt; 800",IF(AND(L133=$C$109,M133=$D$109,O133&gt;799.9,O133&lt;1500),"800 ≤ H &lt; 1,500",IF(AND(L133=$C$110,M133=$D$110,O133&gt;1499.9,O133&lt;4000),"1,500 ≤ H &lt; 4,000",IF(AND(L133=$C$111,M133=$D$111,O133&gt;49.9,O133&lt;1000),"50 ≤ H &lt; 1,000",IF(AND(L133=$C$112,M133=$D$112,O133&gt;999.9,O133&lt;400),"1,000 ≤ H &lt; 4,000",IF(AND(L133=$C$113,M133=$D$113,O133&lt;942),"&lt; 942",IF(AND(L133=$C$114,M133=$D$114,O133&gt;941.9,O133&lt;4000),"942 ≤ H &lt; 4,000",IF(AND(L133=$C$115,M133=$D$115,O133&lt;110),"&lt; 110",IF(AND(L133=$C$116,M133=$D$116,O133&gt;109.9,O133&lt;200),"110 ≤ H &lt; 200",IF(AND(L133=$C$117,M133=$D$117,O133&gt;199.9,O133&lt;4000),"200 ≤ H &lt; 4,000",IF(AND(L133=$C$118,M133=$D$118,O133&lt;310),"&lt; 310",IF(AND(L133=$C$119,M133=$D$119,O133&gt;309.9,O133&lt;820),"310 ≤ H &lt; 820",IF(AND(L133=$C$120,M133=$D$120,O133&gt;819.9,O133&lt;4000),"820 ≤ H &lt; 4,000",IF(AND(L133=$C$121,M133=$D$121,O133&lt;800),"&lt; 800",IF(AND(L133=$C$122,M133=$D$122,O133&gt;799.9,O133&lt;4000),"800 ≤ H &lt; 4,000",IF(AND(L133=$C$123,M133=$D$123,O133&lt;800),"&lt; 800",IF(AND(L133=$C$124,M133=$D$124,O133&gt;799.9,O133&lt;4000),"800 ≤ H &lt; 4,000",IF(AND(L133=$C$125,M133=$D$125,O133&lt;200),"&lt; 200",IF(AND(L133=$C$126,M133=$D$126,O133&gt;199.9,O133&lt;700),"200 ≤ H &lt; 700",IF(AND(L133=$C$127,M133=$D$127,O133&gt;699.9,O133&lt;4000),"700 ≤ H &lt; 4,000","")))))))))))))))))))))</f>
        <v/>
      </c>
      <c r="O133" s="14">
        <f>G133</f>
        <v>0</v>
      </c>
      <c r="P133" s="14" t="e">
        <f>VLOOKUP(K133,$B$107:$I$127,7,FALSE)</f>
        <v>#N/A</v>
      </c>
      <c r="Q133" s="14" t="e">
        <f>VLOOKUP(K133,$B$107:$I$127,8,FALSE)</f>
        <v>#N/A</v>
      </c>
      <c r="R133" s="14" t="e">
        <f>(P133+Q133*O133)</f>
        <v>#N/A</v>
      </c>
      <c r="S133" s="47" t="str">
        <f>IF(Calculator!N55="","",Calculator!N55)</f>
        <v/>
      </c>
      <c r="T133" s="17" t="e">
        <f>IF(R133&gt;=S133,S133,"n/a")</f>
        <v>#N/A</v>
      </c>
      <c r="U133" s="17" t="e">
        <f>X133*ETDF!$G$4</f>
        <v>#N/A</v>
      </c>
      <c r="V133" s="17" t="e">
        <f>X133*ETDF!$H$4</f>
        <v>#N/A</v>
      </c>
      <c r="W133" s="17" t="e">
        <f>U133</f>
        <v>#N/A</v>
      </c>
      <c r="X133" s="17" t="e">
        <f>IF(T133="N/A","new kWh/lb to high",B133*(J133*G133-T133*O133)*$G$100*$G$99/100)</f>
        <v>#N/A</v>
      </c>
      <c r="Y133" s="138" t="str">
        <f>'Ice Machine Incentive Ref'!E8</f>
        <v/>
      </c>
      <c r="Z133" s="14" t="b">
        <f>IF(M133="Ice Making Head","Ice Making Head",IF(M133="Remote Condensing w/out Remote Compressor","Remote Condensing Unit",IF(M133="Remote Condensing with Remote Compressor","Remote Condensing Unit",IF(M133="Self Contained Unit","Self Contained Unit"))))</f>
        <v>0</v>
      </c>
      <c r="AA133" s="1"/>
      <c r="AB133" s="1"/>
      <c r="AC133" s="1"/>
      <c r="AD133" s="1"/>
      <c r="AE133" s="1"/>
      <c r="AF133" s="1"/>
      <c r="AG133" s="1"/>
      <c r="AH133" s="1"/>
      <c r="AI133" s="1"/>
      <c r="AJ133" s="1"/>
    </row>
    <row r="134" spans="2:84">
      <c r="B134" s="17">
        <f>Calculator!G56</f>
        <v>0</v>
      </c>
      <c r="C134" s="14" t="str">
        <f>CONCATENATE(D134,E134,F134)</f>
        <v>00</v>
      </c>
      <c r="D134" s="14">
        <f>Calculator!I56</f>
        <v>0</v>
      </c>
      <c r="E134" s="14">
        <f>Calculator!J56</f>
        <v>0</v>
      </c>
      <c r="F134" s="14" t="str">
        <f>IF(AND(D134=$C$107,E134=$D$107,G134&lt;300),"&lt; 300",IF(AND(D134=$C$108,E134=$D$108,G134&gt;299.9,G134&lt;800),"300 ≤ H &lt; 800",IF(AND(D134=$C$109,E134=$D$109,G134&gt;799.9,G134&lt;1500),"800 ≤ H &lt; 1,500",IF(AND(D134=$C$110,E134=$D$110,G134&gt;1499.9,G134&lt;4000),"1,500 ≤ H &lt; 4,000",IF(AND(D134=$C$111,E134=$D$111,G134&lt;988),"&lt; 988",IF(AND(D134=$C$112,E134=$D$112,G134&gt;987.9,G134&lt;4000),"988 ≤ H &lt; 4,000",IF(AND(D134=$C$113,E134=$D$113,G134&lt;930),"&lt; 930",IF(AND(D134=$C$114,E134=$D$114,G134&gt;929.9,G134&lt;4000),"930 ≤ H &lt; 4,000",IF(AND(D134=$C$115,E134=$D$115,G134&lt;110),"&lt; 110",IF(AND(D134=$C$116,E134=$D$116,G134&gt;109.9,G134&lt;200),"110 ≤ H &lt; 200",IF(AND(D134=$C$117,E134=$D$117,G134&gt;199.9,G134&lt;4000),"200 ≤ H &lt; 4,000",IF(AND(D134=$C$118,E134=$D$118,G134&lt;310),"&lt; 310",IF(AND(D134=$C$119,E134=$D$119,G134&gt;309.9,G134&lt;820),"310 ≤ H &lt; 820",IF(AND(D134=$C$120,E134=$D$120,G134&gt;819.9,G134&lt;4000),"820 ≤ H &lt; 4,000",IF(AND(D134=$C$121,E134=$D$121,G134&lt;800),"&lt; 800",IF(AND(D134=$C$122,E134=$D$122,G134&gt;799.9,G134&lt;4000),"800 ≤ H &lt; 4,000",IF(AND(D134=$C$123,E134=$D$123,G134&lt;800),"&lt; 800",IF(AND(D134=$C$124,E134=$D$124,G134&gt;799.9,G134&lt;4000),"800 ≤ H &lt; 4,000",IF(AND(D134=$C$125,E134=$D$125,G134&lt;200),"&lt; 200",IF(AND(D134=$C$126,E134=$D$126,G134&gt;199.9,G134&lt;700),"200 ≤ H &lt; 700",IF(AND(D134=$C$127,E134=$D$127,G134&gt;699.9,G134&lt;4000),"700 ≤ H &lt; 4,000","")))))))))))))))))))))</f>
        <v/>
      </c>
      <c r="G134" s="14">
        <f>Calculator!H56</f>
        <v>0</v>
      </c>
      <c r="H134" s="14" t="e">
        <f>VLOOKUP(C134,$B$107:$G$127,5,FALSE)</f>
        <v>#N/A</v>
      </c>
      <c r="I134" s="14" t="e">
        <f>VLOOKUP(C134,$B$107:$G$127,6,FALSE)</f>
        <v>#N/A</v>
      </c>
      <c r="J134" s="14" t="e">
        <f>(H134+I134*G134)</f>
        <v>#N/A</v>
      </c>
      <c r="K134" s="14" t="str">
        <f>CONCATENATE(L134,M134,N134)</f>
        <v>00</v>
      </c>
      <c r="L134" s="14">
        <f>Calculator!K56</f>
        <v>0</v>
      </c>
      <c r="M134" s="13">
        <f>Calculator!L56</f>
        <v>0</v>
      </c>
      <c r="N134" s="14" t="str">
        <f>IF(AND(L134=$C$107,M134=$D$107,O134&lt;300),"&lt; 300",IF(AND(L134=$C$108,M134=$D$108,O134&gt;299.9,O134&lt;800),"300 ≤ H &lt; 800",IF(AND(L134=$C$109,M134=$D$109,O134&gt;799.9,O134&lt;1500),"800 ≤ H &lt; 1,500",IF(AND(L134=$C$110,M134=$D$110,O134&gt;1499.9,O134&lt;4000),"1,500 ≤ H &lt; 4,000",IF(AND(L134=$C$111,M134=$D$111,O134&gt;49.9,O134&lt;1000),"50 ≤ H &lt; 1,000",IF(AND(L134=$C$112,M134=$D$112,O134&gt;999.9,O134&lt;400),"1,000 ≤ H &lt; 4,000",IF(AND(L134=$C$113,M134=$D$113,O134&lt;942),"&lt; 942",IF(AND(L134=$C$114,M134=$D$114,O134&gt;941.9,O134&lt;4000),"942 ≤ H &lt; 4,000",IF(AND(L134=$C$115,M134=$D$115,O134&lt;110),"&lt; 110",IF(AND(L134=$C$116,M134=$D$116,O134&gt;109.9,O134&lt;200),"110 ≤ H &lt; 200",IF(AND(L134=$C$117,M134=$D$117,O134&gt;199.9,O134&lt;4000),"200 ≤ H &lt; 4,000",IF(AND(L134=$C$118,M134=$D$118,O134&lt;310),"&lt; 310",IF(AND(L134=$C$119,M134=$D$119,O134&gt;309.9,O134&lt;820),"310 ≤ H &lt; 820",IF(AND(L134=$C$120,M134=$D$120,O134&gt;819.9,O134&lt;4000),"820 ≤ H &lt; 4,000",IF(AND(L134=$C$121,M134=$D$121,O134&lt;800),"&lt; 800",IF(AND(L134=$C$122,M134=$D$122,O134&gt;799.9,O134&lt;4000),"800 ≤ H &lt; 4,000",IF(AND(L134=$C$123,M134=$D$123,O134&lt;800),"&lt; 800",IF(AND(L134=$C$124,M134=$D$124,O134&gt;799.9,O134&lt;4000),"800 ≤ H &lt; 4,000",IF(AND(L134=$C$125,M134=$D$125,O134&lt;200),"&lt; 200",IF(AND(L134=$C$126,M134=$D$126,O134&gt;199.9,O134&lt;700),"200 ≤ H &lt; 700",IF(AND(L134=$C$127,M134=$D$127,O134&gt;699.9,O134&lt;4000),"700 ≤ H &lt; 4,000","")))))))))))))))))))))</f>
        <v/>
      </c>
      <c r="O134" s="14">
        <f>G134</f>
        <v>0</v>
      </c>
      <c r="P134" s="14" t="e">
        <f>VLOOKUP(K134,$B$107:$I$127,7,FALSE)</f>
        <v>#N/A</v>
      </c>
      <c r="Q134" s="14" t="e">
        <f>VLOOKUP(K134,$B$107:$I$127,8,FALSE)</f>
        <v>#N/A</v>
      </c>
      <c r="R134" s="14" t="e">
        <f>(P134+Q134*O134)</f>
        <v>#N/A</v>
      </c>
      <c r="S134" s="47" t="str">
        <f>IF(Calculator!N56="","",Calculator!N56)</f>
        <v/>
      </c>
      <c r="T134" s="17" t="e">
        <f>IF(R134&gt;=S134,S134,"n/a")</f>
        <v>#N/A</v>
      </c>
      <c r="U134" s="17" t="e">
        <f>X134*ETDF!$G$4</f>
        <v>#N/A</v>
      </c>
      <c r="V134" s="17" t="e">
        <f>X134*ETDF!$H$4</f>
        <v>#N/A</v>
      </c>
      <c r="W134" s="17" t="e">
        <f>U134</f>
        <v>#N/A</v>
      </c>
      <c r="X134" s="17" t="e">
        <f>IF(T134="N/A","new kWh/lb to high",B134*(J134*G134-T134*O134)*$G$100*$G$99/100)</f>
        <v>#N/A</v>
      </c>
      <c r="Y134" s="138" t="str">
        <f>'Ice Machine Incentive Ref'!E9</f>
        <v/>
      </c>
      <c r="Z134" s="14" t="b">
        <f>IF(M134="Ice Making Head","Ice Making Head",IF(M134="Remote Condensing w/out Remote Compressor","Remote Condensing Unit",IF(M134="Remote Condensing with Remote Compressor","Remote Condensing Unit",IF(M134="Self Contained Unit","Self Contained Unit"))))</f>
        <v>0</v>
      </c>
      <c r="AA134" s="1"/>
      <c r="AB134" s="1"/>
      <c r="AC134" s="1"/>
      <c r="AD134" s="1"/>
      <c r="AE134" s="1"/>
      <c r="AF134" s="1"/>
      <c r="AG134" s="1"/>
      <c r="AH134" s="1"/>
      <c r="AI134" s="1"/>
      <c r="AJ134" s="1"/>
    </row>
    <row r="135" spans="2:84">
      <c r="B135" s="17">
        <f>Calculator!G57</f>
        <v>0</v>
      </c>
      <c r="C135" s="14" t="str">
        <f>CONCATENATE(D135,E135,F135)</f>
        <v>00</v>
      </c>
      <c r="D135" s="14">
        <f>Calculator!I57</f>
        <v>0</v>
      </c>
      <c r="E135" s="14">
        <f>Calculator!J57</f>
        <v>0</v>
      </c>
      <c r="F135" s="14" t="str">
        <f>IF(AND(D135=$C$107,E135=$D$107,G135&lt;300),"&lt; 300",IF(AND(D135=$C$108,E135=$D$108,G135&gt;299.9,G135&lt;800),"300 ≤ H &lt; 800",IF(AND(D135=$C$109,E135=$D$109,G135&gt;799.9,G135&lt;1500),"800 ≤ H &lt; 1,500",IF(AND(D135=$C$110,E135=$D$110,G135&gt;1499.9,G135&lt;4000),"1,500 ≤ H &lt; 4,000",IF(AND(D135=$C$111,E135=$D$111,G135&lt;988),"&lt; 988",IF(AND(D135=$C$112,E135=$D$112,G135&gt;987.9,G135&lt;4000),"988 ≤ H &lt; 4,000",IF(AND(D135=$C$113,E135=$D$113,G135&lt;930),"&lt; 930",IF(AND(D135=$C$114,E135=$D$114,G135&gt;929.9,G135&lt;4000),"930 ≤ H &lt; 4,000",IF(AND(D135=$C$115,E135=$D$115,G135&lt;110),"&lt; 110",IF(AND(D135=$C$116,E135=$D$116,G135&gt;109.9,G135&lt;200),"110 ≤ H &lt; 200",IF(AND(D135=$C$117,E135=$D$117,G135&gt;199.9,G135&lt;4000),"200 ≤ H &lt; 4,000",IF(AND(D135=$C$118,E135=$D$118,G135&lt;310),"&lt; 310",IF(AND(D135=$C$119,E135=$D$119,G135&gt;309.9,G135&lt;820),"310 ≤ H &lt; 820",IF(AND(D135=$C$120,E135=$D$120,G135&gt;819.9,G135&lt;4000),"820 ≤ H &lt; 4,000",IF(AND(D135=$C$121,E135=$D$121,G135&lt;800),"&lt; 800",IF(AND(D135=$C$122,E135=$D$122,G135&gt;799.9,G135&lt;4000),"800 ≤ H &lt; 4,000",IF(AND(D135=$C$123,E135=$D$123,G135&lt;800),"&lt; 800",IF(AND(D135=$C$124,E135=$D$124,G135&gt;799.9,G135&lt;4000),"800 ≤ H &lt; 4,000",IF(AND(D135=$C$125,E135=$D$125,G135&lt;200),"&lt; 200",IF(AND(D135=$C$126,E135=$D$126,G135&gt;199.9,G135&lt;700),"200 ≤ H &lt; 700",IF(AND(D135=$C$127,E135=$D$127,G135&gt;699.9,G135&lt;4000),"700 ≤ H &lt; 4,000","")))))))))))))))))))))</f>
        <v/>
      </c>
      <c r="G135" s="14">
        <f>Calculator!H57</f>
        <v>0</v>
      </c>
      <c r="H135" s="14" t="e">
        <f>VLOOKUP(C135,$B$107:$G$127,5,FALSE)</f>
        <v>#N/A</v>
      </c>
      <c r="I135" s="14" t="e">
        <f>VLOOKUP(C135,$B$107:$G$127,6,FALSE)</f>
        <v>#N/A</v>
      </c>
      <c r="J135" s="14" t="e">
        <f>(H135+I135*G135)</f>
        <v>#N/A</v>
      </c>
      <c r="K135" s="14" t="str">
        <f>CONCATENATE(L135,M135,N135)</f>
        <v>00</v>
      </c>
      <c r="L135" s="14">
        <f>Calculator!K57</f>
        <v>0</v>
      </c>
      <c r="M135" s="13">
        <f>Calculator!L57</f>
        <v>0</v>
      </c>
      <c r="N135" s="14" t="str">
        <f>IF(AND(L135=$C$107,M135=$D$107,O135&lt;300),"&lt; 300",IF(AND(L135=$C$108,M135=$D$108,O135&gt;299.9,O135&lt;800),"300 ≤ H &lt; 800",IF(AND(L135=$C$109,M135=$D$109,O135&gt;799.9,O135&lt;1500),"800 ≤ H &lt; 1,500",IF(AND(L135=$C$110,M135=$D$110,O135&gt;1499.9,O135&lt;4000),"1,500 ≤ H &lt; 4,000",IF(AND(L135=$C$111,M135=$D$111,O135&gt;49.9,O135&lt;1000),"50 ≤ H &lt; 1,000",IF(AND(L135=$C$112,M135=$D$112,O135&gt;999.9,O135&lt;400),"1,000 ≤ H &lt; 4,000",IF(AND(L135=$C$113,M135=$D$113,O135&lt;942),"&lt; 942",IF(AND(L135=$C$114,M135=$D$114,O135&gt;941.9,O135&lt;4000),"942 ≤ H &lt; 4,000",IF(AND(L135=$C$115,M135=$D$115,O135&lt;110),"&lt; 110",IF(AND(L135=$C$116,M135=$D$116,O135&gt;109.9,O135&lt;200),"110 ≤ H &lt; 200",IF(AND(L135=$C$117,M135=$D$117,O135&gt;199.9,O135&lt;4000),"200 ≤ H &lt; 4,000",IF(AND(L135=$C$118,M135=$D$118,O135&lt;310),"&lt; 310",IF(AND(L135=$C$119,M135=$D$119,O135&gt;309.9,O135&lt;820),"310 ≤ H &lt; 820",IF(AND(L135=$C$120,M135=$D$120,O135&gt;819.9,O135&lt;4000),"820 ≤ H &lt; 4,000",IF(AND(L135=$C$121,M135=$D$121,O135&lt;800),"&lt; 800",IF(AND(L135=$C$122,M135=$D$122,O135&gt;799.9,O135&lt;4000),"800 ≤ H &lt; 4,000",IF(AND(L135=$C$123,M135=$D$123,O135&lt;800),"&lt; 800",IF(AND(L135=$C$124,M135=$D$124,O135&gt;799.9,O135&lt;4000),"800 ≤ H &lt; 4,000",IF(AND(L135=$C$125,M135=$D$125,O135&lt;200),"&lt; 200",IF(AND(L135=$C$126,M135=$D$126,O135&gt;199.9,O135&lt;700),"200 ≤ H &lt; 700",IF(AND(L135=$C$127,M135=$D$127,O135&gt;699.9,O135&lt;4000),"700 ≤ H &lt; 4,000","")))))))))))))))))))))</f>
        <v/>
      </c>
      <c r="O135" s="14">
        <f>G135</f>
        <v>0</v>
      </c>
      <c r="P135" s="14" t="e">
        <f>VLOOKUP(K135,$B$107:$I$127,7,FALSE)</f>
        <v>#N/A</v>
      </c>
      <c r="Q135" s="14" t="e">
        <f>VLOOKUP(K135,$B$107:$I$127,8,FALSE)</f>
        <v>#N/A</v>
      </c>
      <c r="R135" s="14" t="e">
        <f>(P135+Q135*O135)</f>
        <v>#N/A</v>
      </c>
      <c r="S135" s="47" t="str">
        <f>IF(Calculator!N57="","",Calculator!N57)</f>
        <v/>
      </c>
      <c r="T135" s="17" t="e">
        <f>IF(R135&gt;=S135,S135,"n/a")</f>
        <v>#N/A</v>
      </c>
      <c r="U135" s="17" t="e">
        <f>X135*ETDF!$G$4</f>
        <v>#N/A</v>
      </c>
      <c r="V135" s="17" t="e">
        <f>X135*ETDF!$H$4</f>
        <v>#N/A</v>
      </c>
      <c r="W135" s="17" t="e">
        <f>U135</f>
        <v>#N/A</v>
      </c>
      <c r="X135" s="17" t="e">
        <f>IF(T135="N/A","new kWh/lb to high",B135*(J135*G135-T135*O135)*$G$100*$G$99/100)</f>
        <v>#N/A</v>
      </c>
      <c r="Y135" s="138" t="str">
        <f>'Ice Machine Incentive Ref'!E10</f>
        <v/>
      </c>
      <c r="Z135" s="14" t="b">
        <f>IF(M135="Ice Making Head","Ice Making Head",IF(M135="Remote Condensing w/out Remote Compressor","Remote Condensing Unit",IF(M135="Remote Condensing with Remote Compressor","Remote Condensing Unit",IF(M135="Self Contained Unit","Self Contained Unit"))))</f>
        <v>0</v>
      </c>
      <c r="AA135" s="1"/>
      <c r="AB135" s="1"/>
      <c r="AC135" s="1"/>
      <c r="AD135" s="1"/>
      <c r="AE135" s="1"/>
      <c r="AF135" s="1"/>
      <c r="AG135" s="1"/>
      <c r="AH135" s="1"/>
      <c r="AI135" s="1"/>
      <c r="AJ135" s="1"/>
    </row>
    <row r="136" spans="2:84" s="33" customFormat="1" ht="18.600000000000001" customHeight="1">
      <c r="B136" s="1"/>
      <c r="C136" s="1"/>
      <c r="D136" s="1"/>
      <c r="E136" s="1"/>
      <c r="F136" s="1"/>
      <c r="G136" s="1"/>
      <c r="H136" s="1"/>
      <c r="I136" s="1"/>
      <c r="J136" s="1"/>
      <c r="K136" s="1"/>
      <c r="L136" s="1"/>
      <c r="M136" s="1"/>
      <c r="N136" s="1"/>
      <c r="O136" s="1"/>
      <c r="P136" s="1"/>
      <c r="Q136" s="1"/>
      <c r="R136" s="1"/>
      <c r="S136" s="1"/>
      <c r="T136" s="1"/>
      <c r="U136" s="1"/>
      <c r="V136" s="1"/>
      <c r="W136" s="1"/>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row>
    <row r="137" spans="2:84" ht="18.75" thickBot="1">
      <c r="B137" s="375" t="s">
        <v>99</v>
      </c>
      <c r="C137" s="375"/>
      <c r="D137" s="375"/>
      <c r="E137" s="375"/>
      <c r="F137" s="375"/>
      <c r="G137" s="375"/>
      <c r="H137" s="375"/>
      <c r="I137" s="375"/>
      <c r="J137" s="375"/>
      <c r="K137" s="16"/>
      <c r="L137" s="16"/>
      <c r="M137" s="16"/>
      <c r="N137" s="16"/>
      <c r="O137" s="16"/>
      <c r="P137" s="16"/>
      <c r="Q137" s="16"/>
      <c r="R137" s="16"/>
      <c r="S137" s="16"/>
      <c r="T137" s="16"/>
      <c r="U137" s="16"/>
      <c r="V137" s="16"/>
      <c r="W137" s="16"/>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row>
    <row r="138" spans="2:84" ht="18">
      <c r="B138" s="7" t="s">
        <v>218</v>
      </c>
      <c r="D138" s="7" t="s">
        <v>219</v>
      </c>
      <c r="H138" s="7" t="s">
        <v>88</v>
      </c>
      <c r="U138" s="89" t="s">
        <v>338</v>
      </c>
    </row>
    <row r="139" spans="2:84" ht="30">
      <c r="B139" s="32" t="s">
        <v>71</v>
      </c>
      <c r="C139" s="117" t="s">
        <v>157</v>
      </c>
      <c r="D139" s="14" t="s">
        <v>271</v>
      </c>
      <c r="E139" s="14">
        <v>7.3200000000000001E-2</v>
      </c>
      <c r="F139" s="14" t="s">
        <v>272</v>
      </c>
      <c r="G139" s="117" t="s">
        <v>273</v>
      </c>
      <c r="H139" s="137">
        <v>350</v>
      </c>
      <c r="I139" s="14" t="s">
        <v>274</v>
      </c>
      <c r="J139" s="117" t="s">
        <v>190</v>
      </c>
      <c r="U139" s="18" t="s">
        <v>115</v>
      </c>
      <c r="V139" s="18" t="s">
        <v>339</v>
      </c>
      <c r="W139" s="18" t="s">
        <v>340</v>
      </c>
    </row>
    <row r="140" spans="2:84">
      <c r="B140" s="32" t="s">
        <v>341</v>
      </c>
      <c r="C140" s="40" t="s">
        <v>225</v>
      </c>
      <c r="D140" s="14" t="s">
        <v>276</v>
      </c>
      <c r="E140" s="14">
        <v>100</v>
      </c>
      <c r="F140" s="14" t="s">
        <v>277</v>
      </c>
      <c r="G140" s="40" t="s">
        <v>248</v>
      </c>
      <c r="J140" s="40" t="s">
        <v>342</v>
      </c>
      <c r="U140" s="32" t="s">
        <v>343</v>
      </c>
      <c r="V140" s="88">
        <v>11</v>
      </c>
      <c r="W140" s="88">
        <v>283</v>
      </c>
    </row>
    <row r="141" spans="2:84" ht="15">
      <c r="B141" s="32" t="s">
        <v>344</v>
      </c>
      <c r="C141" s="117" t="s">
        <v>183</v>
      </c>
      <c r="D141" s="14"/>
      <c r="E141" s="14"/>
      <c r="F141" s="14"/>
      <c r="U141" s="32" t="s">
        <v>345</v>
      </c>
      <c r="V141" s="88">
        <v>14</v>
      </c>
      <c r="W141" s="88">
        <v>363</v>
      </c>
    </row>
    <row r="142" spans="2:84">
      <c r="C142" s="40" t="s">
        <v>280</v>
      </c>
      <c r="U142" s="32" t="s">
        <v>346</v>
      </c>
      <c r="V142" s="88">
        <v>12</v>
      </c>
      <c r="W142" s="88">
        <v>321</v>
      </c>
      <c r="X142" s="1"/>
      <c r="Y142" s="1"/>
    </row>
    <row r="143" spans="2:84" s="8" customFormat="1" ht="34.15" customHeight="1">
      <c r="B143" s="7" t="s">
        <v>281</v>
      </c>
      <c r="C143" s="1"/>
      <c r="D143" s="1"/>
      <c r="E143" s="1"/>
      <c r="F143" s="6"/>
      <c r="G143" s="7" t="s">
        <v>282</v>
      </c>
      <c r="H143" s="1"/>
      <c r="I143" s="1"/>
      <c r="J143" s="1"/>
      <c r="K143" s="6"/>
      <c r="L143" s="1"/>
      <c r="M143" s="1"/>
      <c r="N143" s="1"/>
      <c r="O143" s="1"/>
      <c r="P143" s="1"/>
      <c r="Q143" s="1"/>
      <c r="R143" s="1"/>
      <c r="S143" s="1"/>
      <c r="T143" s="1"/>
      <c r="U143" s="32" t="s">
        <v>246</v>
      </c>
      <c r="V143" s="88">
        <v>12</v>
      </c>
      <c r="W143" s="88">
        <v>365</v>
      </c>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row>
    <row r="144" spans="2:84" ht="15">
      <c r="B144" s="18" t="s">
        <v>71</v>
      </c>
      <c r="C144" s="19" t="s">
        <v>283</v>
      </c>
      <c r="D144" s="19" t="s">
        <v>284</v>
      </c>
      <c r="E144" s="19" t="s">
        <v>285</v>
      </c>
      <c r="G144" s="18" t="s">
        <v>231</v>
      </c>
      <c r="H144" s="19" t="s">
        <v>283</v>
      </c>
      <c r="I144" s="19" t="s">
        <v>284</v>
      </c>
      <c r="J144" s="19" t="s">
        <v>285</v>
      </c>
      <c r="K144" s="6"/>
      <c r="L144" s="8"/>
      <c r="M144" s="8"/>
      <c r="N144" s="8"/>
      <c r="O144" s="8"/>
      <c r="P144" s="8"/>
      <c r="Q144" s="8"/>
      <c r="R144" s="8"/>
      <c r="S144" s="8"/>
      <c r="T144" s="8"/>
      <c r="U144" s="32" t="s">
        <v>347</v>
      </c>
      <c r="V144" s="88">
        <v>11</v>
      </c>
      <c r="W144" s="88">
        <v>365</v>
      </c>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row>
    <row r="145" spans="2:82">
      <c r="B145" s="32" t="s">
        <v>341</v>
      </c>
      <c r="C145" s="36">
        <v>1.03</v>
      </c>
      <c r="D145" s="31">
        <v>0.68</v>
      </c>
      <c r="E145" s="36">
        <v>45</v>
      </c>
      <c r="G145" s="32" t="s">
        <v>341</v>
      </c>
      <c r="H145" s="36">
        <v>1</v>
      </c>
      <c r="I145" s="31">
        <v>0.71</v>
      </c>
      <c r="J145" s="36">
        <v>50</v>
      </c>
      <c r="K145" s="6"/>
      <c r="L145" s="6"/>
      <c r="M145" s="6"/>
      <c r="U145" s="32" t="s">
        <v>348</v>
      </c>
      <c r="V145" s="88">
        <v>20</v>
      </c>
      <c r="W145" s="88">
        <v>365</v>
      </c>
    </row>
    <row r="146" spans="2:82">
      <c r="B146" s="32" t="s">
        <v>344</v>
      </c>
      <c r="C146" s="36">
        <v>2</v>
      </c>
      <c r="D146" s="31">
        <v>0.65</v>
      </c>
      <c r="E146" s="36">
        <v>90</v>
      </c>
      <c r="G146" s="32" t="s">
        <v>344</v>
      </c>
      <c r="H146" s="36">
        <v>1.6</v>
      </c>
      <c r="I146" s="31">
        <v>0.71</v>
      </c>
      <c r="J146" s="36">
        <v>90</v>
      </c>
      <c r="K146" s="6"/>
      <c r="L146" s="6"/>
      <c r="M146" s="6"/>
      <c r="U146" s="32" t="s">
        <v>349</v>
      </c>
      <c r="V146" s="88">
        <v>9</v>
      </c>
      <c r="W146" s="88">
        <v>325</v>
      </c>
    </row>
    <row r="147" spans="2:82">
      <c r="U147" s="32" t="s">
        <v>350</v>
      </c>
      <c r="V147" s="88">
        <v>20</v>
      </c>
      <c r="W147" s="88">
        <v>365</v>
      </c>
      <c r="X147" s="1"/>
      <c r="Y147" s="1"/>
    </row>
    <row r="148" spans="2:82" s="8" customFormat="1" ht="15" customHeight="1">
      <c r="B148" s="7" t="s">
        <v>12</v>
      </c>
      <c r="C148" s="1"/>
      <c r="D148" s="1"/>
      <c r="E148" s="1"/>
      <c r="F148" s="1"/>
      <c r="G148" s="1"/>
      <c r="H148" s="1"/>
      <c r="I148" s="1"/>
      <c r="J148" s="1"/>
      <c r="K148" s="1"/>
      <c r="L148" s="1"/>
      <c r="M148" s="1"/>
      <c r="N148" s="1"/>
      <c r="O148" s="1"/>
      <c r="P148" s="1"/>
      <c r="Q148" s="1"/>
      <c r="R148" s="1"/>
      <c r="S148" s="1"/>
      <c r="T148" s="1"/>
      <c r="U148" s="32" t="s">
        <v>351</v>
      </c>
      <c r="V148" s="88">
        <v>5</v>
      </c>
      <c r="W148" s="88">
        <v>180</v>
      </c>
      <c r="X148" s="1"/>
      <c r="Y148" s="1"/>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row>
    <row r="149" spans="2:82" s="8" customFormat="1" ht="30">
      <c r="B149" s="365" t="s">
        <v>71</v>
      </c>
      <c r="C149" s="378" t="s">
        <v>352</v>
      </c>
      <c r="D149" s="378" t="s">
        <v>115</v>
      </c>
      <c r="E149" s="378" t="s">
        <v>353</v>
      </c>
      <c r="F149" s="378" t="s">
        <v>354</v>
      </c>
      <c r="G149" s="52" t="s">
        <v>288</v>
      </c>
      <c r="H149" s="52"/>
      <c r="I149" s="52"/>
      <c r="J149" s="44" t="s">
        <v>289</v>
      </c>
      <c r="K149" s="145"/>
      <c r="L149" s="90"/>
      <c r="M149" s="41" t="s">
        <v>291</v>
      </c>
      <c r="N149" s="41" t="s">
        <v>293</v>
      </c>
      <c r="O149" s="41" t="s">
        <v>355</v>
      </c>
      <c r="P149" s="41" t="s">
        <v>356</v>
      </c>
      <c r="Q149" s="41" t="s">
        <v>237</v>
      </c>
      <c r="R149" s="41" t="s">
        <v>82</v>
      </c>
      <c r="S149" s="366" t="s">
        <v>118</v>
      </c>
      <c r="U149" s="32" t="s">
        <v>357</v>
      </c>
      <c r="V149" s="88">
        <v>8</v>
      </c>
      <c r="W149" s="88">
        <v>180</v>
      </c>
      <c r="X149" s="1"/>
      <c r="Y149" s="1"/>
      <c r="Z149" s="1"/>
      <c r="AA149" s="6"/>
      <c r="AB149" s="6"/>
      <c r="AC149" s="6"/>
      <c r="AD149" s="6"/>
      <c r="AE149" s="6"/>
      <c r="AF149" s="6"/>
    </row>
    <row r="150" spans="2:82" ht="14.25" customHeight="1">
      <c r="B150" s="365"/>
      <c r="C150" s="379"/>
      <c r="D150" s="379"/>
      <c r="E150" s="379"/>
      <c r="F150" s="379"/>
      <c r="G150" s="37" t="s">
        <v>283</v>
      </c>
      <c r="H150" s="37" t="s">
        <v>284</v>
      </c>
      <c r="I150" s="37" t="s">
        <v>285</v>
      </c>
      <c r="J150" s="37" t="s">
        <v>283</v>
      </c>
      <c r="K150" s="37" t="s">
        <v>284</v>
      </c>
      <c r="L150" s="37" t="s">
        <v>285</v>
      </c>
      <c r="M150" s="41"/>
      <c r="N150" s="41"/>
      <c r="O150" s="41"/>
      <c r="P150" s="41"/>
      <c r="Q150" s="41"/>
      <c r="R150" s="41"/>
      <c r="S150" s="368"/>
      <c r="T150" s="8"/>
      <c r="U150" s="32" t="s">
        <v>358</v>
      </c>
      <c r="V150" s="88">
        <v>12</v>
      </c>
      <c r="W150" s="88">
        <v>250</v>
      </c>
      <c r="X150" s="1"/>
      <c r="Y150" s="1"/>
      <c r="Z150" s="1"/>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row>
    <row r="151" spans="2:82">
      <c r="B151" s="14">
        <f>Calculator!H63</f>
        <v>0</v>
      </c>
      <c r="C151" s="17">
        <f>Calculator!G63</f>
        <v>0</v>
      </c>
      <c r="D151" s="17">
        <f>Calculator!I63</f>
        <v>0</v>
      </c>
      <c r="E151" s="17" t="e">
        <f>INDEX($V$140:$V$151,MATCH(D151,BuildingTypeOven,0))</f>
        <v>#N/A</v>
      </c>
      <c r="F151" s="17" t="e">
        <f>INDEX($W$140:$W$151,MATCH(D151,BuildingTypeOven,0))</f>
        <v>#N/A</v>
      </c>
      <c r="G151" s="17" t="e">
        <f>VLOOKUP(B151,$B$145:$E$146,2,FALSE)</f>
        <v>#N/A</v>
      </c>
      <c r="H151" s="17" t="e">
        <f>VLOOKUP(B151,$B$145:$E$146,3,FALSE)</f>
        <v>#N/A</v>
      </c>
      <c r="I151" s="17" t="e">
        <f>VLOOKUP(B151,$B$145:$E$146,4,FALSE)</f>
        <v>#N/A</v>
      </c>
      <c r="J151" s="17" t="e">
        <f>VLOOKUP(B151,$G$145:$J$146,2,FALSE)</f>
        <v>#N/A</v>
      </c>
      <c r="K151" s="17" t="e">
        <f>VLOOKUP(B151,$G$145:$J$146,3,FALSE)</f>
        <v>#N/A</v>
      </c>
      <c r="L151" s="17" t="e">
        <f>VLOOKUP(B151,$G$145:$J$146,4,FALSE)</f>
        <v>#N/A</v>
      </c>
      <c r="M151" s="17" t="e">
        <f>C151*(F151*(($E$140*$E$139/H151+G151*(E151-$E$140/I151))))</f>
        <v>#N/A</v>
      </c>
      <c r="N151" s="17" t="e">
        <f>C151*(F151*(($E$140*$E$139/K151+J151*(E151-$E$83/L151))))</f>
        <v>#N/A</v>
      </c>
      <c r="O151" s="17" t="e">
        <f>ETDF!$G$4*Calculations!R151</f>
        <v>#N/A</v>
      </c>
      <c r="P151" s="17" t="e">
        <f>ETDF!$H$4*Calculations!R151</f>
        <v>#N/A</v>
      </c>
      <c r="Q151" s="17" t="e">
        <f>O151</f>
        <v>#N/A</v>
      </c>
      <c r="R151" s="17" t="e">
        <f>M151-N151</f>
        <v>#N/A</v>
      </c>
      <c r="S151" s="124">
        <f>IFERROR(ROUND(C151*$H$139,2),"")</f>
        <v>0</v>
      </c>
      <c r="U151" s="32" t="s">
        <v>359</v>
      </c>
      <c r="V151" s="88">
        <v>11</v>
      </c>
      <c r="W151" s="88">
        <v>283</v>
      </c>
      <c r="X151" s="1"/>
      <c r="Y151" s="1"/>
      <c r="Z151" s="1"/>
    </row>
    <row r="152" spans="2:82">
      <c r="B152" s="14">
        <f>Calculator!H64</f>
        <v>0</v>
      </c>
      <c r="C152" s="17">
        <f>Calculator!G64</f>
        <v>0</v>
      </c>
      <c r="D152" s="17">
        <f>Calculator!I64</f>
        <v>0</v>
      </c>
      <c r="E152" s="17" t="e">
        <f>INDEX($V$140:$V$151,MATCH(D152,BuildingTypeOven,0))</f>
        <v>#N/A</v>
      </c>
      <c r="F152" s="17" t="e">
        <f>INDEX($W$140:$W$151,MATCH(D152,BuildingTypeOven,0))</f>
        <v>#N/A</v>
      </c>
      <c r="G152" s="17" t="e">
        <f>VLOOKUP(B152,$B$145:$E$146,2,FALSE)</f>
        <v>#N/A</v>
      </c>
      <c r="H152" s="17" t="e">
        <f>VLOOKUP(B152,$B$145:$E$146,3,FALSE)</f>
        <v>#N/A</v>
      </c>
      <c r="I152" s="17" t="e">
        <f>VLOOKUP(B152,$B$145:$E$146,4,FALSE)</f>
        <v>#N/A</v>
      </c>
      <c r="J152" s="17" t="e">
        <f>VLOOKUP(B152,$G$145:$J$146,2,FALSE)</f>
        <v>#N/A</v>
      </c>
      <c r="K152" s="17" t="e">
        <f>VLOOKUP(B152,$G$145:$J$146,3,FALSE)</f>
        <v>#N/A</v>
      </c>
      <c r="L152" s="17" t="e">
        <f>VLOOKUP(B152,$G$145:$J$146,4,FALSE)</f>
        <v>#N/A</v>
      </c>
      <c r="M152" s="17" t="e">
        <f>C152*(F152*(($E$140*$E$139/H152+G152*(E152-$E$140/I152))))</f>
        <v>#N/A</v>
      </c>
      <c r="N152" s="17" t="e">
        <f>C152*(F152*(($E$140*$E$139/K152+J152*(E152-$E$83/L152))))</f>
        <v>#N/A</v>
      </c>
      <c r="O152" s="17" t="e">
        <f>ETDF!$G$4*Calculations!R152</f>
        <v>#N/A</v>
      </c>
      <c r="P152" s="17" t="e">
        <f>ETDF!$H$4*Calculations!R152</f>
        <v>#N/A</v>
      </c>
      <c r="Q152" s="17" t="e">
        <f>O152</f>
        <v>#N/A</v>
      </c>
      <c r="R152" s="17" t="e">
        <f>M152-N152</f>
        <v>#N/A</v>
      </c>
      <c r="S152" s="124">
        <f>IFERROR(ROUND(C152*$H$139,2),"")</f>
        <v>0</v>
      </c>
      <c r="X152" s="1"/>
      <c r="Y152" s="1"/>
    </row>
    <row r="153" spans="2:82" s="33" customFormat="1" ht="18.600000000000001" customHeight="1">
      <c r="B153" s="1"/>
      <c r="C153" s="1"/>
      <c r="D153" s="1"/>
      <c r="E153" s="1"/>
      <c r="F153" s="1"/>
      <c r="G153" s="1"/>
      <c r="H153" s="1"/>
      <c r="I153" s="1"/>
      <c r="J153" s="1"/>
      <c r="K153" s="1"/>
      <c r="L153" s="1"/>
      <c r="M153" s="1"/>
      <c r="N153" s="1"/>
      <c r="O153" s="1"/>
      <c r="P153" s="1"/>
      <c r="Q153" s="1"/>
      <c r="R153" s="1"/>
      <c r="S153" s="1"/>
      <c r="T153" s="1"/>
      <c r="U153" s="1"/>
      <c r="V153" s="1"/>
      <c r="W153" s="1"/>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row>
    <row r="154" spans="2:82" ht="18.75" thickBot="1">
      <c r="B154" s="375" t="s">
        <v>100</v>
      </c>
      <c r="C154" s="375"/>
      <c r="D154" s="375"/>
      <c r="E154" s="375"/>
      <c r="F154" s="375"/>
      <c r="G154" s="375"/>
      <c r="H154" s="375"/>
      <c r="I154" s="375"/>
      <c r="J154" s="375"/>
      <c r="K154" s="16"/>
      <c r="L154" s="16"/>
      <c r="M154" s="16"/>
      <c r="N154" s="16"/>
      <c r="O154" s="16"/>
      <c r="P154" s="16"/>
      <c r="Q154" s="16"/>
      <c r="R154" s="16"/>
      <c r="S154" s="16"/>
      <c r="T154" s="16"/>
      <c r="U154" s="16"/>
      <c r="V154" s="16"/>
      <c r="W154" s="16"/>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row>
    <row r="155" spans="2:82" ht="18">
      <c r="B155" s="7" t="s">
        <v>218</v>
      </c>
      <c r="D155" s="7" t="s">
        <v>219</v>
      </c>
      <c r="H155" s="7" t="s">
        <v>88</v>
      </c>
      <c r="J155" s="117" t="s">
        <v>190</v>
      </c>
      <c r="R155" s="6"/>
      <c r="S155" s="6"/>
      <c r="T155" s="6"/>
      <c r="U155" s="6"/>
      <c r="V155" s="6"/>
      <c r="W155" s="6"/>
    </row>
    <row r="156" spans="2:82" ht="15">
      <c r="B156" s="32" t="s">
        <v>21</v>
      </c>
      <c r="C156" s="117" t="s">
        <v>157</v>
      </c>
      <c r="D156" s="14" t="s">
        <v>360</v>
      </c>
      <c r="E156" s="14">
        <v>7.3200000000000001E-2</v>
      </c>
      <c r="F156" s="14" t="s">
        <v>272</v>
      </c>
      <c r="G156" s="117" t="s">
        <v>273</v>
      </c>
      <c r="H156" s="137">
        <v>1000</v>
      </c>
      <c r="I156" s="14" t="s">
        <v>274</v>
      </c>
      <c r="J156" s="40" t="s">
        <v>361</v>
      </c>
      <c r="R156" s="6"/>
      <c r="T156" s="6"/>
      <c r="U156" s="6"/>
      <c r="V156" s="6"/>
      <c r="W156" s="6"/>
    </row>
    <row r="157" spans="2:82">
      <c r="B157" s="32" t="s">
        <v>362</v>
      </c>
      <c r="C157" s="40" t="s">
        <v>225</v>
      </c>
      <c r="D157" s="14" t="s">
        <v>363</v>
      </c>
      <c r="E157" s="14">
        <v>3.0800000000000001E-2</v>
      </c>
      <c r="F157" s="14" t="s">
        <v>272</v>
      </c>
      <c r="G157" s="40" t="s">
        <v>248</v>
      </c>
      <c r="R157" s="6"/>
      <c r="T157" s="6"/>
      <c r="U157" s="6"/>
      <c r="V157" s="6"/>
      <c r="W157" s="6"/>
    </row>
    <row r="158" spans="2:82" ht="15">
      <c r="B158" s="32" t="s">
        <v>364</v>
      </c>
      <c r="C158" s="117" t="s">
        <v>183</v>
      </c>
      <c r="D158" s="14" t="s">
        <v>276</v>
      </c>
      <c r="E158" s="14">
        <v>200</v>
      </c>
      <c r="F158" s="14" t="s">
        <v>277</v>
      </c>
      <c r="R158" s="6"/>
      <c r="T158" s="6"/>
      <c r="U158" s="6"/>
      <c r="V158" s="6"/>
      <c r="W158" s="6"/>
    </row>
    <row r="159" spans="2:82">
      <c r="C159" s="40" t="s">
        <v>280</v>
      </c>
      <c r="D159" s="14"/>
      <c r="E159" s="14"/>
      <c r="F159" s="14"/>
      <c r="R159" s="6"/>
      <c r="T159" s="6"/>
      <c r="U159" s="6"/>
      <c r="V159" s="6"/>
      <c r="W159" s="6"/>
    </row>
    <row r="160" spans="2:82">
      <c r="D160" s="14" t="s">
        <v>365</v>
      </c>
      <c r="E160" s="31">
        <v>0.5</v>
      </c>
      <c r="F160" s="14"/>
      <c r="R160" s="6"/>
      <c r="T160" s="6"/>
      <c r="U160" s="6"/>
      <c r="V160" s="6"/>
      <c r="W160" s="6"/>
    </row>
    <row r="162" spans="2:82" s="8" customFormat="1" ht="34.15" customHeight="1">
      <c r="B162" s="7" t="s">
        <v>281</v>
      </c>
      <c r="C162" s="1"/>
      <c r="D162" s="1"/>
      <c r="E162" s="1"/>
      <c r="F162" s="6"/>
      <c r="G162" s="1"/>
      <c r="H162" s="7" t="s">
        <v>282</v>
      </c>
      <c r="I162" s="1"/>
      <c r="J162" s="1"/>
      <c r="K162" s="6"/>
      <c r="L162" s="1"/>
      <c r="M162" s="1"/>
      <c r="N162" s="1"/>
      <c r="O162" s="1"/>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row>
    <row r="163" spans="2:82" ht="15">
      <c r="B163" s="18" t="s">
        <v>21</v>
      </c>
      <c r="C163" s="18" t="s">
        <v>366</v>
      </c>
      <c r="D163" s="19" t="s">
        <v>283</v>
      </c>
      <c r="E163" s="19" t="s">
        <v>284</v>
      </c>
      <c r="F163" s="19" t="s">
        <v>285</v>
      </c>
      <c r="H163" s="18" t="s">
        <v>231</v>
      </c>
      <c r="I163" s="18" t="s">
        <v>366</v>
      </c>
      <c r="J163" s="19" t="s">
        <v>367</v>
      </c>
      <c r="K163" s="19" t="s">
        <v>368</v>
      </c>
      <c r="L163" s="19" t="s">
        <v>284</v>
      </c>
      <c r="M163" s="19" t="s">
        <v>285</v>
      </c>
      <c r="N163" s="6"/>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row>
    <row r="164" spans="2:82">
      <c r="B164" s="32" t="s">
        <v>362</v>
      </c>
      <c r="C164" s="32" t="s">
        <v>342</v>
      </c>
      <c r="D164" s="36">
        <v>1.32</v>
      </c>
      <c r="E164" s="31">
        <v>0.72</v>
      </c>
      <c r="F164" s="36">
        <v>79</v>
      </c>
      <c r="H164" s="32" t="s">
        <v>362</v>
      </c>
      <c r="I164" s="32" t="s">
        <v>342</v>
      </c>
      <c r="J164" s="32">
        <v>0.08</v>
      </c>
      <c r="K164" s="56">
        <v>0.49890000000000001</v>
      </c>
      <c r="L164" s="31">
        <v>0.76</v>
      </c>
      <c r="M164" s="36">
        <v>119</v>
      </c>
      <c r="N164" s="6"/>
      <c r="O164" s="6"/>
      <c r="P164" s="6"/>
      <c r="Q164" s="6"/>
      <c r="R164" s="6"/>
      <c r="S164" s="6"/>
      <c r="T164" s="6"/>
      <c r="U164" s="6"/>
      <c r="V164" s="6"/>
      <c r="W164" s="6"/>
    </row>
    <row r="165" spans="2:82" ht="15">
      <c r="B165" s="38" t="s">
        <v>369</v>
      </c>
      <c r="C165" s="32" t="s">
        <v>342</v>
      </c>
      <c r="D165" s="36">
        <v>2.2799999999999998</v>
      </c>
      <c r="E165" s="31">
        <v>0.72</v>
      </c>
      <c r="F165" s="36">
        <v>166</v>
      </c>
      <c r="H165" s="38" t="s">
        <v>369</v>
      </c>
      <c r="I165" s="32" t="s">
        <v>342</v>
      </c>
      <c r="J165" s="32">
        <v>0.08</v>
      </c>
      <c r="K165" s="56">
        <v>0.49890000000000001</v>
      </c>
      <c r="L165" s="31">
        <v>0.76</v>
      </c>
      <c r="M165" s="36">
        <v>201</v>
      </c>
      <c r="N165" s="6"/>
      <c r="O165" s="6"/>
      <c r="P165" s="6"/>
      <c r="Q165" s="6"/>
      <c r="R165" s="6"/>
      <c r="S165" s="6"/>
      <c r="T165" s="6"/>
      <c r="U165" s="6"/>
      <c r="V165" s="6"/>
      <c r="W165" s="6"/>
    </row>
    <row r="166" spans="2:82">
      <c r="B166" s="32" t="s">
        <v>362</v>
      </c>
      <c r="C166" s="32" t="s">
        <v>370</v>
      </c>
      <c r="D166" s="36">
        <v>5.26</v>
      </c>
      <c r="E166" s="31">
        <v>0.49</v>
      </c>
      <c r="F166" s="36">
        <v>126</v>
      </c>
      <c r="H166" s="32" t="s">
        <v>362</v>
      </c>
      <c r="I166" s="32" t="s">
        <v>370</v>
      </c>
      <c r="J166" s="32">
        <v>0.13300000000000001</v>
      </c>
      <c r="K166" s="36">
        <v>0.64</v>
      </c>
      <c r="L166" s="31">
        <v>0.55000000000000004</v>
      </c>
      <c r="M166" s="36">
        <v>177</v>
      </c>
      <c r="N166" s="6"/>
      <c r="O166" s="6"/>
      <c r="P166" s="6"/>
      <c r="Q166" s="6"/>
      <c r="R166" s="6"/>
      <c r="S166" s="6"/>
      <c r="T166" s="6"/>
      <c r="U166" s="6"/>
      <c r="V166" s="6"/>
      <c r="W166" s="6"/>
    </row>
    <row r="167" spans="2:82" ht="15">
      <c r="B167" s="38" t="s">
        <v>369</v>
      </c>
      <c r="C167" s="32" t="s">
        <v>370</v>
      </c>
      <c r="D167" s="36">
        <v>8.7100000000000009</v>
      </c>
      <c r="E167" s="31">
        <v>0.49</v>
      </c>
      <c r="F167" s="36">
        <v>295</v>
      </c>
      <c r="H167" s="38" t="s">
        <v>369</v>
      </c>
      <c r="I167" s="32" t="s">
        <v>370</v>
      </c>
      <c r="J167" s="32">
        <v>0.13300000000000001</v>
      </c>
      <c r="K167" s="36">
        <v>0.64</v>
      </c>
      <c r="L167" s="31">
        <v>0.55000000000000004</v>
      </c>
      <c r="M167" s="36">
        <v>349</v>
      </c>
      <c r="N167" s="6"/>
      <c r="O167" s="6"/>
      <c r="P167" s="6"/>
      <c r="Q167" s="6"/>
      <c r="R167" s="6"/>
      <c r="S167" s="6"/>
      <c r="T167" s="6"/>
      <c r="U167" s="6"/>
      <c r="V167" s="6"/>
      <c r="W167" s="6"/>
    </row>
    <row r="168" spans="2:82">
      <c r="Y168" s="140"/>
    </row>
    <row r="169" spans="2:82" s="8" customFormat="1" ht="18">
      <c r="B169" s="7" t="s">
        <v>12</v>
      </c>
      <c r="C169" s="1"/>
      <c r="D169" s="1"/>
      <c r="E169" s="1"/>
      <c r="F169" s="1"/>
      <c r="G169" s="1"/>
      <c r="H169" s="1"/>
      <c r="I169" s="1"/>
      <c r="J169" s="1"/>
      <c r="K169" s="1"/>
      <c r="L169" s="1"/>
      <c r="M169" s="1"/>
      <c r="N169" s="1"/>
      <c r="O169" s="1"/>
      <c r="P169" s="1"/>
      <c r="Q169" s="1"/>
      <c r="R169" s="1"/>
      <c r="S169" s="1"/>
      <c r="T169" s="1"/>
      <c r="U169" s="1"/>
      <c r="V169" s="1"/>
      <c r="W169" s="1"/>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row>
    <row r="170" spans="2:82" s="8" customFormat="1" ht="15" customHeight="1">
      <c r="B170" s="366" t="s">
        <v>140</v>
      </c>
      <c r="C170" s="366" t="s">
        <v>21</v>
      </c>
      <c r="D170" s="366" t="s">
        <v>21</v>
      </c>
      <c r="E170" s="366" t="s">
        <v>115</v>
      </c>
      <c r="F170" s="380" t="s">
        <v>286</v>
      </c>
      <c r="G170" s="380" t="s">
        <v>354</v>
      </c>
      <c r="H170" s="369" t="s">
        <v>288</v>
      </c>
      <c r="I170" s="370"/>
      <c r="J170" s="370"/>
      <c r="K170" s="370"/>
      <c r="L170" s="370"/>
      <c r="M170" s="370"/>
      <c r="N170" s="370"/>
      <c r="O170" s="371"/>
      <c r="P170" s="369" t="s">
        <v>289</v>
      </c>
      <c r="Q170" s="370"/>
      <c r="R170" s="370"/>
      <c r="S170" s="370"/>
      <c r="T170" s="370"/>
      <c r="U170" s="370"/>
      <c r="V170" s="370"/>
      <c r="W170" s="371"/>
      <c r="X170" s="365" t="s">
        <v>291</v>
      </c>
      <c r="Y170" s="365" t="s">
        <v>293</v>
      </c>
      <c r="Z170" s="366" t="s">
        <v>355</v>
      </c>
      <c r="AA170" s="366" t="s">
        <v>356</v>
      </c>
      <c r="AB170" s="365" t="s">
        <v>237</v>
      </c>
      <c r="AC170" s="365" t="s">
        <v>82</v>
      </c>
      <c r="AD170" s="363" t="s">
        <v>118</v>
      </c>
      <c r="AE170" s="1"/>
      <c r="AF170" s="1"/>
      <c r="AG170" s="1"/>
      <c r="AH170" s="1"/>
      <c r="AI170" s="1"/>
      <c r="AJ170" s="1"/>
      <c r="AK170" s="1"/>
      <c r="AL170" s="1"/>
      <c r="AM170" s="6"/>
      <c r="AN170" s="6"/>
      <c r="AO170" s="6"/>
      <c r="AP170" s="6"/>
      <c r="AQ170" s="6"/>
      <c r="AR170" s="6"/>
    </row>
    <row r="171" spans="2:82" s="8" customFormat="1" ht="15">
      <c r="B171" s="367"/>
      <c r="C171" s="367"/>
      <c r="D171" s="367"/>
      <c r="E171" s="367"/>
      <c r="F171" s="380"/>
      <c r="G171" s="380"/>
      <c r="H171" s="369" t="s">
        <v>342</v>
      </c>
      <c r="I171" s="370"/>
      <c r="J171" s="370"/>
      <c r="K171" s="371"/>
      <c r="L171" s="369" t="s">
        <v>370</v>
      </c>
      <c r="M171" s="370"/>
      <c r="N171" s="370"/>
      <c r="O171" s="371"/>
      <c r="P171" s="369" t="s">
        <v>342</v>
      </c>
      <c r="Q171" s="370"/>
      <c r="R171" s="370"/>
      <c r="S171" s="371"/>
      <c r="T171" s="369" t="s">
        <v>370</v>
      </c>
      <c r="U171" s="370"/>
      <c r="V171" s="370"/>
      <c r="W171" s="371"/>
      <c r="X171" s="365"/>
      <c r="Y171" s="365"/>
      <c r="Z171" s="367"/>
      <c r="AA171" s="367"/>
      <c r="AB171" s="365"/>
      <c r="AC171" s="365"/>
      <c r="AD171" s="363"/>
      <c r="AE171" s="1"/>
      <c r="AF171" s="1"/>
      <c r="AG171" s="1"/>
      <c r="AH171" s="1"/>
      <c r="AI171" s="1"/>
      <c r="AJ171" s="1"/>
      <c r="AK171" s="1"/>
      <c r="AL171" s="1"/>
      <c r="AM171" s="6"/>
      <c r="AN171" s="6"/>
      <c r="AO171" s="6"/>
      <c r="AP171" s="6"/>
      <c r="AQ171" s="6"/>
      <c r="AR171" s="6"/>
    </row>
    <row r="172" spans="2:82" ht="15">
      <c r="B172" s="368"/>
      <c r="C172" s="368"/>
      <c r="D172" s="368"/>
      <c r="E172" s="368"/>
      <c r="F172" s="380"/>
      <c r="G172" s="380"/>
      <c r="H172" s="37" t="s">
        <v>283</v>
      </c>
      <c r="I172" s="37" t="s">
        <v>284</v>
      </c>
      <c r="J172" s="37" t="s">
        <v>285</v>
      </c>
      <c r="K172" s="37" t="s">
        <v>82</v>
      </c>
      <c r="L172" s="37" t="s">
        <v>283</v>
      </c>
      <c r="M172" s="37" t="s">
        <v>284</v>
      </c>
      <c r="N172" s="37" t="s">
        <v>285</v>
      </c>
      <c r="O172" s="37" t="s">
        <v>82</v>
      </c>
      <c r="P172" s="37" t="s">
        <v>283</v>
      </c>
      <c r="Q172" s="37" t="s">
        <v>284</v>
      </c>
      <c r="R172" s="37" t="s">
        <v>285</v>
      </c>
      <c r="S172" s="37" t="s">
        <v>82</v>
      </c>
      <c r="T172" s="37" t="s">
        <v>283</v>
      </c>
      <c r="U172" s="37" t="s">
        <v>284</v>
      </c>
      <c r="V172" s="37" t="s">
        <v>285</v>
      </c>
      <c r="W172" s="37" t="s">
        <v>82</v>
      </c>
      <c r="X172" s="365"/>
      <c r="Y172" s="365"/>
      <c r="Z172" s="368"/>
      <c r="AA172" s="368"/>
      <c r="AB172" s="365"/>
      <c r="AC172" s="365"/>
      <c r="AD172" s="364"/>
      <c r="AE172" s="1"/>
      <c r="AF172" s="1"/>
      <c r="AG172" s="1"/>
      <c r="AH172" s="1"/>
      <c r="AI172" s="1"/>
      <c r="AJ172" s="1"/>
      <c r="AK172" s="1"/>
      <c r="AL172" s="1"/>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row>
    <row r="173" spans="2:82">
      <c r="B173" s="39">
        <f>Calculator!G70</f>
        <v>0</v>
      </c>
      <c r="C173" s="39">
        <f>Calculator!H70</f>
        <v>0</v>
      </c>
      <c r="D173" s="14" t="str">
        <f>IF(C173&lt;15,"&lt; 15","≥ 15")</f>
        <v>&lt; 15</v>
      </c>
      <c r="E173" s="36">
        <f>Calculator!I70</f>
        <v>0</v>
      </c>
      <c r="F173" s="17" t="e">
        <f>INDEX($V$140:$V$151,MATCH(E173,BuildingTypeOven,0))</f>
        <v>#N/A</v>
      </c>
      <c r="G173" s="17" t="e">
        <f>INDEX($W$140:$W$151,MATCH(E173,BuildingTypeOven,0))</f>
        <v>#N/A</v>
      </c>
      <c r="H173" s="17">
        <f>VLOOKUP(D173,$B$164:$F$165,3,FALSE)</f>
        <v>1.32</v>
      </c>
      <c r="I173" s="17">
        <f>VLOOKUP(D173,$B$164:$F$165,4,FALSE)</f>
        <v>0.72</v>
      </c>
      <c r="J173" s="17">
        <f>VLOOKUP(D173,$B$164:$F$165,5,FALSE)</f>
        <v>79</v>
      </c>
      <c r="K173" s="17" t="e">
        <f>B173*($E$158*$E$156/I173+H173*(F173-$E$158/J173))*$E$160*$G$173</f>
        <v>#N/A</v>
      </c>
      <c r="L173" s="17">
        <f>VLOOKUP(D173,$B$166:$F$167,3,FALSE)</f>
        <v>5.26</v>
      </c>
      <c r="M173" s="17">
        <f>VLOOKUP(D173,$B$166:$F$167,4,FALSE)</f>
        <v>0.49</v>
      </c>
      <c r="N173" s="17">
        <f>VLOOKUP(D173,$B$166:$F$167,5,FALSE)</f>
        <v>126</v>
      </c>
      <c r="O173" s="17" t="e">
        <f>B173*($E$158*$E$157/M173+L173*($F173-$E$158/N173))*$E$160*$G$173</f>
        <v>#N/A</v>
      </c>
      <c r="P173" s="17">
        <f>VLOOKUP(D173,$H$164:$M$165,3,FALSE)*C173+VLOOKUP(D173,$H$164:$M$165,4,FALSE)</f>
        <v>0.49890000000000001</v>
      </c>
      <c r="Q173" s="17">
        <f>VLOOKUP(D173,$H$164:$M$165,5,FALSE)</f>
        <v>0.76</v>
      </c>
      <c r="R173" s="17">
        <f>VLOOKUP(D173,$H$164:$M$165,6,FALSE)</f>
        <v>119</v>
      </c>
      <c r="S173" s="17" t="e">
        <f>B173*($E$158*$E$156/Q173+P173*($F173-$E$158/R173))*$E$160*$G$173</f>
        <v>#N/A</v>
      </c>
      <c r="T173" s="17">
        <f>VLOOKUP(D173,$H$166:$M$167,3,FALSE)*C173+VLOOKUP(D173,$H$166:$M$167,4,FALSE)</f>
        <v>0.64</v>
      </c>
      <c r="U173" s="17">
        <f>VLOOKUP(D173,$H$166:$M$167,5,FALSE)</f>
        <v>0.55000000000000004</v>
      </c>
      <c r="V173" s="17">
        <f>VLOOKUP(D173,$H$166:$M$167,6,FALSE)</f>
        <v>177</v>
      </c>
      <c r="W173" s="17" t="e">
        <f>B173*($E$158*$E$157/U173+T173*($F173-$E$158/V173))*$E$160*$G$173</f>
        <v>#N/A</v>
      </c>
      <c r="X173" s="17">
        <f>IF(B173=0,0,K173+O173)</f>
        <v>0</v>
      </c>
      <c r="Y173" s="17">
        <f>IF(B173=0,0,S173+W173)</f>
        <v>0</v>
      </c>
      <c r="Z173" s="17" t="e">
        <f>ETDF!$G$4*Calculations!AC173</f>
        <v>#N/A</v>
      </c>
      <c r="AA173" s="17" t="e">
        <f>ETDF!$H$4*Calculations!AC173</f>
        <v>#N/A</v>
      </c>
      <c r="AB173" s="17">
        <f>IFERROR(Z173,0)</f>
        <v>0</v>
      </c>
      <c r="AC173" s="126">
        <f>X173-Y173</f>
        <v>0</v>
      </c>
      <c r="AD173" s="124">
        <f>IFERROR(ROUND(B173*$H$156,2),"")</f>
        <v>0</v>
      </c>
      <c r="AE173" s="1"/>
      <c r="AF173" s="1"/>
      <c r="AG173" s="1"/>
      <c r="AH173" s="1"/>
      <c r="AI173" s="1"/>
      <c r="AJ173" s="1"/>
      <c r="AK173" s="1"/>
      <c r="AL173" s="1"/>
    </row>
    <row r="174" spans="2:82">
      <c r="B174" s="39">
        <f>Calculator!G71</f>
        <v>0</v>
      </c>
      <c r="C174" s="39">
        <f>Calculator!H71</f>
        <v>0</v>
      </c>
      <c r="D174" s="14" t="str">
        <f>IF(C174&lt;15,"&lt; 15","≥ 15")</f>
        <v>&lt; 15</v>
      </c>
      <c r="E174" s="36">
        <f>Calculator!I71</f>
        <v>0</v>
      </c>
      <c r="F174" s="17" t="e">
        <f>INDEX($V$140:$V$151,MATCH(E174,BuildingTypeOven,0))</f>
        <v>#N/A</v>
      </c>
      <c r="G174" s="17" t="e">
        <f>INDEX($W$140:$W$151,MATCH(E174,BuildingTypeOven,0))</f>
        <v>#N/A</v>
      </c>
      <c r="H174" s="17">
        <f>VLOOKUP(D174,$B$164:$F$165,3,FALSE)</f>
        <v>1.32</v>
      </c>
      <c r="I174" s="17">
        <f>VLOOKUP(D174,$B$164:$F$165,4,FALSE)</f>
        <v>0.72</v>
      </c>
      <c r="J174" s="17">
        <f>VLOOKUP(D174,$B$164:$F$165,5,FALSE)</f>
        <v>79</v>
      </c>
      <c r="K174" s="17" t="e">
        <f>($E$158*$E$156/I174+H174*(F174-$E$158/J174))*$E$160*$G$174</f>
        <v>#N/A</v>
      </c>
      <c r="L174" s="17">
        <f>VLOOKUP(D174,$B$166:$F$167,3,FALSE)</f>
        <v>5.26</v>
      </c>
      <c r="M174" s="17">
        <f>VLOOKUP(D174,$B$166:$F$167,4,FALSE)</f>
        <v>0.49</v>
      </c>
      <c r="N174" s="17">
        <f>VLOOKUP(D174,$B$166:$F$167,5,FALSE)</f>
        <v>126</v>
      </c>
      <c r="O174" s="17" t="e">
        <f>($E$158*$E$157/M174+L174*($F174-$E$158/N174))*$E$160*$G$174</f>
        <v>#N/A</v>
      </c>
      <c r="P174" s="17">
        <f>VLOOKUP(D174,$H$164:$M$165,3,FALSE)*C174+VLOOKUP(D174,$H$164:$M$165,4,FALSE)</f>
        <v>0.49890000000000001</v>
      </c>
      <c r="Q174" s="17">
        <f>VLOOKUP(D174,$H$164:$M$165,5,FALSE)</f>
        <v>0.76</v>
      </c>
      <c r="R174" s="17">
        <f>VLOOKUP(D174,$H$164:$M$165,6,FALSE)</f>
        <v>119</v>
      </c>
      <c r="S174" s="17" t="e">
        <f>($E$158*$E$156/Q174+P174*($F174-$E$158/R174))*$E$160*$G$174</f>
        <v>#N/A</v>
      </c>
      <c r="T174" s="17">
        <f>VLOOKUP(D174,$H$166:$M$167,3,FALSE)*C174+VLOOKUP(D174,$H$166:$M$167,4,FALSE)</f>
        <v>0.64</v>
      </c>
      <c r="U174" s="17">
        <f>VLOOKUP(D174,$H$166:$M$167,5,FALSE)</f>
        <v>0.55000000000000004</v>
      </c>
      <c r="V174" s="17">
        <f>VLOOKUP(D174,$H$166:$M$167,6,FALSE)</f>
        <v>177</v>
      </c>
      <c r="W174" s="17" t="e">
        <f>($E$158*$E$157/U174+T174*($F174-$E$158/V174))*$E$160*$G$174</f>
        <v>#N/A</v>
      </c>
      <c r="X174" s="17">
        <f t="shared" ref="X174:X176" si="9">IF(B174=0,0,K174+O174)</f>
        <v>0</v>
      </c>
      <c r="Y174" s="17">
        <f t="shared" ref="Y174:Y176" si="10">IF(B174=0,0,S174+W174)</f>
        <v>0</v>
      </c>
      <c r="Z174" s="17" t="e">
        <f>ETDF!$G$4*Calculations!AC174</f>
        <v>#N/A</v>
      </c>
      <c r="AA174" s="17" t="e">
        <f>ETDF!$H$4*Calculations!AC174</f>
        <v>#N/A</v>
      </c>
      <c r="AB174" s="17">
        <f t="shared" ref="AB174:AB176" si="11">IFERROR(Z174,0)</f>
        <v>0</v>
      </c>
      <c r="AC174" s="126">
        <f t="shared" ref="AC174:AC176" si="12">X174-Y174</f>
        <v>0</v>
      </c>
      <c r="AD174" s="124">
        <f t="shared" ref="AD174:AD176" si="13">IFERROR(ROUND(B174*$H$156,2),"")</f>
        <v>0</v>
      </c>
      <c r="AE174" s="1"/>
      <c r="AF174" s="1"/>
      <c r="AG174" s="1"/>
      <c r="AH174" s="1"/>
      <c r="AI174" s="1"/>
      <c r="AJ174" s="1"/>
      <c r="AK174" s="1"/>
      <c r="AL174" s="1"/>
    </row>
    <row r="175" spans="2:82">
      <c r="B175" s="39">
        <f>Calculator!G72</f>
        <v>0</v>
      </c>
      <c r="C175" s="39">
        <f>Calculator!H72</f>
        <v>0</v>
      </c>
      <c r="D175" s="14" t="str">
        <f>IF(C175&lt;15,"&lt; 15","≥ 15")</f>
        <v>&lt; 15</v>
      </c>
      <c r="E175" s="36">
        <f>Calculator!I72</f>
        <v>0</v>
      </c>
      <c r="F175" s="17" t="e">
        <f>INDEX($V$140:$V$151,MATCH(E175,BuildingTypeOven,0))</f>
        <v>#N/A</v>
      </c>
      <c r="G175" s="17" t="e">
        <f>INDEX($W$140:$W$151,MATCH(E175,BuildingTypeOven,0))</f>
        <v>#N/A</v>
      </c>
      <c r="H175" s="17">
        <f>VLOOKUP(D175,$B$164:$F$165,3,FALSE)</f>
        <v>1.32</v>
      </c>
      <c r="I175" s="17">
        <f>VLOOKUP(D175,$B$164:$F$165,4,FALSE)</f>
        <v>0.72</v>
      </c>
      <c r="J175" s="17">
        <f>VLOOKUP(D175,$B$164:$F$165,5,FALSE)</f>
        <v>79</v>
      </c>
      <c r="K175" s="17" t="e">
        <f>($E$158*$E$156/I175+H175*(F175-$E$158/J175))*$E$160*$G$175</f>
        <v>#N/A</v>
      </c>
      <c r="L175" s="17">
        <f>VLOOKUP(D175,$B$166:$F$167,3,FALSE)</f>
        <v>5.26</v>
      </c>
      <c r="M175" s="17">
        <f>VLOOKUP(D175,$B$166:$F$167,4,FALSE)</f>
        <v>0.49</v>
      </c>
      <c r="N175" s="17">
        <f>VLOOKUP(D175,$B$166:$F$167,5,FALSE)</f>
        <v>126</v>
      </c>
      <c r="O175" s="17" t="e">
        <f>($E$158*$E$157/M175+L175*($F175-$E$158/N175))*$E$160*$G$175</f>
        <v>#N/A</v>
      </c>
      <c r="P175" s="17">
        <f>VLOOKUP(D175,$H$164:$M$165,3,FALSE)*C175+VLOOKUP(D175,$H$164:$M$165,4,FALSE)</f>
        <v>0.49890000000000001</v>
      </c>
      <c r="Q175" s="17">
        <f>VLOOKUP(D175,$H$164:$M$165,5,FALSE)</f>
        <v>0.76</v>
      </c>
      <c r="R175" s="17">
        <f>VLOOKUP(D175,$H$164:$M$165,6,FALSE)</f>
        <v>119</v>
      </c>
      <c r="S175" s="17" t="e">
        <f>($E$158*$E$156/Q175+P175*($F175-$E$158/R175))*$E$160*$G$175</f>
        <v>#N/A</v>
      </c>
      <c r="T175" s="17">
        <f>VLOOKUP(D175,$H$166:$M$167,3,FALSE)*C175+VLOOKUP(D175,$H$166:$M$167,4,FALSE)</f>
        <v>0.64</v>
      </c>
      <c r="U175" s="17">
        <f>VLOOKUP(D175,$H$166:$M$167,5,FALSE)</f>
        <v>0.55000000000000004</v>
      </c>
      <c r="V175" s="17">
        <f>VLOOKUP(D175,$H$166:$M$167,6,FALSE)</f>
        <v>177</v>
      </c>
      <c r="W175" s="17" t="e">
        <f>($E$158*$E$157/U175+T175*($F175-$E$158/V175))*$E$160*$G$175</f>
        <v>#N/A</v>
      </c>
      <c r="X175" s="17">
        <f t="shared" si="9"/>
        <v>0</v>
      </c>
      <c r="Y175" s="17">
        <f t="shared" si="10"/>
        <v>0</v>
      </c>
      <c r="Z175" s="17" t="e">
        <f>ETDF!$G$4*Calculations!AC175</f>
        <v>#N/A</v>
      </c>
      <c r="AA175" s="17" t="e">
        <f>ETDF!$H$4*Calculations!AC175</f>
        <v>#N/A</v>
      </c>
      <c r="AB175" s="17">
        <f t="shared" si="11"/>
        <v>0</v>
      </c>
      <c r="AC175" s="126">
        <f t="shared" si="12"/>
        <v>0</v>
      </c>
      <c r="AD175" s="124">
        <f t="shared" si="13"/>
        <v>0</v>
      </c>
      <c r="AE175" s="1"/>
      <c r="AF175" s="1"/>
      <c r="AG175" s="1"/>
      <c r="AH175" s="1"/>
      <c r="AI175" s="1"/>
      <c r="AJ175" s="1"/>
      <c r="AK175" s="1"/>
      <c r="AL175" s="1"/>
    </row>
    <row r="176" spans="2:82">
      <c r="B176" s="39">
        <f>Calculator!G73</f>
        <v>0</v>
      </c>
      <c r="C176" s="39">
        <f>Calculator!H73</f>
        <v>0</v>
      </c>
      <c r="D176" s="14" t="str">
        <f t="shared" ref="D176" si="14">IF(C176&lt;15,"&lt; 15","≥ 15")</f>
        <v>&lt; 15</v>
      </c>
      <c r="E176" s="36">
        <f>Calculator!I73</f>
        <v>0</v>
      </c>
      <c r="F176" s="17" t="e">
        <f>INDEX($V$140:$V$151,MATCH(E176,BuildingTypeOven,0))</f>
        <v>#N/A</v>
      </c>
      <c r="G176" s="17" t="e">
        <f>INDEX($W$140:$W$151,MATCH(E176,BuildingTypeOven,0))</f>
        <v>#N/A</v>
      </c>
      <c r="H176" s="17">
        <f>VLOOKUP(D176,$B$164:$F$165,3,FALSE)</f>
        <v>1.32</v>
      </c>
      <c r="I176" s="17">
        <f>VLOOKUP(D176,$B$164:$F$165,4,FALSE)</f>
        <v>0.72</v>
      </c>
      <c r="J176" s="17">
        <f>VLOOKUP(D176,$B$164:$F$165,5,FALSE)</f>
        <v>79</v>
      </c>
      <c r="K176" s="17" t="e">
        <f>($E$158*$E$156/I176+H176*(F176-$E$158/J176))*$E$160*$G$176</f>
        <v>#N/A</v>
      </c>
      <c r="L176" s="17">
        <f>VLOOKUP(D176,$B$166:$F$167,3,FALSE)</f>
        <v>5.26</v>
      </c>
      <c r="M176" s="17">
        <f>VLOOKUP(D176,$B$166:$F$167,4,FALSE)</f>
        <v>0.49</v>
      </c>
      <c r="N176" s="17">
        <f>VLOOKUP(D176,$B$166:$F$167,5,FALSE)</f>
        <v>126</v>
      </c>
      <c r="O176" s="17" t="e">
        <f>($E$158*$E$157/M176+L176*($F176-$E$158/N176))*$E$160*$G$176</f>
        <v>#N/A</v>
      </c>
      <c r="P176" s="17">
        <f>VLOOKUP(D176,$H$164:$M$165,3,FALSE)*C176+VLOOKUP(D176,$H$164:$M$165,4,FALSE)</f>
        <v>0.49890000000000001</v>
      </c>
      <c r="Q176" s="17">
        <f>VLOOKUP(D176,$H$164:$M$165,5,FALSE)</f>
        <v>0.76</v>
      </c>
      <c r="R176" s="17">
        <f>VLOOKUP(D176,$H$164:$M$165,6,FALSE)</f>
        <v>119</v>
      </c>
      <c r="S176" s="17" t="e">
        <f>($E$158*$E$156/Q176+P176*($F176-$E$158/R176))*$G$176*$E$159</f>
        <v>#N/A</v>
      </c>
      <c r="T176" s="17">
        <f>VLOOKUP(D176,$H$166:$M$167,3,FALSE)*C176+VLOOKUP(D176,$H$166:$M$167,4,FALSE)</f>
        <v>0.64</v>
      </c>
      <c r="U176" s="17">
        <f>VLOOKUP(D176,$H$166:$M$167,5,FALSE)</f>
        <v>0.55000000000000004</v>
      </c>
      <c r="V176" s="17">
        <f>VLOOKUP(D176,$H$166:$M$167,6,FALSE)</f>
        <v>177</v>
      </c>
      <c r="W176" s="17" t="e">
        <f>($E$158*$E$157/U176+T176*($F176-$E$158/V176))*$E$160*$G$176</f>
        <v>#N/A</v>
      </c>
      <c r="X176" s="17">
        <f t="shared" si="9"/>
        <v>0</v>
      </c>
      <c r="Y176" s="17">
        <f t="shared" si="10"/>
        <v>0</v>
      </c>
      <c r="Z176" s="17" t="e">
        <f>ETDF!$G$4*Calculations!AC176</f>
        <v>#N/A</v>
      </c>
      <c r="AA176" s="17" t="e">
        <f>ETDF!$H$4*Calculations!AC176</f>
        <v>#N/A</v>
      </c>
      <c r="AB176" s="17">
        <f t="shared" si="11"/>
        <v>0</v>
      </c>
      <c r="AC176" s="126">
        <f t="shared" si="12"/>
        <v>0</v>
      </c>
      <c r="AD176" s="124">
        <f t="shared" si="13"/>
        <v>0</v>
      </c>
      <c r="AE176" s="1"/>
      <c r="AF176" s="1"/>
      <c r="AG176" s="1"/>
      <c r="AH176" s="1"/>
      <c r="AI176" s="1"/>
      <c r="AJ176" s="1"/>
      <c r="AK176" s="1"/>
      <c r="AL176" s="1"/>
    </row>
    <row r="177" spans="2:89" s="33" customFormat="1" ht="18.600000000000001" customHeight="1">
      <c r="B177" s="1"/>
      <c r="C177" s="1"/>
      <c r="D177" s="1"/>
      <c r="E177" s="1"/>
      <c r="F177" s="1"/>
      <c r="G177" s="1"/>
      <c r="H177" s="1"/>
      <c r="I177" s="1"/>
      <c r="J177" s="1"/>
      <c r="K177" s="1"/>
      <c r="L177" s="1"/>
      <c r="M177" s="1"/>
      <c r="N177" s="1"/>
      <c r="O177" s="1"/>
      <c r="P177" s="1"/>
      <c r="Q177" s="1"/>
      <c r="R177" s="1"/>
      <c r="S177" s="1"/>
      <c r="T177" s="1"/>
      <c r="U177" s="1"/>
      <c r="V177" s="1"/>
      <c r="W177" s="1"/>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row>
    <row r="178" spans="2:89" ht="18.75" thickBot="1">
      <c r="B178" s="375" t="s">
        <v>101</v>
      </c>
      <c r="C178" s="375"/>
      <c r="D178" s="375"/>
      <c r="E178" s="375"/>
      <c r="F178" s="375"/>
      <c r="G178" s="375"/>
      <c r="H178" s="375"/>
      <c r="I178" s="375"/>
      <c r="J178" s="375"/>
      <c r="K178" s="16"/>
      <c r="L178" s="16"/>
      <c r="M178" s="16"/>
      <c r="N178" s="16"/>
      <c r="O178" s="16"/>
      <c r="P178" s="16"/>
      <c r="Q178" s="16"/>
      <c r="R178" s="16"/>
      <c r="S178" s="16"/>
      <c r="T178" s="16"/>
      <c r="U178" s="16"/>
      <c r="V178" s="16"/>
      <c r="W178" s="16"/>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c r="BY178" s="33"/>
      <c r="BZ178" s="33"/>
      <c r="CA178" s="33"/>
      <c r="CB178" s="33"/>
      <c r="CC178" s="33"/>
      <c r="CD178" s="33"/>
    </row>
    <row r="179" spans="2:89" ht="18">
      <c r="B179" s="7" t="s">
        <v>218</v>
      </c>
      <c r="D179" s="7" t="s">
        <v>219</v>
      </c>
      <c r="H179" s="7" t="s">
        <v>88</v>
      </c>
      <c r="R179" s="6"/>
      <c r="S179" s="6"/>
      <c r="T179" s="6"/>
      <c r="U179" s="6"/>
      <c r="V179" s="6"/>
      <c r="W179" s="6"/>
    </row>
    <row r="180" spans="2:89" ht="15">
      <c r="B180" s="32" t="s">
        <v>371</v>
      </c>
      <c r="C180" s="117" t="s">
        <v>183</v>
      </c>
      <c r="D180" s="14" t="s">
        <v>363</v>
      </c>
      <c r="E180" s="14">
        <v>3.0800000000000001E-2</v>
      </c>
      <c r="F180" s="14" t="s">
        <v>272</v>
      </c>
      <c r="H180" s="137">
        <v>125</v>
      </c>
      <c r="I180" s="14" t="s">
        <v>372</v>
      </c>
      <c r="R180" s="6"/>
      <c r="T180" s="6"/>
      <c r="U180" s="6"/>
      <c r="V180" s="6"/>
      <c r="W180" s="6"/>
    </row>
    <row r="181" spans="2:89">
      <c r="B181" s="32" t="s">
        <v>373</v>
      </c>
      <c r="C181" s="40" t="s">
        <v>280</v>
      </c>
      <c r="D181" s="14"/>
      <c r="E181" s="14"/>
      <c r="F181" s="14" t="s">
        <v>272</v>
      </c>
      <c r="R181" s="6"/>
      <c r="T181" s="6"/>
      <c r="U181" s="6"/>
      <c r="V181" s="6"/>
      <c r="W181" s="6"/>
    </row>
    <row r="182" spans="2:89" ht="15">
      <c r="B182" s="32" t="s">
        <v>374</v>
      </c>
      <c r="C182" s="117" t="s">
        <v>157</v>
      </c>
      <c r="D182" s="14" t="s">
        <v>276</v>
      </c>
      <c r="E182" s="14">
        <v>100</v>
      </c>
      <c r="F182" s="14" t="s">
        <v>375</v>
      </c>
      <c r="R182" s="6"/>
      <c r="T182" s="6"/>
      <c r="U182" s="6"/>
      <c r="V182" s="6"/>
      <c r="W182" s="6"/>
    </row>
    <row r="183" spans="2:89">
      <c r="C183" s="40" t="s">
        <v>225</v>
      </c>
      <c r="D183" s="14" t="s">
        <v>279</v>
      </c>
      <c r="E183" s="14">
        <v>311</v>
      </c>
      <c r="F183" s="14" t="s">
        <v>376</v>
      </c>
      <c r="R183" s="6"/>
      <c r="T183" s="6"/>
      <c r="U183" s="6"/>
      <c r="V183" s="6"/>
      <c r="W183" s="6"/>
    </row>
    <row r="184" spans="2:89" ht="15">
      <c r="C184" s="117" t="s">
        <v>273</v>
      </c>
      <c r="D184" s="14" t="s">
        <v>286</v>
      </c>
      <c r="E184" s="14">
        <v>9</v>
      </c>
      <c r="F184" s="14" t="s">
        <v>377</v>
      </c>
      <c r="R184" s="6"/>
      <c r="T184" s="6"/>
      <c r="U184" s="6"/>
      <c r="V184" s="6"/>
      <c r="W184" s="6"/>
    </row>
    <row r="185" spans="2:89">
      <c r="C185" s="40" t="s">
        <v>248</v>
      </c>
      <c r="D185" s="14" t="s">
        <v>378</v>
      </c>
      <c r="E185" s="14">
        <v>23.3</v>
      </c>
      <c r="F185" s="14" t="s">
        <v>379</v>
      </c>
      <c r="R185" s="6"/>
      <c r="T185" s="6"/>
      <c r="U185" s="6"/>
      <c r="V185" s="6"/>
      <c r="W185" s="6"/>
    </row>
    <row r="186" spans="2:89">
      <c r="D186" s="14" t="s">
        <v>380</v>
      </c>
      <c r="E186" s="14">
        <v>16.7</v>
      </c>
      <c r="F186" s="14" t="s">
        <v>379</v>
      </c>
      <c r="R186" s="6"/>
      <c r="T186" s="6"/>
      <c r="U186" s="6"/>
      <c r="V186" s="6"/>
      <c r="W186" s="6"/>
    </row>
    <row r="187" spans="2:89">
      <c r="D187" s="14" t="s">
        <v>381</v>
      </c>
      <c r="E187" s="31">
        <v>0.4</v>
      </c>
      <c r="F187" s="14"/>
      <c r="R187" s="6"/>
      <c r="T187" s="6"/>
      <c r="U187" s="6"/>
      <c r="V187" s="6"/>
      <c r="W187" s="6"/>
    </row>
    <row r="188" spans="2:89">
      <c r="D188" s="14" t="s">
        <v>232</v>
      </c>
      <c r="E188" s="14">
        <v>0.9</v>
      </c>
      <c r="F188" s="14"/>
      <c r="R188" s="6"/>
      <c r="T188" s="6"/>
      <c r="U188" s="6"/>
      <c r="V188" s="6"/>
      <c r="W188" s="6"/>
    </row>
    <row r="189" spans="2:89" s="8" customFormat="1" ht="34.15" customHeight="1">
      <c r="B189" s="1"/>
      <c r="C189" s="1"/>
      <c r="D189" s="1"/>
      <c r="E189" s="1"/>
      <c r="F189" s="1"/>
      <c r="G189" s="1"/>
      <c r="H189" s="1"/>
      <c r="I189" s="1"/>
      <c r="J189" s="1"/>
      <c r="K189" s="1"/>
      <c r="L189" s="1"/>
      <c r="M189" s="1"/>
      <c r="N189" s="1"/>
      <c r="O189" s="1"/>
      <c r="P189" s="1"/>
      <c r="Q189" s="1"/>
      <c r="R189" s="1"/>
      <c r="S189" s="1"/>
      <c r="T189" s="1"/>
      <c r="U189" s="1"/>
      <c r="V189" s="1"/>
      <c r="W189" s="1"/>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row>
    <row r="190" spans="2:89" ht="14.25" customHeight="1">
      <c r="B190" s="7" t="s">
        <v>281</v>
      </c>
      <c r="C190" s="6"/>
      <c r="H190" s="7" t="s">
        <v>282</v>
      </c>
      <c r="K190" s="6"/>
      <c r="P190" s="6"/>
      <c r="Q190" s="6"/>
      <c r="R190" s="6"/>
      <c r="S190" s="6"/>
      <c r="T190" s="6"/>
      <c r="U190" s="6"/>
      <c r="V190" s="7"/>
      <c r="W190" s="6"/>
      <c r="CE190" s="8"/>
      <c r="CF190" s="8"/>
      <c r="CG190" s="8"/>
      <c r="CH190" s="8"/>
      <c r="CI190" s="8"/>
      <c r="CJ190" s="8"/>
      <c r="CK190" s="8"/>
    </row>
    <row r="191" spans="2:89" ht="15">
      <c r="B191" s="42" t="s">
        <v>231</v>
      </c>
      <c r="C191" s="18" t="s">
        <v>371</v>
      </c>
      <c r="D191" s="18" t="s">
        <v>21</v>
      </c>
      <c r="E191" s="19" t="s">
        <v>283</v>
      </c>
      <c r="F191" s="19" t="s">
        <v>284</v>
      </c>
      <c r="H191" s="18" t="s">
        <v>21</v>
      </c>
      <c r="I191" s="18" t="s">
        <v>382</v>
      </c>
      <c r="J191" s="19" t="s">
        <v>283</v>
      </c>
      <c r="K191" s="19" t="s">
        <v>284</v>
      </c>
      <c r="L191" s="19" t="s">
        <v>285</v>
      </c>
      <c r="M191" s="6"/>
      <c r="N191" s="8"/>
      <c r="O191" s="8"/>
      <c r="P191" s="8"/>
      <c r="Q191" s="8"/>
      <c r="R191" s="8"/>
      <c r="S191" s="8"/>
      <c r="T191" s="8"/>
      <c r="U191" s="8"/>
      <c r="V191" s="8"/>
      <c r="W191" s="93"/>
      <c r="X191" s="94"/>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row>
    <row r="192" spans="2:89" ht="15">
      <c r="B192" s="43" t="str">
        <f>CONCATENATE(C192,D192)</f>
        <v>Steam Generator3</v>
      </c>
      <c r="C192" s="32" t="s">
        <v>373</v>
      </c>
      <c r="D192" s="32">
        <v>3</v>
      </c>
      <c r="E192" s="36">
        <v>1</v>
      </c>
      <c r="F192" s="31">
        <v>0.5</v>
      </c>
      <c r="H192" s="32">
        <v>3</v>
      </c>
      <c r="I192" s="32">
        <v>100</v>
      </c>
      <c r="J192" s="36">
        <v>0.4</v>
      </c>
      <c r="K192" s="31">
        <v>0.5</v>
      </c>
      <c r="L192" s="36"/>
      <c r="M192" s="6"/>
      <c r="N192" s="6"/>
      <c r="O192" s="6"/>
      <c r="P192" s="6"/>
      <c r="Q192" s="6"/>
      <c r="R192" s="6"/>
      <c r="S192" s="6"/>
      <c r="T192" s="6"/>
      <c r="U192" s="6"/>
      <c r="V192" s="6"/>
      <c r="X192" s="95"/>
    </row>
    <row r="193" spans="2:92" ht="15">
      <c r="B193" s="43" t="str">
        <f t="shared" ref="B193:B199" si="15">CONCATENATE(C193,D193)</f>
        <v>Steam Generator4</v>
      </c>
      <c r="C193" s="32" t="s">
        <v>373</v>
      </c>
      <c r="D193" s="32">
        <v>4</v>
      </c>
      <c r="E193" s="36">
        <v>1.325</v>
      </c>
      <c r="F193" s="31">
        <v>0.5</v>
      </c>
      <c r="H193" s="32">
        <v>4</v>
      </c>
      <c r="I193" s="32">
        <v>128</v>
      </c>
      <c r="J193" s="36">
        <v>0.53</v>
      </c>
      <c r="K193" s="31">
        <v>0.5</v>
      </c>
      <c r="L193" s="36"/>
      <c r="M193" s="6"/>
      <c r="N193" s="6"/>
      <c r="O193" s="6"/>
      <c r="P193" s="6"/>
      <c r="Q193" s="6"/>
      <c r="R193" s="6"/>
      <c r="S193" s="6"/>
      <c r="T193" s="6"/>
      <c r="U193" s="6"/>
      <c r="V193" s="6"/>
      <c r="X193" s="95"/>
    </row>
    <row r="194" spans="2:92" ht="15">
      <c r="B194" s="43" t="str">
        <f t="shared" si="15"/>
        <v>Steam Generator5</v>
      </c>
      <c r="C194" s="32" t="s">
        <v>373</v>
      </c>
      <c r="D194" s="32">
        <v>5</v>
      </c>
      <c r="E194" s="36">
        <v>1.675</v>
      </c>
      <c r="F194" s="31">
        <v>0.5</v>
      </c>
      <c r="H194" s="32">
        <v>5</v>
      </c>
      <c r="I194" s="32">
        <v>160</v>
      </c>
      <c r="J194" s="36">
        <v>0.67</v>
      </c>
      <c r="K194" s="31">
        <v>0.5</v>
      </c>
      <c r="L194" s="36"/>
      <c r="M194" s="6"/>
      <c r="N194" s="6"/>
      <c r="O194" s="6"/>
      <c r="P194" s="6"/>
      <c r="Q194" s="6"/>
      <c r="R194" s="6"/>
      <c r="S194" s="6"/>
      <c r="T194" s="6"/>
      <c r="U194" s="6"/>
      <c r="V194" s="6"/>
      <c r="X194" s="95"/>
      <c r="Y194" s="96"/>
    </row>
    <row r="195" spans="2:92" ht="15">
      <c r="B195" s="43" t="str">
        <f t="shared" si="15"/>
        <v>Steam Generator6+</v>
      </c>
      <c r="C195" s="32" t="s">
        <v>373</v>
      </c>
      <c r="D195" s="32" t="s">
        <v>383</v>
      </c>
      <c r="E195" s="36">
        <v>2</v>
      </c>
      <c r="F195" s="31">
        <v>0.5</v>
      </c>
      <c r="H195" s="32" t="s">
        <v>383</v>
      </c>
      <c r="I195" s="32">
        <v>192</v>
      </c>
      <c r="J195" s="36">
        <v>0.8</v>
      </c>
      <c r="K195" s="31">
        <v>0.5</v>
      </c>
      <c r="L195" s="36"/>
      <c r="M195" s="6"/>
      <c r="N195" s="6"/>
      <c r="O195" s="6"/>
      <c r="P195" s="6"/>
      <c r="Q195" s="6"/>
      <c r="R195" s="6"/>
      <c r="S195" s="6"/>
      <c r="T195" s="6"/>
      <c r="U195" s="6"/>
      <c r="V195" s="6"/>
      <c r="X195" s="95"/>
      <c r="Y195" s="96"/>
    </row>
    <row r="196" spans="2:92" ht="15">
      <c r="B196" s="43" t="str">
        <f t="shared" si="15"/>
        <v>Boiler Based3</v>
      </c>
      <c r="C196" s="38" t="s">
        <v>374</v>
      </c>
      <c r="D196" s="32">
        <v>3</v>
      </c>
      <c r="E196" s="36">
        <v>1</v>
      </c>
      <c r="F196" s="31">
        <v>0.5</v>
      </c>
      <c r="I196" s="50"/>
      <c r="J196" s="49"/>
      <c r="K196" s="50"/>
      <c r="L196" s="6"/>
      <c r="M196" s="6"/>
      <c r="N196" s="6"/>
      <c r="O196" s="6"/>
      <c r="P196" s="6"/>
      <c r="Q196" s="6"/>
      <c r="R196" s="6"/>
      <c r="S196" s="6"/>
      <c r="T196" s="6"/>
      <c r="U196" s="6"/>
      <c r="V196" s="6"/>
      <c r="W196" s="6"/>
    </row>
    <row r="197" spans="2:92" ht="15">
      <c r="B197" s="43" t="str">
        <f t="shared" si="15"/>
        <v>Boiler Based4</v>
      </c>
      <c r="C197" s="38" t="s">
        <v>374</v>
      </c>
      <c r="D197" s="32">
        <v>4</v>
      </c>
      <c r="E197" s="36">
        <v>1.325</v>
      </c>
      <c r="F197" s="31">
        <v>0.5</v>
      </c>
      <c r="I197" s="50"/>
      <c r="J197" s="49"/>
      <c r="K197" s="50"/>
      <c r="L197" s="6"/>
      <c r="M197" s="6"/>
      <c r="N197" s="6"/>
      <c r="O197" s="6"/>
      <c r="P197" s="6"/>
      <c r="Q197" s="6"/>
      <c r="R197" s="6"/>
      <c r="S197" s="6"/>
      <c r="T197" s="6"/>
      <c r="U197" s="6"/>
      <c r="V197" s="6"/>
      <c r="W197" s="6"/>
    </row>
    <row r="198" spans="2:92" ht="15">
      <c r="B198" s="43" t="str">
        <f t="shared" si="15"/>
        <v>Boiler Based5</v>
      </c>
      <c r="C198" s="38" t="s">
        <v>374</v>
      </c>
      <c r="D198" s="32">
        <v>5</v>
      </c>
      <c r="E198" s="36">
        <v>1.675</v>
      </c>
      <c r="F198" s="31">
        <v>0.5</v>
      </c>
      <c r="I198" s="50"/>
      <c r="J198" s="49"/>
      <c r="K198" s="50"/>
      <c r="L198" s="6"/>
      <c r="M198" s="6"/>
      <c r="N198" s="6"/>
      <c r="O198" s="6"/>
      <c r="P198" s="6"/>
      <c r="Q198" s="6"/>
      <c r="R198" s="6"/>
      <c r="S198" s="6"/>
      <c r="T198" s="6"/>
      <c r="U198" s="6"/>
      <c r="V198" s="6"/>
      <c r="W198" s="6"/>
    </row>
    <row r="199" spans="2:92" ht="18" customHeight="1">
      <c r="B199" s="43" t="str">
        <f t="shared" si="15"/>
        <v>Boiler Based6+</v>
      </c>
      <c r="C199" s="38" t="s">
        <v>374</v>
      </c>
      <c r="D199" s="32" t="s">
        <v>383</v>
      </c>
      <c r="E199" s="36">
        <v>2</v>
      </c>
      <c r="F199" s="31">
        <v>0.5</v>
      </c>
      <c r="I199" s="50"/>
      <c r="J199" s="49"/>
      <c r="K199" s="50"/>
      <c r="L199" s="6"/>
      <c r="M199" s="6"/>
      <c r="N199" s="6"/>
      <c r="O199" s="6"/>
      <c r="P199" s="6"/>
      <c r="Q199" s="6"/>
      <c r="R199" s="6"/>
      <c r="S199" s="6"/>
      <c r="T199" s="6"/>
      <c r="U199" s="6"/>
      <c r="V199" s="6"/>
      <c r="W199" s="6"/>
    </row>
    <row r="200" spans="2:92" s="8" customFormat="1" ht="30" customHeight="1">
      <c r="B200" s="1"/>
      <c r="C200" s="1"/>
      <c r="D200" s="1"/>
      <c r="E200" s="1"/>
      <c r="F200" s="1"/>
      <c r="G200" s="1"/>
      <c r="H200" s="1"/>
      <c r="I200" s="1"/>
      <c r="J200" s="1"/>
      <c r="K200" s="1"/>
      <c r="L200" s="1"/>
      <c r="M200" s="1"/>
      <c r="N200" s="1"/>
      <c r="O200" s="1"/>
      <c r="P200" s="1"/>
      <c r="Q200" s="1"/>
      <c r="R200" s="1"/>
      <c r="S200" s="1"/>
      <c r="T200" s="1"/>
      <c r="U200" s="1"/>
      <c r="V200" s="1"/>
      <c r="W200" s="1"/>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row>
    <row r="201" spans="2:92" s="8" customFormat="1" ht="15" customHeight="1">
      <c r="B201" s="7" t="s">
        <v>12</v>
      </c>
      <c r="C201" s="1"/>
      <c r="D201" s="1"/>
      <c r="E201" s="1"/>
      <c r="F201" s="1"/>
      <c r="G201" s="1"/>
      <c r="H201" s="1"/>
      <c r="I201" s="1"/>
      <c r="J201" s="1"/>
      <c r="K201" s="1"/>
      <c r="L201" s="1"/>
      <c r="M201" s="1"/>
      <c r="N201" s="1"/>
      <c r="O201" s="1"/>
      <c r="P201" s="1"/>
      <c r="Q201" s="1"/>
      <c r="R201" s="1"/>
      <c r="S201" s="1"/>
      <c r="T201" s="1"/>
      <c r="U201" s="1"/>
      <c r="V201" s="1"/>
      <c r="W201" s="1"/>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row>
    <row r="202" spans="2:92" ht="14.25" customHeight="1">
      <c r="B202" s="381" t="s">
        <v>125</v>
      </c>
      <c r="C202" s="381" t="s">
        <v>231</v>
      </c>
      <c r="D202" s="365" t="str">
        <f>Calculator!I78</f>
        <v>Baseline Type</v>
      </c>
      <c r="E202" s="366" t="s">
        <v>21</v>
      </c>
      <c r="F202" s="366" t="s">
        <v>21</v>
      </c>
      <c r="G202" s="366" t="s">
        <v>382</v>
      </c>
      <c r="H202" s="44" t="s">
        <v>288</v>
      </c>
      <c r="I202" s="145"/>
      <c r="J202" s="145"/>
      <c r="K202" s="145"/>
      <c r="L202" s="145"/>
      <c r="M202" s="145"/>
      <c r="N202" s="90"/>
      <c r="O202" s="44" t="s">
        <v>289</v>
      </c>
      <c r="P202" s="145"/>
      <c r="Q202" s="145"/>
      <c r="R202" s="145"/>
      <c r="S202" s="145"/>
      <c r="T202" s="145"/>
      <c r="U202" s="90"/>
      <c r="V202" s="165" t="s">
        <v>235</v>
      </c>
      <c r="W202" s="165" t="s">
        <v>236</v>
      </c>
      <c r="X202" s="168" t="s">
        <v>237</v>
      </c>
      <c r="Y202" s="168" t="s">
        <v>291</v>
      </c>
      <c r="Z202" s="168" t="s">
        <v>293</v>
      </c>
      <c r="AA202" s="168" t="s">
        <v>82</v>
      </c>
      <c r="AB202" s="157" t="s">
        <v>118</v>
      </c>
      <c r="AC202" s="1"/>
      <c r="AD202" s="1"/>
      <c r="AE202" s="1"/>
      <c r="AF202" s="1"/>
      <c r="AG202" s="1"/>
      <c r="AH202" s="1"/>
      <c r="AI202" s="1"/>
      <c r="AJ202" s="1"/>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row>
    <row r="203" spans="2:92" ht="14.25" customHeight="1">
      <c r="B203" s="381"/>
      <c r="C203" s="381"/>
      <c r="D203" s="365"/>
      <c r="E203" s="368"/>
      <c r="F203" s="368"/>
      <c r="G203" s="368"/>
      <c r="H203" s="37" t="s">
        <v>283</v>
      </c>
      <c r="I203" s="37" t="s">
        <v>284</v>
      </c>
      <c r="J203" s="37" t="s">
        <v>285</v>
      </c>
      <c r="K203" s="37" t="s">
        <v>384</v>
      </c>
      <c r="L203" s="37" t="s">
        <v>385</v>
      </c>
      <c r="M203" s="37" t="s">
        <v>386</v>
      </c>
      <c r="N203" s="37" t="s">
        <v>387</v>
      </c>
      <c r="O203" s="37" t="s">
        <v>283</v>
      </c>
      <c r="P203" s="37" t="s">
        <v>284</v>
      </c>
      <c r="Q203" s="37" t="s">
        <v>285</v>
      </c>
      <c r="R203" s="37" t="s">
        <v>384</v>
      </c>
      <c r="S203" s="37" t="s">
        <v>385</v>
      </c>
      <c r="T203" s="37" t="s">
        <v>386</v>
      </c>
      <c r="U203" s="37" t="s">
        <v>387</v>
      </c>
      <c r="V203" s="163"/>
      <c r="W203" s="163"/>
      <c r="X203" s="156"/>
      <c r="Y203" s="156"/>
      <c r="Z203" s="156"/>
      <c r="AA203" s="156"/>
      <c r="AB203" s="158"/>
      <c r="AC203" s="1"/>
      <c r="AD203" s="1"/>
      <c r="AE203" s="1"/>
      <c r="AF203" s="1"/>
      <c r="AG203" s="1"/>
      <c r="AH203" s="1"/>
      <c r="AI203" s="1"/>
      <c r="AJ203" s="1"/>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row>
    <row r="204" spans="2:92" ht="14.25" customHeight="1">
      <c r="B204" s="40">
        <f>Calculator!G79</f>
        <v>0</v>
      </c>
      <c r="C204" s="40" t="str">
        <f>CONCATENATE(D204,F204)</f>
        <v>00</v>
      </c>
      <c r="D204" s="40">
        <f>Calculator!I79</f>
        <v>0</v>
      </c>
      <c r="E204" s="40">
        <f>Calculator!H79</f>
        <v>0</v>
      </c>
      <c r="F204" s="14">
        <f>IF(E204&gt;5,"6+",E204)</f>
        <v>0</v>
      </c>
      <c r="G204" s="14" t="e">
        <f>INDEX($H$192:$I$195,MATCH(F204,$H$192:$H$195,1),2)</f>
        <v>#N/A</v>
      </c>
      <c r="H204" s="17" t="e">
        <f>VLOOKUP(C204,$B$192:$F$199,4,FALSE)</f>
        <v>#N/A</v>
      </c>
      <c r="I204" s="17" t="e">
        <f>VLOOKUP(C204,$B$192:$F$199,5,FALSE)</f>
        <v>#N/A</v>
      </c>
      <c r="J204" s="17">
        <f>$E$185</f>
        <v>23.3</v>
      </c>
      <c r="K204" s="17">
        <f>IFERROR($E$184-$E$182/($E$185*E204),0)</f>
        <v>0</v>
      </c>
      <c r="L204" s="17" t="e">
        <f>G204*$E$180/I204</f>
        <v>#N/A</v>
      </c>
      <c r="M204" s="17">
        <v>1.776</v>
      </c>
      <c r="N204" s="17" t="e">
        <f>((1-$E$187)*H204+$E$187*J204*E204*$E$180/I204)*K204</f>
        <v>#N/A</v>
      </c>
      <c r="O204" s="17" t="e">
        <f>VLOOKUP(C204,$B$192:$E$199,4,FALSE)</f>
        <v>#N/A</v>
      </c>
      <c r="P204" s="17">
        <v>0.5</v>
      </c>
      <c r="Q204" s="17">
        <f>$E$186</f>
        <v>16.7</v>
      </c>
      <c r="R204" s="17">
        <f>IFERROR($E$184-$E$182/($E$186*E204),0)</f>
        <v>0</v>
      </c>
      <c r="S204" s="17" t="e">
        <f>G204*$E$180/P204</f>
        <v>#N/A</v>
      </c>
      <c r="T204" s="17">
        <v>1.6719999999999999</v>
      </c>
      <c r="U204" s="17" t="e">
        <f>((1-$E$187)*O204+$E$187*Q204*E204*$E$180/P204)*R204</f>
        <v>#N/A</v>
      </c>
      <c r="V204" s="17" t="e">
        <f>AA204*ETDF!$G$4</f>
        <v>#N/A</v>
      </c>
      <c r="W204" s="17" t="e">
        <f>AA204*ETDF!$H$4</f>
        <v>#N/A</v>
      </c>
      <c r="X204" s="17">
        <f>IFERROR(V204,0)</f>
        <v>0</v>
      </c>
      <c r="Y204" s="17">
        <f>IF(D204=$C$196,"Ineligible Gas Boiler",IFERROR((L204+M204+N204)*$E$183,0))</f>
        <v>0</v>
      </c>
      <c r="Z204" s="17">
        <f>IF(D204=$C$196,"Ineligible Gas Boiler",IFERROR(((S204+T204+U204))*$E$183,0))</f>
        <v>0</v>
      </c>
      <c r="AA204" s="17">
        <f>IF(D204=$C$196,"Ineligible Gas Boiler",IFERROR((Y204-Z204)*B204,0))</f>
        <v>0</v>
      </c>
      <c r="AB204" s="124">
        <f>IFERROR(ROUND(E204*B204*$H$180,2),"")</f>
        <v>0</v>
      </c>
      <c r="AC204" s="1"/>
      <c r="AD204" s="1"/>
      <c r="AE204" s="1"/>
      <c r="AF204" s="1"/>
      <c r="AG204" s="1"/>
      <c r="AH204" s="1"/>
      <c r="AI204" s="1"/>
      <c r="AJ204" s="1"/>
    </row>
    <row r="205" spans="2:92" ht="14.25" customHeight="1">
      <c r="B205" s="40">
        <f>Calculator!G80</f>
        <v>0</v>
      </c>
      <c r="C205" s="40" t="str">
        <f>CONCATENATE(D205,F205)</f>
        <v>00</v>
      </c>
      <c r="D205" s="40">
        <f>Calculator!I80</f>
        <v>0</v>
      </c>
      <c r="E205" s="40">
        <f>Calculator!H80</f>
        <v>0</v>
      </c>
      <c r="F205" s="14">
        <f>IF(E205&gt;5,"6+",E205)</f>
        <v>0</v>
      </c>
      <c r="G205" s="14" t="e">
        <f t="shared" ref="G205:G207" si="16">INDEX($H$192:$I$195,MATCH(F205,$H$192:$H$195,1),2)</f>
        <v>#N/A</v>
      </c>
      <c r="H205" s="17" t="e">
        <f t="shared" ref="H205:H207" si="17">VLOOKUP(C205,$B$192:$F$199,4,FALSE)</f>
        <v>#N/A</v>
      </c>
      <c r="I205" s="17" t="e">
        <f t="shared" ref="I205:I207" si="18">VLOOKUP(C205,$B$192:$F$199,5,FALSE)</f>
        <v>#N/A</v>
      </c>
      <c r="J205" s="17">
        <f t="shared" ref="J205:J207" si="19">$E$185</f>
        <v>23.3</v>
      </c>
      <c r="K205" s="17">
        <f t="shared" ref="K205:K207" si="20">IFERROR($E$184-$E$182/($E$185*E205),0)</f>
        <v>0</v>
      </c>
      <c r="L205" s="17" t="e">
        <f t="shared" ref="L205:L207" si="21">G205*$E$180/I205</f>
        <v>#N/A</v>
      </c>
      <c r="M205" s="17">
        <v>2.7759999999999998</v>
      </c>
      <c r="N205" s="17" t="e">
        <f t="shared" ref="N205:N207" si="22">((1-$E$187)*H205+$E$187*J205*E205*$E$180/I205)*K205</f>
        <v>#N/A</v>
      </c>
      <c r="O205" s="17" t="e">
        <f t="shared" ref="O205:O207" si="23">VLOOKUP(C205,$B$192:$E$199,4,FALSE)</f>
        <v>#N/A</v>
      </c>
      <c r="P205" s="17">
        <v>1.5</v>
      </c>
      <c r="Q205" s="17">
        <f t="shared" ref="Q205:Q207" si="24">$E$186</f>
        <v>16.7</v>
      </c>
      <c r="R205" s="17">
        <f t="shared" ref="R205:R207" si="25">IFERROR($E$184-$E$182/($E$186*E205),0)</f>
        <v>0</v>
      </c>
      <c r="S205" s="17" t="e">
        <f t="shared" ref="S205:S207" si="26">G205*$E$180/P205</f>
        <v>#N/A</v>
      </c>
      <c r="T205" s="17">
        <v>2.6720000000000002</v>
      </c>
      <c r="U205" s="17" t="e">
        <f t="shared" ref="U205:U207" si="27">((1-$E$187)*O205+$E$187*Q205*E205*$E$180/P205)*R205</f>
        <v>#N/A</v>
      </c>
      <c r="V205" s="17" t="e">
        <f>AA205*ETDF!$G$4</f>
        <v>#N/A</v>
      </c>
      <c r="W205" s="17" t="e">
        <f>AA205*ETDF!$H$4</f>
        <v>#N/A</v>
      </c>
      <c r="X205" s="17">
        <f t="shared" ref="X205:X207" si="28">IFERROR(V205,0)</f>
        <v>0</v>
      </c>
      <c r="Y205" s="17">
        <f>IF(D205=$C$196,"Ineligible Gas Boiler",IFERROR((L205+M205+N205)*$E$183,0))</f>
        <v>0</v>
      </c>
      <c r="Z205" s="17">
        <f>IF(D205=$C$196,"Ineligible Gas Boiler",IFERROR(((S205+T205+U205))*$E$183,0))</f>
        <v>0</v>
      </c>
      <c r="AA205" s="17">
        <f>IF(D205=$C$196,"Ineligible Gas Boiler",IFERROR((Y205-Z205)*B205,0))</f>
        <v>0</v>
      </c>
      <c r="AB205" s="124">
        <f>IFERROR(ROUND(E205*B205*$H$180,2),"")</f>
        <v>0</v>
      </c>
      <c r="AC205" s="1"/>
      <c r="AD205" s="1"/>
      <c r="AE205" s="1"/>
      <c r="AF205" s="1"/>
      <c r="AG205" s="1"/>
      <c r="AH205" s="1"/>
      <c r="AI205" s="1"/>
      <c r="AJ205" s="1"/>
    </row>
    <row r="206" spans="2:92">
      <c r="B206" s="40">
        <f>Calculator!G81</f>
        <v>0</v>
      </c>
      <c r="C206" s="40" t="str">
        <f>CONCATENATE(D206,F206)</f>
        <v>00</v>
      </c>
      <c r="D206" s="40">
        <f>Calculator!I81</f>
        <v>0</v>
      </c>
      <c r="E206" s="40">
        <f>Calculator!H81</f>
        <v>0</v>
      </c>
      <c r="F206" s="14">
        <f>IF(E206&gt;5,"6+",E206)</f>
        <v>0</v>
      </c>
      <c r="G206" s="14" t="e">
        <f t="shared" si="16"/>
        <v>#N/A</v>
      </c>
      <c r="H206" s="17" t="e">
        <f t="shared" si="17"/>
        <v>#N/A</v>
      </c>
      <c r="I206" s="17" t="e">
        <f t="shared" si="18"/>
        <v>#N/A</v>
      </c>
      <c r="J206" s="17">
        <f t="shared" si="19"/>
        <v>23.3</v>
      </c>
      <c r="K206" s="17">
        <f t="shared" si="20"/>
        <v>0</v>
      </c>
      <c r="L206" s="17" t="e">
        <f t="shared" si="21"/>
        <v>#N/A</v>
      </c>
      <c r="M206" s="17">
        <v>3.7759999999999998</v>
      </c>
      <c r="N206" s="17" t="e">
        <f t="shared" si="22"/>
        <v>#N/A</v>
      </c>
      <c r="O206" s="17" t="e">
        <f t="shared" si="23"/>
        <v>#N/A</v>
      </c>
      <c r="P206" s="17">
        <v>2.5</v>
      </c>
      <c r="Q206" s="17">
        <f t="shared" si="24"/>
        <v>16.7</v>
      </c>
      <c r="R206" s="17">
        <f t="shared" si="25"/>
        <v>0</v>
      </c>
      <c r="S206" s="17" t="e">
        <f t="shared" si="26"/>
        <v>#N/A</v>
      </c>
      <c r="T206" s="17">
        <v>3.6720000000000002</v>
      </c>
      <c r="U206" s="17" t="e">
        <f t="shared" si="27"/>
        <v>#N/A</v>
      </c>
      <c r="V206" s="17" t="e">
        <f>AA206*ETDF!$G$4</f>
        <v>#N/A</v>
      </c>
      <c r="W206" s="17" t="e">
        <f>AA206*ETDF!$H$4</f>
        <v>#N/A</v>
      </c>
      <c r="X206" s="17">
        <f t="shared" si="28"/>
        <v>0</v>
      </c>
      <c r="Y206" s="17">
        <f>IF(D206=$C$196,"Ineligible Gas Boiler",IFERROR((L206+M206+N206)*$E$183,0))</f>
        <v>0</v>
      </c>
      <c r="Z206" s="17">
        <f>IF(D206=$C$196,"Ineligible Gas Boiler",IFERROR(((S206+T206+U206))*$E$183,0))</f>
        <v>0</v>
      </c>
      <c r="AA206" s="17">
        <f>IF(D206=$C$196,"Ineligible Gas Boiler",IFERROR((Y206-Z206)*B206,0))</f>
        <v>0</v>
      </c>
      <c r="AB206" s="124">
        <f>IFERROR(ROUND(E206*B206*$H$180,2),"")</f>
        <v>0</v>
      </c>
      <c r="AC206" s="1"/>
      <c r="AD206" s="1"/>
      <c r="AE206" s="1"/>
      <c r="AF206" s="1"/>
      <c r="AG206" s="1"/>
      <c r="AH206" s="1"/>
      <c r="AI206" s="1"/>
      <c r="AJ206" s="1"/>
    </row>
    <row r="207" spans="2:92" s="33" customFormat="1" ht="18.600000000000001" customHeight="1">
      <c r="B207" s="40">
        <f>Calculator!G82</f>
        <v>0</v>
      </c>
      <c r="C207" s="40" t="str">
        <f>CONCATENATE(D207,F207)</f>
        <v>00</v>
      </c>
      <c r="D207" s="40">
        <f>Calculator!I82</f>
        <v>0</v>
      </c>
      <c r="E207" s="40">
        <f>Calculator!H82</f>
        <v>0</v>
      </c>
      <c r="F207" s="14">
        <f>IF(E207&gt;5,"6+",E207)</f>
        <v>0</v>
      </c>
      <c r="G207" s="14" t="e">
        <f t="shared" si="16"/>
        <v>#N/A</v>
      </c>
      <c r="H207" s="17" t="e">
        <f t="shared" si="17"/>
        <v>#N/A</v>
      </c>
      <c r="I207" s="17" t="e">
        <f t="shared" si="18"/>
        <v>#N/A</v>
      </c>
      <c r="J207" s="17">
        <f t="shared" si="19"/>
        <v>23.3</v>
      </c>
      <c r="K207" s="17">
        <f t="shared" si="20"/>
        <v>0</v>
      </c>
      <c r="L207" s="17" t="e">
        <f t="shared" si="21"/>
        <v>#N/A</v>
      </c>
      <c r="M207" s="17">
        <v>4.7759999999999998</v>
      </c>
      <c r="N207" s="17" t="e">
        <f t="shared" si="22"/>
        <v>#N/A</v>
      </c>
      <c r="O207" s="17" t="e">
        <f t="shared" si="23"/>
        <v>#N/A</v>
      </c>
      <c r="P207" s="17">
        <v>3.5</v>
      </c>
      <c r="Q207" s="17">
        <f t="shared" si="24"/>
        <v>16.7</v>
      </c>
      <c r="R207" s="17">
        <f t="shared" si="25"/>
        <v>0</v>
      </c>
      <c r="S207" s="17" t="e">
        <f t="shared" si="26"/>
        <v>#N/A</v>
      </c>
      <c r="T207" s="17">
        <v>4.6719999999999997</v>
      </c>
      <c r="U207" s="17" t="e">
        <f t="shared" si="27"/>
        <v>#N/A</v>
      </c>
      <c r="V207" s="17" t="e">
        <f>AA207*ETDF!$G$4</f>
        <v>#N/A</v>
      </c>
      <c r="W207" s="17" t="e">
        <f>AA207*ETDF!$H$4</f>
        <v>#N/A</v>
      </c>
      <c r="X207" s="17">
        <f t="shared" si="28"/>
        <v>0</v>
      </c>
      <c r="Y207" s="17">
        <f>IF(D207=$C$196,"Ineligible Gas Boiler",IFERROR((L207+M207+N207)*$E$183,0))</f>
        <v>0</v>
      </c>
      <c r="Z207" s="17">
        <f>IF(D207=$C$196,"Ineligible Gas Boiler",IFERROR(((S207+T207+U207))*$E$183,0))</f>
        <v>0</v>
      </c>
      <c r="AA207" s="17">
        <f>IF(D207=$C$196,"Ineligible Gas Boiler",IFERROR((Y207-Z207)*B207,0))</f>
        <v>0</v>
      </c>
      <c r="AB207" s="124">
        <f>IFERROR(ROUND(E207*B207*$H$180,2),"")</f>
        <v>0</v>
      </c>
      <c r="AC207" s="1"/>
      <c r="AD207" s="1"/>
      <c r="AE207" s="1"/>
      <c r="AF207" s="1"/>
      <c r="AG207" s="1"/>
      <c r="AH207" s="1"/>
      <c r="AI207" s="1"/>
      <c r="AJ207" s="1"/>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row>
    <row r="208" spans="2:92" ht="15">
      <c r="CE208" s="33"/>
      <c r="CF208" s="33"/>
      <c r="CG208" s="33"/>
      <c r="CH208" s="33"/>
      <c r="CI208" s="33"/>
      <c r="CJ208" s="33"/>
    </row>
    <row r="209" spans="2:88" ht="18.75" thickBot="1">
      <c r="B209" s="375" t="s">
        <v>102</v>
      </c>
      <c r="C209" s="375"/>
      <c r="D209" s="375"/>
      <c r="E209" s="375"/>
      <c r="F209" s="375"/>
      <c r="G209" s="375"/>
      <c r="H209" s="375"/>
      <c r="I209" s="375"/>
      <c r="J209" s="375"/>
      <c r="K209" s="16"/>
      <c r="L209" s="16"/>
      <c r="M209" s="16"/>
      <c r="N209" s="16"/>
      <c r="O209" s="16"/>
      <c r="P209" s="16"/>
      <c r="Q209" s="16"/>
      <c r="R209" s="16"/>
      <c r="S209" s="16"/>
      <c r="T209" s="16"/>
      <c r="U209" s="16"/>
      <c r="V209" s="16"/>
      <c r="W209" s="16"/>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c r="BY209" s="33"/>
      <c r="BZ209" s="33"/>
      <c r="CA209" s="33"/>
      <c r="CB209" s="33"/>
      <c r="CC209" s="33"/>
      <c r="CD209" s="33"/>
    </row>
    <row r="210" spans="2:88" ht="18">
      <c r="B210" s="7" t="s">
        <v>218</v>
      </c>
      <c r="D210" s="7" t="s">
        <v>88</v>
      </c>
      <c r="O210" s="6"/>
      <c r="P210" s="6"/>
      <c r="Q210" s="6"/>
      <c r="R210" s="6"/>
      <c r="S210" s="6"/>
      <c r="T210" s="6"/>
      <c r="U210" s="6"/>
      <c r="V210" s="6"/>
      <c r="W210" s="6"/>
    </row>
    <row r="211" spans="2:88" ht="15">
      <c r="B211" s="32" t="s">
        <v>35</v>
      </c>
      <c r="C211" s="117" t="s">
        <v>157</v>
      </c>
      <c r="D211" s="137">
        <v>75</v>
      </c>
      <c r="E211" s="14" t="s">
        <v>274</v>
      </c>
      <c r="O211" s="6"/>
      <c r="Q211" s="6"/>
      <c r="R211" s="6"/>
      <c r="S211" s="6"/>
      <c r="T211" s="6"/>
      <c r="U211" s="6"/>
      <c r="V211" s="6"/>
      <c r="W211" s="6"/>
    </row>
    <row r="212" spans="2:88">
      <c r="B212" s="32" t="s">
        <v>388</v>
      </c>
      <c r="C212" s="40" t="s">
        <v>225</v>
      </c>
      <c r="O212" s="6"/>
      <c r="Q212" s="6"/>
      <c r="R212" s="6"/>
      <c r="S212" s="6"/>
      <c r="T212" s="6"/>
      <c r="U212" s="6"/>
      <c r="V212" s="6"/>
      <c r="W212" s="6"/>
    </row>
    <row r="213" spans="2:88" ht="15">
      <c r="B213" s="32" t="s">
        <v>389</v>
      </c>
      <c r="C213" s="117" t="s">
        <v>273</v>
      </c>
      <c r="O213" s="6"/>
      <c r="Q213" s="6"/>
      <c r="R213" s="6"/>
      <c r="S213" s="6"/>
      <c r="T213" s="6"/>
      <c r="U213" s="6"/>
      <c r="V213" s="6"/>
      <c r="W213" s="6"/>
    </row>
    <row r="214" spans="2:88" s="8" customFormat="1" ht="15">
      <c r="B214" s="1"/>
      <c r="C214" s="40" t="s">
        <v>248</v>
      </c>
      <c r="D214" s="1"/>
      <c r="E214" s="1"/>
      <c r="F214" s="1"/>
      <c r="G214" s="1"/>
      <c r="H214" s="1"/>
      <c r="I214" s="1"/>
      <c r="J214" s="1"/>
      <c r="K214" s="1"/>
      <c r="L214" s="1"/>
      <c r="M214" s="1"/>
      <c r="N214" s="1"/>
      <c r="O214" s="6"/>
      <c r="P214" s="1"/>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row>
    <row r="215" spans="2:88" ht="14.25" customHeight="1">
      <c r="B215" s="7" t="s">
        <v>390</v>
      </c>
      <c r="C215" s="6"/>
      <c r="L215" s="6"/>
      <c r="M215" s="6"/>
      <c r="N215" s="6"/>
      <c r="O215" s="6"/>
      <c r="P215" s="6"/>
      <c r="Q215" s="6"/>
      <c r="R215" s="6"/>
      <c r="S215" s="6"/>
      <c r="T215" s="6"/>
      <c r="U215" s="6"/>
      <c r="V215" s="6"/>
      <c r="W215" s="6"/>
      <c r="CE215" s="8"/>
      <c r="CF215" s="8"/>
      <c r="CG215" s="8"/>
      <c r="CH215" s="8"/>
      <c r="CI215" s="8"/>
      <c r="CJ215" s="8"/>
    </row>
    <row r="216" spans="2:88" ht="15">
      <c r="B216" s="42" t="s">
        <v>33</v>
      </c>
      <c r="C216" s="18" t="s">
        <v>391</v>
      </c>
      <c r="E216" s="6"/>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row>
    <row r="217" spans="2:88">
      <c r="B217" s="32" t="s">
        <v>388</v>
      </c>
      <c r="C217" s="32">
        <v>71</v>
      </c>
      <c r="E217" s="6"/>
      <c r="F217" s="6"/>
      <c r="G217" s="6"/>
      <c r="H217" s="6"/>
      <c r="I217" s="6"/>
      <c r="J217" s="6"/>
      <c r="K217" s="6"/>
      <c r="L217" s="6"/>
      <c r="M217" s="6"/>
      <c r="N217" s="6"/>
      <c r="O217" s="6"/>
      <c r="P217" s="6"/>
      <c r="Q217" s="6"/>
      <c r="R217" s="6"/>
      <c r="S217" s="6"/>
      <c r="T217" s="6"/>
      <c r="U217" s="6"/>
      <c r="V217" s="6"/>
      <c r="W217" s="6"/>
    </row>
    <row r="218" spans="2:88">
      <c r="B218" s="32" t="s">
        <v>389</v>
      </c>
      <c r="C218" s="32">
        <v>180</v>
      </c>
      <c r="E218" s="6"/>
      <c r="F218" s="6"/>
      <c r="G218" s="6"/>
      <c r="H218" s="6"/>
      <c r="I218" s="6"/>
      <c r="J218" s="6"/>
      <c r="K218" s="6"/>
      <c r="L218" s="6"/>
      <c r="M218" s="6"/>
      <c r="N218" s="6"/>
      <c r="O218" s="6"/>
      <c r="P218" s="6"/>
      <c r="Q218" s="6"/>
      <c r="R218" s="6"/>
      <c r="S218" s="6"/>
      <c r="T218" s="6"/>
      <c r="U218" s="6"/>
      <c r="V218" s="6"/>
      <c r="W218" s="6"/>
    </row>
    <row r="219" spans="2:88" s="8" customFormat="1" ht="15">
      <c r="B219" s="1"/>
      <c r="C219" s="1"/>
      <c r="D219" s="1"/>
      <c r="E219" s="1"/>
      <c r="F219" s="1"/>
      <c r="G219" s="1"/>
      <c r="H219" s="1"/>
      <c r="I219" s="1"/>
      <c r="J219" s="1"/>
      <c r="K219" s="1"/>
      <c r="L219" s="1"/>
      <c r="M219" s="1"/>
      <c r="N219" s="1"/>
      <c r="O219" s="1"/>
      <c r="P219" s="1"/>
      <c r="Q219" s="1"/>
      <c r="R219" s="1"/>
      <c r="S219" s="1"/>
      <c r="T219" s="1"/>
      <c r="U219" s="1"/>
      <c r="V219" s="1"/>
      <c r="W219" s="1"/>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row>
    <row r="220" spans="2:88" ht="14.25" customHeight="1">
      <c r="B220" s="7" t="s">
        <v>12</v>
      </c>
      <c r="CE220" s="8"/>
      <c r="CF220" s="8"/>
      <c r="CG220" s="8"/>
      <c r="CH220" s="8"/>
      <c r="CI220" s="8"/>
      <c r="CJ220" s="8"/>
    </row>
    <row r="221" spans="2:88" ht="14.25" customHeight="1">
      <c r="B221" s="42" t="s">
        <v>33</v>
      </c>
      <c r="C221" s="18" t="s">
        <v>391</v>
      </c>
      <c r="D221" s="18" t="s">
        <v>118</v>
      </c>
      <c r="P221" s="6"/>
      <c r="Q221" s="6"/>
      <c r="R221" s="6"/>
      <c r="S221" s="6"/>
      <c r="T221" s="6"/>
      <c r="U221" s="6"/>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row>
    <row r="222" spans="2:88">
      <c r="B222" s="40">
        <f>Calculator!H88</f>
        <v>0</v>
      </c>
      <c r="C222" s="40" t="e">
        <f>VLOOKUP(B222,$B$217:$C$218,2,FALSE)</f>
        <v>#N/A</v>
      </c>
      <c r="D222" s="124">
        <f>IFERROR(ROUND(Calculator!G88*$D$211,2),"")</f>
        <v>0</v>
      </c>
      <c r="P222" s="6"/>
      <c r="Q222" s="6"/>
      <c r="R222" s="6"/>
      <c r="S222" s="6"/>
      <c r="T222" s="6"/>
      <c r="U222" s="6"/>
      <c r="V222" s="6"/>
      <c r="W222" s="6"/>
    </row>
    <row r="223" spans="2:88" s="33" customFormat="1" ht="18.600000000000001" customHeight="1">
      <c r="B223" s="40">
        <f>Calculator!H89</f>
        <v>0</v>
      </c>
      <c r="C223" s="40" t="e">
        <f>VLOOKUP(B223,$B$217:$C$218,2,FALSE)</f>
        <v>#N/A</v>
      </c>
      <c r="D223" s="124">
        <f>IFERROR(ROUND(Calculator!G89*$D$211,2),"")</f>
        <v>0</v>
      </c>
      <c r="E223" s="1"/>
      <c r="F223" s="1"/>
      <c r="G223" s="1"/>
      <c r="H223" s="1"/>
      <c r="I223" s="1"/>
      <c r="J223" s="1"/>
      <c r="K223" s="1"/>
      <c r="L223" s="1"/>
      <c r="M223" s="1"/>
      <c r="N223" s="1"/>
      <c r="O223" s="1"/>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row>
    <row r="224" spans="2:88" ht="15">
      <c r="CE224" s="33"/>
      <c r="CF224" s="33"/>
      <c r="CG224" s="33"/>
      <c r="CH224" s="33"/>
      <c r="CI224" s="33"/>
      <c r="CJ224" s="33"/>
    </row>
    <row r="225" spans="2:88" ht="18.75" thickBot="1">
      <c r="B225" s="375" t="s">
        <v>103</v>
      </c>
      <c r="C225" s="375"/>
      <c r="D225" s="375"/>
      <c r="E225" s="375"/>
      <c r="F225" s="375"/>
      <c r="G225" s="375"/>
      <c r="H225" s="375"/>
      <c r="I225" s="375"/>
      <c r="J225" s="375"/>
      <c r="K225" s="16"/>
      <c r="L225" s="16"/>
      <c r="M225" s="16"/>
      <c r="N225" s="16"/>
      <c r="O225" s="16"/>
      <c r="P225" s="16"/>
      <c r="Q225" s="16"/>
      <c r="R225" s="16"/>
      <c r="S225" s="16"/>
      <c r="T225" s="16"/>
      <c r="U225" s="16"/>
      <c r="V225" s="16"/>
      <c r="W225" s="16"/>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c r="BY225" s="33"/>
      <c r="BZ225" s="33"/>
      <c r="CA225" s="33"/>
      <c r="CB225" s="33"/>
      <c r="CC225" s="33"/>
      <c r="CD225" s="33"/>
    </row>
    <row r="226" spans="2:88" ht="18">
      <c r="B226" s="7" t="s">
        <v>218</v>
      </c>
      <c r="D226" s="7" t="s">
        <v>88</v>
      </c>
      <c r="O226" s="6"/>
      <c r="P226" s="6"/>
      <c r="Q226" s="6"/>
      <c r="R226" s="6"/>
      <c r="S226" s="6"/>
      <c r="T226" s="6"/>
      <c r="U226" s="6"/>
      <c r="V226" s="6"/>
      <c r="W226" s="6"/>
    </row>
    <row r="227" spans="2:88" ht="15">
      <c r="B227" s="32" t="s">
        <v>144</v>
      </c>
      <c r="C227" s="117" t="s">
        <v>157</v>
      </c>
      <c r="D227" s="137">
        <v>75</v>
      </c>
      <c r="E227" s="14" t="s">
        <v>274</v>
      </c>
      <c r="O227" s="6"/>
      <c r="Q227" s="6"/>
      <c r="R227" s="6"/>
      <c r="S227" s="6"/>
      <c r="T227" s="6"/>
      <c r="U227" s="6"/>
      <c r="V227" s="6"/>
      <c r="W227" s="6"/>
    </row>
    <row r="228" spans="2:88">
      <c r="B228" s="32" t="s">
        <v>392</v>
      </c>
      <c r="C228" s="40" t="s">
        <v>225</v>
      </c>
      <c r="O228" s="6"/>
      <c r="Q228" s="6"/>
      <c r="R228" s="6"/>
      <c r="S228" s="6"/>
      <c r="T228" s="6"/>
      <c r="U228" s="6"/>
      <c r="V228" s="6"/>
      <c r="W228" s="6"/>
    </row>
    <row r="229" spans="2:88">
      <c r="B229" s="32" t="s">
        <v>393</v>
      </c>
      <c r="O229" s="6"/>
      <c r="Q229" s="6"/>
      <c r="R229" s="6"/>
      <c r="S229" s="6"/>
      <c r="T229" s="6"/>
      <c r="U229" s="6"/>
      <c r="V229" s="6"/>
      <c r="W229" s="6"/>
    </row>
    <row r="230" spans="2:88" s="8" customFormat="1" ht="15">
      <c r="B230" s="1"/>
      <c r="C230" s="1"/>
      <c r="D230" s="1"/>
      <c r="E230" s="1"/>
      <c r="F230" s="1"/>
      <c r="G230" s="1"/>
      <c r="H230" s="1"/>
      <c r="I230" s="1"/>
      <c r="J230" s="1"/>
      <c r="K230" s="1"/>
      <c r="L230" s="1"/>
      <c r="M230" s="1"/>
      <c r="N230" s="1"/>
      <c r="O230" s="6"/>
      <c r="P230" s="1"/>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row>
    <row r="231" spans="2:88" ht="14.25" customHeight="1">
      <c r="B231" s="7" t="s">
        <v>390</v>
      </c>
      <c r="C231" s="6"/>
      <c r="L231" s="6"/>
      <c r="M231" s="6"/>
      <c r="N231" s="6"/>
      <c r="O231" s="6"/>
      <c r="P231" s="6"/>
      <c r="Q231" s="6"/>
      <c r="R231" s="6"/>
      <c r="S231" s="6"/>
      <c r="T231" s="6"/>
      <c r="U231" s="6"/>
      <c r="V231" s="6"/>
      <c r="W231" s="6"/>
      <c r="CE231" s="8"/>
      <c r="CF231" s="8"/>
      <c r="CG231" s="8"/>
      <c r="CH231" s="8"/>
      <c r="CI231" s="8"/>
      <c r="CJ231" s="8"/>
    </row>
    <row r="232" spans="2:88" ht="15">
      <c r="B232" s="42" t="s">
        <v>33</v>
      </c>
      <c r="C232" s="18" t="s">
        <v>391</v>
      </c>
      <c r="E232" s="6"/>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row>
    <row r="233" spans="2:88">
      <c r="B233" s="32" t="s">
        <v>392</v>
      </c>
      <c r="C233" s="32">
        <v>1611.8</v>
      </c>
      <c r="E233" s="6"/>
      <c r="F233" s="6"/>
      <c r="G233" s="6"/>
      <c r="H233" s="6"/>
      <c r="I233" s="6"/>
      <c r="J233" s="6"/>
      <c r="K233" s="6"/>
      <c r="L233" s="6"/>
      <c r="M233" s="6"/>
      <c r="N233" s="6"/>
      <c r="O233" s="6"/>
      <c r="P233" s="6"/>
      <c r="Q233" s="6"/>
      <c r="R233" s="6"/>
      <c r="S233" s="6"/>
      <c r="T233" s="6"/>
      <c r="U233" s="6"/>
      <c r="V233" s="6"/>
      <c r="W233" s="6"/>
    </row>
    <row r="234" spans="2:88">
      <c r="B234" s="32" t="s">
        <v>393</v>
      </c>
      <c r="C234" s="32">
        <v>1208.9000000000001</v>
      </c>
      <c r="E234" s="6"/>
      <c r="F234" s="6"/>
      <c r="G234" s="6"/>
      <c r="H234" s="6"/>
      <c r="I234" s="6"/>
      <c r="J234" s="6"/>
      <c r="K234" s="6"/>
      <c r="L234" s="6"/>
      <c r="M234" s="6"/>
      <c r="N234" s="6"/>
      <c r="O234" s="6"/>
      <c r="P234" s="6"/>
      <c r="Q234" s="6"/>
      <c r="R234" s="6"/>
      <c r="S234" s="6"/>
      <c r="T234" s="6"/>
      <c r="U234" s="6"/>
      <c r="V234" s="6"/>
      <c r="W234" s="6"/>
    </row>
    <row r="235" spans="2:88" s="8" customFormat="1" ht="15">
      <c r="B235" s="1"/>
      <c r="C235" s="1"/>
      <c r="D235" s="1"/>
      <c r="E235" s="1"/>
      <c r="F235" s="1"/>
      <c r="G235" s="1"/>
      <c r="H235" s="1"/>
      <c r="I235" s="1"/>
      <c r="J235" s="1"/>
      <c r="K235" s="1"/>
      <c r="L235" s="1"/>
      <c r="M235" s="1"/>
      <c r="N235" s="1"/>
      <c r="O235" s="1"/>
      <c r="P235" s="1"/>
      <c r="Q235" s="1"/>
      <c r="R235" s="1"/>
      <c r="S235" s="1"/>
      <c r="T235" s="1"/>
      <c r="U235" s="1"/>
      <c r="V235" s="1"/>
      <c r="W235" s="1"/>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row>
    <row r="236" spans="2:88" ht="14.25" customHeight="1">
      <c r="B236" s="7" t="s">
        <v>12</v>
      </c>
      <c r="CE236" s="8"/>
      <c r="CF236" s="8"/>
      <c r="CG236" s="8"/>
      <c r="CH236" s="8"/>
      <c r="CI236" s="8"/>
      <c r="CJ236" s="8"/>
    </row>
    <row r="237" spans="2:88" ht="14.25" customHeight="1">
      <c r="B237" s="42" t="s">
        <v>33</v>
      </c>
      <c r="C237" s="18" t="s">
        <v>391</v>
      </c>
      <c r="D237" s="18" t="s">
        <v>118</v>
      </c>
      <c r="P237" s="6"/>
      <c r="Q237" s="6"/>
      <c r="R237" s="6"/>
      <c r="S237" s="6"/>
      <c r="T237" s="6"/>
      <c r="U237" s="6"/>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row>
    <row r="238" spans="2:88" ht="14.25" customHeight="1">
      <c r="B238" s="40">
        <f>Calculator!H95</f>
        <v>0</v>
      </c>
      <c r="C238" s="40" t="e">
        <f>VLOOKUP(B238,$B$233:$C$234,2,FALSE)</f>
        <v>#N/A</v>
      </c>
      <c r="D238" s="124">
        <f>IFERROR(ROUND(Calculator!G95*$D$227,2),"")</f>
        <v>0</v>
      </c>
      <c r="P238" s="6"/>
      <c r="Q238" s="6"/>
      <c r="R238" s="6"/>
      <c r="S238" s="6"/>
      <c r="T238" s="6"/>
      <c r="U238" s="6"/>
      <c r="V238" s="6"/>
      <c r="W238" s="6"/>
    </row>
    <row r="239" spans="2:88" ht="14.25" customHeight="1">
      <c r="B239" s="40">
        <f>Calculator!H96</f>
        <v>0</v>
      </c>
      <c r="C239" s="40" t="e">
        <f t="shared" ref="C239:C242" si="29">VLOOKUP(B239,$B$233:$C$234,2,FALSE)</f>
        <v>#N/A</v>
      </c>
      <c r="D239" s="124">
        <f>IFERROR(ROUND(Calculator!G96*$D$227,2),"")</f>
        <v>0</v>
      </c>
      <c r="P239" s="6"/>
      <c r="Q239" s="6"/>
      <c r="R239" s="6"/>
      <c r="S239" s="6"/>
      <c r="T239" s="6"/>
      <c r="U239" s="6"/>
      <c r="V239" s="6"/>
      <c r="W239" s="6"/>
    </row>
    <row r="240" spans="2:88" ht="14.25" customHeight="1">
      <c r="B240" s="40">
        <f>Calculator!H97</f>
        <v>0</v>
      </c>
      <c r="C240" s="40" t="e">
        <f t="shared" si="29"/>
        <v>#N/A</v>
      </c>
      <c r="D240" s="124">
        <f>IFERROR(ROUND(Calculator!G97*$D$227,2),"")</f>
        <v>0</v>
      </c>
      <c r="P240" s="6"/>
      <c r="Q240" s="6"/>
      <c r="R240" s="6"/>
      <c r="S240" s="6"/>
      <c r="T240" s="6"/>
      <c r="U240" s="6"/>
      <c r="V240" s="6"/>
      <c r="W240" s="6"/>
    </row>
    <row r="241" spans="2:88">
      <c r="B241" s="40">
        <f>Calculator!H98</f>
        <v>0</v>
      </c>
      <c r="C241" s="40" t="e">
        <f t="shared" si="29"/>
        <v>#N/A</v>
      </c>
      <c r="D241" s="124">
        <f>IFERROR(ROUND(Calculator!G98*$D$227,2),"")</f>
        <v>0</v>
      </c>
      <c r="P241" s="6"/>
      <c r="Q241" s="6"/>
      <c r="R241" s="6"/>
      <c r="S241" s="6"/>
      <c r="T241" s="6"/>
      <c r="U241" s="6"/>
      <c r="V241" s="6"/>
      <c r="W241" s="6"/>
    </row>
    <row r="242" spans="2:88" s="33" customFormat="1" ht="18.600000000000001" customHeight="1">
      <c r="B242" s="40">
        <f>Calculator!H99</f>
        <v>0</v>
      </c>
      <c r="C242" s="40" t="e">
        <f t="shared" si="29"/>
        <v>#N/A</v>
      </c>
      <c r="D242" s="124">
        <f>IFERROR(ROUND(Calculator!G99*$D$227,2),"")</f>
        <v>0</v>
      </c>
      <c r="E242" s="1"/>
      <c r="F242" s="1"/>
      <c r="G242" s="1"/>
      <c r="H242" s="1"/>
      <c r="I242" s="1"/>
      <c r="J242" s="1"/>
      <c r="K242" s="1"/>
      <c r="L242" s="1"/>
      <c r="M242" s="1"/>
      <c r="N242" s="1"/>
      <c r="O242" s="1"/>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row>
    <row r="243" spans="2:88" ht="15">
      <c r="CE243" s="33"/>
      <c r="CF243" s="33"/>
      <c r="CG243" s="33"/>
      <c r="CH243" s="33"/>
      <c r="CI243" s="33"/>
      <c r="CJ243" s="33"/>
    </row>
    <row r="244" spans="2:88" ht="18.75" thickBot="1">
      <c r="B244" s="375" t="s">
        <v>105</v>
      </c>
      <c r="C244" s="375"/>
      <c r="D244" s="375"/>
      <c r="E244" s="375"/>
      <c r="F244" s="375"/>
      <c r="G244" s="375"/>
      <c r="H244" s="375"/>
      <c r="I244" s="375"/>
      <c r="J244" s="375"/>
      <c r="K244" s="16"/>
      <c r="L244" s="16"/>
      <c r="M244" s="16"/>
      <c r="N244" s="16"/>
      <c r="O244" s="16"/>
      <c r="P244" s="16"/>
      <c r="Q244" s="16"/>
      <c r="R244" s="16"/>
      <c r="S244" s="16"/>
      <c r="T244" s="16"/>
      <c r="U244" s="16"/>
      <c r="V244" s="16"/>
      <c r="W244" s="16"/>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c r="BY244" s="33"/>
      <c r="BZ244" s="33"/>
      <c r="CA244" s="33"/>
      <c r="CB244" s="33"/>
      <c r="CC244" s="33"/>
      <c r="CD244" s="33"/>
    </row>
    <row r="245" spans="2:88" ht="18">
      <c r="B245" s="7" t="s">
        <v>218</v>
      </c>
      <c r="C245" s="7"/>
      <c r="D245" s="7"/>
      <c r="G245" s="7" t="s">
        <v>219</v>
      </c>
      <c r="T245" s="6"/>
      <c r="U245" s="6"/>
      <c r="V245" s="6"/>
      <c r="W245" s="6"/>
    </row>
    <row r="246" spans="2:88" ht="15">
      <c r="B246" s="40" t="s">
        <v>394</v>
      </c>
      <c r="C246" s="40" t="s">
        <v>43</v>
      </c>
      <c r="D246" s="40" t="s">
        <v>41</v>
      </c>
      <c r="E246" s="40" t="s">
        <v>146</v>
      </c>
      <c r="F246" s="40" t="s">
        <v>192</v>
      </c>
      <c r="G246" s="101" t="s">
        <v>395</v>
      </c>
      <c r="H246" s="101">
        <v>5858</v>
      </c>
      <c r="I246" s="101" t="s">
        <v>396</v>
      </c>
      <c r="J246" s="117" t="s">
        <v>157</v>
      </c>
      <c r="K246" s="117" t="s">
        <v>273</v>
      </c>
      <c r="L246" s="57"/>
      <c r="M246" s="57"/>
      <c r="T246" s="6"/>
      <c r="V246" s="6"/>
      <c r="W246" s="6"/>
    </row>
    <row r="247" spans="2:88">
      <c r="B247" s="40" t="s">
        <v>224</v>
      </c>
      <c r="C247" s="40" t="s">
        <v>397</v>
      </c>
      <c r="D247" s="40" t="s">
        <v>398</v>
      </c>
      <c r="E247" s="40" t="s">
        <v>225</v>
      </c>
      <c r="F247" s="40" t="s">
        <v>399</v>
      </c>
      <c r="G247" s="101" t="s">
        <v>232</v>
      </c>
      <c r="H247" s="101">
        <v>0.77</v>
      </c>
      <c r="I247" s="101"/>
      <c r="J247" s="40" t="s">
        <v>225</v>
      </c>
      <c r="K247" s="40" t="s">
        <v>248</v>
      </c>
      <c r="L247" s="57"/>
      <c r="M247" s="57"/>
      <c r="T247" s="6"/>
      <c r="V247" s="6"/>
      <c r="W247" s="6"/>
    </row>
    <row r="248" spans="2:88" ht="35.25" customHeight="1">
      <c r="B248" s="40" t="s">
        <v>228</v>
      </c>
      <c r="C248" s="40" t="s">
        <v>400</v>
      </c>
      <c r="D248" s="40" t="s">
        <v>401</v>
      </c>
      <c r="E248" s="40" t="s">
        <v>402</v>
      </c>
      <c r="G248" s="101" t="s">
        <v>403</v>
      </c>
      <c r="H248" s="101">
        <v>12</v>
      </c>
      <c r="I248" s="101" t="s">
        <v>404</v>
      </c>
      <c r="J248" s="57"/>
      <c r="K248" s="57"/>
      <c r="L248" s="57"/>
      <c r="M248" s="57"/>
      <c r="T248" s="6"/>
      <c r="V248" s="6"/>
      <c r="W248" s="6"/>
    </row>
    <row r="249" spans="2:88" s="8" customFormat="1" ht="34.15" customHeight="1">
      <c r="B249" s="57"/>
      <c r="C249" s="96"/>
      <c r="D249" s="96"/>
      <c r="E249" s="40" t="s">
        <v>405</v>
      </c>
      <c r="F249" s="57"/>
      <c r="G249" s="57"/>
      <c r="H249" s="57"/>
      <c r="I249" s="57"/>
      <c r="J249" s="57"/>
      <c r="K249" s="57"/>
      <c r="L249" s="57"/>
      <c r="M249" s="57"/>
      <c r="N249" s="1"/>
      <c r="O249" s="1"/>
      <c r="P249" s="7" t="s">
        <v>88</v>
      </c>
      <c r="Q249" s="1"/>
      <c r="R249" s="1"/>
      <c r="S249" s="1"/>
      <c r="T249" s="1"/>
      <c r="U249" s="1"/>
      <c r="V249" s="1"/>
      <c r="W249" s="1"/>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row>
    <row r="250" spans="2:88" ht="18">
      <c r="B250" s="7" t="s">
        <v>230</v>
      </c>
      <c r="C250" s="96"/>
      <c r="D250" s="96"/>
      <c r="E250" s="96"/>
      <c r="F250" s="96"/>
      <c r="G250" s="96"/>
      <c r="H250" s="96"/>
      <c r="I250" s="96"/>
      <c r="J250" s="96"/>
      <c r="K250" s="384" t="s">
        <v>406</v>
      </c>
      <c r="L250" s="384"/>
      <c r="M250" s="384" t="s">
        <v>407</v>
      </c>
      <c r="N250" s="384"/>
      <c r="P250" s="101" t="s">
        <v>105</v>
      </c>
      <c r="Q250" s="101"/>
      <c r="R250" s="101"/>
      <c r="U250" s="6"/>
      <c r="V250" s="6"/>
      <c r="W250" s="6"/>
      <c r="CE250" s="8"/>
      <c r="CF250" s="8"/>
      <c r="CG250" s="8"/>
      <c r="CH250" s="8"/>
      <c r="CI250" s="8"/>
      <c r="CJ250" s="8"/>
    </row>
    <row r="251" spans="2:88" ht="15">
      <c r="B251" s="42" t="s">
        <v>231</v>
      </c>
      <c r="C251" s="122" t="s">
        <v>75</v>
      </c>
      <c r="D251" s="122" t="s">
        <v>43</v>
      </c>
      <c r="E251" s="122" t="s">
        <v>41</v>
      </c>
      <c r="F251" s="122" t="s">
        <v>408</v>
      </c>
      <c r="G251" s="123" t="s">
        <v>409</v>
      </c>
      <c r="H251" s="123" t="s">
        <v>410</v>
      </c>
      <c r="I251" s="123" t="s">
        <v>411</v>
      </c>
      <c r="J251" s="123" t="s">
        <v>412</v>
      </c>
      <c r="K251" s="123" t="s">
        <v>413</v>
      </c>
      <c r="L251" s="123" t="s">
        <v>414</v>
      </c>
      <c r="M251" s="123" t="s">
        <v>413</v>
      </c>
      <c r="N251" s="123" t="s">
        <v>414</v>
      </c>
      <c r="O251" s="8"/>
      <c r="P251" s="101" t="s">
        <v>415</v>
      </c>
      <c r="Q251" s="139">
        <v>75</v>
      </c>
      <c r="R251" s="101" t="s">
        <v>416</v>
      </c>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row>
    <row r="252" spans="2:88" ht="15">
      <c r="B252" s="43" t="str">
        <f>CONCATENATE(C252,D252,E252,F252)</f>
        <v>RefrigeratorSolidVertical0&lt;V&lt;15</v>
      </c>
      <c r="C252" s="40" t="s">
        <v>224</v>
      </c>
      <c r="D252" s="40" t="s">
        <v>397</v>
      </c>
      <c r="E252" s="108" t="s">
        <v>398</v>
      </c>
      <c r="F252" s="40" t="s">
        <v>417</v>
      </c>
      <c r="G252" s="120">
        <v>0.05</v>
      </c>
      <c r="H252" s="120">
        <v>1.36</v>
      </c>
      <c r="I252" s="120">
        <v>2.1999999999999999E-2</v>
      </c>
      <c r="J252" s="120">
        <v>0.97</v>
      </c>
      <c r="K252" s="120">
        <v>0.1</v>
      </c>
      <c r="L252" s="120">
        <v>2.04</v>
      </c>
      <c r="M252" s="120">
        <v>0.05</v>
      </c>
      <c r="N252" s="120">
        <v>1.36</v>
      </c>
      <c r="O252" s="6"/>
      <c r="P252" s="101" t="s">
        <v>418</v>
      </c>
      <c r="Q252" s="139">
        <v>100</v>
      </c>
      <c r="R252" s="101" t="s">
        <v>416</v>
      </c>
      <c r="U252" s="6"/>
      <c r="V252" s="6"/>
      <c r="W252" s="6"/>
    </row>
    <row r="253" spans="2:88" ht="15">
      <c r="B253" s="43" t="str">
        <f t="shared" ref="B253:B283" si="30">CONCATENATE(C253,D253,E253,F253)</f>
        <v>RefrigeratorSolidVertical15≤V&lt;30</v>
      </c>
      <c r="C253" s="40" t="s">
        <v>224</v>
      </c>
      <c r="D253" s="40" t="s">
        <v>397</v>
      </c>
      <c r="E253" s="40" t="s">
        <v>398</v>
      </c>
      <c r="F253" s="40" t="s">
        <v>419</v>
      </c>
      <c r="G253" s="120">
        <v>0.05</v>
      </c>
      <c r="H253" s="120">
        <v>1.36</v>
      </c>
      <c r="I253" s="120">
        <v>6.6000000000000003E-2</v>
      </c>
      <c r="J253" s="120">
        <v>0.31</v>
      </c>
      <c r="K253" s="120">
        <v>0.1</v>
      </c>
      <c r="L253" s="120">
        <v>2.04</v>
      </c>
      <c r="M253" s="120">
        <v>0.05</v>
      </c>
      <c r="N253" s="120">
        <v>1.36</v>
      </c>
      <c r="O253" s="6"/>
      <c r="P253" s="101" t="s">
        <v>420</v>
      </c>
      <c r="Q253" s="139">
        <v>150</v>
      </c>
      <c r="R253" s="101" t="s">
        <v>416</v>
      </c>
      <c r="U253" s="6"/>
      <c r="V253" s="6"/>
      <c r="W253" s="6"/>
    </row>
    <row r="254" spans="2:88" ht="15">
      <c r="B254" s="43" t="str">
        <f t="shared" si="30"/>
        <v>RefrigeratorSolidVertical30≤V&lt;50</v>
      </c>
      <c r="C254" s="40" t="s">
        <v>224</v>
      </c>
      <c r="D254" s="40" t="s">
        <v>397</v>
      </c>
      <c r="E254" s="40" t="s">
        <v>398</v>
      </c>
      <c r="F254" s="121" t="s">
        <v>421</v>
      </c>
      <c r="G254" s="120">
        <v>0.05</v>
      </c>
      <c r="H254" s="120">
        <v>1.36</v>
      </c>
      <c r="I254" s="120">
        <v>0.04</v>
      </c>
      <c r="J254" s="120">
        <v>1.0900000000000001</v>
      </c>
      <c r="K254" s="120">
        <v>0.1</v>
      </c>
      <c r="L254" s="120">
        <v>2.04</v>
      </c>
      <c r="M254" s="120">
        <v>0.05</v>
      </c>
      <c r="N254" s="120">
        <v>1.36</v>
      </c>
      <c r="O254" s="96"/>
      <c r="P254" s="101" t="s">
        <v>422</v>
      </c>
      <c r="Q254" s="139">
        <v>225</v>
      </c>
      <c r="R254" s="101" t="s">
        <v>416</v>
      </c>
      <c r="U254" s="6"/>
      <c r="V254" s="6"/>
      <c r="W254" s="6"/>
    </row>
    <row r="255" spans="2:88" ht="15">
      <c r="B255" s="43" t="str">
        <f t="shared" si="30"/>
        <v>RefrigeratorSolidVertical50≤V</v>
      </c>
      <c r="C255" s="40" t="s">
        <v>224</v>
      </c>
      <c r="D255" s="40" t="s">
        <v>397</v>
      </c>
      <c r="E255" s="40" t="s">
        <v>398</v>
      </c>
      <c r="F255" s="121" t="s">
        <v>423</v>
      </c>
      <c r="G255" s="120">
        <v>0.05</v>
      </c>
      <c r="H255" s="120">
        <v>1.36</v>
      </c>
      <c r="I255" s="120">
        <v>2.4E-2</v>
      </c>
      <c r="J255" s="120">
        <v>1.89</v>
      </c>
      <c r="K255" s="120">
        <v>0.1</v>
      </c>
      <c r="L255" s="120">
        <v>2.04</v>
      </c>
      <c r="M255" s="120">
        <v>0.05</v>
      </c>
      <c r="N255" s="120">
        <v>1.36</v>
      </c>
      <c r="O255" s="6"/>
      <c r="P255" s="101" t="s">
        <v>424</v>
      </c>
      <c r="Q255" s="139">
        <v>100</v>
      </c>
      <c r="R255" s="101" t="s">
        <v>416</v>
      </c>
      <c r="U255" s="6"/>
      <c r="V255" s="6"/>
      <c r="W255" s="6"/>
    </row>
    <row r="256" spans="2:88" ht="15">
      <c r="B256" s="43" t="str">
        <f t="shared" si="30"/>
        <v>RefrigeratorTransparentVertical0&lt;V&lt;15</v>
      </c>
      <c r="C256" s="40" t="s">
        <v>224</v>
      </c>
      <c r="D256" s="40" t="s">
        <v>400</v>
      </c>
      <c r="E256" s="40" t="s">
        <v>398</v>
      </c>
      <c r="F256" s="40" t="s">
        <v>417</v>
      </c>
      <c r="G256" s="120">
        <v>0.1</v>
      </c>
      <c r="H256" s="120">
        <v>0.86</v>
      </c>
      <c r="I256" s="120">
        <v>9.5000000000000001E-2</v>
      </c>
      <c r="J256" s="120">
        <v>0.44500000000000001</v>
      </c>
      <c r="K256" s="120">
        <v>0.12</v>
      </c>
      <c r="L256" s="120">
        <v>3.34</v>
      </c>
      <c r="M256" s="120">
        <v>0.1</v>
      </c>
      <c r="N256" s="120">
        <v>0.86</v>
      </c>
      <c r="O256" s="6"/>
      <c r="P256" s="101" t="s">
        <v>425</v>
      </c>
      <c r="Q256" s="139">
        <v>200</v>
      </c>
      <c r="R256" s="101" t="s">
        <v>416</v>
      </c>
      <c r="U256" s="6"/>
      <c r="V256" s="6"/>
      <c r="W256" s="6"/>
    </row>
    <row r="257" spans="2:23" ht="15">
      <c r="B257" s="43" t="str">
        <f t="shared" si="30"/>
        <v>RefrigeratorTransparentVertical15≤V&lt;30</v>
      </c>
      <c r="C257" s="40" t="s">
        <v>224</v>
      </c>
      <c r="D257" s="40" t="s">
        <v>400</v>
      </c>
      <c r="E257" s="40" t="s">
        <v>398</v>
      </c>
      <c r="F257" s="40" t="s">
        <v>419</v>
      </c>
      <c r="G257" s="120">
        <v>0.1</v>
      </c>
      <c r="H257" s="120">
        <v>0.86</v>
      </c>
      <c r="I257" s="120">
        <v>0.05</v>
      </c>
      <c r="J257" s="120">
        <v>1.1200000000000001</v>
      </c>
      <c r="K257" s="120">
        <v>0.12</v>
      </c>
      <c r="L257" s="120">
        <v>3.34</v>
      </c>
      <c r="M257" s="120">
        <v>0.1</v>
      </c>
      <c r="N257" s="120">
        <v>0.86</v>
      </c>
      <c r="O257" s="6"/>
      <c r="P257" s="101" t="s">
        <v>426</v>
      </c>
      <c r="Q257" s="139">
        <v>320</v>
      </c>
      <c r="R257" s="101" t="s">
        <v>416</v>
      </c>
      <c r="U257" s="6"/>
      <c r="V257" s="6"/>
      <c r="W257" s="6"/>
    </row>
    <row r="258" spans="2:23" ht="15">
      <c r="B258" s="43" t="str">
        <f t="shared" si="30"/>
        <v>RefrigeratorTransparentVertical30≤V&lt;50</v>
      </c>
      <c r="C258" s="40" t="s">
        <v>224</v>
      </c>
      <c r="D258" s="40" t="s">
        <v>400</v>
      </c>
      <c r="E258" s="40" t="s">
        <v>398</v>
      </c>
      <c r="F258" s="121" t="s">
        <v>421</v>
      </c>
      <c r="G258" s="120">
        <v>0.1</v>
      </c>
      <c r="H258" s="120">
        <v>0.86</v>
      </c>
      <c r="I258" s="120">
        <v>7.5999999999999998E-2</v>
      </c>
      <c r="J258" s="120">
        <v>0.34</v>
      </c>
      <c r="K258" s="120">
        <v>0.12</v>
      </c>
      <c r="L258" s="120">
        <v>3.34</v>
      </c>
      <c r="M258" s="120">
        <v>0.1</v>
      </c>
      <c r="N258" s="120">
        <v>0.86</v>
      </c>
      <c r="O258" s="6"/>
      <c r="P258" s="101" t="s">
        <v>427</v>
      </c>
      <c r="Q258" s="139">
        <v>500</v>
      </c>
      <c r="R258" s="101" t="s">
        <v>416</v>
      </c>
      <c r="U258" s="6"/>
      <c r="V258" s="6"/>
      <c r="W258" s="6"/>
    </row>
    <row r="259" spans="2:23" ht="15">
      <c r="B259" s="43" t="str">
        <f t="shared" si="30"/>
        <v>RefrigeratorTransparentVertical50≤V</v>
      </c>
      <c r="C259" s="40" t="s">
        <v>224</v>
      </c>
      <c r="D259" s="40" t="s">
        <v>400</v>
      </c>
      <c r="E259" s="40" t="s">
        <v>398</v>
      </c>
      <c r="F259" s="121" t="s">
        <v>423</v>
      </c>
      <c r="G259" s="120">
        <v>0.1</v>
      </c>
      <c r="H259" s="120">
        <v>0.86</v>
      </c>
      <c r="I259" s="120">
        <v>0.105</v>
      </c>
      <c r="J259" s="120">
        <v>-1.1100000000000001</v>
      </c>
      <c r="K259" s="120">
        <v>0.12</v>
      </c>
      <c r="L259" s="120">
        <v>3.34</v>
      </c>
      <c r="M259" s="120">
        <v>0.1</v>
      </c>
      <c r="N259" s="120">
        <v>0.86</v>
      </c>
      <c r="O259" s="6"/>
      <c r="P259" s="101" t="s">
        <v>428</v>
      </c>
      <c r="Q259" s="139">
        <v>75</v>
      </c>
      <c r="R259" s="101" t="s">
        <v>416</v>
      </c>
      <c r="U259" s="6"/>
      <c r="V259" s="6"/>
      <c r="W259" s="6"/>
    </row>
    <row r="260" spans="2:23" ht="15">
      <c r="B260" s="43" t="str">
        <f t="shared" si="30"/>
        <v>RefrigeratorSolidHorizontal0&lt;V&lt;15</v>
      </c>
      <c r="C260" s="252" t="s">
        <v>224</v>
      </c>
      <c r="D260" s="252" t="s">
        <v>397</v>
      </c>
      <c r="E260" s="108" t="s">
        <v>401</v>
      </c>
      <c r="F260" s="252" t="s">
        <v>417</v>
      </c>
      <c r="G260" s="253">
        <v>0.05</v>
      </c>
      <c r="H260" s="253">
        <v>0.91</v>
      </c>
      <c r="I260" s="253">
        <v>0.05</v>
      </c>
      <c r="J260" s="253">
        <v>0.28000000000000003</v>
      </c>
      <c r="K260" s="120">
        <v>0.1</v>
      </c>
      <c r="L260" s="120">
        <v>2.04</v>
      </c>
      <c r="M260" s="120">
        <v>0.05</v>
      </c>
      <c r="N260" s="120">
        <v>0.91</v>
      </c>
      <c r="O260" s="6"/>
      <c r="P260" s="101" t="s">
        <v>429</v>
      </c>
      <c r="Q260" s="139">
        <v>100</v>
      </c>
      <c r="R260" s="101" t="s">
        <v>416</v>
      </c>
      <c r="U260" s="6"/>
      <c r="V260" s="6"/>
      <c r="W260" s="6"/>
    </row>
    <row r="261" spans="2:23" ht="15">
      <c r="B261" s="43" t="str">
        <f t="shared" si="30"/>
        <v>RefrigeratorSolidHorizontal15≤V&lt;30</v>
      </c>
      <c r="C261" s="40" t="s">
        <v>224</v>
      </c>
      <c r="D261" s="40" t="s">
        <v>397</v>
      </c>
      <c r="E261" s="40" t="s">
        <v>401</v>
      </c>
      <c r="F261" s="40" t="s">
        <v>419</v>
      </c>
      <c r="G261" s="253">
        <v>0.05</v>
      </c>
      <c r="H261" s="253">
        <v>0.91</v>
      </c>
      <c r="I261" s="253">
        <v>0.05</v>
      </c>
      <c r="J261" s="253">
        <v>0.28000000000000003</v>
      </c>
      <c r="K261" s="120">
        <v>0.1</v>
      </c>
      <c r="L261" s="120">
        <v>2.04</v>
      </c>
      <c r="M261" s="120">
        <v>0.05</v>
      </c>
      <c r="N261" s="120">
        <v>0.91</v>
      </c>
      <c r="O261" s="6"/>
      <c r="P261" s="101" t="s">
        <v>430</v>
      </c>
      <c r="Q261" s="139">
        <v>125</v>
      </c>
      <c r="R261" s="101" t="s">
        <v>416</v>
      </c>
      <c r="U261" s="6"/>
      <c r="V261" s="6"/>
      <c r="W261" s="6"/>
    </row>
    <row r="262" spans="2:23" ht="15.75" customHeight="1">
      <c r="B262" s="43" t="str">
        <f t="shared" si="30"/>
        <v>RefrigeratorSolidHorizontal30≤V&lt;50</v>
      </c>
      <c r="C262" s="40" t="s">
        <v>224</v>
      </c>
      <c r="D262" s="40" t="s">
        <v>397</v>
      </c>
      <c r="E262" s="40" t="s">
        <v>401</v>
      </c>
      <c r="F262" s="121" t="s">
        <v>421</v>
      </c>
      <c r="G262" s="253">
        <v>0.05</v>
      </c>
      <c r="H262" s="253">
        <v>0.91</v>
      </c>
      <c r="I262" s="253">
        <v>0.05</v>
      </c>
      <c r="J262" s="253">
        <v>0.28000000000000003</v>
      </c>
      <c r="K262" s="120">
        <v>0.1</v>
      </c>
      <c r="L262" s="120">
        <v>2.04</v>
      </c>
      <c r="M262" s="120">
        <v>0.05</v>
      </c>
      <c r="N262" s="120">
        <v>0.91</v>
      </c>
      <c r="O262" s="6"/>
      <c r="P262" s="101" t="s">
        <v>431</v>
      </c>
      <c r="Q262" s="139">
        <v>150</v>
      </c>
      <c r="R262" s="101" t="s">
        <v>416</v>
      </c>
      <c r="U262" s="6"/>
      <c r="V262" s="6"/>
      <c r="W262" s="6"/>
    </row>
    <row r="263" spans="2:23" ht="15.75" customHeight="1">
      <c r="B263" s="43" t="str">
        <f t="shared" si="30"/>
        <v>RefrigeratorSolidHorizontal50≤V</v>
      </c>
      <c r="C263" s="40" t="s">
        <v>224</v>
      </c>
      <c r="D263" s="40" t="s">
        <v>397</v>
      </c>
      <c r="E263" s="40" t="s">
        <v>401</v>
      </c>
      <c r="F263" s="121" t="s">
        <v>423</v>
      </c>
      <c r="G263" s="253">
        <v>0.05</v>
      </c>
      <c r="H263" s="253">
        <v>0.91</v>
      </c>
      <c r="I263" s="253">
        <v>0.05</v>
      </c>
      <c r="J263" s="253">
        <v>0.28000000000000003</v>
      </c>
      <c r="K263" s="120">
        <v>0.1</v>
      </c>
      <c r="L263" s="120">
        <v>2.04</v>
      </c>
      <c r="M263" s="120">
        <v>0.05</v>
      </c>
      <c r="N263" s="120">
        <v>0.91</v>
      </c>
      <c r="O263" s="6"/>
      <c r="P263" s="101" t="s">
        <v>432</v>
      </c>
      <c r="Q263" s="139">
        <v>100</v>
      </c>
      <c r="R263" s="101" t="s">
        <v>416</v>
      </c>
      <c r="U263" s="6"/>
      <c r="V263" s="6"/>
      <c r="W263" s="6"/>
    </row>
    <row r="264" spans="2:23" ht="16.5" customHeight="1">
      <c r="B264" s="43" t="str">
        <f t="shared" si="30"/>
        <v>RefrigeratorTransparentHorizontal0&lt;V&lt;15</v>
      </c>
      <c r="C264" s="40" t="s">
        <v>224</v>
      </c>
      <c r="D264" s="40" t="s">
        <v>400</v>
      </c>
      <c r="E264" s="40" t="s">
        <v>401</v>
      </c>
      <c r="F264" s="40" t="s">
        <v>417</v>
      </c>
      <c r="G264" s="120">
        <v>0.06</v>
      </c>
      <c r="H264" s="120">
        <v>0.37</v>
      </c>
      <c r="I264" s="253">
        <v>0.05</v>
      </c>
      <c r="J264" s="253">
        <v>0.28000000000000003</v>
      </c>
      <c r="K264" s="120">
        <v>0.12</v>
      </c>
      <c r="L264" s="120">
        <v>3.34</v>
      </c>
      <c r="M264" s="120">
        <v>0.06</v>
      </c>
      <c r="N264" s="120">
        <v>0.37</v>
      </c>
      <c r="O264" s="6"/>
      <c r="P264" s="101" t="s">
        <v>433</v>
      </c>
      <c r="Q264" s="139">
        <v>200</v>
      </c>
      <c r="R264" s="101" t="s">
        <v>416</v>
      </c>
      <c r="U264" s="6"/>
      <c r="V264" s="6"/>
      <c r="W264" s="6"/>
    </row>
    <row r="265" spans="2:23" ht="15">
      <c r="B265" s="43" t="str">
        <f t="shared" si="30"/>
        <v>RefrigeratorTransparentHorizontal15≤V&lt;30</v>
      </c>
      <c r="C265" s="40" t="s">
        <v>224</v>
      </c>
      <c r="D265" s="40" t="s">
        <v>400</v>
      </c>
      <c r="E265" s="40" t="s">
        <v>401</v>
      </c>
      <c r="F265" s="40" t="s">
        <v>419</v>
      </c>
      <c r="G265" s="120">
        <v>0.06</v>
      </c>
      <c r="H265" s="120">
        <v>0.37</v>
      </c>
      <c r="I265" s="253">
        <v>0.05</v>
      </c>
      <c r="J265" s="253">
        <v>0.28000000000000003</v>
      </c>
      <c r="K265" s="120">
        <v>0.12</v>
      </c>
      <c r="L265" s="120">
        <v>3.34</v>
      </c>
      <c r="M265" s="120">
        <v>0.06</v>
      </c>
      <c r="N265" s="120">
        <v>0.37</v>
      </c>
      <c r="O265" s="6"/>
      <c r="P265" s="101" t="s">
        <v>434</v>
      </c>
      <c r="Q265" s="139">
        <v>250</v>
      </c>
      <c r="R265" s="101" t="s">
        <v>416</v>
      </c>
      <c r="U265" s="6"/>
      <c r="V265" s="6"/>
      <c r="W265" s="6"/>
    </row>
    <row r="266" spans="2:23" ht="15">
      <c r="B266" s="43" t="str">
        <f t="shared" si="30"/>
        <v>RefrigeratorTransparentHorizontal30≤V&lt;50</v>
      </c>
      <c r="C266" s="40" t="s">
        <v>224</v>
      </c>
      <c r="D266" s="40" t="s">
        <v>400</v>
      </c>
      <c r="E266" s="40" t="s">
        <v>401</v>
      </c>
      <c r="F266" s="121" t="s">
        <v>421</v>
      </c>
      <c r="G266" s="120">
        <v>0.06</v>
      </c>
      <c r="H266" s="120">
        <v>0.37</v>
      </c>
      <c r="I266" s="253">
        <v>0.05</v>
      </c>
      <c r="J266" s="253">
        <v>0.28000000000000003</v>
      </c>
      <c r="K266" s="120">
        <v>0.12</v>
      </c>
      <c r="L266" s="120">
        <v>3.34</v>
      </c>
      <c r="M266" s="120">
        <v>0.06</v>
      </c>
      <c r="N266" s="120">
        <v>0.37</v>
      </c>
      <c r="O266" s="6"/>
      <c r="P266" s="101" t="s">
        <v>435</v>
      </c>
      <c r="Q266" s="139">
        <v>300</v>
      </c>
      <c r="R266" s="101" t="s">
        <v>416</v>
      </c>
      <c r="U266" s="6"/>
      <c r="V266" s="6"/>
      <c r="W266" s="6"/>
    </row>
    <row r="267" spans="2:23" ht="15">
      <c r="B267" s="43" t="str">
        <f t="shared" si="30"/>
        <v>RefrigeratorTransparentHorizontal50≤V</v>
      </c>
      <c r="C267" s="40" t="s">
        <v>224</v>
      </c>
      <c r="D267" s="40" t="s">
        <v>400</v>
      </c>
      <c r="E267" s="40" t="s">
        <v>401</v>
      </c>
      <c r="F267" s="121" t="s">
        <v>423</v>
      </c>
      <c r="G267" s="120">
        <v>0.06</v>
      </c>
      <c r="H267" s="120">
        <v>0.37</v>
      </c>
      <c r="I267" s="253">
        <v>0.05</v>
      </c>
      <c r="J267" s="253">
        <v>0.28000000000000003</v>
      </c>
      <c r="K267" s="120">
        <v>0.12</v>
      </c>
      <c r="L267" s="120">
        <v>3.34</v>
      </c>
      <c r="M267" s="120">
        <v>0.06</v>
      </c>
      <c r="N267" s="120">
        <v>0.37</v>
      </c>
      <c r="O267" s="6"/>
      <c r="P267" s="6"/>
      <c r="Q267" s="6"/>
      <c r="R267" s="6"/>
      <c r="S267" s="6"/>
      <c r="T267" s="6"/>
      <c r="U267" s="6"/>
      <c r="V267" s="6"/>
      <c r="W267" s="6"/>
    </row>
    <row r="268" spans="2:23" ht="15">
      <c r="B268" s="43" t="str">
        <f t="shared" si="30"/>
        <v>FreezerSolidVertical0&lt;V&lt;15</v>
      </c>
      <c r="C268" s="40" t="s">
        <v>228</v>
      </c>
      <c r="D268" s="40" t="s">
        <v>397</v>
      </c>
      <c r="E268" s="40" t="s">
        <v>398</v>
      </c>
      <c r="F268" s="40" t="s">
        <v>417</v>
      </c>
      <c r="G268" s="120">
        <v>0.22</v>
      </c>
      <c r="H268" s="120">
        <v>1.38</v>
      </c>
      <c r="I268" s="120">
        <v>0.21</v>
      </c>
      <c r="J268" s="120">
        <v>0.9</v>
      </c>
      <c r="K268" s="120">
        <v>0.4</v>
      </c>
      <c r="L268" s="120">
        <v>1.38</v>
      </c>
      <c r="M268" s="120">
        <v>0.22</v>
      </c>
      <c r="N268" s="120">
        <v>1.38</v>
      </c>
      <c r="O268" s="6"/>
      <c r="P268" s="6"/>
      <c r="Q268" s="6"/>
      <c r="R268" s="6"/>
      <c r="S268" s="6"/>
      <c r="T268" s="6"/>
      <c r="U268" s="6"/>
      <c r="V268" s="6"/>
      <c r="W268" s="6"/>
    </row>
    <row r="269" spans="2:23" ht="15">
      <c r="B269" s="43" t="str">
        <f t="shared" si="30"/>
        <v>FreezerSolidVertical15≤V&lt;30</v>
      </c>
      <c r="C269" s="40" t="s">
        <v>228</v>
      </c>
      <c r="D269" s="40" t="s">
        <v>397</v>
      </c>
      <c r="E269" s="40" t="s">
        <v>398</v>
      </c>
      <c r="F269" s="40" t="s">
        <v>419</v>
      </c>
      <c r="G269" s="120">
        <v>0.22</v>
      </c>
      <c r="H269" s="120">
        <v>1.38</v>
      </c>
      <c r="I269" s="120">
        <v>0.12</v>
      </c>
      <c r="J269" s="120">
        <v>2.2480000000000002</v>
      </c>
      <c r="K269" s="120">
        <v>0.4</v>
      </c>
      <c r="L269" s="120">
        <v>1.38</v>
      </c>
      <c r="M269" s="120">
        <v>0.22</v>
      </c>
      <c r="N269" s="120">
        <v>1.38</v>
      </c>
      <c r="O269" s="6"/>
      <c r="P269" s="6"/>
      <c r="Q269" s="6"/>
      <c r="R269" s="6"/>
      <c r="S269" s="6"/>
      <c r="T269" s="6"/>
      <c r="U269" s="6"/>
      <c r="V269" s="6"/>
      <c r="W269" s="6"/>
    </row>
    <row r="270" spans="2:23" ht="15">
      <c r="B270" s="43" t="str">
        <f t="shared" si="30"/>
        <v>FreezerSolidVertical30≤V&lt;50</v>
      </c>
      <c r="C270" s="40" t="s">
        <v>228</v>
      </c>
      <c r="D270" s="40" t="s">
        <v>397</v>
      </c>
      <c r="E270" s="40" t="s">
        <v>398</v>
      </c>
      <c r="F270" s="121" t="s">
        <v>421</v>
      </c>
      <c r="G270" s="120">
        <v>0.22</v>
      </c>
      <c r="H270" s="120">
        <v>1.38</v>
      </c>
      <c r="I270" s="120">
        <v>0.28499999999999998</v>
      </c>
      <c r="J270" s="120">
        <v>-2.7029999999999998</v>
      </c>
      <c r="K270" s="120">
        <v>0.4</v>
      </c>
      <c r="L270" s="120">
        <v>1.38</v>
      </c>
      <c r="M270" s="120">
        <v>0.22</v>
      </c>
      <c r="N270" s="120">
        <v>1.38</v>
      </c>
      <c r="O270" s="6"/>
      <c r="P270" s="6"/>
      <c r="Q270" s="6"/>
      <c r="R270" s="6"/>
      <c r="S270" s="6"/>
      <c r="T270" s="6"/>
      <c r="U270" s="6"/>
      <c r="V270" s="6"/>
      <c r="W270" s="6"/>
    </row>
    <row r="271" spans="2:23" ht="15">
      <c r="B271" s="43" t="str">
        <f t="shared" si="30"/>
        <v>FreezerSolidVertical50≤V</v>
      </c>
      <c r="C271" s="40" t="s">
        <v>228</v>
      </c>
      <c r="D271" s="40" t="s">
        <v>397</v>
      </c>
      <c r="E271" s="40" t="s">
        <v>398</v>
      </c>
      <c r="F271" s="121" t="s">
        <v>423</v>
      </c>
      <c r="G271" s="120">
        <v>0.22</v>
      </c>
      <c r="H271" s="120">
        <v>1.38</v>
      </c>
      <c r="I271" s="120">
        <v>0.14199999999999999</v>
      </c>
      <c r="J271" s="120">
        <v>4.4450000000000003</v>
      </c>
      <c r="K271" s="120">
        <v>0.4</v>
      </c>
      <c r="L271" s="120">
        <v>1.38</v>
      </c>
      <c r="M271" s="120">
        <v>0.22</v>
      </c>
      <c r="N271" s="120">
        <v>1.38</v>
      </c>
      <c r="O271" s="6"/>
      <c r="P271" s="6"/>
      <c r="Q271" s="6"/>
      <c r="R271" s="6"/>
      <c r="S271" s="6"/>
      <c r="T271" s="6"/>
      <c r="U271" s="6"/>
      <c r="V271" s="6"/>
      <c r="W271" s="6"/>
    </row>
    <row r="272" spans="2:23" ht="15">
      <c r="B272" s="43" t="str">
        <f t="shared" si="30"/>
        <v>FreezerTransparentVertical0&lt;V&lt;15</v>
      </c>
      <c r="C272" s="40" t="s">
        <v>228</v>
      </c>
      <c r="D272" s="40" t="s">
        <v>400</v>
      </c>
      <c r="E272" s="40" t="s">
        <v>398</v>
      </c>
      <c r="F272" s="40" t="s">
        <v>417</v>
      </c>
      <c r="G272" s="120">
        <v>0.28999999999999998</v>
      </c>
      <c r="H272" s="120">
        <v>2.95</v>
      </c>
      <c r="I272" s="120">
        <v>0.23200000000000001</v>
      </c>
      <c r="J272" s="120">
        <v>2.36</v>
      </c>
      <c r="K272" s="120">
        <v>0.75</v>
      </c>
      <c r="L272" s="120">
        <v>4.0999999999999996</v>
      </c>
      <c r="M272" s="120">
        <v>0.28999999999999998</v>
      </c>
      <c r="N272" s="120">
        <v>2.95</v>
      </c>
      <c r="O272" s="6"/>
      <c r="P272" s="6"/>
      <c r="Q272" s="6"/>
      <c r="R272" s="6"/>
      <c r="S272" s="6"/>
      <c r="T272" s="6"/>
      <c r="U272" s="6"/>
      <c r="V272" s="6"/>
      <c r="W272" s="6"/>
    </row>
    <row r="273" spans="2:90" ht="15">
      <c r="B273" s="43" t="str">
        <f t="shared" si="30"/>
        <v>FreezerTransparentVertical15≤V&lt;30</v>
      </c>
      <c r="C273" s="40" t="s">
        <v>228</v>
      </c>
      <c r="D273" s="40" t="s">
        <v>400</v>
      </c>
      <c r="E273" s="40" t="s">
        <v>398</v>
      </c>
      <c r="F273" s="40" t="s">
        <v>419</v>
      </c>
      <c r="G273" s="120">
        <v>0.28999999999999998</v>
      </c>
      <c r="H273" s="120">
        <v>2.95</v>
      </c>
      <c r="I273" s="120">
        <v>0.23200000000000001</v>
      </c>
      <c r="J273" s="120">
        <v>2.36</v>
      </c>
      <c r="K273" s="120">
        <v>0.75</v>
      </c>
      <c r="L273" s="120">
        <v>4.0999999999999996</v>
      </c>
      <c r="M273" s="120">
        <v>0.28999999999999998</v>
      </c>
      <c r="N273" s="120">
        <v>2.95</v>
      </c>
      <c r="O273" s="6"/>
      <c r="P273" s="6"/>
      <c r="Q273" s="6"/>
      <c r="R273" s="6"/>
      <c r="S273" s="6"/>
      <c r="T273" s="6"/>
      <c r="U273" s="6"/>
      <c r="V273" s="6"/>
      <c r="W273" s="6"/>
    </row>
    <row r="274" spans="2:90" ht="15">
      <c r="B274" s="43" t="str">
        <f t="shared" si="30"/>
        <v>FreezerTransparentVertical30≤V&lt;50</v>
      </c>
      <c r="C274" s="40" t="s">
        <v>228</v>
      </c>
      <c r="D274" s="40" t="s">
        <v>400</v>
      </c>
      <c r="E274" s="40" t="s">
        <v>398</v>
      </c>
      <c r="F274" s="121" t="s">
        <v>421</v>
      </c>
      <c r="G274" s="120">
        <v>0.28999999999999998</v>
      </c>
      <c r="H274" s="120">
        <v>2.95</v>
      </c>
      <c r="I274" s="120">
        <v>0.23200000000000001</v>
      </c>
      <c r="J274" s="120">
        <v>2.36</v>
      </c>
      <c r="K274" s="120">
        <v>0.75</v>
      </c>
      <c r="L274" s="120">
        <v>4.0999999999999996</v>
      </c>
      <c r="M274" s="120">
        <v>0.28999999999999998</v>
      </c>
      <c r="N274" s="120">
        <v>2.95</v>
      </c>
      <c r="O274" s="6"/>
      <c r="P274" s="6"/>
      <c r="Q274" s="6"/>
      <c r="R274" s="6"/>
      <c r="S274" s="6"/>
      <c r="T274" s="6"/>
      <c r="U274" s="6"/>
      <c r="V274" s="6"/>
      <c r="W274" s="6"/>
    </row>
    <row r="275" spans="2:90" ht="15">
      <c r="B275" s="43" t="str">
        <f t="shared" si="30"/>
        <v>FreezerTransparentVertical50≤V</v>
      </c>
      <c r="C275" s="40" t="s">
        <v>228</v>
      </c>
      <c r="D275" s="40" t="s">
        <v>400</v>
      </c>
      <c r="E275" s="40" t="s">
        <v>398</v>
      </c>
      <c r="F275" s="121" t="s">
        <v>423</v>
      </c>
      <c r="G275" s="120">
        <v>0.28999999999999998</v>
      </c>
      <c r="H275" s="120">
        <v>2.95</v>
      </c>
      <c r="I275" s="120">
        <v>0.23200000000000001</v>
      </c>
      <c r="J275" s="120">
        <v>2.36</v>
      </c>
      <c r="K275" s="120">
        <v>0.75</v>
      </c>
      <c r="L275" s="120">
        <v>4.0999999999999996</v>
      </c>
      <c r="M275" s="120">
        <v>0.28999999999999998</v>
      </c>
      <c r="N275" s="120">
        <v>2.95</v>
      </c>
      <c r="O275" s="6"/>
      <c r="P275" s="6"/>
      <c r="Q275" s="6"/>
      <c r="R275" s="6"/>
      <c r="S275" s="6"/>
      <c r="T275" s="6"/>
      <c r="U275" s="6"/>
      <c r="V275" s="6"/>
      <c r="W275" s="6"/>
    </row>
    <row r="276" spans="2:90" ht="15">
      <c r="B276" s="43" t="str">
        <f t="shared" si="30"/>
        <v>FreezerSolidHorizontal0&lt;V&lt;15</v>
      </c>
      <c r="C276" s="40" t="s">
        <v>228</v>
      </c>
      <c r="D276" s="40" t="s">
        <v>397</v>
      </c>
      <c r="E276" s="40" t="s">
        <v>401</v>
      </c>
      <c r="F276" s="40" t="s">
        <v>417</v>
      </c>
      <c r="G276" s="120">
        <v>0.06</v>
      </c>
      <c r="H276" s="120">
        <v>1.1200000000000001</v>
      </c>
      <c r="I276" s="120">
        <v>5.7000000000000002E-2</v>
      </c>
      <c r="J276" s="120">
        <v>0.55000000000000004</v>
      </c>
      <c r="K276" s="120">
        <v>0.4</v>
      </c>
      <c r="L276" s="120">
        <v>1.38</v>
      </c>
      <c r="M276" s="120">
        <v>0.06</v>
      </c>
      <c r="N276" s="120">
        <v>1.1200000000000001</v>
      </c>
      <c r="O276" s="6"/>
      <c r="P276" s="6"/>
      <c r="Q276" s="6"/>
      <c r="R276" s="6"/>
      <c r="S276" s="6"/>
      <c r="T276" s="6"/>
      <c r="U276" s="6"/>
      <c r="V276" s="6"/>
      <c r="W276" s="6"/>
    </row>
    <row r="277" spans="2:90" ht="15">
      <c r="B277" s="43" t="str">
        <f t="shared" si="30"/>
        <v>FreezerSolidHorizontal15≤V&lt;30</v>
      </c>
      <c r="C277" s="40" t="s">
        <v>228</v>
      </c>
      <c r="D277" s="40" t="s">
        <v>397</v>
      </c>
      <c r="E277" s="40" t="s">
        <v>401</v>
      </c>
      <c r="F277" s="40" t="s">
        <v>419</v>
      </c>
      <c r="G277" s="120">
        <v>0.06</v>
      </c>
      <c r="H277" s="120">
        <v>1.1200000000000001</v>
      </c>
      <c r="I277" s="120">
        <v>5.7000000000000002E-2</v>
      </c>
      <c r="J277" s="120">
        <v>0.55000000000000004</v>
      </c>
      <c r="K277" s="120">
        <v>0.4</v>
      </c>
      <c r="L277" s="120">
        <v>1.38</v>
      </c>
      <c r="M277" s="120">
        <v>0.06</v>
      </c>
      <c r="N277" s="120">
        <v>1.1200000000000001</v>
      </c>
      <c r="O277" s="6"/>
      <c r="P277" s="6"/>
      <c r="Q277" s="6"/>
      <c r="R277" s="6"/>
      <c r="S277" s="6"/>
      <c r="T277" s="6"/>
      <c r="U277" s="6"/>
      <c r="V277" s="6"/>
      <c r="W277" s="6"/>
    </row>
    <row r="278" spans="2:90" ht="15">
      <c r="B278" s="43" t="str">
        <f t="shared" si="30"/>
        <v>FreezerSolidHorizontal30≤V&lt;50</v>
      </c>
      <c r="C278" s="40" t="s">
        <v>228</v>
      </c>
      <c r="D278" s="40" t="s">
        <v>397</v>
      </c>
      <c r="E278" s="40" t="s">
        <v>401</v>
      </c>
      <c r="F278" s="121" t="s">
        <v>421</v>
      </c>
      <c r="G278" s="120">
        <v>0.06</v>
      </c>
      <c r="H278" s="120">
        <v>1.1200000000000001</v>
      </c>
      <c r="I278" s="120">
        <v>5.7000000000000002E-2</v>
      </c>
      <c r="J278" s="120">
        <v>0.55000000000000004</v>
      </c>
      <c r="K278" s="120">
        <v>0.4</v>
      </c>
      <c r="L278" s="120">
        <v>1.38</v>
      </c>
      <c r="M278" s="120">
        <v>0.06</v>
      </c>
      <c r="N278" s="120">
        <v>1.1200000000000001</v>
      </c>
      <c r="O278" s="6"/>
      <c r="P278" s="6"/>
      <c r="Q278" s="6"/>
      <c r="R278" s="6"/>
      <c r="S278" s="6"/>
      <c r="T278" s="6"/>
      <c r="U278" s="6"/>
      <c r="V278" s="6"/>
      <c r="W278" s="6"/>
    </row>
    <row r="279" spans="2:90" ht="15">
      <c r="B279" s="43" t="str">
        <f t="shared" si="30"/>
        <v>FreezerSolidHorizontal50≤V</v>
      </c>
      <c r="C279" s="40" t="s">
        <v>228</v>
      </c>
      <c r="D279" s="40" t="s">
        <v>397</v>
      </c>
      <c r="E279" s="40" t="s">
        <v>401</v>
      </c>
      <c r="F279" s="121" t="s">
        <v>423</v>
      </c>
      <c r="G279" s="120">
        <v>0.06</v>
      </c>
      <c r="H279" s="120">
        <v>1.1200000000000001</v>
      </c>
      <c r="I279" s="120">
        <v>5.7000000000000002E-2</v>
      </c>
      <c r="J279" s="120">
        <v>0.55000000000000004</v>
      </c>
      <c r="K279" s="120">
        <v>0.4</v>
      </c>
      <c r="L279" s="120">
        <v>1.38</v>
      </c>
      <c r="M279" s="120">
        <v>0.06</v>
      </c>
      <c r="N279" s="120">
        <v>1.1200000000000001</v>
      </c>
      <c r="O279" s="6"/>
      <c r="P279" s="6"/>
      <c r="Q279" s="6"/>
      <c r="R279" s="6"/>
      <c r="S279" s="6"/>
      <c r="T279" s="6"/>
      <c r="U279" s="6"/>
      <c r="V279" s="6"/>
      <c r="W279" s="6"/>
    </row>
    <row r="280" spans="2:90" ht="15">
      <c r="B280" s="43" t="str">
        <f t="shared" si="30"/>
        <v>FreezerTransparentHorizontal0&lt;V&lt;15</v>
      </c>
      <c r="C280" s="40" t="s">
        <v>228</v>
      </c>
      <c r="D280" s="40" t="s">
        <v>400</v>
      </c>
      <c r="E280" s="40" t="s">
        <v>401</v>
      </c>
      <c r="F280" s="40" t="s">
        <v>417</v>
      </c>
      <c r="G280" s="120">
        <v>0.08</v>
      </c>
      <c r="H280" s="120">
        <v>1.23</v>
      </c>
      <c r="I280" s="120">
        <v>5.7000000000000002E-2</v>
      </c>
      <c r="J280" s="120">
        <v>0.55000000000000004</v>
      </c>
      <c r="K280" s="120">
        <v>0.75</v>
      </c>
      <c r="L280" s="120">
        <v>4.0999999999999996</v>
      </c>
      <c r="M280" s="120">
        <v>0.08</v>
      </c>
      <c r="N280" s="120">
        <v>1.23</v>
      </c>
      <c r="O280" s="6"/>
      <c r="P280" s="6"/>
      <c r="Q280" s="6"/>
      <c r="R280" s="6"/>
      <c r="S280" s="6"/>
      <c r="T280" s="6"/>
      <c r="U280" s="6"/>
      <c r="V280" s="6"/>
      <c r="W280" s="6"/>
    </row>
    <row r="281" spans="2:90" ht="15">
      <c r="B281" s="43" t="str">
        <f t="shared" si="30"/>
        <v>FreezerTransparentHorizontal15≤V&lt;30</v>
      </c>
      <c r="C281" s="40" t="s">
        <v>228</v>
      </c>
      <c r="D281" s="40" t="s">
        <v>400</v>
      </c>
      <c r="E281" s="40" t="s">
        <v>401</v>
      </c>
      <c r="F281" s="40" t="s">
        <v>419</v>
      </c>
      <c r="G281" s="120">
        <v>0.08</v>
      </c>
      <c r="H281" s="120">
        <v>1.23</v>
      </c>
      <c r="I281" s="120">
        <v>5.7000000000000002E-2</v>
      </c>
      <c r="J281" s="120">
        <v>0.55000000000000004</v>
      </c>
      <c r="K281" s="120">
        <v>0.75</v>
      </c>
      <c r="L281" s="120">
        <v>4.0999999999999996</v>
      </c>
      <c r="M281" s="120">
        <v>0.08</v>
      </c>
      <c r="N281" s="120">
        <v>1.23</v>
      </c>
      <c r="O281" s="6"/>
      <c r="P281" s="6"/>
      <c r="Q281" s="6"/>
      <c r="R281" s="6"/>
      <c r="S281" s="6"/>
      <c r="T281" s="6"/>
      <c r="U281" s="6"/>
      <c r="V281" s="6"/>
      <c r="W281" s="6"/>
    </row>
    <row r="282" spans="2:90" ht="15">
      <c r="B282" s="43" t="str">
        <f t="shared" si="30"/>
        <v>FreezerTransparentHorizontal30≤V&lt;50</v>
      </c>
      <c r="C282" s="40" t="s">
        <v>228</v>
      </c>
      <c r="D282" s="40" t="s">
        <v>400</v>
      </c>
      <c r="E282" s="40" t="s">
        <v>401</v>
      </c>
      <c r="F282" s="121" t="s">
        <v>421</v>
      </c>
      <c r="G282" s="120">
        <v>0.08</v>
      </c>
      <c r="H282" s="120">
        <v>1.23</v>
      </c>
      <c r="I282" s="120">
        <v>5.7000000000000002E-2</v>
      </c>
      <c r="J282" s="120">
        <v>0.55000000000000004</v>
      </c>
      <c r="K282" s="120">
        <v>0.75</v>
      </c>
      <c r="L282" s="120">
        <v>4.0999999999999996</v>
      </c>
      <c r="M282" s="120">
        <v>0.08</v>
      </c>
      <c r="N282" s="120">
        <v>1.23</v>
      </c>
      <c r="O282" s="6"/>
      <c r="P282" s="6"/>
      <c r="Q282" s="6"/>
      <c r="R282" s="6"/>
      <c r="S282" s="6"/>
      <c r="T282" s="6"/>
      <c r="U282" s="6"/>
      <c r="V282" s="6"/>
      <c r="W282" s="6"/>
    </row>
    <row r="283" spans="2:90" ht="15">
      <c r="B283" s="43" t="str">
        <f t="shared" si="30"/>
        <v>FreezerTransparentHorizontal50≤V</v>
      </c>
      <c r="C283" s="40" t="s">
        <v>228</v>
      </c>
      <c r="D283" s="40" t="s">
        <v>400</v>
      </c>
      <c r="E283" s="40" t="s">
        <v>401</v>
      </c>
      <c r="F283" s="121" t="s">
        <v>423</v>
      </c>
      <c r="G283" s="120">
        <v>0.08</v>
      </c>
      <c r="H283" s="120">
        <v>1.23</v>
      </c>
      <c r="I283" s="120">
        <v>5.7000000000000002E-2</v>
      </c>
      <c r="J283" s="120">
        <v>0.55000000000000004</v>
      </c>
      <c r="K283" s="120">
        <v>0.75</v>
      </c>
      <c r="L283" s="120">
        <v>4.0999999999999996</v>
      </c>
      <c r="M283" s="120">
        <v>0.08</v>
      </c>
      <c r="N283" s="120">
        <v>1.23</v>
      </c>
      <c r="O283" s="6"/>
      <c r="P283" s="6"/>
      <c r="Q283" s="6"/>
      <c r="R283" s="6"/>
      <c r="S283" s="6"/>
      <c r="T283" s="6"/>
      <c r="U283" s="6"/>
      <c r="V283" s="6"/>
      <c r="W283" s="6"/>
    </row>
    <row r="284" spans="2:90" s="8" customFormat="1" ht="30" customHeight="1">
      <c r="B284" s="57"/>
      <c r="C284" s="57"/>
      <c r="D284" s="57"/>
      <c r="E284" s="57"/>
      <c r="F284" s="57"/>
      <c r="G284" s="57"/>
      <c r="H284" s="57"/>
      <c r="I284" s="57"/>
      <c r="J284" s="57"/>
      <c r="K284" s="57"/>
      <c r="L284" s="57"/>
      <c r="M284" s="57"/>
      <c r="N284" s="96"/>
      <c r="O284" s="1"/>
      <c r="P284" s="1"/>
      <c r="Q284" s="1"/>
      <c r="R284" s="1"/>
      <c r="S284" s="1"/>
      <c r="T284" s="1"/>
      <c r="U284" s="1"/>
      <c r="V284" s="1"/>
      <c r="W284" s="1"/>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row>
    <row r="285" spans="2:90" s="8" customFormat="1" ht="18">
      <c r="B285" s="7" t="s">
        <v>12</v>
      </c>
      <c r="C285" s="96"/>
      <c r="D285" s="96"/>
      <c r="E285" s="96"/>
      <c r="F285" s="96"/>
      <c r="G285" s="96"/>
      <c r="H285" s="96"/>
      <c r="I285" s="96"/>
      <c r="J285" s="96"/>
      <c r="K285" s="96"/>
      <c r="L285" s="96"/>
      <c r="M285" s="96"/>
      <c r="N285" s="1"/>
      <c r="O285" s="1"/>
      <c r="P285" s="1"/>
      <c r="Q285" s="1"/>
      <c r="R285" s="1"/>
      <c r="S285" s="1"/>
      <c r="T285" s="1"/>
      <c r="U285" s="1"/>
      <c r="V285" s="1"/>
      <c r="W285" s="1"/>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row>
    <row r="286" spans="2:90" ht="14.25" customHeight="1">
      <c r="B286" s="42" t="s">
        <v>231</v>
      </c>
      <c r="C286" s="131" t="s">
        <v>75</v>
      </c>
      <c r="D286" s="254" t="s">
        <v>43</v>
      </c>
      <c r="E286" s="254" t="s">
        <v>41</v>
      </c>
      <c r="F286" s="146" t="s">
        <v>436</v>
      </c>
      <c r="G286" s="146" t="s">
        <v>437</v>
      </c>
      <c r="H286" s="146" t="s">
        <v>23</v>
      </c>
      <c r="I286" s="146" t="s">
        <v>438</v>
      </c>
      <c r="J286" s="136" t="s">
        <v>439</v>
      </c>
      <c r="K286" s="147" t="s">
        <v>440</v>
      </c>
      <c r="L286" s="166" t="s">
        <v>235</v>
      </c>
      <c r="M286" s="166" t="s">
        <v>236</v>
      </c>
      <c r="N286" s="255" t="s">
        <v>237</v>
      </c>
      <c r="O286" s="255" t="s">
        <v>82</v>
      </c>
      <c r="P286" s="386" t="s">
        <v>441</v>
      </c>
      <c r="Q286" s="387"/>
      <c r="R286" s="382" t="s">
        <v>442</v>
      </c>
      <c r="S286" s="1" t="s">
        <v>144</v>
      </c>
      <c r="X286" s="1"/>
      <c r="Y286" s="1"/>
      <c r="Z286" s="1"/>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row>
    <row r="287" spans="2:90" ht="14.25" customHeight="1">
      <c r="B287" s="42"/>
      <c r="C287" s="131"/>
      <c r="D287" s="132"/>
      <c r="E287" s="132"/>
      <c r="F287" s="133"/>
      <c r="G287" s="133"/>
      <c r="H287" s="133"/>
      <c r="I287" s="133"/>
      <c r="J287" s="134"/>
      <c r="K287" s="134"/>
      <c r="L287" s="167"/>
      <c r="M287" s="167"/>
      <c r="N287" s="133"/>
      <c r="O287" s="133"/>
      <c r="P287" s="388"/>
      <c r="Q287" s="389"/>
      <c r="R287" s="383"/>
      <c r="X287" s="1"/>
      <c r="Y287" s="1"/>
      <c r="Z287" s="1"/>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row>
    <row r="288" spans="2:90" ht="14.25" customHeight="1">
      <c r="B288" s="40" t="str">
        <f>CONCATENATE(C288,D288,E288,F288)</f>
        <v>0000&lt;V&lt;15</v>
      </c>
      <c r="C288" s="40">
        <f>Calculator!K105</f>
        <v>0</v>
      </c>
      <c r="D288" s="40">
        <f>Calculator!L105</f>
        <v>0</v>
      </c>
      <c r="E288" s="40">
        <f>Calculator!M105</f>
        <v>0</v>
      </c>
      <c r="F288" s="101" t="str">
        <f>IF(G288&lt;15,"0&lt;V&lt;15",IF(AND(G288&gt;14.99,G288&lt;30),"15≤V&lt;30",IF(AND(G288&gt;29.99,G288&lt;50),"30≤V&lt;50",IF(G288&gt;49.99,"50≤V",""))))</f>
        <v>0&lt;V&lt;15</v>
      </c>
      <c r="G288" s="101">
        <f>Calculator!J105</f>
        <v>0</v>
      </c>
      <c r="H288" s="101">
        <f>Calculator!I105</f>
        <v>0</v>
      </c>
      <c r="I288" s="135" t="str">
        <f>IF(Calculator!E105="Early Replacement",IF(Calculator!F105&lt;2017,VLOOKUP(B288,$B$252:$N$283,10,FALSE)*G288+VLOOKUP(B288,$B$252:$N$283,11,FALSE),IF(Calculator!F105&gt;2016,VLOOKUP(B288,$B$252:$N$283,12,FALSE)*G288+VLOOKUP(B288,$B$252:$N$283,13,FALSE))),"")</f>
        <v/>
      </c>
      <c r="J288" s="135" t="e">
        <f t="shared" ref="J288:J295" si="31">VLOOKUP(B288,$B$252:$J$283,6,FALSE)*G288+VLOOKUP(B288,$B$252:$J$283,7,FALSE)</f>
        <v>#N/A</v>
      </c>
      <c r="K288" s="135" t="e">
        <f t="shared" ref="K288:K295" si="32">VLOOKUP(B288,$B$252:$J$283,8,FALSE)*G288+VLOOKUP(B288,$B$252:$J$283,9,FALSE)</f>
        <v>#N/A</v>
      </c>
      <c r="L288" s="135" t="e">
        <f>O288*ETDF!$G$4</f>
        <v>#VALUE!</v>
      </c>
      <c r="M288" s="135" t="e">
        <f>O288*ETDF!$H$4</f>
        <v>#VALUE!</v>
      </c>
      <c r="N288" s="135" t="e">
        <f>L288</f>
        <v>#VALUE!</v>
      </c>
      <c r="O288" s="135" t="str">
        <f>IFERROR(IF(Calculator!E105="Early Replacement",(I288-K288)*365*H288,IF(Calculator!E105="Time of Sale",(J288-K288)*365*H288,IF(Calculator!E105="New Construction",(J288-K288)*365*H288,""))),"")</f>
        <v/>
      </c>
      <c r="P288" s="101" t="str">
        <f t="shared" ref="P288:P295" si="33">IF(G288&lt;19,"&lt; 19 cubic ft",IF(AND(G288&gt;18.99,G288&lt;20),"19-20 cubic ft",IF(AND(G288&gt;20.99,G288&lt;60),"21-60 cubic ft",IF(AND(G288&gt;59.99,G288&lt;90),"60-90 cubic ft",""))))</f>
        <v>&lt; 19 cubic ft</v>
      </c>
      <c r="Q288" s="101" t="str">
        <f t="shared" ref="Q288:Q295" si="34">CONCATENATE(D288,C288,P288)</f>
        <v>00&lt; 19 cubic ft</v>
      </c>
      <c r="R288" s="139" t="str">
        <f t="shared" ref="R288:R295" si="35">IFERROR(ROUND(VLOOKUP(Q288,$P$251:$Q$266,2,FALSE)*H288,2),"")</f>
        <v/>
      </c>
      <c r="S288" s="1" t="str">
        <f t="shared" ref="S288:S295" si="36">_xlfn.CONCAT(E288, " ",D288, " Door ",C288)</f>
        <v>0 0 Door 0</v>
      </c>
      <c r="X288" s="1"/>
      <c r="Y288" s="1"/>
      <c r="Z288" s="1"/>
    </row>
    <row r="289" spans="2:90" ht="14.25" customHeight="1">
      <c r="B289" s="40" t="str">
        <f t="shared" ref="B289:B295" si="37">CONCATENATE(C289,D289,E289,F289)</f>
        <v>0000&lt;V&lt;15</v>
      </c>
      <c r="C289" s="40">
        <f>Calculator!K106</f>
        <v>0</v>
      </c>
      <c r="D289" s="40">
        <f>Calculator!L106</f>
        <v>0</v>
      </c>
      <c r="E289" s="40">
        <f>Calculator!M106</f>
        <v>0</v>
      </c>
      <c r="F289" s="101" t="str">
        <f t="shared" ref="F289:F295" si="38">IF(G289&lt;15,"0&lt;V&lt;15",IF(AND(G289&gt;14.99,G289&lt;30),"15≤V&lt;30",IF(AND(G289&gt;29.99,G289&lt;50),"30≤V&lt;50",IF(G289&gt;49.99,"50≤V",""))))</f>
        <v>0&lt;V&lt;15</v>
      </c>
      <c r="G289" s="101">
        <f>Calculator!J106</f>
        <v>0</v>
      </c>
      <c r="H289" s="101">
        <f>Calculator!I106</f>
        <v>0</v>
      </c>
      <c r="I289" s="135" t="str">
        <f>IF(Calculator!E106="Early Replacement",IF(Calculator!F106&lt;2017,VLOOKUP(B289,$B$252:$N$283,10,FALSE)*G289+VLOOKUP(B289,$B$252:$N$283,11,FALSE),IF(Calculator!F106&gt;2016,VLOOKUP(B289,$B$252:$N$283,12,FALSE)*G289+VLOOKUP(B289,$B$252:$N$283,13,FALSE))),"")</f>
        <v/>
      </c>
      <c r="J289" s="135" t="e">
        <f t="shared" si="31"/>
        <v>#N/A</v>
      </c>
      <c r="K289" s="135" t="e">
        <f t="shared" si="32"/>
        <v>#N/A</v>
      </c>
      <c r="L289" s="135" t="e">
        <f>O289*ETDF!$G$4</f>
        <v>#VALUE!</v>
      </c>
      <c r="M289" s="135" t="e">
        <f>O289*ETDF!$H$4</f>
        <v>#VALUE!</v>
      </c>
      <c r="N289" s="135" t="e">
        <f t="shared" ref="N289:N295" si="39">L289</f>
        <v>#VALUE!</v>
      </c>
      <c r="O289" s="135" t="str">
        <f>IFERROR(IF(Calculator!E106="Early Replacement",(I289-K289)*365*H289,IF(Calculator!E106="Time of Sale",(J289-K289)*365*H289,IF(Calculator!E106="New Construction",(J289-K289)*365*H289,""))),"")</f>
        <v/>
      </c>
      <c r="P289" s="101" t="str">
        <f t="shared" si="33"/>
        <v>&lt; 19 cubic ft</v>
      </c>
      <c r="Q289" s="101" t="str">
        <f t="shared" si="34"/>
        <v>00&lt; 19 cubic ft</v>
      </c>
      <c r="R289" s="139" t="str">
        <f t="shared" si="35"/>
        <v/>
      </c>
      <c r="S289" s="1" t="str">
        <f t="shared" si="36"/>
        <v>0 0 Door 0</v>
      </c>
      <c r="X289" s="1"/>
      <c r="Y289" s="1"/>
      <c r="Z289" s="1"/>
    </row>
    <row r="290" spans="2:90" ht="14.25" customHeight="1">
      <c r="B290" s="40" t="str">
        <f t="shared" si="37"/>
        <v>0000&lt;V&lt;15</v>
      </c>
      <c r="C290" s="40">
        <f>Calculator!K107</f>
        <v>0</v>
      </c>
      <c r="D290" s="40">
        <f>Calculator!L107</f>
        <v>0</v>
      </c>
      <c r="E290" s="40">
        <f>Calculator!M107</f>
        <v>0</v>
      </c>
      <c r="F290" s="101" t="str">
        <f t="shared" si="38"/>
        <v>0&lt;V&lt;15</v>
      </c>
      <c r="G290" s="101">
        <f>Calculator!J107</f>
        <v>0</v>
      </c>
      <c r="H290" s="101">
        <f>Calculator!I107</f>
        <v>0</v>
      </c>
      <c r="I290" s="135" t="str">
        <f>IF(Calculator!E107="Early Replacement",IF(Calculator!F107&lt;2017,VLOOKUP(B290,$B$252:$N$283,10,FALSE)*G290+VLOOKUP(B290,$B$252:$N$283,11,FALSE),IF(Calculator!F107&gt;2016,VLOOKUP(B290,$B$252:$N$283,12,FALSE)*G290+VLOOKUP(B290,$B$252:$N$283,13,FALSE))),"")</f>
        <v/>
      </c>
      <c r="J290" s="135" t="e">
        <f t="shared" si="31"/>
        <v>#N/A</v>
      </c>
      <c r="K290" s="135" t="e">
        <f t="shared" si="32"/>
        <v>#N/A</v>
      </c>
      <c r="L290" s="135" t="e">
        <f>O290*ETDF!$G$4</f>
        <v>#VALUE!</v>
      </c>
      <c r="M290" s="135" t="e">
        <f>O290*ETDF!$H$4</f>
        <v>#VALUE!</v>
      </c>
      <c r="N290" s="135" t="e">
        <f t="shared" si="39"/>
        <v>#VALUE!</v>
      </c>
      <c r="O290" s="135" t="str">
        <f>IFERROR(IF(Calculator!E107="Early Replacement",(I290-K290)*365*H290,IF(Calculator!E107="Time of Sale",(J290-K290)*365*H290,IF(Calculator!E107="New Construction",(J290-K290)*365*H290,""))),"")</f>
        <v/>
      </c>
      <c r="P290" s="101" t="str">
        <f t="shared" si="33"/>
        <v>&lt; 19 cubic ft</v>
      </c>
      <c r="Q290" s="101" t="str">
        <f t="shared" si="34"/>
        <v>00&lt; 19 cubic ft</v>
      </c>
      <c r="R290" s="139" t="str">
        <f t="shared" si="35"/>
        <v/>
      </c>
      <c r="S290" s="1" t="str">
        <f t="shared" si="36"/>
        <v>0 0 Door 0</v>
      </c>
      <c r="X290" s="1"/>
      <c r="Y290" s="1"/>
      <c r="Z290" s="1"/>
    </row>
    <row r="291" spans="2:90" ht="14.25" customHeight="1">
      <c r="B291" s="40" t="str">
        <f t="shared" si="37"/>
        <v>0000&lt;V&lt;15</v>
      </c>
      <c r="C291" s="40">
        <f>Calculator!K108</f>
        <v>0</v>
      </c>
      <c r="D291" s="40">
        <f>Calculator!L108</f>
        <v>0</v>
      </c>
      <c r="E291" s="40">
        <f>Calculator!M108</f>
        <v>0</v>
      </c>
      <c r="F291" s="101" t="str">
        <f t="shared" si="38"/>
        <v>0&lt;V&lt;15</v>
      </c>
      <c r="G291" s="101">
        <f>Calculator!J108</f>
        <v>0</v>
      </c>
      <c r="H291" s="101">
        <f>Calculator!I108</f>
        <v>0</v>
      </c>
      <c r="I291" s="135" t="str">
        <f>IF(Calculator!E108="Early Replacement",IF(Calculator!F108&lt;2017,VLOOKUP(B291,$B$252:$N$283,10,FALSE)*G291+VLOOKUP(B291,$B$252:$N$283,11,FALSE),IF(Calculator!F108&gt;2016,VLOOKUP(B291,$B$252:$N$283,12,FALSE)*G291+VLOOKUP(B291,$B$252:$N$283,13,FALSE))),"")</f>
        <v/>
      </c>
      <c r="J291" s="135" t="e">
        <f t="shared" si="31"/>
        <v>#N/A</v>
      </c>
      <c r="K291" s="135" t="e">
        <f t="shared" si="32"/>
        <v>#N/A</v>
      </c>
      <c r="L291" s="135" t="e">
        <f>O291*ETDF!$G$4</f>
        <v>#VALUE!</v>
      </c>
      <c r="M291" s="135" t="e">
        <f>O291*ETDF!$H$4</f>
        <v>#VALUE!</v>
      </c>
      <c r="N291" s="135" t="e">
        <f t="shared" si="39"/>
        <v>#VALUE!</v>
      </c>
      <c r="O291" s="135" t="str">
        <f>IFERROR(IF(Calculator!E108="Early Replacement",(I291-K291)*365*H291,IF(Calculator!E108="Time of Sale",(J291-K291)*365*H291,IF(Calculator!E108="New Construction",(J291-K291)*365*H291,""))),"")</f>
        <v/>
      </c>
      <c r="P291" s="101" t="str">
        <f t="shared" si="33"/>
        <v>&lt; 19 cubic ft</v>
      </c>
      <c r="Q291" s="101" t="str">
        <f t="shared" si="34"/>
        <v>00&lt; 19 cubic ft</v>
      </c>
      <c r="R291" s="139" t="str">
        <f t="shared" si="35"/>
        <v/>
      </c>
      <c r="S291" s="1" t="str">
        <f t="shared" si="36"/>
        <v>0 0 Door 0</v>
      </c>
      <c r="X291" s="1"/>
      <c r="Y291" s="1"/>
      <c r="Z291" s="1"/>
    </row>
    <row r="292" spans="2:90" ht="14.25" customHeight="1">
      <c r="B292" s="40" t="str">
        <f t="shared" si="37"/>
        <v>0000&lt;V&lt;15</v>
      </c>
      <c r="C292" s="40">
        <f>Calculator!K109</f>
        <v>0</v>
      </c>
      <c r="D292" s="40">
        <f>Calculator!L109</f>
        <v>0</v>
      </c>
      <c r="E292" s="40">
        <f>Calculator!M109</f>
        <v>0</v>
      </c>
      <c r="F292" s="101" t="str">
        <f t="shared" si="38"/>
        <v>0&lt;V&lt;15</v>
      </c>
      <c r="G292" s="101">
        <f>Calculator!J109</f>
        <v>0</v>
      </c>
      <c r="H292" s="101">
        <f>Calculator!I109</f>
        <v>0</v>
      </c>
      <c r="I292" s="135" t="str">
        <f>IF(Calculator!E109="Early Replacement",IF(Calculator!F109&lt;2017,VLOOKUP(B292,$B$252:$N$283,10,FALSE)*G292+VLOOKUP(B292,$B$252:$N$283,11,FALSE),IF(Calculator!F109&gt;2016,VLOOKUP(B292,$B$252:$N$283,12,FALSE)*G292+VLOOKUP(B292,$B$252:$N$283,13,FALSE))),"")</f>
        <v/>
      </c>
      <c r="J292" s="135" t="e">
        <f t="shared" si="31"/>
        <v>#N/A</v>
      </c>
      <c r="K292" s="135" t="e">
        <f t="shared" si="32"/>
        <v>#N/A</v>
      </c>
      <c r="L292" s="135" t="e">
        <f>O292*ETDF!$G$4</f>
        <v>#VALUE!</v>
      </c>
      <c r="M292" s="135" t="e">
        <f>O292*ETDF!$H$4</f>
        <v>#VALUE!</v>
      </c>
      <c r="N292" s="135" t="e">
        <f t="shared" si="39"/>
        <v>#VALUE!</v>
      </c>
      <c r="O292" s="135" t="str">
        <f>IFERROR(IF(Calculator!E109="Early Replacement",(I292-K292)*365*H292,IF(Calculator!E109="Time of Sale",(J292-K292)*365*H292,IF(Calculator!E109="New Construction",(J292-K292)*365*H292,""))),"")</f>
        <v/>
      </c>
      <c r="P292" s="101" t="str">
        <f t="shared" si="33"/>
        <v>&lt; 19 cubic ft</v>
      </c>
      <c r="Q292" s="101" t="str">
        <f t="shared" si="34"/>
        <v>00&lt; 19 cubic ft</v>
      </c>
      <c r="R292" s="139" t="str">
        <f t="shared" si="35"/>
        <v/>
      </c>
      <c r="S292" s="1" t="str">
        <f t="shared" si="36"/>
        <v>0 0 Door 0</v>
      </c>
      <c r="X292" s="1"/>
      <c r="Y292" s="1"/>
      <c r="Z292" s="1"/>
    </row>
    <row r="293" spans="2:90" ht="14.25" customHeight="1">
      <c r="B293" s="40" t="str">
        <f t="shared" si="37"/>
        <v>0000&lt;V&lt;15</v>
      </c>
      <c r="C293" s="40">
        <f>Calculator!K110</f>
        <v>0</v>
      </c>
      <c r="D293" s="40">
        <f>Calculator!L110</f>
        <v>0</v>
      </c>
      <c r="E293" s="40">
        <f>Calculator!M110</f>
        <v>0</v>
      </c>
      <c r="F293" s="101" t="str">
        <f t="shared" si="38"/>
        <v>0&lt;V&lt;15</v>
      </c>
      <c r="G293" s="101">
        <f>Calculator!J110</f>
        <v>0</v>
      </c>
      <c r="H293" s="101">
        <f>Calculator!I110</f>
        <v>0</v>
      </c>
      <c r="I293" s="135" t="str">
        <f>IF(Calculator!E110="Early Replacement",IF(Calculator!F110&lt;2017,VLOOKUP(B293,$B$252:$N$283,10,FALSE)*G293+VLOOKUP(B293,$B$252:$N$283,11,FALSE),IF(Calculator!F110&gt;2016,VLOOKUP(B293,$B$252:$N$283,12,FALSE)*G293+VLOOKUP(B293,$B$252:$N$283,13,FALSE))),"")</f>
        <v/>
      </c>
      <c r="J293" s="135" t="e">
        <f t="shared" si="31"/>
        <v>#N/A</v>
      </c>
      <c r="K293" s="135" t="e">
        <f t="shared" si="32"/>
        <v>#N/A</v>
      </c>
      <c r="L293" s="135" t="e">
        <f>O293*ETDF!$G$4</f>
        <v>#VALUE!</v>
      </c>
      <c r="M293" s="135" t="e">
        <f>O293*ETDF!$H$4</f>
        <v>#VALUE!</v>
      </c>
      <c r="N293" s="135" t="e">
        <f t="shared" si="39"/>
        <v>#VALUE!</v>
      </c>
      <c r="O293" s="135" t="str">
        <f>IFERROR(IF(Calculator!E110="Early Replacement",(I293-K293)*365*H293,IF(Calculator!E110="Time of Sale",(J293-K293)*365*H293,IF(Calculator!E110="New Construction",(J293-K293)*365*H293,""))),"")</f>
        <v/>
      </c>
      <c r="P293" s="101" t="str">
        <f t="shared" si="33"/>
        <v>&lt; 19 cubic ft</v>
      </c>
      <c r="Q293" s="101" t="str">
        <f t="shared" si="34"/>
        <v>00&lt; 19 cubic ft</v>
      </c>
      <c r="R293" s="139" t="str">
        <f t="shared" si="35"/>
        <v/>
      </c>
      <c r="S293" s="1" t="str">
        <f t="shared" si="36"/>
        <v>0 0 Door 0</v>
      </c>
      <c r="X293" s="1"/>
      <c r="Y293" s="1"/>
      <c r="Z293" s="1"/>
    </row>
    <row r="294" spans="2:90">
      <c r="B294" s="40" t="str">
        <f t="shared" si="37"/>
        <v>0000&lt;V&lt;15</v>
      </c>
      <c r="C294" s="40">
        <f>Calculator!K111</f>
        <v>0</v>
      </c>
      <c r="D294" s="40">
        <f>Calculator!L111</f>
        <v>0</v>
      </c>
      <c r="E294" s="40">
        <f>Calculator!M111</f>
        <v>0</v>
      </c>
      <c r="F294" s="101" t="str">
        <f t="shared" si="38"/>
        <v>0&lt;V&lt;15</v>
      </c>
      <c r="G294" s="101">
        <f>Calculator!J111</f>
        <v>0</v>
      </c>
      <c r="H294" s="101">
        <f>Calculator!I111</f>
        <v>0</v>
      </c>
      <c r="I294" s="135" t="str">
        <f>IF(Calculator!E111="Early Replacement",IF(Calculator!F111&lt;2017,VLOOKUP(B294,$B$252:$N$283,10,FALSE)*G294+VLOOKUP(B294,$B$252:$N$283,11,FALSE),IF(Calculator!F111&gt;2016,VLOOKUP(B294,$B$252:$N$283,12,FALSE)*G294+VLOOKUP(B294,$B$252:$N$283,13,FALSE))),"")</f>
        <v/>
      </c>
      <c r="J294" s="135" t="e">
        <f t="shared" si="31"/>
        <v>#N/A</v>
      </c>
      <c r="K294" s="135" t="e">
        <f t="shared" si="32"/>
        <v>#N/A</v>
      </c>
      <c r="L294" s="135" t="e">
        <f>O294*ETDF!$G$4</f>
        <v>#VALUE!</v>
      </c>
      <c r="M294" s="135" t="e">
        <f>O294*ETDF!$H$4</f>
        <v>#VALUE!</v>
      </c>
      <c r="N294" s="135" t="e">
        <f t="shared" si="39"/>
        <v>#VALUE!</v>
      </c>
      <c r="O294" s="135" t="str">
        <f>IFERROR(IF(Calculator!E111="Early Replacement",(I294-K294)*365*H294,IF(Calculator!E111="Time of Sale",(J294-K294)*365*H294,IF(Calculator!E111="New Construction",(J294-K294)*365*H294,""))),"")</f>
        <v/>
      </c>
      <c r="P294" s="101" t="str">
        <f t="shared" si="33"/>
        <v>&lt; 19 cubic ft</v>
      </c>
      <c r="Q294" s="101" t="str">
        <f t="shared" si="34"/>
        <v>00&lt; 19 cubic ft</v>
      </c>
      <c r="R294" s="139" t="str">
        <f t="shared" si="35"/>
        <v/>
      </c>
      <c r="S294" s="1" t="str">
        <f t="shared" si="36"/>
        <v>0 0 Door 0</v>
      </c>
      <c r="X294" s="1"/>
      <c r="Y294" s="1"/>
      <c r="Z294" s="1"/>
    </row>
    <row r="295" spans="2:90" s="33" customFormat="1" ht="18.600000000000001" customHeight="1">
      <c r="B295" s="40" t="str">
        <f t="shared" si="37"/>
        <v>0000&lt;V&lt;15</v>
      </c>
      <c r="C295" s="40">
        <f>Calculator!K112</f>
        <v>0</v>
      </c>
      <c r="D295" s="40">
        <f>Calculator!L112</f>
        <v>0</v>
      </c>
      <c r="E295" s="40">
        <f>Calculator!M112</f>
        <v>0</v>
      </c>
      <c r="F295" s="101" t="str">
        <f t="shared" si="38"/>
        <v>0&lt;V&lt;15</v>
      </c>
      <c r="G295" s="101">
        <f>Calculator!J112</f>
        <v>0</v>
      </c>
      <c r="H295" s="101">
        <f>Calculator!I112</f>
        <v>0</v>
      </c>
      <c r="I295" s="135" t="str">
        <f>IF(Calculator!E112="Early Replacement",IF(Calculator!F112&lt;2017,VLOOKUP(B295,$B$252:$N$283,10,FALSE)*G295+VLOOKUP(B295,$B$252:$N$283,11,FALSE),IF(Calculator!F112&gt;2016,VLOOKUP(B295,$B$252:$N$283,12,FALSE)*G295+VLOOKUP(B295,$B$252:$N$283,13,FALSE))),"")</f>
        <v/>
      </c>
      <c r="J295" s="135" t="e">
        <f t="shared" si="31"/>
        <v>#N/A</v>
      </c>
      <c r="K295" s="135" t="e">
        <f t="shared" si="32"/>
        <v>#N/A</v>
      </c>
      <c r="L295" s="135" t="e">
        <f>O295*ETDF!$G$4</f>
        <v>#VALUE!</v>
      </c>
      <c r="M295" s="135" t="e">
        <f>O295*ETDF!$H$4</f>
        <v>#VALUE!</v>
      </c>
      <c r="N295" s="135" t="e">
        <f t="shared" si="39"/>
        <v>#VALUE!</v>
      </c>
      <c r="O295" s="135" t="str">
        <f>IFERROR(IF(Calculator!E112="Early Replacement",(I295-K295)*365*H295,IF(Calculator!E112="Time of Sale",(J295-K295)*365*H295,IF(Calculator!E112="New Construction",(J295-K295)*365*H295,""))),"")</f>
        <v/>
      </c>
      <c r="P295" s="101" t="str">
        <f t="shared" si="33"/>
        <v>&lt; 19 cubic ft</v>
      </c>
      <c r="Q295" s="101" t="str">
        <f t="shared" si="34"/>
        <v>00&lt; 19 cubic ft</v>
      </c>
      <c r="R295" s="139" t="str">
        <f t="shared" si="35"/>
        <v/>
      </c>
      <c r="S295" s="1" t="str">
        <f t="shared" si="36"/>
        <v>0 0 Door 0</v>
      </c>
      <c r="T295" s="1"/>
      <c r="U295" s="1"/>
      <c r="V295" s="1"/>
      <c r="W295" s="1"/>
      <c r="X295" s="1"/>
      <c r="Y295" s="1"/>
      <c r="Z295" s="1"/>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row>
    <row r="296" spans="2:90" ht="15">
      <c r="I296" s="96"/>
      <c r="CE296" s="33"/>
      <c r="CF296" s="33"/>
      <c r="CG296" s="33"/>
      <c r="CH296" s="33"/>
      <c r="CI296" s="33"/>
      <c r="CJ296" s="33"/>
    </row>
    <row r="297" spans="2:90" ht="18.75" thickBot="1">
      <c r="B297" s="375" t="s">
        <v>106</v>
      </c>
      <c r="C297" s="375"/>
      <c r="D297" s="375"/>
      <c r="E297" s="375"/>
      <c r="F297" s="375"/>
      <c r="G297" s="375"/>
      <c r="H297" s="375"/>
      <c r="I297" s="375"/>
      <c r="J297" s="375"/>
      <c r="K297" s="16" t="s">
        <v>443</v>
      </c>
      <c r="L297" s="16"/>
      <c r="M297" s="16"/>
      <c r="N297" s="16"/>
      <c r="O297" s="16"/>
      <c r="P297" s="16"/>
      <c r="Q297" s="16"/>
      <c r="R297" s="16"/>
      <c r="S297" s="16"/>
      <c r="T297" s="16"/>
      <c r="U297" s="16"/>
      <c r="V297" s="16"/>
      <c r="W297" s="16"/>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33"/>
      <c r="BT297" s="33"/>
      <c r="BU297" s="33"/>
      <c r="BV297" s="33"/>
      <c r="BW297" s="33"/>
      <c r="BX297" s="33"/>
      <c r="BY297" s="33"/>
      <c r="BZ297" s="33"/>
      <c r="CA297" s="33"/>
      <c r="CB297" s="33"/>
      <c r="CC297" s="33"/>
      <c r="CD297" s="33"/>
    </row>
    <row r="298" spans="2:90" ht="18">
      <c r="B298" s="7" t="s">
        <v>219</v>
      </c>
      <c r="F298" s="7" t="s">
        <v>88</v>
      </c>
      <c r="P298" s="6"/>
      <c r="Q298" s="6"/>
      <c r="R298" s="6"/>
      <c r="S298" s="6"/>
      <c r="T298" s="6"/>
      <c r="U298" s="6"/>
      <c r="V298" s="6"/>
      <c r="W298" s="6"/>
    </row>
    <row r="299" spans="2:90" ht="15">
      <c r="B299" s="14" t="s">
        <v>279</v>
      </c>
      <c r="C299" s="14">
        <v>365</v>
      </c>
      <c r="D299" s="117" t="s">
        <v>157</v>
      </c>
      <c r="E299" s="117" t="s">
        <v>273</v>
      </c>
      <c r="F299" s="14" t="s">
        <v>444</v>
      </c>
      <c r="G299" s="138">
        <v>200</v>
      </c>
      <c r="H299" s="138" t="s">
        <v>592</v>
      </c>
      <c r="P299" s="6"/>
      <c r="R299" s="6"/>
      <c r="S299" s="6"/>
      <c r="T299" s="6"/>
      <c r="U299" s="6"/>
      <c r="V299" s="6"/>
      <c r="W299" s="6"/>
    </row>
    <row r="300" spans="2:90">
      <c r="B300" s="14" t="s">
        <v>286</v>
      </c>
      <c r="C300" s="53">
        <v>9</v>
      </c>
      <c r="D300" s="40" t="s">
        <v>225</v>
      </c>
      <c r="E300" s="40" t="s">
        <v>248</v>
      </c>
      <c r="F300" s="14" t="s">
        <v>445</v>
      </c>
      <c r="G300" s="138">
        <v>250</v>
      </c>
      <c r="H300" s="138" t="s">
        <v>592</v>
      </c>
      <c r="P300" s="6"/>
      <c r="R300" s="6"/>
      <c r="S300" s="6"/>
      <c r="T300" s="6"/>
      <c r="U300" s="6"/>
      <c r="V300" s="6"/>
      <c r="W300" s="6"/>
    </row>
    <row r="301" spans="2:90" s="8" customFormat="1" ht="34.15" customHeight="1">
      <c r="B301" s="1"/>
      <c r="C301" s="1"/>
      <c r="D301" s="1"/>
      <c r="E301" s="1"/>
      <c r="F301" s="14" t="s">
        <v>446</v>
      </c>
      <c r="G301" s="138">
        <v>300</v>
      </c>
      <c r="H301" s="138" t="s">
        <v>592</v>
      </c>
      <c r="I301" s="1"/>
      <c r="J301" s="1"/>
      <c r="K301" s="1"/>
      <c r="L301" s="1"/>
      <c r="M301" s="1"/>
      <c r="N301" s="1"/>
      <c r="O301" s="1"/>
      <c r="P301" s="1"/>
      <c r="Q301" s="1"/>
      <c r="R301" s="1"/>
      <c r="S301" s="1"/>
      <c r="T301" s="1"/>
      <c r="U301" s="1"/>
      <c r="V301" s="1"/>
      <c r="W301" s="1"/>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row>
    <row r="302" spans="2:90" ht="18">
      <c r="B302" s="7" t="s">
        <v>281</v>
      </c>
      <c r="H302" s="57"/>
      <c r="I302" s="6"/>
      <c r="J302" s="6"/>
      <c r="K302" s="6"/>
      <c r="L302" s="6"/>
      <c r="M302" s="6"/>
      <c r="N302" s="6"/>
      <c r="O302" s="6"/>
      <c r="P302" s="6"/>
      <c r="Q302" s="6"/>
      <c r="R302" s="6"/>
      <c r="S302" s="6"/>
      <c r="T302" s="6"/>
      <c r="U302" s="6"/>
      <c r="V302" s="6"/>
      <c r="W302" s="6"/>
      <c r="CE302" s="8"/>
      <c r="CF302" s="8"/>
      <c r="CG302" s="8"/>
      <c r="CH302" s="8"/>
      <c r="CI302" s="8"/>
      <c r="CJ302" s="8"/>
    </row>
    <row r="303" spans="2:90" ht="15">
      <c r="B303" s="18" t="s">
        <v>447</v>
      </c>
      <c r="C303" s="19" t="s">
        <v>448</v>
      </c>
      <c r="D303" s="19" t="s">
        <v>449</v>
      </c>
      <c r="E303" s="8"/>
      <c r="F303" s="57"/>
      <c r="G303" s="96"/>
      <c r="H303" s="57"/>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row>
    <row r="304" spans="2:90">
      <c r="B304" s="32" t="s">
        <v>444</v>
      </c>
      <c r="C304" s="36">
        <v>21.5</v>
      </c>
      <c r="D304" s="36">
        <v>0</v>
      </c>
      <c r="E304" s="6"/>
      <c r="F304" s="6"/>
      <c r="G304" s="96"/>
      <c r="H304" s="96"/>
      <c r="I304" s="96"/>
      <c r="J304" s="6"/>
      <c r="K304" s="6"/>
      <c r="L304" s="6"/>
      <c r="M304" s="6"/>
      <c r="N304" s="6"/>
      <c r="O304" s="6"/>
      <c r="P304" s="6"/>
      <c r="Q304" s="6"/>
      <c r="R304" s="6"/>
      <c r="S304" s="6"/>
      <c r="T304" s="6"/>
      <c r="U304" s="6"/>
      <c r="V304" s="6"/>
      <c r="W304" s="6"/>
    </row>
    <row r="305" spans="2:88">
      <c r="B305" s="51" t="s">
        <v>445</v>
      </c>
      <c r="C305" s="36">
        <v>2</v>
      </c>
      <c r="D305" s="36">
        <v>254</v>
      </c>
      <c r="E305" s="6"/>
      <c r="F305" s="6"/>
      <c r="G305" s="96"/>
      <c r="H305" s="96"/>
      <c r="I305" s="6"/>
      <c r="J305" s="6"/>
      <c r="K305" s="6"/>
      <c r="L305" s="6"/>
      <c r="M305" s="6"/>
      <c r="N305" s="6"/>
      <c r="O305" s="6"/>
      <c r="P305" s="6"/>
      <c r="Q305" s="6"/>
      <c r="R305" s="6"/>
      <c r="S305" s="6"/>
      <c r="T305" s="6"/>
      <c r="U305" s="6"/>
      <c r="V305" s="6"/>
      <c r="W305" s="6"/>
    </row>
    <row r="306" spans="2:88">
      <c r="B306" s="32" t="s">
        <v>446</v>
      </c>
      <c r="C306" s="36">
        <v>3.8</v>
      </c>
      <c r="D306" s="36">
        <v>203.5</v>
      </c>
      <c r="E306" s="6"/>
      <c r="F306" s="6"/>
      <c r="G306" s="96"/>
      <c r="H306" s="96"/>
      <c r="I306" s="6"/>
      <c r="J306" s="6"/>
      <c r="K306" s="6"/>
      <c r="L306" s="6"/>
      <c r="M306" s="6"/>
      <c r="N306" s="6"/>
      <c r="O306" s="6"/>
      <c r="P306" s="6"/>
      <c r="Q306" s="6"/>
      <c r="R306" s="6"/>
      <c r="S306" s="6"/>
      <c r="T306" s="6"/>
      <c r="U306" s="6"/>
      <c r="V306" s="6"/>
      <c r="W306" s="6"/>
    </row>
    <row r="307" spans="2:88" s="8" customFormat="1" ht="15">
      <c r="B307" s="1"/>
      <c r="C307" s="1"/>
      <c r="D307" s="1"/>
      <c r="E307" s="1"/>
      <c r="F307" s="1"/>
      <c r="G307" s="96"/>
      <c r="H307" s="96"/>
      <c r="I307" s="1"/>
      <c r="J307" s="1"/>
      <c r="K307" s="1"/>
      <c r="L307" s="1"/>
      <c r="M307" s="1"/>
      <c r="N307" s="1"/>
      <c r="O307" s="1"/>
      <c r="P307" s="1"/>
      <c r="Q307" s="1"/>
      <c r="R307" s="1"/>
      <c r="S307" s="1"/>
      <c r="T307" s="1"/>
      <c r="U307" s="1"/>
      <c r="V307" s="1"/>
      <c r="W307" s="1"/>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row>
    <row r="308" spans="2:88" ht="14.25" customHeight="1">
      <c r="B308" s="7" t="s">
        <v>12</v>
      </c>
      <c r="G308" s="96"/>
      <c r="CE308" s="8"/>
      <c r="CF308" s="8"/>
      <c r="CG308" s="8"/>
      <c r="CH308" s="8"/>
      <c r="CI308" s="8"/>
      <c r="CJ308" s="8"/>
    </row>
    <row r="309" spans="2:88" ht="14.25" customHeight="1">
      <c r="B309" s="168" t="s">
        <v>125</v>
      </c>
      <c r="C309" s="168" t="str">
        <f>Calculator!H117</f>
        <v>Volume per Unit (ft3)</v>
      </c>
      <c r="D309" s="168" t="s">
        <v>450</v>
      </c>
      <c r="E309" s="52" t="s">
        <v>451</v>
      </c>
      <c r="F309" s="37" t="s">
        <v>452</v>
      </c>
      <c r="G309" s="37" t="s">
        <v>235</v>
      </c>
      <c r="H309" s="37" t="s">
        <v>236</v>
      </c>
      <c r="I309" s="41" t="s">
        <v>237</v>
      </c>
      <c r="J309" s="41" t="s">
        <v>82</v>
      </c>
      <c r="K309" s="42" t="s">
        <v>442</v>
      </c>
      <c r="W309" s="6"/>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row>
    <row r="310" spans="2:88" ht="14.25" customHeight="1">
      <c r="B310" s="39">
        <f>Calculator!G118</f>
        <v>0</v>
      </c>
      <c r="C310" s="39">
        <f>Calculator!H118</f>
        <v>0</v>
      </c>
      <c r="D310" s="14" t="str">
        <f>IF(C310&lt;13,"0 &lt; V &lt; 13",IF(AND(C310&gt;12.99,C310&lt;28),"13 ≤ V &lt; 28",IF(C310&gt;27.99,"28 ≤ V",)))</f>
        <v>0 &lt; V &lt; 13</v>
      </c>
      <c r="E310" s="17">
        <f>30*C310</f>
        <v>0</v>
      </c>
      <c r="F310" s="17">
        <f>IF(C310=0,0,VLOOKUP(D310,$B$304:$D$306,2,FALSE)*C310+VLOOKUP(D310,$B$304:$D$306,3,FALSE))</f>
        <v>0</v>
      </c>
      <c r="G310" s="17" t="e">
        <f>J310*ETDF!$G$4</f>
        <v>#N/A</v>
      </c>
      <c r="H310" s="17" t="e">
        <f>J310*ETDF!$H$4</f>
        <v>#N/A</v>
      </c>
      <c r="I310" s="17" t="e">
        <f>G310</f>
        <v>#N/A</v>
      </c>
      <c r="J310" s="17">
        <f>B310*(E310-F310)*$C$299*$C$300/1000</f>
        <v>0</v>
      </c>
      <c r="K310" s="138">
        <f>IFERROR(ROUND(VLOOKUP(D310,$F$299:$G$301,2,FALSE)*B310,2),"")</f>
        <v>0</v>
      </c>
      <c r="W310" s="6"/>
    </row>
    <row r="311" spans="2:88">
      <c r="B311" s="39">
        <f>Calculator!G119</f>
        <v>0</v>
      </c>
      <c r="C311" s="39">
        <f>Calculator!H119</f>
        <v>0</v>
      </c>
      <c r="D311" s="14" t="str">
        <f>IF(C311&lt;13,"0 &lt; V &lt; 13",IF(AND(C311&gt;12.99,C311&lt;28),"13 ≤ V &lt; 28",IF(C311&gt;27.99,"28 ≤ V",)))</f>
        <v>0 &lt; V &lt; 13</v>
      </c>
      <c r="E311" s="17">
        <f>30*C311</f>
        <v>0</v>
      </c>
      <c r="F311" s="17">
        <f t="shared" ref="F311:F312" si="40">IF(C311=0,0,VLOOKUP(D311,$B$304:$D$306,2,FALSE)*C311+VLOOKUP(D311,$B$304:$D$306,3,FALSE))</f>
        <v>0</v>
      </c>
      <c r="G311" s="17" t="e">
        <f>J311*ETDF!$G$4</f>
        <v>#N/A</v>
      </c>
      <c r="H311" s="17" t="e">
        <f>J311*ETDF!$H$4</f>
        <v>#N/A</v>
      </c>
      <c r="I311" s="17" t="e">
        <f t="shared" ref="I311:I312" si="41">G311</f>
        <v>#N/A</v>
      </c>
      <c r="J311" s="17">
        <f>B311*(E311-F311)*$C$299*$C$300/1000</f>
        <v>0</v>
      </c>
      <c r="K311" s="138">
        <f>IFERROR(ROUND(VLOOKUP(D311,$F$299:$G$301,2,FALSE)*B311,2),"")</f>
        <v>0</v>
      </c>
      <c r="L311" s="55"/>
      <c r="M311" s="55"/>
      <c r="N311" s="55"/>
      <c r="O311" s="55"/>
      <c r="P311" s="55"/>
      <c r="Q311" s="55"/>
      <c r="R311" s="55"/>
      <c r="S311" s="55"/>
      <c r="T311" s="55"/>
      <c r="U311" s="55"/>
      <c r="X311" s="1"/>
      <c r="Y311" s="1"/>
      <c r="Z311" s="1"/>
      <c r="AA311" s="1"/>
      <c r="AB311" s="1"/>
      <c r="AC311" s="1"/>
      <c r="AD311" s="1"/>
      <c r="AE311" s="1"/>
      <c r="AF311" s="1"/>
      <c r="AG311" s="1"/>
    </row>
    <row r="312" spans="2:88">
      <c r="B312" s="39">
        <f>Calculator!G120</f>
        <v>0</v>
      </c>
      <c r="C312" s="39">
        <f>Calculator!H120</f>
        <v>0</v>
      </c>
      <c r="D312" s="14" t="str">
        <f>IF(C312&lt;13,"0 &lt; V &lt; 13",IF(AND(C312&gt;12.99,C312&lt;28),"13 ≤ V &lt; 28",IF(C312&gt;27.99,"28 ≤ V",)))</f>
        <v>0 &lt; V &lt; 13</v>
      </c>
      <c r="E312" s="17">
        <f>30*C312</f>
        <v>0</v>
      </c>
      <c r="F312" s="17">
        <f t="shared" si="40"/>
        <v>0</v>
      </c>
      <c r="G312" s="17" t="e">
        <f>J312*ETDF!$G$4</f>
        <v>#N/A</v>
      </c>
      <c r="H312" s="17" t="e">
        <f>J312*ETDF!$H$4</f>
        <v>#N/A</v>
      </c>
      <c r="I312" s="17" t="e">
        <f t="shared" si="41"/>
        <v>#N/A</v>
      </c>
      <c r="J312" s="17">
        <f>B312*(E312-F312)*$C$299*$C$300/1000</f>
        <v>0</v>
      </c>
      <c r="K312" s="138">
        <f>IFERROR(ROUND(VLOOKUP(D312,$F$299:$G$301,2,FALSE)*B312,2),"")</f>
        <v>0</v>
      </c>
      <c r="L312" s="55"/>
      <c r="M312" s="55"/>
      <c r="N312" s="55"/>
      <c r="O312" s="55"/>
      <c r="P312" s="55"/>
      <c r="Q312" s="55"/>
      <c r="R312" s="55"/>
      <c r="S312" s="55"/>
      <c r="T312" s="55"/>
      <c r="U312" s="55"/>
      <c r="X312" s="1"/>
      <c r="Y312" s="1"/>
      <c r="Z312" s="1"/>
      <c r="AA312" s="1"/>
      <c r="AB312" s="1"/>
      <c r="AC312" s="1"/>
      <c r="AD312" s="1"/>
      <c r="AE312" s="1"/>
      <c r="AF312" s="1"/>
      <c r="AG312" s="1"/>
    </row>
    <row r="314" spans="2:88" ht="18.75" thickBot="1">
      <c r="B314" s="375" t="s">
        <v>453</v>
      </c>
      <c r="C314" s="375"/>
      <c r="D314" s="375"/>
      <c r="E314" s="375"/>
      <c r="F314" s="375"/>
      <c r="G314" s="375"/>
      <c r="H314" s="375"/>
      <c r="I314" s="375"/>
      <c r="J314" s="375"/>
    </row>
    <row r="315" spans="2:88" ht="18">
      <c r="B315" s="7" t="s">
        <v>218</v>
      </c>
      <c r="H315" s="7" t="s">
        <v>219</v>
      </c>
    </row>
    <row r="316" spans="2:88" ht="15">
      <c r="B316" s="14" t="s">
        <v>183</v>
      </c>
      <c r="C316" s="14" t="s">
        <v>75</v>
      </c>
      <c r="D316" s="14" t="s">
        <v>454</v>
      </c>
      <c r="E316" s="14" t="s">
        <v>455</v>
      </c>
      <c r="F316" s="117" t="s">
        <v>157</v>
      </c>
      <c r="H316" s="14">
        <v>5634</v>
      </c>
      <c r="I316" s="14" t="s">
        <v>456</v>
      </c>
      <c r="J316" s="14" t="s">
        <v>457</v>
      </c>
      <c r="K316" s="14" t="s">
        <v>403</v>
      </c>
    </row>
    <row r="317" spans="2:88">
      <c r="B317" s="14" t="s">
        <v>280</v>
      </c>
      <c r="C317" s="14" t="s">
        <v>454</v>
      </c>
      <c r="D317" s="14" t="s">
        <v>458</v>
      </c>
      <c r="E317" s="14" t="s">
        <v>458</v>
      </c>
      <c r="F317" s="40" t="s">
        <v>225</v>
      </c>
      <c r="H317" s="14">
        <v>0.9</v>
      </c>
      <c r="I317" s="14" t="s">
        <v>232</v>
      </c>
      <c r="J317" s="14" t="s">
        <v>458</v>
      </c>
      <c r="K317" s="14">
        <v>10</v>
      </c>
    </row>
    <row r="318" spans="2:88">
      <c r="B318" s="14" t="s">
        <v>459</v>
      </c>
      <c r="C318" s="14" t="s">
        <v>455</v>
      </c>
      <c r="D318" s="14" t="s">
        <v>460</v>
      </c>
      <c r="E318" s="14" t="s">
        <v>460</v>
      </c>
      <c r="J318" s="14" t="s">
        <v>460</v>
      </c>
      <c r="K318" s="14">
        <v>15</v>
      </c>
    </row>
    <row r="319" spans="2:88">
      <c r="D319" s="14" t="s">
        <v>461</v>
      </c>
      <c r="E319" s="14" t="s">
        <v>461</v>
      </c>
      <c r="J319" s="14" t="s">
        <v>461</v>
      </c>
      <c r="K319" s="14">
        <v>20</v>
      </c>
    </row>
    <row r="320" spans="2:88">
      <c r="D320" s="14" t="s">
        <v>462</v>
      </c>
      <c r="E320" s="14" t="s">
        <v>462</v>
      </c>
      <c r="J320" s="14" t="s">
        <v>462</v>
      </c>
      <c r="K320" s="14">
        <v>20</v>
      </c>
    </row>
    <row r="321" spans="2:25">
      <c r="D321" s="14" t="s">
        <v>463</v>
      </c>
      <c r="E321" s="14"/>
      <c r="J321" s="14" t="s">
        <v>463</v>
      </c>
      <c r="K321" s="14">
        <v>10</v>
      </c>
    </row>
    <row r="323" spans="2:25" ht="18">
      <c r="B323" s="7" t="s">
        <v>464</v>
      </c>
    </row>
    <row r="324" spans="2:25" ht="30">
      <c r="B324" s="42" t="s">
        <v>465</v>
      </c>
      <c r="C324" s="42" t="s">
        <v>29</v>
      </c>
      <c r="D324" s="42" t="s">
        <v>152</v>
      </c>
      <c r="E324" s="42" t="s">
        <v>75</v>
      </c>
      <c r="F324" s="42" t="s">
        <v>39</v>
      </c>
      <c r="G324" s="42" t="s">
        <v>466</v>
      </c>
      <c r="H324" s="42" t="s">
        <v>467</v>
      </c>
      <c r="I324" s="42" t="s">
        <v>468</v>
      </c>
      <c r="J324" s="42" t="s">
        <v>469</v>
      </c>
      <c r="K324" s="42" t="s">
        <v>470</v>
      </c>
      <c r="L324" s="42" t="s">
        <v>471</v>
      </c>
      <c r="M324" s="42" t="s">
        <v>442</v>
      </c>
      <c r="X324" s="1"/>
      <c r="Y324" s="1"/>
    </row>
    <row r="325" spans="2:25">
      <c r="B325" s="14" t="str">
        <f>CONCATENATE(C325,D325,E325,F325)</f>
        <v>ElectricElectricLowUnder Counter</v>
      </c>
      <c r="C325" s="14" t="s">
        <v>280</v>
      </c>
      <c r="D325" s="14" t="s">
        <v>280</v>
      </c>
      <c r="E325" s="14" t="s">
        <v>455</v>
      </c>
      <c r="F325" s="14" t="s">
        <v>458</v>
      </c>
      <c r="G325" s="14">
        <v>10965</v>
      </c>
      <c r="H325" s="14">
        <v>8425</v>
      </c>
      <c r="I325" s="14">
        <v>0</v>
      </c>
      <c r="J325" s="14">
        <v>0</v>
      </c>
      <c r="K325" s="14">
        <v>63.3</v>
      </c>
      <c r="L325" s="14">
        <v>43.5</v>
      </c>
      <c r="M325" s="125">
        <v>50</v>
      </c>
      <c r="X325" s="1"/>
      <c r="Y325" s="1"/>
    </row>
    <row r="326" spans="2:25">
      <c r="B326" s="14" t="str">
        <f t="shared" ref="B326:B360" si="42">CONCATENATE(C326,D326,E326,F326)</f>
        <v>ElectricElectricLowStationary Single Tank Door</v>
      </c>
      <c r="C326" s="14" t="s">
        <v>280</v>
      </c>
      <c r="D326" s="14" t="s">
        <v>280</v>
      </c>
      <c r="E326" s="14" t="s">
        <v>455</v>
      </c>
      <c r="F326" s="14" t="s">
        <v>460</v>
      </c>
      <c r="G326" s="14">
        <v>39279</v>
      </c>
      <c r="H326" s="14">
        <v>23126</v>
      </c>
      <c r="I326" s="14">
        <v>0</v>
      </c>
      <c r="J326" s="14">
        <v>0</v>
      </c>
      <c r="K326" s="14">
        <v>286.89999999999998</v>
      </c>
      <c r="L326" s="14">
        <v>161.19999999999999</v>
      </c>
      <c r="M326" s="125">
        <v>300</v>
      </c>
      <c r="X326" s="1"/>
      <c r="Y326" s="1"/>
    </row>
    <row r="327" spans="2:25">
      <c r="B327" s="14" t="str">
        <f t="shared" si="42"/>
        <v>ElectricElectricLowSingle Tank Conveyor</v>
      </c>
      <c r="C327" s="14" t="s">
        <v>280</v>
      </c>
      <c r="D327" s="14" t="s">
        <v>280</v>
      </c>
      <c r="E327" s="14" t="s">
        <v>455</v>
      </c>
      <c r="F327" s="14" t="s">
        <v>461</v>
      </c>
      <c r="G327" s="14">
        <v>42201</v>
      </c>
      <c r="H327" s="14">
        <v>28574</v>
      </c>
      <c r="I327" s="14">
        <v>0</v>
      </c>
      <c r="J327" s="14">
        <v>0</v>
      </c>
      <c r="K327" s="14">
        <v>255.7</v>
      </c>
      <c r="L327" s="14">
        <v>154.19999999999999</v>
      </c>
      <c r="M327" s="125">
        <v>300</v>
      </c>
      <c r="X327" s="1"/>
      <c r="Y327" s="1"/>
    </row>
    <row r="328" spans="2:25">
      <c r="B328" s="14" t="str">
        <f t="shared" si="42"/>
        <v>ElectricElectricLowMulti Tank Conveyor</v>
      </c>
      <c r="C328" s="14" t="s">
        <v>280</v>
      </c>
      <c r="D328" s="14" t="s">
        <v>280</v>
      </c>
      <c r="E328" s="14" t="s">
        <v>455</v>
      </c>
      <c r="F328" s="14" t="s">
        <v>462</v>
      </c>
      <c r="G328" s="14">
        <v>50077</v>
      </c>
      <c r="H328" s="14">
        <v>31266</v>
      </c>
      <c r="I328" s="14">
        <v>0</v>
      </c>
      <c r="J328" s="14">
        <v>0</v>
      </c>
      <c r="K328" s="14">
        <v>304.5</v>
      </c>
      <c r="L328" s="14">
        <v>158.1</v>
      </c>
      <c r="M328" s="125">
        <v>300</v>
      </c>
      <c r="X328" s="1"/>
      <c r="Y328" s="1"/>
    </row>
    <row r="329" spans="2:25">
      <c r="B329" s="14" t="str">
        <f t="shared" si="42"/>
        <v>ElectricElectricHighUnder Counter</v>
      </c>
      <c r="C329" s="14" t="s">
        <v>280</v>
      </c>
      <c r="D329" s="14" t="s">
        <v>280</v>
      </c>
      <c r="E329" s="14" t="s">
        <v>454</v>
      </c>
      <c r="F329" s="14" t="s">
        <v>458</v>
      </c>
      <c r="G329" s="14">
        <v>12355</v>
      </c>
      <c r="H329" s="14">
        <v>9184</v>
      </c>
      <c r="I329" s="14">
        <v>0</v>
      </c>
      <c r="J329" s="14">
        <v>0</v>
      </c>
      <c r="K329" s="14">
        <v>39.9</v>
      </c>
      <c r="L329" s="14">
        <v>31.5</v>
      </c>
      <c r="M329" s="125">
        <v>250</v>
      </c>
      <c r="X329" s="1"/>
      <c r="Y329" s="1"/>
    </row>
    <row r="330" spans="2:25">
      <c r="B330" s="14" t="str">
        <f t="shared" si="42"/>
        <v>ElectricElectricHighStationary Single Tank Door</v>
      </c>
      <c r="C330" s="14" t="s">
        <v>280</v>
      </c>
      <c r="D330" s="14" t="s">
        <v>280</v>
      </c>
      <c r="E330" s="14" t="s">
        <v>454</v>
      </c>
      <c r="F330" s="14" t="s">
        <v>460</v>
      </c>
      <c r="G330" s="14">
        <v>39825</v>
      </c>
      <c r="H330" s="14">
        <v>27962</v>
      </c>
      <c r="I330" s="14">
        <v>0</v>
      </c>
      <c r="J330" s="14">
        <v>0</v>
      </c>
      <c r="K330" s="14">
        <v>176.2</v>
      </c>
      <c r="L330" s="14">
        <v>121.6</v>
      </c>
      <c r="M330" s="125">
        <v>450</v>
      </c>
      <c r="X330" s="1"/>
      <c r="Y330" s="1"/>
    </row>
    <row r="331" spans="2:25">
      <c r="B331" s="14" t="str">
        <f t="shared" si="42"/>
        <v>ElectricElectricHighSingle Tank Conveyor</v>
      </c>
      <c r="C331" s="14" t="s">
        <v>280</v>
      </c>
      <c r="D331" s="14" t="s">
        <v>280</v>
      </c>
      <c r="E331" s="14" t="s">
        <v>454</v>
      </c>
      <c r="F331" s="14" t="s">
        <v>461</v>
      </c>
      <c r="G331" s="14">
        <v>45561</v>
      </c>
      <c r="H331" s="14">
        <v>36350</v>
      </c>
      <c r="I331" s="14">
        <v>0</v>
      </c>
      <c r="J331" s="14">
        <v>0</v>
      </c>
      <c r="K331" s="14">
        <v>169.8</v>
      </c>
      <c r="L331" s="14">
        <v>136.6</v>
      </c>
      <c r="M331" s="125">
        <v>600</v>
      </c>
      <c r="X331" s="1"/>
      <c r="Y331" s="1"/>
    </row>
    <row r="332" spans="2:25">
      <c r="B332" s="14" t="str">
        <f t="shared" si="42"/>
        <v>ElectricElectricHighMulti Tank Conveyor</v>
      </c>
      <c r="C332" s="14" t="s">
        <v>280</v>
      </c>
      <c r="D332" s="14" t="s">
        <v>280</v>
      </c>
      <c r="E332" s="14" t="s">
        <v>454</v>
      </c>
      <c r="F332" s="14" t="s">
        <v>462</v>
      </c>
      <c r="G332" s="14">
        <v>72473</v>
      </c>
      <c r="H332" s="14">
        <v>45065</v>
      </c>
      <c r="I332" s="14">
        <v>0</v>
      </c>
      <c r="J332" s="14">
        <v>0</v>
      </c>
      <c r="K332" s="14">
        <v>284</v>
      </c>
      <c r="L332" s="14">
        <v>158.1</v>
      </c>
      <c r="M332" s="125">
        <v>1000</v>
      </c>
      <c r="X332" s="1"/>
      <c r="Y332" s="1"/>
    </row>
    <row r="333" spans="2:25">
      <c r="B333" s="14" t="str">
        <f t="shared" si="42"/>
        <v>ElectricElectricHighPot, Pan, and Utensil</v>
      </c>
      <c r="C333" s="14" t="s">
        <v>280</v>
      </c>
      <c r="D333" s="14" t="s">
        <v>280</v>
      </c>
      <c r="E333" s="14" t="s">
        <v>454</v>
      </c>
      <c r="F333" s="14" t="s">
        <v>463</v>
      </c>
      <c r="G333" s="14">
        <v>21065</v>
      </c>
      <c r="H333" s="14">
        <v>17754</v>
      </c>
      <c r="I333" s="14">
        <v>0</v>
      </c>
      <c r="J333" s="14">
        <v>0</v>
      </c>
      <c r="K333" s="14">
        <v>95.6</v>
      </c>
      <c r="L333" s="14">
        <v>79.2</v>
      </c>
      <c r="M333" s="125">
        <v>500</v>
      </c>
      <c r="X333" s="1"/>
      <c r="Y333" s="1"/>
    </row>
    <row r="334" spans="2:25">
      <c r="B334" s="14" t="str">
        <f t="shared" si="42"/>
        <v>ElectricNatural GasLowUnder Counter</v>
      </c>
      <c r="C334" s="14" t="s">
        <v>280</v>
      </c>
      <c r="D334" s="14" t="s">
        <v>459</v>
      </c>
      <c r="E334" s="14" t="s">
        <v>455</v>
      </c>
      <c r="F334" s="14" t="s">
        <v>458</v>
      </c>
      <c r="G334" s="14">
        <v>10965</v>
      </c>
      <c r="H334" s="14">
        <v>8425</v>
      </c>
      <c r="I334" s="14">
        <v>0</v>
      </c>
      <c r="J334" s="14">
        <v>0</v>
      </c>
      <c r="K334" s="14">
        <v>63.3</v>
      </c>
      <c r="L334" s="14">
        <v>43.5</v>
      </c>
      <c r="M334" s="125">
        <v>50</v>
      </c>
      <c r="X334" s="1"/>
      <c r="Y334" s="1"/>
    </row>
    <row r="335" spans="2:25">
      <c r="B335" s="14" t="str">
        <f t="shared" si="42"/>
        <v>ElectricNatural GasLowStationary Single Tank Door</v>
      </c>
      <c r="C335" s="14" t="s">
        <v>280</v>
      </c>
      <c r="D335" s="14" t="s">
        <v>459</v>
      </c>
      <c r="E335" s="14" t="s">
        <v>455</v>
      </c>
      <c r="F335" s="14" t="s">
        <v>460</v>
      </c>
      <c r="G335" s="14">
        <v>39279</v>
      </c>
      <c r="H335" s="14">
        <v>23126</v>
      </c>
      <c r="I335" s="14">
        <v>0</v>
      </c>
      <c r="J335" s="14">
        <v>0</v>
      </c>
      <c r="K335" s="14">
        <v>286.89999999999998</v>
      </c>
      <c r="L335" s="14">
        <v>161.19999999999999</v>
      </c>
      <c r="M335" s="125">
        <v>300</v>
      </c>
      <c r="X335" s="1"/>
      <c r="Y335" s="1"/>
    </row>
    <row r="336" spans="2:25">
      <c r="B336" s="14" t="str">
        <f t="shared" si="42"/>
        <v>ElectricNatural GasLowSingle Tank Conveyor</v>
      </c>
      <c r="C336" s="14" t="s">
        <v>280</v>
      </c>
      <c r="D336" s="14" t="s">
        <v>459</v>
      </c>
      <c r="E336" s="14" t="s">
        <v>455</v>
      </c>
      <c r="F336" s="14" t="s">
        <v>461</v>
      </c>
      <c r="G336" s="14">
        <v>42201</v>
      </c>
      <c r="H336" s="14">
        <v>28574</v>
      </c>
      <c r="I336" s="14">
        <v>0</v>
      </c>
      <c r="J336" s="14">
        <v>0</v>
      </c>
      <c r="K336" s="14">
        <v>255.7</v>
      </c>
      <c r="L336" s="14">
        <v>154.19999999999999</v>
      </c>
      <c r="M336" s="125">
        <v>300</v>
      </c>
      <c r="X336" s="1"/>
      <c r="Y336" s="1"/>
    </row>
    <row r="337" spans="2:25">
      <c r="B337" s="14" t="str">
        <f t="shared" si="42"/>
        <v>ElectricNatural GasLowMulti Tank Conveyor</v>
      </c>
      <c r="C337" s="14" t="s">
        <v>280</v>
      </c>
      <c r="D337" s="14" t="s">
        <v>459</v>
      </c>
      <c r="E337" s="14" t="s">
        <v>455</v>
      </c>
      <c r="F337" s="14" t="s">
        <v>462</v>
      </c>
      <c r="G337" s="14">
        <v>50077</v>
      </c>
      <c r="H337" s="14">
        <v>31266</v>
      </c>
      <c r="I337" s="14">
        <v>0</v>
      </c>
      <c r="J337" s="14">
        <v>0</v>
      </c>
      <c r="K337" s="14">
        <v>304.5</v>
      </c>
      <c r="L337" s="14">
        <v>158.1</v>
      </c>
      <c r="M337" s="125">
        <v>300</v>
      </c>
      <c r="X337" s="1"/>
      <c r="Y337" s="1"/>
    </row>
    <row r="338" spans="2:25">
      <c r="B338" s="14" t="str">
        <f t="shared" si="42"/>
        <v>ElectricNatural GasHighUnder Counter</v>
      </c>
      <c r="C338" s="14" t="s">
        <v>280</v>
      </c>
      <c r="D338" s="14" t="s">
        <v>459</v>
      </c>
      <c r="E338" s="14" t="s">
        <v>454</v>
      </c>
      <c r="F338" s="14" t="s">
        <v>458</v>
      </c>
      <c r="G338" s="14">
        <v>9426</v>
      </c>
      <c r="H338" s="14">
        <v>6873</v>
      </c>
      <c r="I338" s="14">
        <v>12.2</v>
      </c>
      <c r="J338" s="14">
        <v>9.6999999999999993</v>
      </c>
      <c r="K338" s="14">
        <v>39.9</v>
      </c>
      <c r="L338" s="14">
        <v>31.5</v>
      </c>
      <c r="M338" s="125">
        <v>250</v>
      </c>
      <c r="X338" s="1"/>
      <c r="Y338" s="1"/>
    </row>
    <row r="339" spans="2:25">
      <c r="B339" s="14" t="str">
        <f t="shared" si="42"/>
        <v>ElectricNatural GasHighStationary Single Tank Door</v>
      </c>
      <c r="C339" s="14" t="s">
        <v>280</v>
      </c>
      <c r="D339" s="14" t="s">
        <v>459</v>
      </c>
      <c r="E339" s="14" t="s">
        <v>454</v>
      </c>
      <c r="F339" s="14" t="s">
        <v>460</v>
      </c>
      <c r="G339" s="14">
        <v>26883</v>
      </c>
      <c r="H339" s="14">
        <v>19033</v>
      </c>
      <c r="I339" s="14">
        <v>54.1</v>
      </c>
      <c r="J339" s="14">
        <v>37.299999999999997</v>
      </c>
      <c r="K339" s="14">
        <v>176.2</v>
      </c>
      <c r="L339" s="14">
        <v>121.6</v>
      </c>
      <c r="M339" s="125">
        <v>450</v>
      </c>
      <c r="X339" s="1"/>
      <c r="Y339" s="1"/>
    </row>
    <row r="340" spans="2:25">
      <c r="B340" s="14" t="str">
        <f t="shared" si="42"/>
        <v>ElectricNatural GasHighSingle Tank Conveyor</v>
      </c>
      <c r="C340" s="14" t="s">
        <v>280</v>
      </c>
      <c r="D340" s="14" t="s">
        <v>459</v>
      </c>
      <c r="E340" s="14" t="s">
        <v>454</v>
      </c>
      <c r="F340" s="14" t="s">
        <v>461</v>
      </c>
      <c r="G340" s="14">
        <v>33092</v>
      </c>
      <c r="H340" s="14">
        <v>26317</v>
      </c>
      <c r="I340" s="14">
        <v>52.1</v>
      </c>
      <c r="J340" s="14">
        <v>41.9</v>
      </c>
      <c r="K340" s="14">
        <v>169.8</v>
      </c>
      <c r="L340" s="14">
        <v>136.6</v>
      </c>
      <c r="M340" s="125">
        <v>600</v>
      </c>
      <c r="X340" s="1"/>
      <c r="Y340" s="1"/>
    </row>
    <row r="341" spans="2:25">
      <c r="B341" s="14" t="str">
        <f t="shared" si="42"/>
        <v>ElectricNatural GasHighMulti Tank Conveyor</v>
      </c>
      <c r="C341" s="14" t="s">
        <v>280</v>
      </c>
      <c r="D341" s="14" t="s">
        <v>459</v>
      </c>
      <c r="E341" s="14" t="s">
        <v>454</v>
      </c>
      <c r="F341" s="14" t="s">
        <v>462</v>
      </c>
      <c r="G341" s="14">
        <v>51619</v>
      </c>
      <c r="H341" s="14">
        <v>33456</v>
      </c>
      <c r="I341" s="14">
        <v>87.2</v>
      </c>
      <c r="J341" s="14">
        <v>48.5</v>
      </c>
      <c r="K341" s="14">
        <v>284</v>
      </c>
      <c r="L341" s="14">
        <v>158.1</v>
      </c>
      <c r="M341" s="125">
        <v>1000</v>
      </c>
      <c r="X341" s="1"/>
      <c r="Y341" s="1"/>
    </row>
    <row r="342" spans="2:25">
      <c r="B342" s="14" t="str">
        <f t="shared" si="42"/>
        <v>ElectricNatural GasHighPot, Pan, and Utensil</v>
      </c>
      <c r="C342" s="14" t="s">
        <v>280</v>
      </c>
      <c r="D342" s="14" t="s">
        <v>459</v>
      </c>
      <c r="E342" s="14" t="s">
        <v>454</v>
      </c>
      <c r="F342" s="14" t="s">
        <v>463</v>
      </c>
      <c r="G342" s="14">
        <v>14042</v>
      </c>
      <c r="H342" s="14">
        <v>11935</v>
      </c>
      <c r="I342" s="14">
        <v>29.4</v>
      </c>
      <c r="J342" s="14">
        <v>24.3</v>
      </c>
      <c r="K342" s="14">
        <v>95.6</v>
      </c>
      <c r="L342" s="14">
        <v>79.2</v>
      </c>
      <c r="M342" s="125">
        <v>500</v>
      </c>
      <c r="X342" s="1"/>
      <c r="Y342" s="1"/>
    </row>
    <row r="343" spans="2:25">
      <c r="B343" s="14" t="str">
        <f t="shared" si="42"/>
        <v>Natural GasNatural GasLowUnder Counter</v>
      </c>
      <c r="C343" s="14" t="s">
        <v>459</v>
      </c>
      <c r="D343" s="14" t="s">
        <v>459</v>
      </c>
      <c r="E343" s="14" t="s">
        <v>455</v>
      </c>
      <c r="F343" s="14" t="s">
        <v>458</v>
      </c>
      <c r="G343" s="14">
        <v>2829</v>
      </c>
      <c r="H343" s="14">
        <v>2829</v>
      </c>
      <c r="I343" s="14">
        <v>34</v>
      </c>
      <c r="J343" s="14">
        <v>23.4</v>
      </c>
      <c r="K343" s="14">
        <v>63.3</v>
      </c>
      <c r="L343" s="14">
        <v>43.5</v>
      </c>
      <c r="M343" s="125">
        <v>0</v>
      </c>
      <c r="X343" s="1"/>
      <c r="Y343" s="1"/>
    </row>
    <row r="344" spans="2:25">
      <c r="B344" s="14" t="str">
        <f t="shared" si="42"/>
        <v>Natural GasNatural GasLowStationary Single Tank Door</v>
      </c>
      <c r="C344" s="14" t="s">
        <v>459</v>
      </c>
      <c r="D344" s="14" t="s">
        <v>459</v>
      </c>
      <c r="E344" s="14" t="s">
        <v>455</v>
      </c>
      <c r="F344" s="14" t="s">
        <v>460</v>
      </c>
      <c r="G344" s="14">
        <v>2409</v>
      </c>
      <c r="H344" s="14">
        <v>2409</v>
      </c>
      <c r="I344" s="14">
        <v>154.19999999999999</v>
      </c>
      <c r="J344" s="14">
        <v>86.6</v>
      </c>
      <c r="K344" s="14">
        <v>286.89999999999998</v>
      </c>
      <c r="L344" s="14">
        <v>161.19999999999999</v>
      </c>
      <c r="M344" s="125">
        <v>0</v>
      </c>
      <c r="X344" s="1"/>
      <c r="Y344" s="1"/>
    </row>
    <row r="345" spans="2:25">
      <c r="B345" s="14" t="str">
        <f t="shared" si="42"/>
        <v>Natural GasNatural GasLowSingle Tank Conveyor</v>
      </c>
      <c r="C345" s="14" t="s">
        <v>459</v>
      </c>
      <c r="D345" s="14" t="s">
        <v>459</v>
      </c>
      <c r="E345" s="14" t="s">
        <v>455</v>
      </c>
      <c r="F345" s="14" t="s">
        <v>461</v>
      </c>
      <c r="G345" s="14">
        <v>9344</v>
      </c>
      <c r="H345" s="14">
        <v>8760</v>
      </c>
      <c r="I345" s="14">
        <v>137.4</v>
      </c>
      <c r="J345" s="14">
        <v>82.8</v>
      </c>
      <c r="K345" s="14">
        <v>255.7</v>
      </c>
      <c r="L345" s="14">
        <v>154.19999999999999</v>
      </c>
      <c r="M345" s="125">
        <v>300</v>
      </c>
      <c r="X345" s="1"/>
      <c r="Y345" s="1"/>
    </row>
    <row r="346" spans="2:25">
      <c r="B346" s="14" t="str">
        <f t="shared" si="42"/>
        <v>Natural GasNatural GasLowMulti Tank Conveyor</v>
      </c>
      <c r="C346" s="14" t="s">
        <v>459</v>
      </c>
      <c r="D346" s="14" t="s">
        <v>459</v>
      </c>
      <c r="E346" s="14" t="s">
        <v>455</v>
      </c>
      <c r="F346" s="14" t="s">
        <v>462</v>
      </c>
      <c r="G346" s="14">
        <v>10950</v>
      </c>
      <c r="H346" s="14">
        <v>10950</v>
      </c>
      <c r="I346" s="14">
        <v>163.6</v>
      </c>
      <c r="J346" s="14">
        <v>84.9</v>
      </c>
      <c r="K346" s="14">
        <v>304.5</v>
      </c>
      <c r="L346" s="14">
        <v>158.1</v>
      </c>
      <c r="M346" s="125">
        <v>0</v>
      </c>
      <c r="X346" s="1"/>
      <c r="Y346" s="1"/>
    </row>
    <row r="347" spans="2:25">
      <c r="B347" s="14" t="str">
        <f t="shared" si="42"/>
        <v>Natural GasNatural GasHighUnder Counter</v>
      </c>
      <c r="C347" s="14" t="s">
        <v>459</v>
      </c>
      <c r="D347" s="14" t="s">
        <v>459</v>
      </c>
      <c r="E347" s="14" t="s">
        <v>454</v>
      </c>
      <c r="F347" s="14" t="s">
        <v>458</v>
      </c>
      <c r="G347" s="14">
        <v>4300</v>
      </c>
      <c r="H347" s="14">
        <v>2829</v>
      </c>
      <c r="I347" s="14">
        <v>33.700000000000003</v>
      </c>
      <c r="J347" s="14">
        <v>26.6</v>
      </c>
      <c r="K347" s="14">
        <v>39.9</v>
      </c>
      <c r="L347" s="14">
        <v>31.5</v>
      </c>
      <c r="M347" s="125">
        <v>250</v>
      </c>
      <c r="X347" s="1"/>
      <c r="Y347" s="1"/>
    </row>
    <row r="348" spans="2:25">
      <c r="B348" s="14" t="str">
        <f t="shared" si="42"/>
        <v>Natural GasNatural GasHighStationary Single Tank Door</v>
      </c>
      <c r="C348" s="14" t="s">
        <v>459</v>
      </c>
      <c r="D348" s="14" t="s">
        <v>459</v>
      </c>
      <c r="E348" s="14" t="s">
        <v>454</v>
      </c>
      <c r="F348" s="14" t="s">
        <v>460</v>
      </c>
      <c r="G348" s="14">
        <v>4234</v>
      </c>
      <c r="H348" s="14">
        <v>3407</v>
      </c>
      <c r="I348" s="14">
        <v>148.80000000000001</v>
      </c>
      <c r="J348" s="14">
        <v>102.7</v>
      </c>
      <c r="K348" s="14">
        <v>176.2</v>
      </c>
      <c r="L348" s="14">
        <v>121.6</v>
      </c>
      <c r="M348" s="125">
        <v>450</v>
      </c>
      <c r="X348" s="1"/>
      <c r="Y348" s="1"/>
    </row>
    <row r="349" spans="2:25">
      <c r="B349" s="14" t="str">
        <f t="shared" si="42"/>
        <v>Natural GasNatural GasHighSingle Tank Conveyor</v>
      </c>
      <c r="C349" s="14" t="s">
        <v>459</v>
      </c>
      <c r="D349" s="14" t="s">
        <v>459</v>
      </c>
      <c r="E349" s="14" t="s">
        <v>454</v>
      </c>
      <c r="F349" s="14" t="s">
        <v>461</v>
      </c>
      <c r="G349" s="14">
        <v>11271</v>
      </c>
      <c r="H349" s="14">
        <v>8760</v>
      </c>
      <c r="I349" s="14">
        <v>143.4</v>
      </c>
      <c r="J349" s="14">
        <v>115.4</v>
      </c>
      <c r="K349" s="14">
        <v>169.8</v>
      </c>
      <c r="L349" s="14">
        <v>136.6</v>
      </c>
      <c r="M349" s="125">
        <v>600</v>
      </c>
      <c r="X349" s="1"/>
      <c r="Y349" s="1"/>
    </row>
    <row r="350" spans="2:25">
      <c r="B350" s="14" t="str">
        <f t="shared" si="42"/>
        <v>Natural GasNatural GasHighMulti Tank Conveyor</v>
      </c>
      <c r="C350" s="14" t="s">
        <v>459</v>
      </c>
      <c r="D350" s="14" t="s">
        <v>459</v>
      </c>
      <c r="E350" s="14" t="s">
        <v>454</v>
      </c>
      <c r="F350" s="14" t="s">
        <v>462</v>
      </c>
      <c r="G350" s="14">
        <v>15126</v>
      </c>
      <c r="H350" s="14">
        <v>13140</v>
      </c>
      <c r="I350" s="14">
        <v>239.8</v>
      </c>
      <c r="J350" s="14">
        <v>133.5</v>
      </c>
      <c r="K350" s="14">
        <v>284</v>
      </c>
      <c r="L350" s="14">
        <v>158.1</v>
      </c>
      <c r="M350" s="125">
        <v>1000</v>
      </c>
      <c r="X350" s="1"/>
      <c r="Y350" s="1"/>
    </row>
    <row r="351" spans="2:25">
      <c r="B351" s="14" t="str">
        <f t="shared" si="42"/>
        <v>Natural GasNatural GasHighPot, Pan, and Utensil</v>
      </c>
      <c r="C351" s="14" t="s">
        <v>459</v>
      </c>
      <c r="D351" s="14" t="s">
        <v>459</v>
      </c>
      <c r="E351" s="14" t="s">
        <v>454</v>
      </c>
      <c r="F351" s="14" t="s">
        <v>463</v>
      </c>
      <c r="G351" s="14">
        <v>1752</v>
      </c>
      <c r="H351" s="14">
        <v>1752</v>
      </c>
      <c r="I351" s="14">
        <v>80.7</v>
      </c>
      <c r="J351" s="14">
        <v>66.900000000000006</v>
      </c>
      <c r="K351" s="14">
        <v>95.6</v>
      </c>
      <c r="L351" s="14">
        <v>79.2</v>
      </c>
      <c r="M351" s="125">
        <v>0</v>
      </c>
      <c r="X351" s="1"/>
      <c r="Y351" s="1"/>
    </row>
    <row r="352" spans="2:25">
      <c r="B352" s="14" t="str">
        <f t="shared" si="42"/>
        <v>Natural GasElectricLowUnder Counter</v>
      </c>
      <c r="C352" s="14" t="s">
        <v>459</v>
      </c>
      <c r="D352" s="14" t="s">
        <v>280</v>
      </c>
      <c r="E352" s="14" t="s">
        <v>455</v>
      </c>
      <c r="F352" s="14" t="s">
        <v>458</v>
      </c>
      <c r="G352" s="14">
        <v>2829</v>
      </c>
      <c r="H352" s="14">
        <v>2829</v>
      </c>
      <c r="I352" s="14">
        <v>34</v>
      </c>
      <c r="J352" s="14">
        <v>23.4</v>
      </c>
      <c r="K352" s="14">
        <v>63.3</v>
      </c>
      <c r="L352" s="14">
        <v>43.5</v>
      </c>
      <c r="M352" s="125">
        <v>0</v>
      </c>
      <c r="X352" s="1"/>
      <c r="Y352" s="1"/>
    </row>
    <row r="353" spans="2:25">
      <c r="B353" s="14" t="str">
        <f t="shared" si="42"/>
        <v>Natural GasElectricLowStationary Single Tank Door</v>
      </c>
      <c r="C353" s="14" t="s">
        <v>459</v>
      </c>
      <c r="D353" s="14" t="s">
        <v>280</v>
      </c>
      <c r="E353" s="14" t="s">
        <v>455</v>
      </c>
      <c r="F353" s="14" t="s">
        <v>460</v>
      </c>
      <c r="G353" s="14">
        <v>2409</v>
      </c>
      <c r="H353" s="14">
        <v>2409</v>
      </c>
      <c r="I353" s="14">
        <v>154.19999999999999</v>
      </c>
      <c r="J353" s="14">
        <v>86.6</v>
      </c>
      <c r="K353" s="14">
        <v>286.89999999999998</v>
      </c>
      <c r="L353" s="14">
        <v>161.19999999999999</v>
      </c>
      <c r="M353" s="125">
        <v>0</v>
      </c>
      <c r="X353" s="1"/>
      <c r="Y353" s="1"/>
    </row>
    <row r="354" spans="2:25">
      <c r="B354" s="14" t="str">
        <f t="shared" si="42"/>
        <v>Natural GasElectricLowSingle Tank Conveyor</v>
      </c>
      <c r="C354" s="14" t="s">
        <v>459</v>
      </c>
      <c r="D354" s="14" t="s">
        <v>280</v>
      </c>
      <c r="E354" s="14" t="s">
        <v>455</v>
      </c>
      <c r="F354" s="14" t="s">
        <v>461</v>
      </c>
      <c r="G354" s="14">
        <v>9344</v>
      </c>
      <c r="H354" s="14">
        <v>8760</v>
      </c>
      <c r="I354" s="14">
        <v>137.4</v>
      </c>
      <c r="J354" s="14">
        <v>82.8</v>
      </c>
      <c r="K354" s="14">
        <v>255.7</v>
      </c>
      <c r="L354" s="14">
        <v>154.19999999999999</v>
      </c>
      <c r="M354" s="125">
        <v>300</v>
      </c>
      <c r="X354" s="1"/>
      <c r="Y354" s="1"/>
    </row>
    <row r="355" spans="2:25">
      <c r="B355" s="14" t="str">
        <f t="shared" si="42"/>
        <v>Natural GasElectricLowMulti Tank Conveyor</v>
      </c>
      <c r="C355" s="14" t="s">
        <v>459</v>
      </c>
      <c r="D355" s="14" t="s">
        <v>280</v>
      </c>
      <c r="E355" s="14" t="s">
        <v>455</v>
      </c>
      <c r="F355" s="14" t="s">
        <v>462</v>
      </c>
      <c r="G355" s="14">
        <v>10950</v>
      </c>
      <c r="H355" s="14">
        <v>10950</v>
      </c>
      <c r="I355" s="14">
        <v>163.6</v>
      </c>
      <c r="J355" s="14">
        <v>84.9</v>
      </c>
      <c r="K355" s="14">
        <v>304.5</v>
      </c>
      <c r="L355" s="14">
        <v>158.1</v>
      </c>
      <c r="M355" s="125">
        <v>0</v>
      </c>
      <c r="X355" s="1"/>
      <c r="Y355" s="1"/>
    </row>
    <row r="356" spans="2:25">
      <c r="B356" s="14" t="str">
        <f t="shared" si="42"/>
        <v>Natural GasElectricHighUnder Counter</v>
      </c>
      <c r="C356" s="14" t="s">
        <v>459</v>
      </c>
      <c r="D356" s="14" t="s">
        <v>280</v>
      </c>
      <c r="E356" s="14" t="s">
        <v>454</v>
      </c>
      <c r="F356" s="14" t="s">
        <v>458</v>
      </c>
      <c r="G356" s="14">
        <v>7229</v>
      </c>
      <c r="H356" s="14">
        <v>5140</v>
      </c>
      <c r="I356" s="14">
        <v>21.4</v>
      </c>
      <c r="J356" s="14">
        <v>16.899999999999999</v>
      </c>
      <c r="K356" s="14">
        <v>39.9</v>
      </c>
      <c r="L356" s="14">
        <v>31.5</v>
      </c>
      <c r="M356" s="125">
        <v>250</v>
      </c>
      <c r="X356" s="1"/>
      <c r="Y356" s="1"/>
    </row>
    <row r="357" spans="2:25">
      <c r="B357" s="14" t="str">
        <f t="shared" si="42"/>
        <v>Natural GasElectricHighStationary Single Tank Door</v>
      </c>
      <c r="C357" s="14" t="s">
        <v>459</v>
      </c>
      <c r="D357" s="14" t="s">
        <v>280</v>
      </c>
      <c r="E357" s="14" t="s">
        <v>454</v>
      </c>
      <c r="F357" s="14" t="s">
        <v>460</v>
      </c>
      <c r="G357" s="14">
        <v>17176</v>
      </c>
      <c r="H357" s="14">
        <v>12336</v>
      </c>
      <c r="I357" s="14">
        <v>94.7</v>
      </c>
      <c r="J357" s="14">
        <v>65.3</v>
      </c>
      <c r="K357" s="14">
        <v>176.2</v>
      </c>
      <c r="L357" s="14">
        <v>121.6</v>
      </c>
      <c r="M357" s="125">
        <v>450</v>
      </c>
      <c r="X357" s="1"/>
      <c r="Y357" s="1"/>
    </row>
    <row r="358" spans="2:25">
      <c r="B358" s="14" t="str">
        <f t="shared" si="42"/>
        <v>Natural GasElectricHighSingle Tank Conveyor</v>
      </c>
      <c r="C358" s="14" t="s">
        <v>459</v>
      </c>
      <c r="D358" s="14" t="s">
        <v>280</v>
      </c>
      <c r="E358" s="14" t="s">
        <v>454</v>
      </c>
      <c r="F358" s="14" t="s">
        <v>461</v>
      </c>
      <c r="G358" s="14">
        <v>23740</v>
      </c>
      <c r="H358" s="14">
        <v>18793</v>
      </c>
      <c r="I358" s="14">
        <v>91.2</v>
      </c>
      <c r="J358" s="14">
        <v>73.400000000000006</v>
      </c>
      <c r="K358" s="14">
        <v>169.8</v>
      </c>
      <c r="L358" s="14">
        <v>136.6</v>
      </c>
      <c r="M358" s="125">
        <v>600</v>
      </c>
      <c r="X358" s="1"/>
      <c r="Y358" s="1"/>
    </row>
    <row r="359" spans="2:25">
      <c r="B359" s="14" t="str">
        <f t="shared" si="42"/>
        <v>Natural GasElectricHighMulti Tank Conveyor</v>
      </c>
      <c r="C359" s="14" t="s">
        <v>459</v>
      </c>
      <c r="D359" s="14" t="s">
        <v>280</v>
      </c>
      <c r="E359" s="14" t="s">
        <v>454</v>
      </c>
      <c r="F359" s="14" t="s">
        <v>462</v>
      </c>
      <c r="G359" s="14">
        <v>35979</v>
      </c>
      <c r="H359" s="14">
        <v>24749</v>
      </c>
      <c r="I359" s="14">
        <v>152.6</v>
      </c>
      <c r="J359" s="14">
        <v>84.9</v>
      </c>
      <c r="K359" s="14">
        <v>284</v>
      </c>
      <c r="L359" s="14">
        <v>158.1</v>
      </c>
      <c r="M359" s="125">
        <v>1000</v>
      </c>
      <c r="X359" s="1"/>
      <c r="Y359" s="1"/>
    </row>
    <row r="360" spans="2:25">
      <c r="B360" s="14" t="str">
        <f t="shared" si="42"/>
        <v>Natural GasElectricHighPot, Pan, and Utensil</v>
      </c>
      <c r="C360" s="14" t="s">
        <v>459</v>
      </c>
      <c r="D360" s="14" t="s">
        <v>280</v>
      </c>
      <c r="E360" s="14" t="s">
        <v>454</v>
      </c>
      <c r="F360" s="14" t="s">
        <v>463</v>
      </c>
      <c r="G360" s="14">
        <v>8775</v>
      </c>
      <c r="H360" s="14">
        <v>7571</v>
      </c>
      <c r="I360" s="14">
        <v>51.4</v>
      </c>
      <c r="J360" s="14">
        <v>42.6</v>
      </c>
      <c r="K360" s="14">
        <v>95.6</v>
      </c>
      <c r="L360" s="14">
        <v>79.2</v>
      </c>
      <c r="M360" s="125">
        <v>500</v>
      </c>
      <c r="X360" s="1"/>
      <c r="Y360" s="1"/>
    </row>
    <row r="362" spans="2:25" ht="18">
      <c r="B362" s="7" t="s">
        <v>12</v>
      </c>
    </row>
    <row r="363" spans="2:25" ht="30">
      <c r="B363" s="168" t="s">
        <v>465</v>
      </c>
      <c r="C363" s="168" t="s">
        <v>65</v>
      </c>
      <c r="D363" s="168" t="s">
        <v>439</v>
      </c>
      <c r="E363" s="168" t="s">
        <v>440</v>
      </c>
      <c r="F363" s="168" t="s">
        <v>472</v>
      </c>
      <c r="G363" s="168" t="s">
        <v>473</v>
      </c>
      <c r="H363" s="168" t="s">
        <v>235</v>
      </c>
      <c r="I363" s="168" t="s">
        <v>236</v>
      </c>
      <c r="J363" s="168" t="s">
        <v>474</v>
      </c>
      <c r="K363" s="168" t="s">
        <v>475</v>
      </c>
      <c r="L363" s="168" t="s">
        <v>476</v>
      </c>
      <c r="M363" s="168" t="s">
        <v>477</v>
      </c>
      <c r="N363" s="168" t="s">
        <v>88</v>
      </c>
      <c r="X363" s="1"/>
      <c r="Y363" s="1"/>
    </row>
    <row r="364" spans="2:25">
      <c r="B364" s="14" t="str">
        <f>CONCATENATE(Calculator!H126,Calculator!I126,Calculator!J126,Calculator!K126)</f>
        <v/>
      </c>
      <c r="C364" s="14">
        <f>Calculator!G126</f>
        <v>0</v>
      </c>
      <c r="D364" s="127" t="e">
        <f>VLOOKUP(B364,$B$325:$J$360,6,FALSE)</f>
        <v>#N/A</v>
      </c>
      <c r="E364" s="127" t="e">
        <f>VLOOKUP(B364,$B$325:$J$360,7,FALSE)</f>
        <v>#N/A</v>
      </c>
      <c r="F364" s="128" t="e">
        <f>VLOOKUP(B364,$B$325:$J$360,8,FALSE)</f>
        <v>#N/A</v>
      </c>
      <c r="G364" s="128" t="e">
        <f>VLOOKUP(B364,$B$325:$J$360,9,FALSE)</f>
        <v>#N/A</v>
      </c>
      <c r="H364" s="128" t="e">
        <f>K364*ETDF!$G$4</f>
        <v>#N/A</v>
      </c>
      <c r="I364" s="128" t="e">
        <f>K364*ETDF!$H$4</f>
        <v>#N/A</v>
      </c>
      <c r="J364" s="126" t="e">
        <f>H364</f>
        <v>#N/A</v>
      </c>
      <c r="K364" s="127">
        <f>IFERROR(D364-E364,0)</f>
        <v>0</v>
      </c>
      <c r="L364" s="128">
        <f>IFERROR(F364-G364,0)</f>
        <v>0</v>
      </c>
      <c r="M364" s="128">
        <f>IFERROR(L364*10,0)</f>
        <v>0</v>
      </c>
      <c r="N364" s="129" t="str">
        <f>IFERROR(ROUND(VLOOKUP(B364,$B$325:$M$360,12,FALSE)*C364,2),"")</f>
        <v/>
      </c>
      <c r="X364" s="1"/>
      <c r="Y364" s="1"/>
    </row>
    <row r="365" spans="2:25">
      <c r="B365" s="14" t="str">
        <f>CONCATENATE(Calculator!H127,Calculator!I127,Calculator!J127,Calculator!K127)</f>
        <v/>
      </c>
      <c r="C365" s="14">
        <f>Calculator!G127</f>
        <v>0</v>
      </c>
      <c r="D365" s="127" t="e">
        <f t="shared" ref="D365:D368" si="43">VLOOKUP(B365,$B$325:$J$360,6,FALSE)</f>
        <v>#N/A</v>
      </c>
      <c r="E365" s="127" t="e">
        <f t="shared" ref="E365:E368" si="44">VLOOKUP(B365,$B$325:$J$360,7,FALSE)</f>
        <v>#N/A</v>
      </c>
      <c r="F365" s="128" t="e">
        <f>VLOOKUP(B365,$B$325:$J$360,8,FALSE)</f>
        <v>#N/A</v>
      </c>
      <c r="G365" s="128" t="e">
        <f>VLOOKUP(B365,$B$325:$J$360,9,FALSE)</f>
        <v>#N/A</v>
      </c>
      <c r="H365" s="128" t="e">
        <f>K365*ETDF!$G$4</f>
        <v>#N/A</v>
      </c>
      <c r="I365" s="128" t="e">
        <f>K365*ETDF!$H$4</f>
        <v>#N/A</v>
      </c>
      <c r="J365" s="126" t="e">
        <f t="shared" ref="J365:J368" si="45">H365</f>
        <v>#N/A</v>
      </c>
      <c r="K365" s="127">
        <f>IFERROR(D365-E365,0)</f>
        <v>0</v>
      </c>
      <c r="L365" s="128">
        <f>IFERROR(F365-G365,0)</f>
        <v>0</v>
      </c>
      <c r="M365" s="128">
        <f t="shared" ref="M365:M368" si="46">IFERROR(L365*10,0)</f>
        <v>0</v>
      </c>
      <c r="N365" s="129" t="str">
        <f>IFERROR(ROUND(VLOOKUP(B365,$B$325:$M$360,12,FALSE)*C365,2),"")</f>
        <v/>
      </c>
      <c r="X365" s="1"/>
      <c r="Y365" s="1"/>
    </row>
    <row r="366" spans="2:25">
      <c r="B366" s="14" t="str">
        <f>CONCATENATE(Calculator!H128,Calculator!I128,Calculator!J128,Calculator!K128)</f>
        <v/>
      </c>
      <c r="C366" s="14">
        <f>Calculator!G128</f>
        <v>0</v>
      </c>
      <c r="D366" s="127" t="e">
        <f t="shared" si="43"/>
        <v>#N/A</v>
      </c>
      <c r="E366" s="127" t="e">
        <f t="shared" si="44"/>
        <v>#N/A</v>
      </c>
      <c r="F366" s="128" t="e">
        <f>VLOOKUP(B366,$B$325:$J$360,8,FALSE)</f>
        <v>#N/A</v>
      </c>
      <c r="G366" s="128" t="e">
        <f>VLOOKUP(B366,$B$325:$J$360,9,FALSE)</f>
        <v>#N/A</v>
      </c>
      <c r="H366" s="128" t="e">
        <f>K366*ETDF!$G$4</f>
        <v>#N/A</v>
      </c>
      <c r="I366" s="128" t="e">
        <f>K366*ETDF!$H$4</f>
        <v>#N/A</v>
      </c>
      <c r="J366" s="126" t="e">
        <f t="shared" si="45"/>
        <v>#N/A</v>
      </c>
      <c r="K366" s="127">
        <f>IFERROR(D366-E366,0)</f>
        <v>0</v>
      </c>
      <c r="L366" s="128">
        <f>IFERROR(F366-G366,0)</f>
        <v>0</v>
      </c>
      <c r="M366" s="128">
        <f t="shared" si="46"/>
        <v>0</v>
      </c>
      <c r="N366" s="129" t="str">
        <f>IFERROR(ROUND(VLOOKUP(B366,$B$325:$M$360,12,FALSE)*C366,2),"")</f>
        <v/>
      </c>
      <c r="X366" s="1"/>
      <c r="Y366" s="1"/>
    </row>
    <row r="367" spans="2:25">
      <c r="B367" s="14" t="str">
        <f>CONCATENATE(Calculator!H129,Calculator!I129,Calculator!J129,Calculator!K129)</f>
        <v/>
      </c>
      <c r="C367" s="14">
        <f>Calculator!G129</f>
        <v>0</v>
      </c>
      <c r="D367" s="127" t="e">
        <f t="shared" si="43"/>
        <v>#N/A</v>
      </c>
      <c r="E367" s="127" t="e">
        <f t="shared" si="44"/>
        <v>#N/A</v>
      </c>
      <c r="F367" s="128" t="e">
        <f>VLOOKUP(B367,$B$325:$J$360,8,FALSE)</f>
        <v>#N/A</v>
      </c>
      <c r="G367" s="128" t="e">
        <f>VLOOKUP(B367,$B$325:$J$360,9,FALSE)</f>
        <v>#N/A</v>
      </c>
      <c r="H367" s="128" t="e">
        <f>K367*ETDF!$G$4</f>
        <v>#N/A</v>
      </c>
      <c r="I367" s="128" t="e">
        <f>K367*ETDF!$H$4</f>
        <v>#N/A</v>
      </c>
      <c r="J367" s="126" t="e">
        <f t="shared" si="45"/>
        <v>#N/A</v>
      </c>
      <c r="K367" s="127">
        <f>IFERROR(D367-E367,0)</f>
        <v>0</v>
      </c>
      <c r="L367" s="128">
        <f>IFERROR(F367-G367,0)</f>
        <v>0</v>
      </c>
      <c r="M367" s="128">
        <f t="shared" si="46"/>
        <v>0</v>
      </c>
      <c r="N367" s="129" t="str">
        <f>IFERROR(ROUND(VLOOKUP(B367,$B$325:$M$360,12,FALSE)*C367,2),"")</f>
        <v/>
      </c>
      <c r="X367" s="1"/>
      <c r="Y367" s="1"/>
    </row>
    <row r="368" spans="2:25">
      <c r="B368" s="14" t="str">
        <f>CONCATENATE(Calculator!H130,Calculator!I130,Calculator!J130,Calculator!K130)</f>
        <v/>
      </c>
      <c r="C368" s="14">
        <f>Calculator!G130</f>
        <v>0</v>
      </c>
      <c r="D368" s="127" t="e">
        <f t="shared" si="43"/>
        <v>#N/A</v>
      </c>
      <c r="E368" s="127" t="e">
        <f t="shared" si="44"/>
        <v>#N/A</v>
      </c>
      <c r="F368" s="128" t="e">
        <f>VLOOKUP(B368,$B$325:$J$360,8,FALSE)</f>
        <v>#N/A</v>
      </c>
      <c r="G368" s="128" t="e">
        <f>VLOOKUP(B368,$B$325:$J$360,9,FALSE)</f>
        <v>#N/A</v>
      </c>
      <c r="H368" s="128" t="e">
        <f>K368*ETDF!$G$4</f>
        <v>#N/A</v>
      </c>
      <c r="I368" s="128" t="e">
        <f>K368*ETDF!$H$4</f>
        <v>#N/A</v>
      </c>
      <c r="J368" s="126" t="e">
        <f t="shared" si="45"/>
        <v>#N/A</v>
      </c>
      <c r="K368" s="127">
        <f>IFERROR(D368-E368,0)</f>
        <v>0</v>
      </c>
      <c r="L368" s="128">
        <f>IFERROR(F368-G368,0)</f>
        <v>0</v>
      </c>
      <c r="M368" s="128">
        <f t="shared" si="46"/>
        <v>0</v>
      </c>
      <c r="N368" s="129" t="str">
        <f>IFERROR(ROUND(VLOOKUP(B368,$B$325:$M$360,12,FALSE)*C368,2),"")</f>
        <v/>
      </c>
      <c r="X368" s="1"/>
      <c r="Y368" s="1"/>
    </row>
    <row r="369" spans="2:12">
      <c r="B369" s="385" t="s">
        <v>123</v>
      </c>
      <c r="C369" s="385"/>
      <c r="D369" s="385"/>
      <c r="E369" s="385"/>
      <c r="F369" s="385"/>
      <c r="G369" s="385"/>
      <c r="H369" s="385"/>
      <c r="I369" s="385"/>
      <c r="J369" s="385"/>
      <c r="K369" s="385"/>
      <c r="L369" s="130">
        <f>SUM(N364:N368)</f>
        <v>0</v>
      </c>
    </row>
  </sheetData>
  <sheetProtection algorithmName="SHA-512" hashValue="OyJvNtKz9tD9Mqp7ACkqCCrsHxGVD8BZOhM8xXbg/77KiLDOlVdWNQ4kDzvDY6gZ6xPof+R8KiwBtLZGjTobbA==" saltValue="i1HT8iyfOdeclP5wibuU9g==" spinCount="100000" sheet="1" objects="1" scenarios="1"/>
  <mergeCells count="80">
    <mergeCell ref="R286:R287"/>
    <mergeCell ref="K250:L250"/>
    <mergeCell ref="M250:N250"/>
    <mergeCell ref="B314:J314"/>
    <mergeCell ref="B369:K369"/>
    <mergeCell ref="P286:Q287"/>
    <mergeCell ref="C202:C203"/>
    <mergeCell ref="B202:B203"/>
    <mergeCell ref="B209:J209"/>
    <mergeCell ref="B297:J297"/>
    <mergeCell ref="B225:J225"/>
    <mergeCell ref="B244:J244"/>
    <mergeCell ref="G202:G203"/>
    <mergeCell ref="D202:D203"/>
    <mergeCell ref="E202:E203"/>
    <mergeCell ref="F202:F203"/>
    <mergeCell ref="B178:J178"/>
    <mergeCell ref="B154:J154"/>
    <mergeCell ref="D170:D172"/>
    <mergeCell ref="F170:F172"/>
    <mergeCell ref="C170:C172"/>
    <mergeCell ref="E170:E172"/>
    <mergeCell ref="G170:G172"/>
    <mergeCell ref="H170:O170"/>
    <mergeCell ref="B170:B172"/>
    <mergeCell ref="L171:O171"/>
    <mergeCell ref="B2:J2"/>
    <mergeCell ref="B22:J22"/>
    <mergeCell ref="B33:J33"/>
    <mergeCell ref="B63:J63"/>
    <mergeCell ref="B75:B76"/>
    <mergeCell ref="D75:D76"/>
    <mergeCell ref="C75:C76"/>
    <mergeCell ref="E75:G75"/>
    <mergeCell ref="H75:J75"/>
    <mergeCell ref="R75:R76"/>
    <mergeCell ref="Q75:Q76"/>
    <mergeCell ref="S92:S93"/>
    <mergeCell ref="B80:J80"/>
    <mergeCell ref="E92:E93"/>
    <mergeCell ref="B92:B93"/>
    <mergeCell ref="C92:C93"/>
    <mergeCell ref="O75:O76"/>
    <mergeCell ref="P75:P76"/>
    <mergeCell ref="S75:S76"/>
    <mergeCell ref="K75:K76"/>
    <mergeCell ref="L75:L76"/>
    <mergeCell ref="M75:M76"/>
    <mergeCell ref="N75:N76"/>
    <mergeCell ref="N92:N93"/>
    <mergeCell ref="P92:P93"/>
    <mergeCell ref="Q92:Q93"/>
    <mergeCell ref="T92:T93"/>
    <mergeCell ref="O92:O93"/>
    <mergeCell ref="R92:R93"/>
    <mergeCell ref="D92:D93"/>
    <mergeCell ref="B97:J97"/>
    <mergeCell ref="B130:B131"/>
    <mergeCell ref="B137:J137"/>
    <mergeCell ref="B149:B150"/>
    <mergeCell ref="C149:C150"/>
    <mergeCell ref="C130:J130"/>
    <mergeCell ref="D149:D150"/>
    <mergeCell ref="E149:E150"/>
    <mergeCell ref="F149:F150"/>
    <mergeCell ref="Z130:Z131"/>
    <mergeCell ref="Z170:Z172"/>
    <mergeCell ref="AA170:AA172"/>
    <mergeCell ref="P170:W170"/>
    <mergeCell ref="T171:W171"/>
    <mergeCell ref="P171:S171"/>
    <mergeCell ref="S149:S150"/>
    <mergeCell ref="Y130:Y131"/>
    <mergeCell ref="K130:T130"/>
    <mergeCell ref="H171:K171"/>
    <mergeCell ref="AD170:AD172"/>
    <mergeCell ref="AC170:AC172"/>
    <mergeCell ref="AB170:AB172"/>
    <mergeCell ref="X170:X172"/>
    <mergeCell ref="Y170:Y17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94724-3D8D-40CB-8A3F-A9D451AE7031}">
  <sheetPr codeName="Sheet7"/>
  <dimension ref="B4:AU38"/>
  <sheetViews>
    <sheetView workbookViewId="0">
      <selection activeCell="AO19" sqref="AO19"/>
    </sheetView>
  </sheetViews>
  <sheetFormatPr defaultColWidth="9" defaultRowHeight="14.25"/>
  <cols>
    <col min="1" max="1" width="9" style="72"/>
    <col min="2" max="2" width="40.375" style="72" bestFit="1" customWidth="1"/>
    <col min="3" max="3" width="12.375" style="72" bestFit="1" customWidth="1"/>
    <col min="4" max="4" width="9" style="72"/>
    <col min="5" max="5" width="13" style="72" bestFit="1" customWidth="1"/>
    <col min="6" max="6" width="13.625" style="72" customWidth="1"/>
    <col min="7" max="7" width="5.75" style="72" customWidth="1"/>
    <col min="8" max="8" width="14.25" style="72" bestFit="1" customWidth="1"/>
    <col min="9" max="9" width="13.875" style="72" bestFit="1" customWidth="1"/>
    <col min="10" max="10" width="19.25" style="72" bestFit="1" customWidth="1"/>
    <col min="11" max="25" width="19.25" style="72" customWidth="1"/>
    <col min="26" max="26" width="9" style="72" bestFit="1" customWidth="1"/>
    <col min="27" max="28" width="10.75" style="72" customWidth="1"/>
    <col min="29" max="29" width="13.625" style="72" customWidth="1"/>
    <col min="30" max="30" width="38.5" style="72" bestFit="1" customWidth="1"/>
    <col min="31" max="31" width="18.25" style="72" customWidth="1"/>
    <col min="32" max="36" width="9" style="72"/>
    <col min="37" max="37" width="16.875" style="72" customWidth="1"/>
    <col min="38" max="38" width="10.625" style="72" customWidth="1"/>
    <col min="39" max="39" width="11.5" style="72" bestFit="1" customWidth="1"/>
    <col min="40" max="40" width="11.5" style="72" customWidth="1"/>
    <col min="41" max="16384" width="9" style="72"/>
  </cols>
  <sheetData>
    <row r="4" spans="2:47">
      <c r="B4" s="54" t="s">
        <v>116</v>
      </c>
      <c r="C4" s="54" t="s">
        <v>442</v>
      </c>
      <c r="D4" s="54" t="s">
        <v>125</v>
      </c>
      <c r="E4" s="54"/>
    </row>
    <row r="5" spans="2:47" ht="15" thickBot="1">
      <c r="B5" s="54"/>
      <c r="C5" s="54"/>
      <c r="D5" s="54"/>
      <c r="E5" s="54" t="s">
        <v>88</v>
      </c>
      <c r="AD5" s="54" t="s">
        <v>478</v>
      </c>
      <c r="AE5" s="54"/>
      <c r="AF5" s="54"/>
      <c r="AG5" s="54"/>
      <c r="AH5" s="54"/>
      <c r="AI5" s="54"/>
      <c r="AJ5" s="54"/>
      <c r="AK5" s="54"/>
      <c r="AL5" s="54"/>
      <c r="AN5" s="54" t="s">
        <v>479</v>
      </c>
    </row>
    <row r="6" spans="2:47" s="54" customFormat="1" ht="15">
      <c r="B6" s="109" t="s">
        <v>98</v>
      </c>
      <c r="C6" s="81"/>
      <c r="D6" s="81"/>
      <c r="E6" s="82"/>
      <c r="AE6" s="54" t="s">
        <v>231</v>
      </c>
      <c r="AI6" s="54" t="s">
        <v>480</v>
      </c>
      <c r="AJ6" s="54" t="s">
        <v>481</v>
      </c>
      <c r="AK6" s="54" t="s">
        <v>482</v>
      </c>
      <c r="AL6" s="54" t="s">
        <v>483</v>
      </c>
      <c r="AN6" s="54" t="s">
        <v>231</v>
      </c>
      <c r="AR6" s="54" t="s">
        <v>480</v>
      </c>
      <c r="AS6" s="54" t="s">
        <v>481</v>
      </c>
    </row>
    <row r="7" spans="2:47">
      <c r="B7" s="73"/>
      <c r="C7" s="84" t="e">
        <f>X14</f>
        <v>#N/A</v>
      </c>
      <c r="D7" s="54">
        <f>Calculator!G54</f>
        <v>0</v>
      </c>
      <c r="E7" s="75" t="str">
        <f>IFERROR(ROUND(C7*D7,2),"")</f>
        <v/>
      </c>
      <c r="AD7" s="54" t="s">
        <v>484</v>
      </c>
      <c r="AE7" s="54" t="str">
        <f>CONCATENATE(AF7,AG7,AH7)</f>
        <v>Cube/NuggetIce Making HeadH &lt; 450</v>
      </c>
      <c r="AF7" s="54" t="s">
        <v>301</v>
      </c>
      <c r="AG7" s="54" t="s">
        <v>300</v>
      </c>
      <c r="AH7" s="54" t="s">
        <v>485</v>
      </c>
      <c r="AI7" s="54">
        <v>0</v>
      </c>
      <c r="AJ7" s="54">
        <v>450</v>
      </c>
      <c r="AK7" s="54">
        <v>9.23</v>
      </c>
      <c r="AL7" s="54">
        <v>-7.7000000000000002E-3</v>
      </c>
      <c r="AN7" s="54" t="str">
        <f>CONCATENATE(AO7,AP7,AQ7)</f>
        <v>CEE Tier ICube/NuggetH &lt; 450</v>
      </c>
      <c r="AO7" s="54" t="s">
        <v>484</v>
      </c>
      <c r="AP7" s="54" t="s">
        <v>301</v>
      </c>
      <c r="AQ7" s="54" t="s">
        <v>485</v>
      </c>
      <c r="AR7" s="54">
        <v>0</v>
      </c>
      <c r="AS7" s="54">
        <v>450</v>
      </c>
      <c r="AT7" s="54">
        <v>50</v>
      </c>
      <c r="AU7" s="54" t="s">
        <v>416</v>
      </c>
    </row>
    <row r="8" spans="2:47">
      <c r="B8" s="73"/>
      <c r="C8" s="84" t="e">
        <f t="shared" ref="C8:C10" si="0">X15</f>
        <v>#N/A</v>
      </c>
      <c r="D8" s="54">
        <f>Calculator!G55</f>
        <v>0</v>
      </c>
      <c r="E8" s="75" t="str">
        <f t="shared" ref="E8:E10" si="1">IFERROR(ROUND(C8*D8,2),"")</f>
        <v/>
      </c>
      <c r="AD8" s="54" t="s">
        <v>484</v>
      </c>
      <c r="AE8" s="54" t="str">
        <f t="shared" ref="AE8:AE12" si="2">CONCATENATE(AF8,AG8,AH8)</f>
        <v>Cube/NuggetIce Making Head450 ≤ H</v>
      </c>
      <c r="AF8" s="54" t="s">
        <v>301</v>
      </c>
      <c r="AG8" s="54" t="s">
        <v>300</v>
      </c>
      <c r="AH8" s="54" t="s">
        <v>486</v>
      </c>
      <c r="AI8" s="54">
        <v>449.99</v>
      </c>
      <c r="AJ8" s="54"/>
      <c r="AK8" s="54">
        <v>6.2</v>
      </c>
      <c r="AL8" s="54">
        <v>-1E-3</v>
      </c>
      <c r="AN8" s="54" t="str">
        <f t="shared" ref="AN8:AN12" si="3">CONCATENATE(AO8,AP8,AQ8)</f>
        <v>CEE Tier ICube/Nugget450 ≤ H &lt; 1,000</v>
      </c>
      <c r="AO8" s="54" t="s">
        <v>484</v>
      </c>
      <c r="AP8" s="54" t="s">
        <v>301</v>
      </c>
      <c r="AQ8" s="54" t="s">
        <v>487</v>
      </c>
      <c r="AR8" s="54">
        <v>449.99</v>
      </c>
      <c r="AS8" s="54">
        <v>1000</v>
      </c>
      <c r="AT8" s="54">
        <v>100</v>
      </c>
      <c r="AU8" s="54" t="s">
        <v>416</v>
      </c>
    </row>
    <row r="9" spans="2:47">
      <c r="B9" s="73"/>
      <c r="C9" s="84" t="e">
        <f t="shared" si="0"/>
        <v>#N/A</v>
      </c>
      <c r="D9" s="54">
        <f>Calculator!G56</f>
        <v>0</v>
      </c>
      <c r="E9" s="75" t="str">
        <f t="shared" si="1"/>
        <v/>
      </c>
      <c r="AD9" s="54" t="s">
        <v>484</v>
      </c>
      <c r="AE9" s="54" t="str">
        <f t="shared" si="2"/>
        <v>Cube/NuggetRemote Condensing w/out Remote CompressorH &lt; 1,000</v>
      </c>
      <c r="AF9" s="54" t="s">
        <v>301</v>
      </c>
      <c r="AG9" s="32" t="s">
        <v>304</v>
      </c>
      <c r="AH9" s="54" t="s">
        <v>488</v>
      </c>
      <c r="AI9" s="54">
        <v>0</v>
      </c>
      <c r="AJ9" s="54">
        <v>1000</v>
      </c>
      <c r="AK9" s="54">
        <v>8.0500000000000007</v>
      </c>
      <c r="AL9" s="54">
        <v>-3.5000000000000001E-3</v>
      </c>
      <c r="AN9" s="54" t="str">
        <f t="shared" si="3"/>
        <v>CEE Tier ICube/Nugget1,000 ≤ H</v>
      </c>
      <c r="AO9" s="54" t="s">
        <v>484</v>
      </c>
      <c r="AP9" s="54" t="s">
        <v>301</v>
      </c>
      <c r="AQ9" s="54" t="s">
        <v>489</v>
      </c>
      <c r="AR9" s="54">
        <v>999.99</v>
      </c>
      <c r="AS9" s="54"/>
      <c r="AT9" s="54">
        <v>150</v>
      </c>
      <c r="AU9" s="54" t="s">
        <v>416</v>
      </c>
    </row>
    <row r="10" spans="2:47" ht="15" thickBot="1">
      <c r="B10" s="74"/>
      <c r="C10" s="86" t="e">
        <f t="shared" si="0"/>
        <v>#N/A</v>
      </c>
      <c r="D10" s="87">
        <f>Calculator!G57</f>
        <v>0</v>
      </c>
      <c r="E10" s="75" t="str">
        <f t="shared" si="1"/>
        <v/>
      </c>
      <c r="AD10" s="54" t="s">
        <v>484</v>
      </c>
      <c r="AE10" s="54" t="str">
        <f t="shared" si="2"/>
        <v>Cube/NuggetRemote Condensing w/out Remote Compressor1,000 ≤ H</v>
      </c>
      <c r="AF10" s="54" t="s">
        <v>301</v>
      </c>
      <c r="AG10" s="32" t="s">
        <v>304</v>
      </c>
      <c r="AH10" s="54" t="s">
        <v>489</v>
      </c>
      <c r="AI10" s="54">
        <v>999.99</v>
      </c>
      <c r="AJ10" s="54"/>
      <c r="AK10" s="54">
        <v>4.6399999999999997</v>
      </c>
      <c r="AL10" s="54">
        <v>0</v>
      </c>
      <c r="AN10" s="54" t="str">
        <f t="shared" si="3"/>
        <v>CEE Tier IICube/NuggetH &lt; 450</v>
      </c>
      <c r="AO10" s="54" t="s">
        <v>490</v>
      </c>
      <c r="AP10" s="54" t="s">
        <v>301</v>
      </c>
      <c r="AQ10" s="54" t="s">
        <v>485</v>
      </c>
      <c r="AR10" s="54">
        <v>0</v>
      </c>
      <c r="AS10" s="54">
        <v>450</v>
      </c>
      <c r="AT10" s="54">
        <v>75</v>
      </c>
      <c r="AU10" s="54" t="s">
        <v>416</v>
      </c>
    </row>
    <row r="11" spans="2:47">
      <c r="B11"/>
      <c r="C11"/>
      <c r="D11"/>
      <c r="E11" s="91"/>
      <c r="AD11" s="54" t="s">
        <v>484</v>
      </c>
      <c r="AE11" s="54" t="str">
        <f t="shared" si="2"/>
        <v>Cube/NuggetRemote Condensing with Remote CompressorH &lt; 934</v>
      </c>
      <c r="AF11" s="54" t="s">
        <v>301</v>
      </c>
      <c r="AG11" s="32" t="s">
        <v>306</v>
      </c>
      <c r="AH11" s="54" t="s">
        <v>491</v>
      </c>
      <c r="AI11" s="54">
        <v>0</v>
      </c>
      <c r="AJ11" s="54">
        <v>934</v>
      </c>
      <c r="AK11" s="54">
        <v>8.0500000000000007</v>
      </c>
      <c r="AL11" s="54">
        <v>-3.5000000000000001E-3</v>
      </c>
      <c r="AN11" s="54" t="str">
        <f t="shared" si="3"/>
        <v>CEE Tier IICube/Nugget450 ≤ H &lt; 1,000</v>
      </c>
      <c r="AO11" s="54" t="s">
        <v>490</v>
      </c>
      <c r="AP11" s="54" t="s">
        <v>301</v>
      </c>
      <c r="AQ11" s="54" t="s">
        <v>487</v>
      </c>
      <c r="AR11" s="54">
        <v>449.99</v>
      </c>
      <c r="AS11" s="54">
        <v>1000</v>
      </c>
      <c r="AT11" s="54">
        <v>125</v>
      </c>
      <c r="AU11" s="54" t="s">
        <v>416</v>
      </c>
    </row>
    <row r="12" spans="2:47" ht="15" thickBot="1">
      <c r="B12" s="54"/>
      <c r="C12" s="54"/>
      <c r="D12" s="92"/>
      <c r="E12" s="75"/>
      <c r="G12" s="54"/>
      <c r="H12" s="110"/>
      <c r="I12" s="110"/>
      <c r="J12" s="110"/>
      <c r="K12" s="110"/>
      <c r="L12" s="110"/>
      <c r="M12" s="110"/>
      <c r="N12" s="110"/>
      <c r="O12" s="111" t="s">
        <v>478</v>
      </c>
      <c r="P12" s="111"/>
      <c r="Q12" s="111"/>
      <c r="R12" s="111"/>
      <c r="S12" s="111"/>
      <c r="T12" s="111"/>
      <c r="U12" s="111"/>
      <c r="V12" s="111"/>
      <c r="W12" s="111"/>
      <c r="X12" s="111"/>
      <c r="Y12" s="111"/>
      <c r="Z12" s="112" t="s">
        <v>479</v>
      </c>
      <c r="AA12" s="112"/>
      <c r="AB12" s="112"/>
      <c r="AD12" s="54" t="s">
        <v>484</v>
      </c>
      <c r="AE12" s="54" t="str">
        <f t="shared" si="2"/>
        <v>Cube/NuggetRemote Condensing with Remote Compressor934 ≤ H</v>
      </c>
      <c r="AF12" s="54" t="s">
        <v>301</v>
      </c>
      <c r="AG12" s="32" t="s">
        <v>306</v>
      </c>
      <c r="AH12" s="54" t="s">
        <v>492</v>
      </c>
      <c r="AI12" s="54">
        <v>933.99</v>
      </c>
      <c r="AJ12" s="54"/>
      <c r="AK12" s="54">
        <v>4.82</v>
      </c>
      <c r="AL12" s="54">
        <v>0</v>
      </c>
      <c r="AN12" s="54" t="str">
        <f t="shared" si="3"/>
        <v>CEE Tier IICube/Nugget1,000 ≤ H</v>
      </c>
      <c r="AO12" s="54" t="s">
        <v>490</v>
      </c>
      <c r="AP12" s="54" t="s">
        <v>301</v>
      </c>
      <c r="AQ12" s="54" t="s">
        <v>489</v>
      </c>
      <c r="AR12" s="54">
        <v>999.99</v>
      </c>
      <c r="AS12" s="54"/>
      <c r="AT12" s="54">
        <v>125</v>
      </c>
      <c r="AU12" s="54" t="s">
        <v>416</v>
      </c>
    </row>
    <row r="13" spans="2:47">
      <c r="C13" s="80"/>
      <c r="D13" s="81" t="str">
        <f>Calculations!K131</f>
        <v>CONCATENATE</v>
      </c>
      <c r="E13" s="81" t="s">
        <v>136</v>
      </c>
      <c r="F13" s="81" t="str">
        <f>Calculations!L131</f>
        <v>Operation</v>
      </c>
      <c r="G13" s="81" t="str">
        <f>Calculations!M131</f>
        <v>New Type</v>
      </c>
      <c r="H13" s="81" t="str">
        <f>Calculations!N131</f>
        <v>HR</v>
      </c>
      <c r="I13" s="81" t="str">
        <f>Calculations!O131</f>
        <v>Harvest Rate (lbs/day)</v>
      </c>
      <c r="J13" s="113" t="str">
        <f>Calculations!T131</f>
        <v>Use kWh/100lbs</v>
      </c>
      <c r="K13" s="81" t="s">
        <v>493</v>
      </c>
      <c r="L13" s="81" t="s">
        <v>231</v>
      </c>
      <c r="M13" s="81"/>
      <c r="N13" s="81"/>
      <c r="O13" s="81" t="s">
        <v>334</v>
      </c>
      <c r="P13" s="81" t="s">
        <v>494</v>
      </c>
      <c r="Q13" s="81" t="s">
        <v>231</v>
      </c>
      <c r="R13" s="81"/>
      <c r="S13" s="81"/>
      <c r="T13" s="81" t="s">
        <v>334</v>
      </c>
      <c r="U13" s="81"/>
      <c r="V13" s="81"/>
      <c r="W13" s="81"/>
      <c r="X13" s="114" t="s">
        <v>495</v>
      </c>
      <c r="AD13" s="54" t="s">
        <v>484</v>
      </c>
      <c r="AE13" s="54" t="str">
        <f t="shared" ref="AE13:AE38" si="4">CONCATENATE(AF13,AG13,AH13)</f>
        <v>Cube/NuggetSelf Contained UnitH &lt; 175</v>
      </c>
      <c r="AF13" s="54" t="s">
        <v>301</v>
      </c>
      <c r="AG13" s="54" t="s">
        <v>308</v>
      </c>
      <c r="AH13" s="54" t="s">
        <v>496</v>
      </c>
      <c r="AI13" s="54">
        <v>0</v>
      </c>
      <c r="AJ13" s="54">
        <v>175</v>
      </c>
      <c r="AK13" s="54">
        <v>16.7</v>
      </c>
      <c r="AL13" s="54">
        <v>-4.36E-2</v>
      </c>
      <c r="AN13" s="54" t="str">
        <f>CONCATENATE(AO13,AP13,AQ13)</f>
        <v>CEE Tier IIFlakeH &lt; 450</v>
      </c>
      <c r="AO13" s="54" t="s">
        <v>490</v>
      </c>
      <c r="AP13" s="54" t="s">
        <v>305</v>
      </c>
      <c r="AQ13" s="54" t="s">
        <v>485</v>
      </c>
      <c r="AR13" s="54">
        <v>0</v>
      </c>
      <c r="AS13" s="54">
        <v>450</v>
      </c>
      <c r="AT13" s="54">
        <v>150</v>
      </c>
      <c r="AU13" s="54" t="s">
        <v>416</v>
      </c>
    </row>
    <row r="14" spans="2:47">
      <c r="C14" s="83">
        <f>Calculator!M54</f>
        <v>0</v>
      </c>
      <c r="D14" s="84" t="str">
        <f>Calculations!K132</f>
        <v>00</v>
      </c>
      <c r="E14" s="84">
        <f>Calculator!M54</f>
        <v>0</v>
      </c>
      <c r="F14" s="84">
        <f>Calculations!L132</f>
        <v>0</v>
      </c>
      <c r="G14" s="84">
        <f>Calculations!M132</f>
        <v>0</v>
      </c>
      <c r="H14" s="84" t="str">
        <f>Calculations!N132</f>
        <v/>
      </c>
      <c r="I14" s="84">
        <f>Calculations!O132</f>
        <v>0</v>
      </c>
      <c r="J14" s="84" t="e">
        <f>Calculations!T132</f>
        <v>#N/A</v>
      </c>
      <c r="K14" s="84">
        <f>IF(AND(E14=$AF$7,G14=$AG$7,I14&gt;$AI$7,I14&lt;$AJ$7),$AH$7,IF(AND(E14=$AF$8,G14=$AG$8,I14&gt;$AI$8),$AH$8,IF(AND(E14=$AF$9,G14=$AG$9,I14&gt;$AI$9,I14&lt;$AJ$9),$AH$9,IF(AND(E14=$AF$10,G14=$AG$10,I14&gt;$AI$10),$AH$10,IF(AND(E14=$AF$11,G14=$AG$11,I14&gt;$AI$11,I14&lt;$AJ$11),$AH$11,IF(AND(E14=$AF$12,G14=$AG$12,I14&gt;$AI$12),$AH$12,IF(AND(E14=$AF$13,G14=$AG$13,I14&gt;$AI$13),$AH$13,IF(AND(E14=$AF$14,G14=$AG$14,I14&gt;$AI$14),$AH$14,))))))))</f>
        <v>0</v>
      </c>
      <c r="L14" s="54" t="str">
        <f>CONCATENATE(E14,G14,K14)</f>
        <v>000</v>
      </c>
      <c r="M14" s="54" t="e">
        <f>VLOOKUP(L14,$AE$7:$AL$14,7,FALSE)</f>
        <v>#N/A</v>
      </c>
      <c r="N14" s="54" t="e">
        <f>VLOOKUP(L14,$AE$7:$AL$14,8,FALSE)</f>
        <v>#N/A</v>
      </c>
      <c r="O14" s="54" t="e">
        <f>M14+N14*I14</f>
        <v>#N/A</v>
      </c>
      <c r="P14" s="84">
        <f>IF(AND(E14=$AF$15,G14=$AG$15,I14&gt;$AI$15,I14&lt;$AJ$15),$AH$15,IF(AND(E14=$AF$16,G14=$AG$16,I14&gt;$AI$16,I14&lt;$AJ$16),$AH$16,IF(AND(E14=$AF$17,G14=$AG$17,I14&gt;$AI$17,I14&lt;$AJ$17),$AH$17,IF(AND(E14=$AF$18,G14=$AG$18,I14&gt;$AI$18),$AH$18,IF(AND(E14=$AF$19,G14=$AG$19,I14&gt;$AI$19,I14&lt;$AJ$19),$AH$19,IF(AND(E14=$AF$20,G14=$AG$20,I14&gt;$AI$20,I14&lt;$AJ$20),$AH$20,IF(AND(E14=$AF$21,G14=$AG$21,I14&gt;$AI$21,I14&lt;$AJ$21),$AH$21,IF(AND(E14=$AF$22,G14=$AG$22,I14&gt;$AI$22),$AH$22,IF(AND(E14=$AF$23,G14=$AG$23,I14&gt;$AI$23,I14&lt;$AJ$23),$AH$23,IF(AND(E14=$AF$24,G14=$AG$24,I14&gt;$AI$24,I14&lt;$AJ$24),$AH$24,IF(AND(E14=$AF$25,G14=$AG$25,I14&gt;$AI$25,I14&lt;$AJ$25),$AH$25,IF(AND(E14=$AF$26,G14=$AG$26,I14&gt;$AI$26),$AH$26,IF(AND(E14=$AF$27,G14=$AG$27,I14&gt;$AI$27,I14&lt;$AJ$27),$AH$27,IF(AND(E14=$AF$28,G14=$AG$28,I14&gt;$AI$28,I14&lt;$AJ$28),$AH$28,IF(AND(E14=$AF$29,G14=$AG$29,I14&gt;$AI$29,I14&lt;$AJ$29),$AH$29,IF(AND(E14=$AF$30,G14=$AG$30,I14&gt;$AI$30),$AH$30,IF(AND(E14=$AF$31,G14=$AG$31,I14&gt;$AI$31,I14&lt;$AJ$31),$AH$31,IF(AND(E14=$AF$32,G14=$AG$32,I14&gt;$AI$32),$AH$32,IF(AND(E14=$AF$33,G14=$AG$33,I14&gt;$AI$33,I14&lt;$AJ$33),$AH$33,IF(AND(E14=$AF$34,G14=$AG$34,I14&gt;$AI$34),$AH$34,IF(AND(E14=$AF$35,G14=$AG$35,I14&gt;$AI$35,I14&lt;$AJ$35),$AH$35,IF(AND(E14=$AF$36,G14=$AG$36,I14&gt;$AI$36),$AH$36,IF(AND(E14=$AF$37,G14=$AG$37,I14&gt;$AI$37,I14&lt;$AJ$37),$AH$37,IF(AND(E14=$AF$38,G14=$AG$38,I14&gt;$AI$38),$AH$38,))))))))))))))))))))))))</f>
        <v>0</v>
      </c>
      <c r="Q14" s="84" t="str">
        <f>CONCATENATE(E14,G14,P14)</f>
        <v>000</v>
      </c>
      <c r="R14" s="84" t="e">
        <f>VLOOKUP(Q14,$AE$15:$AL$38,7,FALSE)</f>
        <v>#N/A</v>
      </c>
      <c r="S14" s="84" t="e">
        <f>VLOOKUP(Q14,$AE$15:$AL$38,8,FALSE)</f>
        <v>#N/A</v>
      </c>
      <c r="T14" s="84" t="e">
        <f>R14+S14*I14</f>
        <v>#N/A</v>
      </c>
      <c r="U14" s="84" t="e">
        <f>IF(J14&lt;T14,"CEE Tier II",IF(J14&lt;O14,"CEE Tier I","check eff"))</f>
        <v>#N/A</v>
      </c>
      <c r="V14" s="84" t="b">
        <f>IF(AND(I14&gt;$AR$7,I14&lt;$AS$7),"H &lt; 450",IF(AND(I14&gt;$AR$8,I14&lt;$AS$8),"450 ≤ H &lt; 1,000",IF(AND(I14&gt;$AR$9),"1,000 ≤ H")))</f>
        <v>0</v>
      </c>
      <c r="W14" s="84" t="e">
        <f>CONCATENATE(U14,C14,V14)</f>
        <v>#N/A</v>
      </c>
      <c r="X14" s="115" t="e">
        <f>VLOOKUP(W14,$AN$7:$AU$15,7,FALSE)</f>
        <v>#N/A</v>
      </c>
      <c r="AD14" s="54" t="s">
        <v>484</v>
      </c>
      <c r="AE14" s="54" t="str">
        <f t="shared" si="4"/>
        <v>Cube/NuggetSelf Contained Unit175 ≤ H</v>
      </c>
      <c r="AF14" s="54" t="s">
        <v>301</v>
      </c>
      <c r="AG14" s="54" t="s">
        <v>308</v>
      </c>
      <c r="AH14" s="54" t="s">
        <v>497</v>
      </c>
      <c r="AI14" s="54">
        <v>174.99</v>
      </c>
      <c r="AJ14" s="54"/>
      <c r="AK14" s="54">
        <v>9.11</v>
      </c>
      <c r="AL14" s="54">
        <v>0</v>
      </c>
      <c r="AN14" s="54" t="str">
        <f>CONCATENATE(AO14,AP14,AQ14)</f>
        <v>CEE Tier IIFlake450 ≤ H &lt; 1,000</v>
      </c>
      <c r="AO14" s="54" t="s">
        <v>490</v>
      </c>
      <c r="AP14" s="54" t="s">
        <v>305</v>
      </c>
      <c r="AQ14" s="54" t="s">
        <v>487</v>
      </c>
      <c r="AR14" s="54">
        <v>449.99</v>
      </c>
      <c r="AS14" s="54">
        <v>1000</v>
      </c>
      <c r="AT14" s="54">
        <v>175</v>
      </c>
      <c r="AU14" s="54" t="s">
        <v>416</v>
      </c>
    </row>
    <row r="15" spans="2:47">
      <c r="C15" s="83">
        <f>Calculator!M55</f>
        <v>0</v>
      </c>
      <c r="D15" s="84" t="str">
        <f>Calculations!K133</f>
        <v>00</v>
      </c>
      <c r="E15" s="54">
        <f>Calculator!M55</f>
        <v>0</v>
      </c>
      <c r="F15" s="84">
        <f>Calculations!L133</f>
        <v>0</v>
      </c>
      <c r="G15" s="84">
        <f>Calculations!M133</f>
        <v>0</v>
      </c>
      <c r="H15" s="84" t="str">
        <f>Calculations!N133</f>
        <v/>
      </c>
      <c r="I15" s="84">
        <f>Calculations!O133</f>
        <v>0</v>
      </c>
      <c r="J15" s="84" t="e">
        <f>Calculations!T133</f>
        <v>#N/A</v>
      </c>
      <c r="K15" s="84">
        <f>IF(AND(E15=$AF$7,G15=$AG$7,I15&gt;$AI$7,I15&lt;$AJ$7),$AH$7,IF(AND(E15=$AF$8,G15=$AG$8,I15&gt;$AI$8),$AH$8,IF(AND(E15=$AF$9,G15=$AG$9,I15&gt;$AI$9,I15&lt;$AJ$9),$AH$9,IF(AND(E15=$AF$10,G15=$AG$10,I15&gt;$AI$10),$AH$10,IF(AND(E15=$AF$11,G15=$AG$11,I15&gt;$AI$11,I15&lt;$AJ$11),$AH$11,IF(AND(E15=$AF$12,G15=$AG$12,I15&gt;$AI$12),$AH$12,IF(AND(E15=$AF$13,G15=$AG$13,I15&gt;$AI$13),$AH$13,IF(AND(E15=$AF$14,G15=$AG$14,I15&gt;$AI$14),$AH$14,))))))))</f>
        <v>0</v>
      </c>
      <c r="L15" s="54" t="str">
        <f t="shared" ref="L15:L17" si="5">CONCATENATE(E15,G15,K15)</f>
        <v>000</v>
      </c>
      <c r="M15" s="54" t="e">
        <f>VLOOKUP(L15,$AE$7:$AL$14,7,FALSE)</f>
        <v>#N/A</v>
      </c>
      <c r="N15" s="54" t="e">
        <f>VLOOKUP(L15,$AE$7:$AL$14,8,FALSE)</f>
        <v>#N/A</v>
      </c>
      <c r="O15" s="54" t="e">
        <f t="shared" ref="O15:O17" si="6">M15+N15*I15</f>
        <v>#N/A</v>
      </c>
      <c r="P15" s="84">
        <f>IF(AND(E15=$AF$15,G15=$AG$15,I15&gt;$AI$15,I15&lt;$AJ$15),$AH$15,IF(AND(E15=$AF$16,G15=$AG$16,I15&gt;$AI$16,I15&lt;$AJ$16),$AH$16,IF(AND(E15=$AF$17,G15=$AG$17,I15&gt;$AI$17,I15&lt;$AJ$17),$AH$17,IF(AND(E15=$AF$18,G15=$AG$18,I15&gt;$AI$18),$AH$18,IF(AND(E15=$AF$19,G15=$AG$19,I15&gt;$AI$19,I15&lt;$AJ$19),$AH$19,IF(AND(E15=$AF$20,G15=$AG$20,I15&gt;$AI$20,I15&lt;$AJ$20),$AH$20,IF(AND(E15=$AF$21,G15=$AG$21,I15&gt;$AI$21,I15&lt;$AJ$21),$AH$21,IF(AND(E15=$AF$22,G15=$AG$22,I15&gt;$AI$22),$AH$22,IF(AND(E15=$AF$23,G15=$AG$23,I15&gt;$AI$23,I15&lt;$AJ$23),$AH$23,IF(AND(E15=$AF$24,G15=$AG$24,I15&gt;$AI$24,I15&lt;$AJ$24),$AH$24,IF(AND(E15=$AF$25,G15=$AG$25,I15&gt;$AI$25,I15&lt;$AJ$25),$AH$25,IF(AND(E15=$AF$26,G15=$AG$26,I15&gt;$AI$26),$AH$26,IF(AND(E15=$AF$27,G15=$AG$27,I15&gt;$AI$27,I15&lt;$AJ$27),$AH$27,IF(AND(E15=$AF$28,G15=$AG$28,I15&gt;$AI$28,I15&lt;$AJ$28),$AH$28,IF(AND(E15=$AF$29,G15=$AG$29,I15&gt;$AI$29,I15&lt;$AJ$29),$AH$29,IF(AND(E15=$AF$30,G15=$AG$30,I15&gt;$AI$30),$AH$30,IF(AND(E15=$AF$31,G15=$AG$31,I15&gt;$AI$31,I15&lt;$AJ$31),$AH$31,IF(AND(E15=$AF$32,G15=$AG$32,I15&gt;$AI$32),$AH$32,IF(AND(E15=$AF$33,G15=$AG$33,I15&gt;$AI$33,I15&lt;$AJ$33),$AH$33,IF(AND(E15=$AF$34,G15=$AG$34,I15&gt;$AI$34),$AH$34,IF(AND(E15=$AF$35,G15=$AG$35,I15&gt;$AI$35,I15&lt;$AJ$35),$AH$35,IF(AND(E15=$AF$36,G15=$AG$36,I15&gt;$AI$36),$AH$36,IF(AND(E15=$AF$37,G15=$AG$37,I15&gt;$AI$37,I15&lt;$AJ$37),$AH$37,IF(AND(E15=$AF$38,G15=$AG$38,I15&gt;$AI$38),$AH$38,))))))))))))))))))))))))</f>
        <v>0</v>
      </c>
      <c r="Q15" s="84" t="str">
        <f t="shared" ref="Q15:Q17" si="7">CONCATENATE(E15,G15,P15)</f>
        <v>000</v>
      </c>
      <c r="R15" s="84" t="e">
        <f>VLOOKUP(Q15,$AE$15:$AL$38,7,FALSE)</f>
        <v>#N/A</v>
      </c>
      <c r="S15" s="84" t="e">
        <f>VLOOKUP(Q15,$AE$15:$AL$38,8,FALSE)</f>
        <v>#N/A</v>
      </c>
      <c r="T15" s="84" t="e">
        <f t="shared" ref="T15:T17" si="8">R15+S15*I15</f>
        <v>#N/A</v>
      </c>
      <c r="U15" s="84" t="e">
        <f t="shared" ref="U15:U17" si="9">IF(J15&lt;T15,"CEE Tier II",IF(J15&lt;O15,"CEE Tier I","check eff"))</f>
        <v>#N/A</v>
      </c>
      <c r="V15" s="84" t="b">
        <f t="shared" ref="V15:V17" si="10">IF(AND(I15&gt;$AR$7,I15&lt;$AS$7),"H &lt; 450",IF(AND(I15&gt;$AR$8,I15&lt;$AS$8),"450 ≤ H &lt; 1,000",IF(AND(I15&gt;$AR$9),"1,000 ≤ H")))</f>
        <v>0</v>
      </c>
      <c r="W15" s="84" t="e">
        <f t="shared" ref="W15:W17" si="11">CONCATENATE(U15,C15,V15)</f>
        <v>#N/A</v>
      </c>
      <c r="X15" s="115" t="e">
        <f>VLOOKUP(W15,$AN$7:$AU$15,7,FALSE)</f>
        <v>#N/A</v>
      </c>
      <c r="AD15" s="54" t="s">
        <v>490</v>
      </c>
      <c r="AE15" s="54" t="str">
        <f t="shared" si="4"/>
        <v>Cube/NuggetIce Making HeadH &lt; 175</v>
      </c>
      <c r="AF15" s="54" t="s">
        <v>301</v>
      </c>
      <c r="AG15" s="54" t="s">
        <v>300</v>
      </c>
      <c r="AH15" s="54" t="s">
        <v>496</v>
      </c>
      <c r="AI15" s="54">
        <v>0</v>
      </c>
      <c r="AJ15" s="54">
        <v>175</v>
      </c>
      <c r="AK15" s="54">
        <v>14</v>
      </c>
      <c r="AL15" s="54">
        <v>-3.4000000000000002E-2</v>
      </c>
      <c r="AN15" s="54" t="str">
        <f>CONCATENATE(AO15,AP15,AQ15)</f>
        <v>CEE Tier IIFlake1,000 ≤ H</v>
      </c>
      <c r="AO15" s="54" t="s">
        <v>490</v>
      </c>
      <c r="AP15" s="54" t="s">
        <v>305</v>
      </c>
      <c r="AQ15" s="54" t="s">
        <v>489</v>
      </c>
      <c r="AR15" s="54">
        <v>999.99</v>
      </c>
      <c r="AS15" s="54"/>
      <c r="AT15" s="54">
        <v>250</v>
      </c>
      <c r="AU15" s="54" t="s">
        <v>416</v>
      </c>
    </row>
    <row r="16" spans="2:47">
      <c r="C16" s="83">
        <f>Calculator!M56</f>
        <v>0</v>
      </c>
      <c r="D16" s="84" t="str">
        <f>Calculations!K134</f>
        <v>00</v>
      </c>
      <c r="E16" s="84">
        <f>Calculator!M56</f>
        <v>0</v>
      </c>
      <c r="F16" s="84">
        <f>Calculations!L134</f>
        <v>0</v>
      </c>
      <c r="G16" s="84">
        <f>Calculations!M134</f>
        <v>0</v>
      </c>
      <c r="H16" s="84" t="str">
        <f>Calculations!N134</f>
        <v/>
      </c>
      <c r="I16" s="84">
        <f>Calculations!O134</f>
        <v>0</v>
      </c>
      <c r="J16" s="84" t="e">
        <f>Calculations!T134</f>
        <v>#N/A</v>
      </c>
      <c r="K16" s="84">
        <f>IF(AND(E16=$AF$7,G16=$AG$7,I16&gt;$AI$7,I16&lt;$AJ$7),$AH$7,IF(AND(E16=$AF$8,G16=$AG$8,I16&gt;$AI$8),$AH$8,IF(AND(E16=$AF$9,G16=$AG$9,I16&gt;$AI$9,I16&lt;$AJ$9),$AH$9,IF(AND(E16=$AF$10,G16=$AG$10,I16&gt;$AI$10),$AH$10,IF(AND(E16=$AF$11,G16=$AG$11,I16&gt;$AI$11,I16&lt;$AJ$11),$AH$11,IF(AND(E16=$AF$12,G16=$AG$12,I16&gt;$AI$12),$AH$12,IF(AND(E16=$AF$13,G16=$AG$13,I16&gt;$AI$13),$AH$13,IF(AND(E16=$AF$14,G16=$AG$14,I16&gt;$AI$14),$AH$14,))))))))</f>
        <v>0</v>
      </c>
      <c r="L16" s="54" t="str">
        <f t="shared" si="5"/>
        <v>000</v>
      </c>
      <c r="M16" s="54" t="e">
        <f>VLOOKUP(L16,$AE$7:$AL$14,7,FALSE)</f>
        <v>#N/A</v>
      </c>
      <c r="N16" s="54" t="e">
        <f>VLOOKUP(L16,$AE$7:$AL$14,8,FALSE)</f>
        <v>#N/A</v>
      </c>
      <c r="O16" s="54" t="e">
        <f t="shared" si="6"/>
        <v>#N/A</v>
      </c>
      <c r="P16" s="84">
        <f>IF(AND(E16=$AF$15,G16=$AG$15,I16&gt;$AI$15,I16&lt;$AJ$15),$AH$15,IF(AND(E16=$AF$16,G16=$AG$16,I16&gt;$AI$16,I16&lt;$AJ$16),$AH$16,IF(AND(E16=$AF$17,G16=$AG$17,I16&gt;$AI$17,I16&lt;$AJ$17),$AH$17,IF(AND(E16=$AF$18,G16=$AG$18,I16&gt;$AI$18),$AH$18,IF(AND(E16=$AF$19,G16=$AG$19,I16&gt;$AI$19,I16&lt;$AJ$19),$AH$19,IF(AND(E16=$AF$20,G16=$AG$20,I16&gt;$AI$20,I16&lt;$AJ$20),$AH$20,IF(AND(E16=$AF$21,G16=$AG$21,I16&gt;$AI$21,I16&lt;$AJ$21),$AH$21,IF(AND(E16=$AF$22,G16=$AG$22,I16&gt;$AI$22),$AH$22,IF(AND(E16=$AF$23,G16=$AG$23,I16&gt;$AI$23,I16&lt;$AJ$23),$AH$23,IF(AND(E16=$AF$24,G16=$AG$24,I16&gt;$AI$24,I16&lt;$AJ$24),$AH$24,IF(AND(E16=$AF$25,G16=$AG$25,I16&gt;$AI$25,I16&lt;$AJ$25),$AH$25,IF(AND(E16=$AF$26,G16=$AG$26,I16&gt;$AI$26),$AH$26,IF(AND(E16=$AF$27,G16=$AG$27,I16&gt;$AI$27,I16&lt;$AJ$27),$AH$27,IF(AND(E16=$AF$28,G16=$AG$28,I16&gt;$AI$28,I16&lt;$AJ$28),$AH$28,IF(AND(E16=$AF$29,G16=$AG$29,I16&gt;$AI$29,I16&lt;$AJ$29),$AH$29,IF(AND(E16=$AF$30,G16=$AG$30,I16&gt;$AI$30),$AH$30,IF(AND(E16=$AF$31,G16=$AG$31,I16&gt;$AI$31,I16&lt;$AJ$31),$AH$31,IF(AND(E16=$AF$32,G16=$AG$32,I16&gt;$AI$32),$AH$32,IF(AND(E16=$AF$33,G16=$AG$33,I16&gt;$AI$33,I16&lt;$AJ$33),$AH$33,IF(AND(E16=$AF$34,G16=$AG$34,I16&gt;$AI$34),$AH$34,IF(AND(E16=$AF$35,G16=$AG$35,I16&gt;$AI$35,I16&lt;$AJ$35),$AH$35,IF(AND(E16=$AF$36,G16=$AG$36,I16&gt;$AI$36),$AH$36,IF(AND(E16=$AF$37,G16=$AG$37,I16&gt;$AI$37,I16&lt;$AJ$37),$AH$37,IF(AND(E16=$AF$38,G16=$AG$38,I16&gt;$AI$38),$AH$38,))))))))))))))))))))))))</f>
        <v>0</v>
      </c>
      <c r="Q16" s="84" t="str">
        <f t="shared" si="7"/>
        <v>000</v>
      </c>
      <c r="R16" s="84" t="e">
        <f>VLOOKUP(Q16,$AE$15:$AL$38,7,FALSE)</f>
        <v>#N/A</v>
      </c>
      <c r="S16" s="84" t="e">
        <f>VLOOKUP(Q16,$AE$15:$AL$38,8,FALSE)</f>
        <v>#N/A</v>
      </c>
      <c r="T16" s="84" t="e">
        <f t="shared" si="8"/>
        <v>#N/A</v>
      </c>
      <c r="U16" s="84" t="e">
        <f t="shared" si="9"/>
        <v>#N/A</v>
      </c>
      <c r="V16" s="84" t="b">
        <f t="shared" si="10"/>
        <v>0</v>
      </c>
      <c r="W16" s="84" t="e">
        <f t="shared" si="11"/>
        <v>#N/A</v>
      </c>
      <c r="X16" s="115" t="e">
        <f>VLOOKUP(W16,$AN$7:$AU$15,7,FALSE)</f>
        <v>#N/A</v>
      </c>
      <c r="AD16" s="54" t="s">
        <v>490</v>
      </c>
      <c r="AE16" s="54" t="str">
        <f t="shared" si="4"/>
        <v>Cube/NuggetIce Making Head175 ≤ H &lt; 450</v>
      </c>
      <c r="AF16" s="54" t="s">
        <v>301</v>
      </c>
      <c r="AG16" s="54" t="s">
        <v>300</v>
      </c>
      <c r="AH16" s="54" t="s">
        <v>498</v>
      </c>
      <c r="AI16" s="54">
        <v>174.99</v>
      </c>
      <c r="AJ16" s="54">
        <v>450</v>
      </c>
      <c r="AK16" s="54">
        <v>9.6</v>
      </c>
      <c r="AL16" s="54">
        <v>-9.7999999999999997E-3</v>
      </c>
      <c r="AP16" s="54"/>
      <c r="AQ16" s="54"/>
    </row>
    <row r="17" spans="3:43" ht="15" thickBot="1">
      <c r="C17" s="85">
        <f>Calculator!M57</f>
        <v>0</v>
      </c>
      <c r="D17" s="86" t="str">
        <f>Calculations!K135</f>
        <v>00</v>
      </c>
      <c r="E17" s="86">
        <f>Calculator!M57</f>
        <v>0</v>
      </c>
      <c r="F17" s="86">
        <f>Calculations!L135</f>
        <v>0</v>
      </c>
      <c r="G17" s="86">
        <f>Calculations!M135</f>
        <v>0</v>
      </c>
      <c r="H17" s="86" t="str">
        <f>Calculations!N135</f>
        <v/>
      </c>
      <c r="I17" s="86">
        <f>Calculations!O135</f>
        <v>0</v>
      </c>
      <c r="J17" s="86" t="e">
        <f>Calculations!T135</f>
        <v>#N/A</v>
      </c>
      <c r="K17" s="86">
        <f>IF(AND(E17=$AF$7,G17=$AG$7,I17&gt;$AI$7,I17&lt;$AJ$7),$AH$7,IF(AND(E17=$AF$8,G17=$AG$8,I17&gt;$AI$8),$AH$8,IF(AND(E17=$AF$9,G17=$AG$9,I17&gt;$AI$9,I17&lt;$AJ$9),$AH$9,IF(AND(E17=$AF$10,G17=$AG$10,I17&gt;$AI$10),$AH$10,IF(AND(E17=$AF$11,G17=$AG$11,I17&gt;$AI$11,I17&lt;$AJ$11),$AH$11,IF(AND(E17=$AF$12,G17=$AG$12,I17&gt;$AI$12),$AH$12,IF(AND(E17=$AF$13,G17=$AG$13,I17&gt;$AI$13),$AH$13,IF(AND(E17=$AF$14,G17=$AG$14,I17&gt;$AI$14),$AH$14,))))))))</f>
        <v>0</v>
      </c>
      <c r="L17" s="87" t="str">
        <f t="shared" si="5"/>
        <v>000</v>
      </c>
      <c r="M17" s="87" t="e">
        <f>VLOOKUP(L17,$AE$7:$AL$14,7,FALSE)</f>
        <v>#N/A</v>
      </c>
      <c r="N17" s="87" t="e">
        <f>VLOOKUP(L17,$AE$7:$AL$14,8,FALSE)</f>
        <v>#N/A</v>
      </c>
      <c r="O17" s="87" t="e">
        <f t="shared" si="6"/>
        <v>#N/A</v>
      </c>
      <c r="P17" s="86">
        <f>IF(AND(E17=$AF$15,G17=$AG$15,I17&gt;$AI$15,I17&lt;$AJ$15),$AH$15,IF(AND(E17=$AF$16,G17=$AG$16,I17&gt;$AI$16,I17&lt;$AJ$16),$AH$16,IF(AND(E17=$AF$17,G17=$AG$17,I17&gt;$AI$17,I17&lt;$AJ$17),$AH$17,IF(AND(E17=$AF$18,G17=$AG$18,I17&gt;$AI$18),$AH$18,IF(AND(E17=$AF$19,G17=$AG$19,I17&gt;$AI$19,I17&lt;$AJ$19),$AH$19,IF(AND(E17=$AF$20,G17=$AG$20,I17&gt;$AI$20,I17&lt;$AJ$20),$AH$20,IF(AND(E17=$AF$21,G17=$AG$21,I17&gt;$AI$21,I17&lt;$AJ$21),$AH$21,IF(AND(E17=$AF$22,G17=$AG$22,I17&gt;$AI$22),$AH$22,IF(AND(E17=$AF$23,G17=$AG$23,I17&gt;$AI$23,I17&lt;$AJ$23),$AH$23,IF(AND(E17=$AF$24,G17=$AG$24,I17&gt;$AI$24,I17&lt;$AJ$24),$AH$24,IF(AND(E17=$AF$25,G17=$AG$25,I17&gt;$AI$25,I17&lt;$AJ$25),$AH$25,IF(AND(E17=$AF$26,G17=$AG$26,I17&gt;$AI$26),$AH$26,IF(AND(E17=$AF$27,G17=$AG$27,I17&gt;$AI$27,I17&lt;$AJ$27),$AH$27,IF(AND(E17=$AF$28,G17=$AG$28,I17&gt;$AI$28,I17&lt;$AJ$28),$AH$28,IF(AND(E17=$AF$29,G17=$AG$29,I17&gt;$AI$29,I17&lt;$AJ$29),$AH$29,IF(AND(E17=$AF$30,G17=$AG$30,I17&gt;$AI$30),$AH$30,IF(AND(E17=$AF$31,G17=$AG$31,I17&gt;$AI$31,I17&lt;$AJ$31),$AH$31,IF(AND(E17=$AF$32,G17=$AG$32,I17&gt;$AI$32),$AH$32,IF(AND(E17=$AF$33,G17=$AG$33,I17&gt;$AI$33,I17&lt;$AJ$33),$AH$33,IF(AND(E17=$AF$34,G17=$AG$34,I17&gt;$AI$34),$AH$34,IF(AND(E17=$AF$35,G17=$AG$35,I17&gt;$AI$35,I17&lt;$AJ$35),$AH$35,IF(AND(E17=$AF$36,G17=$AG$36,I17&gt;$AI$36),$AH$36,IF(AND(E17=$AF$37,G17=$AG$37,I17&gt;$AI$37,I17&lt;$AJ$37),$AH$37,IF(AND(E17=$AF$38,G17=$AG$38,I17&gt;$AI$38),$AH$38,))))))))))))))))))))))))</f>
        <v>0</v>
      </c>
      <c r="Q17" s="86" t="str">
        <f t="shared" si="7"/>
        <v>000</v>
      </c>
      <c r="R17" s="86" t="e">
        <f>VLOOKUP(Q17,$AE$15:$AL$38,7,FALSE)</f>
        <v>#N/A</v>
      </c>
      <c r="S17" s="86" t="e">
        <f>VLOOKUP(Q17,$AE$15:$AL$38,8,FALSE)</f>
        <v>#N/A</v>
      </c>
      <c r="T17" s="86" t="e">
        <f t="shared" si="8"/>
        <v>#N/A</v>
      </c>
      <c r="U17" s="86" t="e">
        <f t="shared" si="9"/>
        <v>#N/A</v>
      </c>
      <c r="V17" s="84" t="b">
        <f t="shared" si="10"/>
        <v>0</v>
      </c>
      <c r="W17" s="86" t="e">
        <f t="shared" si="11"/>
        <v>#N/A</v>
      </c>
      <c r="X17" s="116" t="e">
        <f>VLOOKUP(W17,$AN$7:$AU$15,7,FALSE)</f>
        <v>#N/A</v>
      </c>
      <c r="AD17" s="54" t="s">
        <v>490</v>
      </c>
      <c r="AE17" s="54" t="str">
        <f t="shared" si="4"/>
        <v>Cube/NuggetIce Making Head450 ≤ H &lt; 1,000</v>
      </c>
      <c r="AF17" s="54" t="s">
        <v>301</v>
      </c>
      <c r="AG17" s="54" t="s">
        <v>300</v>
      </c>
      <c r="AH17" s="54" t="s">
        <v>487</v>
      </c>
      <c r="AI17" s="54">
        <v>449.99</v>
      </c>
      <c r="AJ17" s="54">
        <v>1000</v>
      </c>
      <c r="AK17" s="54">
        <v>5.9</v>
      </c>
      <c r="AL17" s="54">
        <v>-1.6000000000000001E-3</v>
      </c>
      <c r="AP17" s="54"/>
      <c r="AQ17" s="54"/>
    </row>
    <row r="18" spans="3:43">
      <c r="C18" s="54"/>
      <c r="D18" s="54"/>
      <c r="E18" s="54"/>
      <c r="F18" s="54"/>
      <c r="G18" s="54"/>
      <c r="H18" s="54"/>
      <c r="I18" s="54"/>
      <c r="J18" s="54"/>
      <c r="K18" s="54"/>
      <c r="L18" s="54"/>
      <c r="M18" s="54"/>
      <c r="N18" s="54"/>
      <c r="O18" s="54"/>
      <c r="P18" s="54"/>
      <c r="Q18" s="54"/>
      <c r="R18" s="54"/>
      <c r="S18" s="54"/>
      <c r="T18" s="54"/>
      <c r="U18" s="54"/>
      <c r="V18" s="54"/>
      <c r="W18" s="54"/>
      <c r="X18" s="54"/>
      <c r="AD18" s="54" t="s">
        <v>490</v>
      </c>
      <c r="AE18" s="54" t="str">
        <f t="shared" si="4"/>
        <v>Cube/NuggetIce Making Head1,000 ≤ H</v>
      </c>
      <c r="AF18" s="54" t="s">
        <v>301</v>
      </c>
      <c r="AG18" s="54" t="s">
        <v>300</v>
      </c>
      <c r="AH18" s="54" t="s">
        <v>489</v>
      </c>
      <c r="AI18" s="54">
        <v>999.99</v>
      </c>
      <c r="AJ18" s="54"/>
      <c r="AK18" s="54">
        <v>4.5</v>
      </c>
      <c r="AL18" s="54">
        <v>-2.0000000000000001E-4</v>
      </c>
    </row>
    <row r="19" spans="3:43">
      <c r="C19" s="54"/>
      <c r="D19" s="54"/>
      <c r="E19" s="54"/>
      <c r="F19" s="54"/>
      <c r="G19" s="54"/>
      <c r="H19" s="54"/>
      <c r="I19" s="54"/>
      <c r="J19" s="54"/>
      <c r="K19" s="54"/>
      <c r="L19" s="54"/>
      <c r="M19" s="54"/>
      <c r="N19" s="54"/>
      <c r="O19" s="54"/>
      <c r="P19" s="54"/>
      <c r="Q19" s="54"/>
      <c r="R19" s="54"/>
      <c r="S19" s="54"/>
      <c r="T19" s="54"/>
      <c r="U19" s="54"/>
      <c r="V19" s="54"/>
      <c r="W19" s="54"/>
      <c r="X19" s="54"/>
      <c r="AD19" s="54" t="s">
        <v>490</v>
      </c>
      <c r="AE19" s="54" t="str">
        <f t="shared" si="4"/>
        <v>Cube/NuggetRemote Condensing w/out Remote CompressorH &lt; 175</v>
      </c>
      <c r="AF19" s="54" t="s">
        <v>301</v>
      </c>
      <c r="AG19" s="32" t="s">
        <v>304</v>
      </c>
      <c r="AH19" s="54" t="s">
        <v>496</v>
      </c>
      <c r="AI19" s="54">
        <v>0</v>
      </c>
      <c r="AJ19" s="54">
        <v>175</v>
      </c>
      <c r="AK19" s="54">
        <v>14</v>
      </c>
      <c r="AL19" s="54">
        <v>-3.4000000000000002E-2</v>
      </c>
    </row>
    <row r="20" spans="3:43">
      <c r="C20" s="54"/>
      <c r="D20" s="54"/>
      <c r="E20" s="54"/>
      <c r="F20" s="54"/>
      <c r="G20" s="54"/>
      <c r="H20" s="54"/>
      <c r="I20" s="54"/>
      <c r="J20" s="54"/>
      <c r="K20" s="54"/>
      <c r="L20" s="54"/>
      <c r="M20" s="54"/>
      <c r="N20" s="54"/>
      <c r="O20" s="54"/>
      <c r="P20" s="54"/>
      <c r="Q20" s="54"/>
      <c r="R20" s="54"/>
      <c r="S20" s="54"/>
      <c r="T20" s="54"/>
      <c r="U20" s="54"/>
      <c r="V20" s="54"/>
      <c r="W20" s="54"/>
      <c r="X20" s="54"/>
      <c r="AD20" s="54" t="s">
        <v>490</v>
      </c>
      <c r="AE20" s="54" t="str">
        <f t="shared" si="4"/>
        <v>Cube/NuggetRemote Condensing w/out Remote Compressor175 ≤ H &lt; 450</v>
      </c>
      <c r="AF20" s="54" t="s">
        <v>301</v>
      </c>
      <c r="AG20" s="32" t="s">
        <v>304</v>
      </c>
      <c r="AH20" s="54" t="s">
        <v>498</v>
      </c>
      <c r="AI20" s="54">
        <v>174.99</v>
      </c>
      <c r="AJ20" s="54">
        <v>450</v>
      </c>
      <c r="AK20" s="54">
        <v>9.6</v>
      </c>
      <c r="AL20" s="54">
        <v>-9.7999999999999997E-3</v>
      </c>
    </row>
    <row r="21" spans="3:43">
      <c r="AD21" s="54" t="s">
        <v>490</v>
      </c>
      <c r="AE21" s="54" t="str">
        <f t="shared" si="4"/>
        <v>Cube/NuggetRemote Condensing w/out Remote Compressor450 ≤ H &lt; 1,000</v>
      </c>
      <c r="AF21" s="54" t="s">
        <v>301</v>
      </c>
      <c r="AG21" s="32" t="s">
        <v>304</v>
      </c>
      <c r="AH21" s="54" t="s">
        <v>487</v>
      </c>
      <c r="AI21" s="54">
        <v>449.99</v>
      </c>
      <c r="AJ21" s="54">
        <v>1000</v>
      </c>
      <c r="AK21" s="54">
        <v>5.9</v>
      </c>
      <c r="AL21" s="54">
        <v>-1.6000000000000001E-3</v>
      </c>
    </row>
    <row r="22" spans="3:43">
      <c r="AD22" s="54" t="s">
        <v>490</v>
      </c>
      <c r="AE22" s="54" t="str">
        <f t="shared" si="4"/>
        <v>Cube/NuggetRemote Condensing w/out Remote Compressor1,000 ≤ H</v>
      </c>
      <c r="AF22" s="54" t="s">
        <v>301</v>
      </c>
      <c r="AG22" s="32" t="s">
        <v>304</v>
      </c>
      <c r="AH22" s="54" t="s">
        <v>489</v>
      </c>
      <c r="AI22" s="54">
        <v>999.99</v>
      </c>
      <c r="AJ22" s="54"/>
      <c r="AK22" s="54">
        <v>4.5</v>
      </c>
      <c r="AL22" s="54">
        <v>-2.0000000000000001E-4</v>
      </c>
    </row>
    <row r="23" spans="3:43">
      <c r="AD23" s="54" t="s">
        <v>490</v>
      </c>
      <c r="AE23" s="54" t="str">
        <f t="shared" si="4"/>
        <v>Cube/NuggetRemote Condensing with Remote CompressorH &lt; 175</v>
      </c>
      <c r="AF23" s="54" t="s">
        <v>301</v>
      </c>
      <c r="AG23" s="32" t="s">
        <v>306</v>
      </c>
      <c r="AH23" s="54" t="s">
        <v>496</v>
      </c>
      <c r="AI23" s="54">
        <v>0</v>
      </c>
      <c r="AJ23" s="54">
        <v>175</v>
      </c>
      <c r="AK23" s="54">
        <v>14</v>
      </c>
      <c r="AL23" s="54">
        <v>-3.4000000000000002E-2</v>
      </c>
    </row>
    <row r="24" spans="3:43">
      <c r="AD24" s="54" t="s">
        <v>490</v>
      </c>
      <c r="AE24" s="54" t="str">
        <f t="shared" si="4"/>
        <v>Cube/NuggetRemote Condensing with Remote Compressor175 ≤ H &lt; 450</v>
      </c>
      <c r="AF24" s="54" t="s">
        <v>301</v>
      </c>
      <c r="AG24" s="32" t="s">
        <v>306</v>
      </c>
      <c r="AH24" s="54" t="s">
        <v>498</v>
      </c>
      <c r="AI24" s="54">
        <v>174.99</v>
      </c>
      <c r="AJ24" s="54">
        <v>450</v>
      </c>
      <c r="AK24" s="54">
        <v>9.6</v>
      </c>
      <c r="AL24" s="54">
        <v>-9.7999999999999997E-3</v>
      </c>
    </row>
    <row r="25" spans="3:43">
      <c r="AD25" s="54" t="s">
        <v>490</v>
      </c>
      <c r="AE25" s="54" t="str">
        <f t="shared" si="4"/>
        <v>Cube/NuggetRemote Condensing with Remote Compressor450 ≤ H &lt; 1,000</v>
      </c>
      <c r="AF25" s="54" t="s">
        <v>301</v>
      </c>
      <c r="AG25" s="32" t="s">
        <v>306</v>
      </c>
      <c r="AH25" s="54" t="s">
        <v>487</v>
      </c>
      <c r="AI25" s="54">
        <v>449.99</v>
      </c>
      <c r="AJ25" s="54">
        <v>1000</v>
      </c>
      <c r="AK25" s="54">
        <v>5.9</v>
      </c>
      <c r="AL25" s="54">
        <v>-1.6000000000000001E-3</v>
      </c>
    </row>
    <row r="26" spans="3:43">
      <c r="AD26" s="54" t="s">
        <v>490</v>
      </c>
      <c r="AE26" s="54" t="str">
        <f t="shared" si="4"/>
        <v>Cube/NuggetRemote Condensing with Remote Compressor1,000 ≤ H</v>
      </c>
      <c r="AF26" s="54" t="s">
        <v>301</v>
      </c>
      <c r="AG26" s="32" t="s">
        <v>306</v>
      </c>
      <c r="AH26" s="54" t="s">
        <v>489</v>
      </c>
      <c r="AI26" s="54">
        <v>999.99</v>
      </c>
      <c r="AJ26" s="54"/>
      <c r="AK26" s="54">
        <v>4.5</v>
      </c>
      <c r="AL26" s="54">
        <v>-2.0000000000000001E-4</v>
      </c>
    </row>
    <row r="27" spans="3:43">
      <c r="AD27" s="54" t="s">
        <v>490</v>
      </c>
      <c r="AE27" s="54" t="str">
        <f t="shared" si="4"/>
        <v>Cube/NuggetSelf Contained UnitH &lt; 175</v>
      </c>
      <c r="AF27" s="54" t="s">
        <v>301</v>
      </c>
      <c r="AG27" s="54" t="s">
        <v>308</v>
      </c>
      <c r="AH27" s="54" t="s">
        <v>496</v>
      </c>
      <c r="AI27" s="54">
        <v>0</v>
      </c>
      <c r="AJ27" s="54">
        <v>175</v>
      </c>
      <c r="AK27" s="54">
        <v>14</v>
      </c>
      <c r="AL27" s="54">
        <v>-3.4000000000000002E-2</v>
      </c>
    </row>
    <row r="28" spans="3:43">
      <c r="AD28" s="54" t="s">
        <v>490</v>
      </c>
      <c r="AE28" s="54" t="str">
        <f t="shared" si="4"/>
        <v>Cube/NuggetSelf Contained Unit175 ≤ H &lt; 450</v>
      </c>
      <c r="AF28" s="54" t="s">
        <v>301</v>
      </c>
      <c r="AG28" s="54" t="s">
        <v>308</v>
      </c>
      <c r="AH28" s="54" t="s">
        <v>498</v>
      </c>
      <c r="AI28" s="54">
        <v>174.99</v>
      </c>
      <c r="AJ28" s="54">
        <v>450</v>
      </c>
      <c r="AK28" s="54">
        <v>9.6</v>
      </c>
      <c r="AL28" s="54">
        <v>-9.7999999999999997E-3</v>
      </c>
    </row>
    <row r="29" spans="3:43">
      <c r="AD29" s="54" t="s">
        <v>490</v>
      </c>
      <c r="AE29" s="54" t="str">
        <f t="shared" si="4"/>
        <v>Cube/NuggetSelf Contained Unit450 ≤ H &lt; 1,000</v>
      </c>
      <c r="AF29" s="54" t="s">
        <v>301</v>
      </c>
      <c r="AG29" s="54" t="s">
        <v>308</v>
      </c>
      <c r="AH29" s="54" t="s">
        <v>487</v>
      </c>
      <c r="AI29" s="54">
        <v>449.99</v>
      </c>
      <c r="AJ29" s="54">
        <v>1000</v>
      </c>
      <c r="AK29" s="54">
        <v>5.9</v>
      </c>
      <c r="AL29" s="54">
        <v>-1.6000000000000001E-3</v>
      </c>
    </row>
    <row r="30" spans="3:43">
      <c r="AD30" s="54" t="s">
        <v>490</v>
      </c>
      <c r="AE30" s="54" t="str">
        <f t="shared" si="4"/>
        <v>Cube/NuggetSelf Contained Unit1,000 ≤ H</v>
      </c>
      <c r="AF30" s="54" t="s">
        <v>301</v>
      </c>
      <c r="AG30" s="54" t="s">
        <v>308</v>
      </c>
      <c r="AH30" s="54" t="s">
        <v>489</v>
      </c>
      <c r="AI30" s="54">
        <v>999.99</v>
      </c>
      <c r="AJ30" s="54"/>
      <c r="AK30" s="54">
        <v>4.5</v>
      </c>
      <c r="AL30" s="54">
        <v>-2.0000000000000001E-4</v>
      </c>
    </row>
    <row r="31" spans="3:43">
      <c r="AD31" s="54" t="s">
        <v>490</v>
      </c>
      <c r="AE31" s="54" t="str">
        <f t="shared" si="4"/>
        <v>FlakeIce Making HeadH &lt; 1,000</v>
      </c>
      <c r="AF31" s="54" t="s">
        <v>305</v>
      </c>
      <c r="AG31" s="54" t="s">
        <v>300</v>
      </c>
      <c r="AH31" s="54" t="s">
        <v>488</v>
      </c>
      <c r="AI31" s="54"/>
      <c r="AJ31" s="54">
        <v>1000</v>
      </c>
      <c r="AK31" s="54">
        <v>65</v>
      </c>
      <c r="AL31" s="54">
        <v>-3.3E-3</v>
      </c>
    </row>
    <row r="32" spans="3:43">
      <c r="AD32" s="54" t="s">
        <v>490</v>
      </c>
      <c r="AE32" s="54" t="str">
        <f t="shared" si="4"/>
        <v>FlakeIce Making Head1,000 ≤ H</v>
      </c>
      <c r="AF32" s="54" t="s">
        <v>305</v>
      </c>
      <c r="AG32" s="54" t="s">
        <v>300</v>
      </c>
      <c r="AH32" s="54" t="s">
        <v>489</v>
      </c>
      <c r="AI32" s="54">
        <v>999.99</v>
      </c>
      <c r="AJ32" s="54"/>
      <c r="AK32" s="54">
        <v>3.2</v>
      </c>
      <c r="AL32" s="54">
        <v>0</v>
      </c>
    </row>
    <row r="33" spans="30:38">
      <c r="AD33" s="54" t="s">
        <v>490</v>
      </c>
      <c r="AE33" s="54" t="str">
        <f t="shared" si="4"/>
        <v>FlakeRemote Condensing w/out Remote CompressorH &lt; 1,000</v>
      </c>
      <c r="AF33" s="54" t="s">
        <v>305</v>
      </c>
      <c r="AG33" s="32" t="s">
        <v>304</v>
      </c>
      <c r="AH33" s="54" t="s">
        <v>488</v>
      </c>
      <c r="AI33" s="54"/>
      <c r="AJ33" s="54">
        <v>1000</v>
      </c>
      <c r="AK33" s="54">
        <v>65</v>
      </c>
      <c r="AL33" s="54">
        <v>-3.3E-3</v>
      </c>
    </row>
    <row r="34" spans="30:38">
      <c r="AD34" s="54" t="s">
        <v>490</v>
      </c>
      <c r="AE34" s="54" t="str">
        <f t="shared" si="4"/>
        <v>FlakeRemote Condensing w/out Remote Compressor1,000 ≤ H</v>
      </c>
      <c r="AF34" s="54" t="s">
        <v>305</v>
      </c>
      <c r="AG34" s="32" t="s">
        <v>304</v>
      </c>
      <c r="AH34" s="54" t="s">
        <v>489</v>
      </c>
      <c r="AI34" s="54">
        <v>999.99</v>
      </c>
      <c r="AJ34" s="54"/>
      <c r="AK34" s="54">
        <v>3.2</v>
      </c>
      <c r="AL34" s="54">
        <v>0</v>
      </c>
    </row>
    <row r="35" spans="30:38">
      <c r="AD35" s="54" t="s">
        <v>490</v>
      </c>
      <c r="AE35" s="54" t="str">
        <f t="shared" si="4"/>
        <v>FlakeRemote Condensing with Remote CompressorH &lt; 1,000</v>
      </c>
      <c r="AF35" s="54" t="s">
        <v>305</v>
      </c>
      <c r="AG35" s="32" t="s">
        <v>306</v>
      </c>
      <c r="AH35" s="54" t="s">
        <v>488</v>
      </c>
      <c r="AI35" s="54"/>
      <c r="AJ35" s="54">
        <v>1000</v>
      </c>
      <c r="AK35" s="54">
        <v>65</v>
      </c>
      <c r="AL35" s="54">
        <v>-3.3E-3</v>
      </c>
    </row>
    <row r="36" spans="30:38">
      <c r="AD36" s="54" t="s">
        <v>490</v>
      </c>
      <c r="AE36" s="54" t="str">
        <f t="shared" si="4"/>
        <v>FlakeRemote Condensing with Remote Compressor1,000 ≤ H</v>
      </c>
      <c r="AF36" s="54" t="s">
        <v>305</v>
      </c>
      <c r="AG36" s="32" t="s">
        <v>306</v>
      </c>
      <c r="AH36" s="54" t="s">
        <v>489</v>
      </c>
      <c r="AI36" s="54">
        <v>999.99</v>
      </c>
      <c r="AJ36" s="54"/>
      <c r="AK36" s="54">
        <v>3.2</v>
      </c>
      <c r="AL36" s="54">
        <v>0</v>
      </c>
    </row>
    <row r="37" spans="30:38">
      <c r="AD37" s="54" t="s">
        <v>490</v>
      </c>
      <c r="AE37" s="54" t="str">
        <f t="shared" si="4"/>
        <v>FlakeSelf Contained UnitH &lt; 1,000</v>
      </c>
      <c r="AF37" s="54" t="s">
        <v>305</v>
      </c>
      <c r="AG37" s="54" t="s">
        <v>308</v>
      </c>
      <c r="AH37" s="54" t="s">
        <v>488</v>
      </c>
      <c r="AI37" s="54"/>
      <c r="AJ37" s="54">
        <v>1000</v>
      </c>
      <c r="AK37" s="54">
        <v>65</v>
      </c>
      <c r="AL37" s="54">
        <v>-3.3E-3</v>
      </c>
    </row>
    <row r="38" spans="30:38">
      <c r="AD38" s="54" t="s">
        <v>490</v>
      </c>
      <c r="AE38" s="54" t="str">
        <f t="shared" si="4"/>
        <v>FlakeSelf Contained Unit1,000 ≤ H</v>
      </c>
      <c r="AF38" s="54" t="s">
        <v>305</v>
      </c>
      <c r="AG38" s="54" t="s">
        <v>308</v>
      </c>
      <c r="AH38" s="54" t="s">
        <v>489</v>
      </c>
      <c r="AI38" s="54">
        <v>999.99</v>
      </c>
      <c r="AJ38" s="54"/>
      <c r="AK38" s="54">
        <v>3.2</v>
      </c>
      <c r="AL38" s="54">
        <v>0</v>
      </c>
    </row>
  </sheetData>
  <sheetProtection algorithmName="SHA-512" hashValue="GvACJS5+o668r+GCTJnerkYIfISi+AIMBDtwhJwykHl7GXT4NU7Zh4+CyXIeI2K1XLjKDFm4TTsfOUiUudgdKA==" saltValue="J4SzLssH6eOzlYDKSwQPKA==" spinCount="100000" sheet="1" objects="1" scenarios="1"/>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91D5E-8473-45F8-B93D-CE3081D5BB9A}">
  <sheetPr codeName="Sheet8"/>
  <dimension ref="A1:H18"/>
  <sheetViews>
    <sheetView workbookViewId="0">
      <selection activeCell="F4" sqref="F4"/>
    </sheetView>
  </sheetViews>
  <sheetFormatPr defaultRowHeight="14.25"/>
  <cols>
    <col min="1" max="1" width="30.75" customWidth="1"/>
    <col min="2" max="4" width="13.5" customWidth="1"/>
    <col min="6" max="6" width="16.125" customWidth="1"/>
    <col min="7" max="8" width="12.125" customWidth="1"/>
  </cols>
  <sheetData>
    <row r="1" spans="1:8">
      <c r="A1" t="s">
        <v>499</v>
      </c>
    </row>
    <row r="2" spans="1:8" ht="15" thickBot="1"/>
    <row r="3" spans="1:8" ht="30">
      <c r="A3" s="18" t="s">
        <v>115</v>
      </c>
      <c r="B3" s="18" t="s">
        <v>500</v>
      </c>
      <c r="C3" s="18" t="s">
        <v>501</v>
      </c>
      <c r="D3" s="149" t="s">
        <v>502</v>
      </c>
      <c r="F3" s="150" t="s">
        <v>115</v>
      </c>
      <c r="G3" s="151" t="s">
        <v>501</v>
      </c>
      <c r="H3" s="152" t="s">
        <v>502</v>
      </c>
    </row>
    <row r="4" spans="1:8" ht="15" thickBot="1">
      <c r="A4" s="101" t="s">
        <v>346</v>
      </c>
      <c r="B4" s="101" t="s">
        <v>503</v>
      </c>
      <c r="C4" s="101" t="s">
        <v>504</v>
      </c>
      <c r="D4" s="102" t="s">
        <v>505</v>
      </c>
      <c r="F4" s="153">
        <f>IFERROR(Summary!C9,"")</f>
        <v>0</v>
      </c>
      <c r="G4" s="154" t="e">
        <f>INDEX($A$4:$D$18,MATCH(F4,$A$4:$A$18,1),3)</f>
        <v>#N/A</v>
      </c>
      <c r="H4" s="155" t="e">
        <f>INDEX($A$4:$D$18,MATCH(F4,$A$4:$A$18,1),4)</f>
        <v>#N/A</v>
      </c>
    </row>
    <row r="5" spans="1:8">
      <c r="A5" s="101" t="s">
        <v>347</v>
      </c>
      <c r="B5" s="101" t="s">
        <v>503</v>
      </c>
      <c r="C5" s="101" t="s">
        <v>506</v>
      </c>
      <c r="D5" s="102" t="s">
        <v>507</v>
      </c>
    </row>
    <row r="6" spans="1:8">
      <c r="A6" s="101" t="s">
        <v>508</v>
      </c>
      <c r="B6" s="101" t="s">
        <v>503</v>
      </c>
      <c r="C6" s="101" t="s">
        <v>509</v>
      </c>
      <c r="D6" s="102" t="s">
        <v>510</v>
      </c>
    </row>
    <row r="7" spans="1:8">
      <c r="A7" s="101" t="s">
        <v>511</v>
      </c>
      <c r="B7" s="101" t="s">
        <v>503</v>
      </c>
      <c r="C7" s="101" t="s">
        <v>512</v>
      </c>
      <c r="D7" s="102" t="s">
        <v>513</v>
      </c>
    </row>
    <row r="8" spans="1:8">
      <c r="A8" s="105" t="s">
        <v>514</v>
      </c>
      <c r="B8" s="101" t="s">
        <v>503</v>
      </c>
      <c r="C8" s="32" t="s">
        <v>515</v>
      </c>
      <c r="D8" s="102" t="s">
        <v>516</v>
      </c>
    </row>
    <row r="9" spans="1:8">
      <c r="A9" s="105" t="s">
        <v>517</v>
      </c>
      <c r="B9" s="101" t="s">
        <v>503</v>
      </c>
      <c r="C9" s="32" t="s">
        <v>518</v>
      </c>
      <c r="D9" s="102" t="s">
        <v>519</v>
      </c>
    </row>
    <row r="10" spans="1:8">
      <c r="A10" s="105" t="s">
        <v>351</v>
      </c>
      <c r="B10" s="101" t="s">
        <v>503</v>
      </c>
      <c r="C10" s="32" t="s">
        <v>520</v>
      </c>
      <c r="D10" s="102" t="s">
        <v>521</v>
      </c>
    </row>
    <row r="11" spans="1:8">
      <c r="A11" s="105" t="s">
        <v>522</v>
      </c>
      <c r="B11" s="101" t="s">
        <v>503</v>
      </c>
      <c r="C11" s="32" t="s">
        <v>523</v>
      </c>
      <c r="D11" s="102" t="s">
        <v>524</v>
      </c>
    </row>
    <row r="12" spans="1:8">
      <c r="A12" s="101" t="s">
        <v>525</v>
      </c>
      <c r="B12" s="101" t="s">
        <v>503</v>
      </c>
      <c r="C12" s="32" t="s">
        <v>526</v>
      </c>
      <c r="D12" s="102" t="s">
        <v>527</v>
      </c>
    </row>
    <row r="13" spans="1:8">
      <c r="A13" s="101" t="s">
        <v>528</v>
      </c>
      <c r="B13" s="101" t="s">
        <v>503</v>
      </c>
      <c r="C13" s="32" t="s">
        <v>529</v>
      </c>
      <c r="D13" s="102" t="s">
        <v>530</v>
      </c>
    </row>
    <row r="14" spans="1:8">
      <c r="A14" s="101" t="s">
        <v>357</v>
      </c>
      <c r="B14" s="101" t="s">
        <v>503</v>
      </c>
      <c r="C14" s="32" t="s">
        <v>531</v>
      </c>
      <c r="D14" s="102" t="s">
        <v>532</v>
      </c>
    </row>
    <row r="15" spans="1:8">
      <c r="A15" s="101" t="s">
        <v>533</v>
      </c>
      <c r="B15" s="101" t="s">
        <v>503</v>
      </c>
      <c r="C15" s="101" t="s">
        <v>534</v>
      </c>
      <c r="D15" s="102" t="s">
        <v>535</v>
      </c>
    </row>
    <row r="16" spans="1:8">
      <c r="A16" s="101" t="s">
        <v>536</v>
      </c>
      <c r="B16" s="101" t="s">
        <v>503</v>
      </c>
      <c r="C16" s="101" t="s">
        <v>513</v>
      </c>
      <c r="D16" s="102" t="s">
        <v>515</v>
      </c>
    </row>
    <row r="17" spans="1:4">
      <c r="A17" s="101" t="s">
        <v>537</v>
      </c>
      <c r="B17" s="101" t="s">
        <v>503</v>
      </c>
      <c r="C17" s="101" t="s">
        <v>519</v>
      </c>
      <c r="D17" s="102" t="s">
        <v>538</v>
      </c>
    </row>
    <row r="18" spans="1:4">
      <c r="A18" s="105" t="s">
        <v>539</v>
      </c>
      <c r="B18" s="101" t="s">
        <v>503</v>
      </c>
      <c r="C18" s="32" t="s">
        <v>540</v>
      </c>
      <c r="D18" s="102" t="s">
        <v>541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FF0000"/>
  </sheetPr>
  <dimension ref="A2:J25"/>
  <sheetViews>
    <sheetView topLeftCell="A6" workbookViewId="0">
      <selection activeCell="L17" sqref="L17"/>
    </sheetView>
  </sheetViews>
  <sheetFormatPr defaultColWidth="8.75" defaultRowHeight="14.25"/>
  <cols>
    <col min="1" max="1" width="3.75" style="9" customWidth="1"/>
    <col min="2" max="2" width="18.125" style="9" bestFit="1" customWidth="1"/>
    <col min="3" max="3" width="11.375" style="9" bestFit="1" customWidth="1"/>
    <col min="4" max="4" width="19.25" style="9" customWidth="1"/>
    <col min="5" max="5" width="55.125" style="12" customWidth="1"/>
    <col min="6" max="6" width="26.75" style="9" customWidth="1"/>
    <col min="7" max="7" width="22.875" style="1" bestFit="1" customWidth="1"/>
    <col min="8" max="16384" width="8.75" style="1"/>
  </cols>
  <sheetData>
    <row r="2" spans="1:10" ht="20.25">
      <c r="B2" s="390" t="s">
        <v>14</v>
      </c>
      <c r="C2" s="390"/>
      <c r="D2" s="390"/>
      <c r="E2" s="390"/>
      <c r="F2" s="390"/>
      <c r="I2" s="1" t="s">
        <v>542</v>
      </c>
      <c r="J2" s="270">
        <f>MAX(C8:C24)</f>
        <v>6.03</v>
      </c>
    </row>
    <row r="3" spans="1:10">
      <c r="J3" s="144">
        <f>MAX(D8:D25)</f>
        <v>45463</v>
      </c>
    </row>
    <row r="4" spans="1:10" ht="15">
      <c r="B4" s="28" t="s">
        <v>543</v>
      </c>
      <c r="C4" s="392" t="s">
        <v>544</v>
      </c>
      <c r="D4" s="392"/>
      <c r="E4" s="29" t="s">
        <v>545</v>
      </c>
      <c r="F4" s="392" t="s">
        <v>546</v>
      </c>
      <c r="G4" s="392"/>
    </row>
    <row r="5" spans="1:10" ht="15">
      <c r="B5" s="28" t="s">
        <v>547</v>
      </c>
      <c r="C5" s="392" t="s">
        <v>544</v>
      </c>
      <c r="D5" s="392"/>
      <c r="E5" s="30" t="s">
        <v>548</v>
      </c>
      <c r="F5" s="391" t="s">
        <v>549</v>
      </c>
      <c r="G5" s="391"/>
    </row>
    <row r="6" spans="1:10" ht="25.5" customHeight="1"/>
    <row r="7" spans="1:10" s="16" customFormat="1" ht="15">
      <c r="A7" s="15"/>
      <c r="B7" s="46" t="s">
        <v>550</v>
      </c>
      <c r="C7" s="20" t="s">
        <v>551</v>
      </c>
      <c r="D7" s="21" t="s">
        <v>112</v>
      </c>
      <c r="E7" s="21" t="s">
        <v>552</v>
      </c>
      <c r="F7" s="22" t="s">
        <v>553</v>
      </c>
    </row>
    <row r="8" spans="1:10" ht="28.5" customHeight="1">
      <c r="B8" s="45">
        <v>2018</v>
      </c>
      <c r="C8" s="23">
        <v>1</v>
      </c>
      <c r="D8" s="24">
        <v>43091</v>
      </c>
      <c r="E8" s="24" t="s">
        <v>554</v>
      </c>
      <c r="F8" s="26" t="s">
        <v>555</v>
      </c>
    </row>
    <row r="9" spans="1:10" ht="27" customHeight="1">
      <c r="B9" s="45">
        <v>2018</v>
      </c>
      <c r="C9" s="23">
        <v>1.1000000000000001</v>
      </c>
      <c r="D9" s="24">
        <v>43098</v>
      </c>
      <c r="E9" s="27" t="s">
        <v>556</v>
      </c>
      <c r="F9" s="26" t="s">
        <v>546</v>
      </c>
    </row>
    <row r="10" spans="1:10" ht="28.5" customHeight="1">
      <c r="B10" s="45">
        <v>2018</v>
      </c>
      <c r="C10" s="23">
        <v>1.1000000000000001</v>
      </c>
      <c r="D10" s="24">
        <v>43103</v>
      </c>
      <c r="E10" s="27" t="s">
        <v>557</v>
      </c>
      <c r="F10" s="26" t="s">
        <v>555</v>
      </c>
    </row>
    <row r="11" spans="1:10" ht="28.5" customHeight="1">
      <c r="B11" s="45">
        <v>2018</v>
      </c>
      <c r="C11" s="23">
        <v>1.2</v>
      </c>
      <c r="D11" s="24">
        <v>43118</v>
      </c>
      <c r="E11" s="27" t="s">
        <v>558</v>
      </c>
      <c r="F11" s="26" t="s">
        <v>555</v>
      </c>
    </row>
    <row r="12" spans="1:10" ht="28.5" customHeight="1">
      <c r="B12" s="45">
        <v>2018</v>
      </c>
      <c r="C12" s="23">
        <v>1.2</v>
      </c>
      <c r="D12" s="24">
        <v>43119</v>
      </c>
      <c r="E12" s="27" t="s">
        <v>559</v>
      </c>
      <c r="F12" s="26" t="s">
        <v>555</v>
      </c>
    </row>
    <row r="13" spans="1:10" ht="28.5" customHeight="1">
      <c r="B13" s="45">
        <v>2021</v>
      </c>
      <c r="C13" s="23">
        <v>2</v>
      </c>
      <c r="D13" s="24">
        <v>44232</v>
      </c>
      <c r="E13" s="27" t="s">
        <v>560</v>
      </c>
      <c r="F13" s="26" t="s">
        <v>561</v>
      </c>
    </row>
    <row r="14" spans="1:10" ht="28.5" customHeight="1">
      <c r="B14" s="45">
        <v>2021</v>
      </c>
      <c r="C14" s="23">
        <v>2.1</v>
      </c>
      <c r="D14" s="24">
        <v>44288</v>
      </c>
      <c r="E14" s="27" t="s">
        <v>562</v>
      </c>
      <c r="F14" s="26" t="s">
        <v>561</v>
      </c>
    </row>
    <row r="15" spans="1:10" ht="28.5" customHeight="1">
      <c r="B15" s="45">
        <v>2021</v>
      </c>
      <c r="C15" s="23">
        <v>2.2000000000000002</v>
      </c>
      <c r="D15" s="24">
        <v>44355</v>
      </c>
      <c r="E15" s="27" t="s">
        <v>563</v>
      </c>
      <c r="F15" s="26" t="s">
        <v>561</v>
      </c>
    </row>
    <row r="16" spans="1:10" ht="28.5" customHeight="1">
      <c r="B16" s="45">
        <v>2021</v>
      </c>
      <c r="C16" s="23">
        <v>2.2999999999999998</v>
      </c>
      <c r="D16" s="24">
        <v>44378</v>
      </c>
      <c r="E16" s="27" t="s">
        <v>564</v>
      </c>
      <c r="F16" s="26" t="s">
        <v>565</v>
      </c>
    </row>
    <row r="17" spans="2:6" ht="28.5" customHeight="1">
      <c r="B17" s="45">
        <v>2023</v>
      </c>
      <c r="C17" s="23">
        <v>2.4</v>
      </c>
      <c r="D17" s="24">
        <v>45061</v>
      </c>
      <c r="E17" s="27" t="s">
        <v>566</v>
      </c>
      <c r="F17" s="26" t="s">
        <v>565</v>
      </c>
    </row>
    <row r="18" spans="2:6" ht="28.5" customHeight="1">
      <c r="B18" s="45">
        <v>2024</v>
      </c>
      <c r="C18" s="23">
        <v>6</v>
      </c>
      <c r="D18" s="24">
        <v>45316</v>
      </c>
      <c r="E18" s="27" t="s">
        <v>567</v>
      </c>
      <c r="F18" s="26" t="s">
        <v>568</v>
      </c>
    </row>
    <row r="19" spans="2:6" ht="28.5" customHeight="1">
      <c r="B19" s="45">
        <v>2024</v>
      </c>
      <c r="C19" s="269">
        <v>6.01</v>
      </c>
      <c r="D19" s="24">
        <v>45352</v>
      </c>
      <c r="E19" s="25" t="s">
        <v>569</v>
      </c>
      <c r="F19" s="26" t="s">
        <v>568</v>
      </c>
    </row>
    <row r="20" spans="2:6" ht="28.5" customHeight="1">
      <c r="B20" s="45">
        <v>2024</v>
      </c>
      <c r="C20" s="269">
        <v>6.02</v>
      </c>
      <c r="D20" s="24">
        <v>45463</v>
      </c>
      <c r="E20" s="25" t="s">
        <v>590</v>
      </c>
      <c r="F20" s="26" t="s">
        <v>565</v>
      </c>
    </row>
    <row r="21" spans="2:6" ht="28.5" customHeight="1">
      <c r="B21" s="45">
        <v>2024</v>
      </c>
      <c r="C21" s="269">
        <v>6.03</v>
      </c>
      <c r="D21" s="24">
        <v>45463</v>
      </c>
      <c r="E21" s="27" t="s">
        <v>594</v>
      </c>
      <c r="F21" s="26" t="s">
        <v>593</v>
      </c>
    </row>
    <row r="22" spans="2:6" ht="28.5" customHeight="1">
      <c r="B22" s="45"/>
      <c r="C22" s="269"/>
      <c r="D22" s="27"/>
      <c r="E22" s="27"/>
      <c r="F22" s="26"/>
    </row>
    <row r="23" spans="2:6" ht="28.5" customHeight="1">
      <c r="B23" s="45"/>
      <c r="C23" s="269"/>
      <c r="D23" s="27"/>
      <c r="E23" s="27"/>
      <c r="F23" s="26"/>
    </row>
    <row r="24" spans="2:6" ht="28.5" customHeight="1">
      <c r="B24" s="45"/>
      <c r="C24" s="289"/>
      <c r="D24" s="256"/>
      <c r="E24" s="256"/>
      <c r="F24" s="148"/>
    </row>
    <row r="25" spans="2:6">
      <c r="B25" s="10"/>
      <c r="C25" s="10"/>
      <c r="D25" s="10"/>
      <c r="E25" s="11"/>
      <c r="F25" s="10"/>
    </row>
  </sheetData>
  <mergeCells count="5">
    <mergeCell ref="B2:F2"/>
    <mergeCell ref="F5:G5"/>
    <mergeCell ref="F4:G4"/>
    <mergeCell ref="C5:D5"/>
    <mergeCell ref="C4:D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Q D A A B Q S w M E F A A C A A g A C 2 Y 6 W P R 0 D 3 a k A A A A 9 g A A A B I A H A B D b 2 5 m a W c v U G F j a 2 F n Z S 5 4 b W w g o h g A K K A U A A A A A A A A A A A A A A A A A A A A A A A A A A A A h Y 8 x D o I w G I W v Q r r T l m o M I a U M r p K Y E I 1 r U y o 0 w o + h x X I 3 B 4 / k F c Q o 6 u b 4 v v c N 7 9 2 v N 5 6 N b R N c d G 9 N B y m K M E W B B t W V B q o U D e 4 Y x i g T f C v V S V Y 6 m G S w y W j L F N X O n R N C v P f Y L 3 D X V 4 R R G p F D v i l U r V u J P r L 5 L 4 c G r J O g N B J 8 / x o j G I 7 Y E q 9 Y j C k n M + S 5 g a / A p r 3 P 9 g f y 9 d C 4 o d d C Q 7 g r O J k j J + 8 P 4 g F Q S w M E F A A C A A g A C 2 Y 6 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t m O l g o i k e 4 D g A A A B E A A A A T A B w A R m 9 y b X V s Y X M v U 2 V j d G l v b j E u b S C i G A A o o B Q A A A A A A A A A A A A A A A A A A A A A A A A A A A A r T k 0 u y c z P U w i G 0 I b W A F B L A Q I t A B Q A A g A I A A t m O l j 0 d A 9 2 p A A A A P Y A A A A S A A A A A A A A A A A A A A A A A A A A A A B D b 2 5 m a W c v U G F j a 2 F n Z S 5 4 b W x Q S w E C L Q A U A A I A C A A L Z j p Y D 8 r p q 6 Q A A A D p A A A A E w A A A A A A A A A A A A A A A A D w A A A A W 0 N v b n R l b n R f V H l w Z X N d L n h t b F B L A Q I t A B Q A A g A I A A t m O l 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I f q z / X T P 9 T b p 8 0 0 X q Z D s E A A A A A A I A A A A A A A N m A A D A A A A A E A A A A D 2 + N 8 v 2 u 8 A W k j a L G 0 p 6 + n o A A A A A B I A A A K A A A A A Q A A A A U q K c 2 a p 4 L + 5 i Z 4 B B / k Z i / l A A A A B 3 1 l 6 B d E I + X 1 p b Q v O t F w f v K h 4 J k L O 5 p w m W P v o w T a I T V n g T M n A N X 6 n z b U K 7 1 O H 0 u s P m L y a x / w O s B y 7 P j Q 0 9 C n C i e / R 5 g z E H e l d B W X 5 T S t 5 z 8 h Q A A A B 0 k k b K m Z W M K 9 b V j Z r A z J L I m a u H W Q = = < / D a t a M a s h u p > 
</file>

<file path=customXml/item3.xml><?xml version="1.0" encoding="utf-8"?>
<ct:contentTypeSchema xmlns:ct="http://schemas.microsoft.com/office/2006/metadata/contentType" xmlns:ma="http://schemas.microsoft.com/office/2006/metadata/properties/metaAttributes" ct:_="" ma:_="" ma:contentTypeName="Document" ma:contentTypeID="0x0101001BF96E70731EB54292983A8187A83857" ma:contentTypeVersion="19" ma:contentTypeDescription="Create a new document." ma:contentTypeScope="" ma:versionID="8337ff5e10216785962b073bc0064131">
  <xsd:schema xmlns:xsd="http://www.w3.org/2001/XMLSchema" xmlns:xs="http://www.w3.org/2001/XMLSchema" xmlns:p="http://schemas.microsoft.com/office/2006/metadata/properties" xmlns:ns2="98788742-c24c-455f-83e9-59d89e3de440" xmlns:ns3="52741100-c965-4fd4-8aa7-2d9d842b1c91" targetNamespace="http://schemas.microsoft.com/office/2006/metadata/properties" ma:root="true" ma:fieldsID="d085211609b0e51669eb912f5f9ac8e6" ns2:_="" ns3:_="">
    <xsd:import namespace="98788742-c24c-455f-83e9-59d89e3de440"/>
    <xsd:import namespace="52741100-c965-4fd4-8aa7-2d9d842b1c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788742-c24c-455f-83e9-59d89e3de4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6033a7-fbac-4cd0-8a8a-00b65ae7f6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741100-c965-4fd4-8aa7-2d9d842b1c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59b68ff-026d-4505-85f4-9dfcb1bec11e}" ma:internalName="TaxCatchAll" ma:showField="CatchAllData" ma:web="52741100-c965-4fd4-8aa7-2d9d842b1c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98788742-c24c-455f-83e9-59d89e3de440">
      <Terms xmlns="http://schemas.microsoft.com/office/infopath/2007/PartnerControls"/>
    </lcf76f155ced4ddcb4097134ff3c332f>
    <TaxCatchAll xmlns="52741100-c965-4fd4-8aa7-2d9d842b1c91" xsi:nil="true"/>
  </documentManagement>
</p:properties>
</file>

<file path=customXml/itemProps1.xml><?xml version="1.0" encoding="utf-8"?>
<ds:datastoreItem xmlns:ds="http://schemas.openxmlformats.org/officeDocument/2006/customXml" ds:itemID="{100B3BCE-C7AB-4CCB-B8FC-4E0C0BDAFD79}">
  <ds:schemaRefs>
    <ds:schemaRef ds:uri="http://schemas.microsoft.com/sharepoint/v3/contenttype/forms"/>
  </ds:schemaRefs>
</ds:datastoreItem>
</file>

<file path=customXml/itemProps2.xml><?xml version="1.0" encoding="utf-8"?>
<ds:datastoreItem xmlns:ds="http://schemas.openxmlformats.org/officeDocument/2006/customXml" ds:itemID="{19D32595-F013-49AB-A9F6-C466D6927F57}">
  <ds:schemaRefs>
    <ds:schemaRef ds:uri="http://schemas.microsoft.com/DataMashup"/>
  </ds:schemaRefs>
</ds:datastoreItem>
</file>

<file path=customXml/itemProps3.xml><?xml version="1.0" encoding="utf-8"?>
<ds:datastoreItem xmlns:ds="http://schemas.openxmlformats.org/officeDocument/2006/customXml" ds:itemID="{F41ECFF2-5F8B-4016-BE96-76BC17120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788742-c24c-455f-83e9-59d89e3de440"/>
    <ds:schemaRef ds:uri="52741100-c965-4fd4-8aa7-2d9d842b1c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7399D27-9BFE-4155-AE52-51AF6A72D0EF}">
  <ds:schemaRefs>
    <ds:schemaRef ds:uri="http://www.w3.org/XML/1998/namespace"/>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purl.org/dc/terms/"/>
    <ds:schemaRef ds:uri="52741100-c965-4fd4-8aa7-2d9d842b1c91"/>
    <ds:schemaRef ds:uri="98788742-c24c-455f-83e9-59d89e3de44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Instructions</vt:lpstr>
      <vt:lpstr>Methodology</vt:lpstr>
      <vt:lpstr>Summary</vt:lpstr>
      <vt:lpstr>Calculator</vt:lpstr>
      <vt:lpstr>Data Export</vt:lpstr>
      <vt:lpstr>Calculations</vt:lpstr>
      <vt:lpstr>Ice Machine Incentive Ref</vt:lpstr>
      <vt:lpstr>ETDF</vt:lpstr>
      <vt:lpstr>Version Log</vt:lpstr>
      <vt:lpstr>BuildingTypeOven</vt:lpstr>
      <vt:lpstr>Curtains</vt:lpstr>
      <vt:lpstr>DishwasherTemp</vt:lpstr>
      <vt:lpstr>High</vt:lpstr>
      <vt:lpstr>Low</vt:lpstr>
      <vt:lpstr>Calculator!Print_Area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Morency</dc:creator>
  <cp:keywords/>
  <dc:description/>
  <cp:lastModifiedBy>Conor McGrail</cp:lastModifiedBy>
  <cp:revision/>
  <dcterms:created xsi:type="dcterms:W3CDTF">2014-05-06T17:45:34Z</dcterms:created>
  <dcterms:modified xsi:type="dcterms:W3CDTF">2024-06-21T15:44:07Z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dlc_DocIdItemGuid">
    <vt:lpwstr>a4cae1f8-bc12-446a-99ab-1e69d7b1254e</vt:lpwstr>
  </property>
  <property fmtid="{D5CDD505-2E9C-101B-9397-08002B2CF9AE}" pid="4" name="ContentTypeId">
    <vt:lpwstr>0x0101001BF96E70731EB54292983A8187A83857</vt:lpwstr>
  </property>
  <property fmtid="{D5CDD505-2E9C-101B-9397-08002B2CF9AE}" pid="5" name="TaxKeyword">
    <vt:lpwstr/>
  </property>
  <property fmtid="{D5CDD505-2E9C-101B-9397-08002B2CF9AE}" pid="6" name="MediaServiceImageTags">
    <vt:lpwstr/>
  </property>
</Properties>
</file>