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https://clearesult5-my.sharepoint.com/personal/angelique_quinn_clearesult_com/Documents/Desktop/"/>
    </mc:Choice>
  </mc:AlternateContent>
  <xr:revisionPtr revIDLastSave="0" documentId="8_{1869E2EB-2B24-4CDD-A14B-47DF46C8DC00}" xr6:coauthVersionLast="46" xr6:coauthVersionMax="46" xr10:uidLastSave="{00000000-0000-0000-0000-000000000000}"/>
  <workbookProtection workbookAlgorithmName="SHA-512" workbookHashValue="o+2LX2/W+nQxg104cw3cIqlpF8vaeuFBYOEO3VMbMwnc7hQB9tAXTqCFSeI9TX9EU5M7La6niygUIYsjWPVgIg==" workbookSaltValue="KhC39Y6uQcwmEp32kbN1HQ==" workbookSpinCount="100000" lockStructure="1"/>
  <bookViews>
    <workbookView xWindow="-120" yWindow="-120" windowWidth="20730" windowHeight="11160" tabRatio="756" xr2:uid="{00000000-000D-0000-FFFF-FFFF00000000}"/>
  </bookViews>
  <sheets>
    <sheet name="Instructions" sheetId="16" r:id="rId1"/>
    <sheet name="Methodology" sheetId="21" state="hidden" r:id="rId2"/>
    <sheet name="Summary" sheetId="30" r:id="rId3"/>
    <sheet name="Calculator" sheetId="4" r:id="rId4"/>
    <sheet name="Data Export" sheetId="34" state="hidden" r:id="rId5"/>
    <sheet name="Calculations" sheetId="5" state="hidden" r:id="rId6"/>
    <sheet name="Ice Machine Incentive Ref" sheetId="31" state="hidden" r:id="rId7"/>
    <sheet name="DSMT import" sheetId="33" state="hidden" r:id="rId8"/>
    <sheet name="Version Log" sheetId="29" state="hidden" r:id="rId9"/>
  </sheets>
  <definedNames>
    <definedName name="BuildingTypeOven">Calculations!$S$139:$S$150</definedName>
    <definedName name="Curtains">Calculations!$E$36:$E$37</definedName>
    <definedName name="DishwasherTemp">Calculations!$C$324:$C$325</definedName>
    <definedName name="High">Calculations!$D$324:$D$328</definedName>
    <definedName name="Low">Calculations!$E$324:$E$327</definedName>
    <definedName name="_xlnm.Print_Area" localSheetId="3">Calculator!$B$2:$F$6</definedName>
  </definedNames>
  <calcPr calcId="191029" iterateDelta="1E-4"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 i="4" l="1"/>
  <c r="C29" i="5"/>
  <c r="B29" i="5"/>
  <c r="G29" i="5"/>
  <c r="C30" i="5"/>
  <c r="B30" i="5"/>
  <c r="G30" i="5"/>
  <c r="C31" i="5"/>
  <c r="B31" i="5"/>
  <c r="G31" i="5"/>
  <c r="C145" i="4"/>
  <c r="C146" i="4"/>
  <c r="C147" i="4"/>
  <c r="C148" i="4"/>
  <c r="B145" i="4"/>
  <c r="B146" i="4"/>
  <c r="B147" i="4"/>
  <c r="B148" i="4"/>
  <c r="C136" i="4"/>
  <c r="C137" i="4"/>
  <c r="C138" i="4"/>
  <c r="C139" i="4"/>
  <c r="B136" i="4"/>
  <c r="B137" i="4"/>
  <c r="B138" i="4"/>
  <c r="B139" i="4"/>
  <c r="C127" i="4"/>
  <c r="C128" i="4"/>
  <c r="C129" i="4"/>
  <c r="C130" i="4"/>
  <c r="C126" i="4"/>
  <c r="B127" i="4"/>
  <c r="B128" i="4"/>
  <c r="B129" i="4"/>
  <c r="B130" i="4"/>
  <c r="B126" i="4"/>
  <c r="C118" i="4"/>
  <c r="C119" i="4"/>
  <c r="C120" i="4"/>
  <c r="C121" i="4"/>
  <c r="C117" i="4"/>
  <c r="B118" i="4"/>
  <c r="B119" i="4"/>
  <c r="B120" i="4"/>
  <c r="B121" i="4"/>
  <c r="B117" i="4"/>
  <c r="C111" i="4"/>
  <c r="C112" i="4"/>
  <c r="C110" i="4"/>
  <c r="B111" i="4"/>
  <c r="B112" i="4"/>
  <c r="B110" i="4"/>
  <c r="C99" i="4"/>
  <c r="C100" i="4"/>
  <c r="C101" i="4"/>
  <c r="C102" i="4"/>
  <c r="C103" i="4"/>
  <c r="C104" i="4"/>
  <c r="C105" i="4"/>
  <c r="C98" i="4"/>
  <c r="B99" i="4"/>
  <c r="B100" i="4"/>
  <c r="B101" i="4"/>
  <c r="B102" i="4"/>
  <c r="B103" i="4"/>
  <c r="B104" i="4"/>
  <c r="B105" i="4"/>
  <c r="B98" i="4"/>
  <c r="C93" i="4"/>
  <c r="C85" i="4"/>
  <c r="C86" i="4"/>
  <c r="C87" i="4"/>
  <c r="C88" i="4"/>
  <c r="C84" i="4"/>
  <c r="C79" i="4"/>
  <c r="C78" i="4"/>
  <c r="C71" i="4"/>
  <c r="C72" i="4"/>
  <c r="C73" i="4"/>
  <c r="C70" i="4"/>
  <c r="B71" i="4"/>
  <c r="B72" i="4"/>
  <c r="B73" i="4"/>
  <c r="B70" i="4"/>
  <c r="C63" i="4"/>
  <c r="C64" i="4"/>
  <c r="C65" i="4"/>
  <c r="C62" i="4"/>
  <c r="B63" i="4"/>
  <c r="B64" i="4"/>
  <c r="B65" i="4"/>
  <c r="B62" i="4"/>
  <c r="C57" i="4"/>
  <c r="C56" i="4"/>
  <c r="B57" i="4"/>
  <c r="B56" i="4"/>
  <c r="C49" i="4"/>
  <c r="C50" i="4"/>
  <c r="C51" i="4"/>
  <c r="C48" i="4"/>
  <c r="B49" i="4"/>
  <c r="B50" i="4"/>
  <c r="B51" i="4"/>
  <c r="B48" i="4"/>
  <c r="C42" i="4"/>
  <c r="C41" i="4"/>
  <c r="B42" i="4"/>
  <c r="B41" i="4"/>
  <c r="C36" i="4"/>
  <c r="C35" i="4"/>
  <c r="B36" i="4"/>
  <c r="B35" i="4"/>
  <c r="C24" i="4"/>
  <c r="C25" i="4"/>
  <c r="C26" i="4"/>
  <c r="C27" i="4"/>
  <c r="C28" i="4"/>
  <c r="C29" i="4"/>
  <c r="C30" i="4"/>
  <c r="C23" i="4"/>
  <c r="B24" i="4"/>
  <c r="B25" i="4"/>
  <c r="B26" i="4"/>
  <c r="B27" i="4"/>
  <c r="B28" i="4"/>
  <c r="B29" i="4"/>
  <c r="B30" i="4"/>
  <c r="B23" i="4"/>
  <c r="C18" i="4"/>
  <c r="C16" i="4"/>
  <c r="C17" i="4"/>
  <c r="B16" i="4"/>
  <c r="B17" i="4"/>
  <c r="B18" i="4"/>
  <c r="B15" i="4"/>
  <c r="C8" i="4"/>
  <c r="C9" i="4"/>
  <c r="C10" i="4"/>
  <c r="B8" i="4"/>
  <c r="B9" i="4"/>
  <c r="B10" i="4"/>
  <c r="D249" i="5"/>
  <c r="D237" i="5"/>
  <c r="D238" i="5"/>
  <c r="D239" i="5"/>
  <c r="D240" i="5"/>
  <c r="D236" i="5"/>
  <c r="D221" i="5"/>
  <c r="D220" i="5"/>
  <c r="F26" i="30"/>
  <c r="H26" i="30"/>
  <c r="F22" i="30"/>
  <c r="H22" i="30"/>
  <c r="F18" i="30"/>
  <c r="H18" i="30"/>
  <c r="F23" i="30"/>
  <c r="G23" i="30"/>
  <c r="F19" i="30"/>
  <c r="G19" i="30"/>
  <c r="F15" i="30"/>
  <c r="G15" i="30"/>
  <c r="F14" i="30"/>
  <c r="G14" i="30"/>
  <c r="F28" i="30"/>
  <c r="F27" i="30"/>
  <c r="G26" i="30"/>
  <c r="F25" i="30"/>
  <c r="H25" i="30"/>
  <c r="F24" i="30"/>
  <c r="H24" i="30"/>
  <c r="H23" i="30"/>
  <c r="G22" i="30"/>
  <c r="F21" i="30"/>
  <c r="H21" i="30"/>
  <c r="F20" i="30"/>
  <c r="H20" i="30"/>
  <c r="H19" i="30"/>
  <c r="G18" i="30"/>
  <c r="F17" i="30"/>
  <c r="H17" i="30"/>
  <c r="F16" i="30"/>
  <c r="H16" i="30"/>
  <c r="H15" i="30"/>
  <c r="F13" i="30"/>
  <c r="H13" i="30"/>
  <c r="F12" i="30"/>
  <c r="F11" i="30"/>
  <c r="J2" i="30"/>
  <c r="G16" i="30"/>
  <c r="G20" i="30"/>
  <c r="G24" i="30"/>
  <c r="G13" i="30"/>
  <c r="G17" i="30"/>
  <c r="G21" i="30"/>
  <c r="G25" i="30"/>
  <c r="H14" i="30"/>
  <c r="AZ55" i="34"/>
  <c r="AZ56" i="34"/>
  <c r="AZ57" i="34"/>
  <c r="AZ58" i="34"/>
  <c r="AZ59" i="34"/>
  <c r="B71" i="34"/>
  <c r="B72" i="34"/>
  <c r="B73" i="34"/>
  <c r="B74" i="34"/>
  <c r="B70" i="34"/>
  <c r="BL72" i="34"/>
  <c r="BP72" i="34"/>
  <c r="BO72" i="34"/>
  <c r="BH72" i="34"/>
  <c r="C71" i="34"/>
  <c r="BH71" i="34"/>
  <c r="BO71" i="34"/>
  <c r="BP71" i="34"/>
  <c r="BH74" i="34"/>
  <c r="BO74" i="34"/>
  <c r="BP74" i="34"/>
  <c r="BA74" i="34"/>
  <c r="AZ74" i="34"/>
  <c r="AQ73" i="34"/>
  <c r="BH73" i="34"/>
  <c r="BO73" i="34"/>
  <c r="BP73" i="34"/>
  <c r="BL71" i="34"/>
  <c r="BN73" i="34"/>
  <c r="C74" i="34"/>
  <c r="AQ72" i="34"/>
  <c r="E74" i="34"/>
  <c r="R74" i="34"/>
  <c r="BQ74" i="34"/>
  <c r="BM73" i="34"/>
  <c r="AX74" i="34"/>
  <c r="BM74" i="34"/>
  <c r="BN74" i="34"/>
  <c r="AQ74" i="34"/>
  <c r="BL74" i="34"/>
  <c r="D74" i="34"/>
  <c r="AY74" i="34"/>
  <c r="D73" i="34"/>
  <c r="E73" i="34"/>
  <c r="R73" i="34"/>
  <c r="AX73" i="34"/>
  <c r="AY73" i="34"/>
  <c r="BA73" i="34"/>
  <c r="AZ73" i="34"/>
  <c r="BN72" i="34"/>
  <c r="BQ73" i="34"/>
  <c r="AQ71" i="34"/>
  <c r="C73" i="34"/>
  <c r="BL70" i="34"/>
  <c r="BM72" i="34"/>
  <c r="D72" i="34"/>
  <c r="E72" i="34"/>
  <c r="R72" i="34"/>
  <c r="AX72" i="34"/>
  <c r="AY72" i="34"/>
  <c r="BA72" i="34"/>
  <c r="AZ72" i="34"/>
  <c r="BN71" i="34"/>
  <c r="BQ72" i="34"/>
  <c r="C72" i="34"/>
  <c r="BL73" i="34"/>
  <c r="BM71" i="34"/>
  <c r="D71" i="34"/>
  <c r="E71" i="34"/>
  <c r="R71" i="34"/>
  <c r="AX71" i="34"/>
  <c r="AY71" i="34"/>
  <c r="BA71" i="34"/>
  <c r="AZ71" i="34"/>
  <c r="BQ71" i="34"/>
  <c r="BM70" i="34"/>
  <c r="AX70" i="34"/>
  <c r="D70" i="34"/>
  <c r="AY70" i="34"/>
  <c r="R70" i="34"/>
  <c r="BN70" i="34"/>
  <c r="BQ70" i="34"/>
  <c r="E70" i="34"/>
  <c r="B66" i="34"/>
  <c r="B67" i="34"/>
  <c r="BR67" i="34"/>
  <c r="B68" i="34"/>
  <c r="B69" i="34"/>
  <c r="BR69" i="34"/>
  <c r="B65" i="34"/>
  <c r="B61" i="34"/>
  <c r="B62" i="34"/>
  <c r="AX62" i="34"/>
  <c r="B63" i="34"/>
  <c r="BR63" i="34"/>
  <c r="B64" i="34"/>
  <c r="B60" i="34"/>
  <c r="BR60" i="34"/>
  <c r="B56" i="34"/>
  <c r="B57" i="34"/>
  <c r="B58" i="34"/>
  <c r="B59" i="34"/>
  <c r="B55" i="34"/>
  <c r="B53" i="34"/>
  <c r="AY53" i="34"/>
  <c r="B54" i="34"/>
  <c r="AU54" i="34"/>
  <c r="BH64" i="34"/>
  <c r="BR64" i="34"/>
  <c r="AY66" i="34"/>
  <c r="BR66" i="34"/>
  <c r="AY61" i="34"/>
  <c r="BR61" i="34"/>
  <c r="AX61" i="34"/>
  <c r="AY67" i="34"/>
  <c r="BH61" i="34"/>
  <c r="BA62" i="34"/>
  <c r="AZ62" i="34"/>
  <c r="BR62" i="34"/>
  <c r="BH62" i="34"/>
  <c r="BK68" i="34"/>
  <c r="BR68" i="34"/>
  <c r="AY62" i="34"/>
  <c r="AY68" i="34"/>
  <c r="AY54" i="34"/>
  <c r="D54" i="34"/>
  <c r="R54" i="34"/>
  <c r="E53" i="34"/>
  <c r="C57" i="34"/>
  <c r="BL57" i="34"/>
  <c r="AQ57" i="34"/>
  <c r="BM57" i="34"/>
  <c r="F57" i="34"/>
  <c r="K57" i="34"/>
  <c r="AX57" i="34"/>
  <c r="BD57" i="34"/>
  <c r="C63" i="34"/>
  <c r="BM63" i="34"/>
  <c r="AQ63" i="34"/>
  <c r="BL63" i="34"/>
  <c r="E63" i="34"/>
  <c r="G63" i="34"/>
  <c r="R63" i="34"/>
  <c r="BL69" i="34"/>
  <c r="C69" i="34"/>
  <c r="AQ69" i="34"/>
  <c r="BM69" i="34"/>
  <c r="E69" i="34"/>
  <c r="G69" i="34"/>
  <c r="R69" i="34"/>
  <c r="BA69" i="34"/>
  <c r="AZ69" i="34"/>
  <c r="BI69" i="34"/>
  <c r="BJ69" i="34"/>
  <c r="BK69" i="34"/>
  <c r="BL56" i="34"/>
  <c r="AQ56" i="34"/>
  <c r="BM56" i="34"/>
  <c r="C56" i="34"/>
  <c r="E56" i="34"/>
  <c r="G56" i="34"/>
  <c r="R56" i="34"/>
  <c r="AX56" i="34"/>
  <c r="BD56" i="34"/>
  <c r="BF56" i="34"/>
  <c r="BG56" i="34"/>
  <c r="D62" i="34"/>
  <c r="F62" i="34"/>
  <c r="O62" i="34"/>
  <c r="R62" i="34"/>
  <c r="D68" i="34"/>
  <c r="F68" i="34"/>
  <c r="O68" i="34"/>
  <c r="BI68" i="34"/>
  <c r="D53" i="34"/>
  <c r="R53" i="34"/>
  <c r="AU53" i="34"/>
  <c r="BM59" i="34"/>
  <c r="C59" i="34"/>
  <c r="BL59" i="34"/>
  <c r="AQ59" i="34"/>
  <c r="D59" i="34"/>
  <c r="E59" i="34"/>
  <c r="F59" i="34"/>
  <c r="G59" i="34"/>
  <c r="K59" i="34"/>
  <c r="R59" i="34"/>
  <c r="U59" i="34"/>
  <c r="AX59" i="34"/>
  <c r="AY59" i="34"/>
  <c r="BD59" i="34"/>
  <c r="BE59" i="34"/>
  <c r="BF59" i="34"/>
  <c r="BG59" i="34"/>
  <c r="BL60" i="34"/>
  <c r="BM60" i="34"/>
  <c r="BL61" i="34"/>
  <c r="C61" i="34"/>
  <c r="BM61" i="34"/>
  <c r="AQ61" i="34"/>
  <c r="D61" i="34"/>
  <c r="E61" i="34"/>
  <c r="F61" i="34"/>
  <c r="G61" i="34"/>
  <c r="O61" i="34"/>
  <c r="R61" i="34"/>
  <c r="AY64" i="34"/>
  <c r="AX64" i="34"/>
  <c r="BA61" i="34"/>
  <c r="AZ61" i="34"/>
  <c r="BM67" i="34"/>
  <c r="AQ67" i="34"/>
  <c r="BL67" i="34"/>
  <c r="C67" i="34"/>
  <c r="D67" i="34"/>
  <c r="E67" i="34"/>
  <c r="F67" i="34"/>
  <c r="G67" i="34"/>
  <c r="O67" i="34"/>
  <c r="R67" i="34"/>
  <c r="AX67" i="34"/>
  <c r="BA67" i="34"/>
  <c r="AZ67" i="34"/>
  <c r="BI67" i="34"/>
  <c r="BJ67" i="34"/>
  <c r="BK67" i="34"/>
  <c r="C53" i="34"/>
  <c r="BL53" i="34"/>
  <c r="AQ53" i="34"/>
  <c r="BM53" i="34"/>
  <c r="Y53" i="34"/>
  <c r="AX53" i="34"/>
  <c r="BA53" i="34"/>
  <c r="AZ53" i="34"/>
  <c r="D57" i="34"/>
  <c r="E57" i="34"/>
  <c r="G57" i="34"/>
  <c r="R57" i="34"/>
  <c r="U57" i="34"/>
  <c r="AY57" i="34"/>
  <c r="BE57" i="34"/>
  <c r="BF57" i="34"/>
  <c r="BG57" i="34"/>
  <c r="D63" i="34"/>
  <c r="F63" i="34"/>
  <c r="O63" i="34"/>
  <c r="BA63" i="34"/>
  <c r="AZ63" i="34"/>
  <c r="D69" i="34"/>
  <c r="F69" i="34"/>
  <c r="O69" i="34"/>
  <c r="AX69" i="34"/>
  <c r="BG55" i="34"/>
  <c r="AQ55" i="34"/>
  <c r="BM55" i="34"/>
  <c r="BL55" i="34"/>
  <c r="D56" i="34"/>
  <c r="F56" i="34"/>
  <c r="K56" i="34"/>
  <c r="U56" i="34"/>
  <c r="AY56" i="34"/>
  <c r="BE56" i="34"/>
  <c r="BM62" i="34"/>
  <c r="AQ62" i="34"/>
  <c r="BL62" i="34"/>
  <c r="C62" i="34"/>
  <c r="E62" i="34"/>
  <c r="G62" i="34"/>
  <c r="BL68" i="34"/>
  <c r="C68" i="34"/>
  <c r="AQ68" i="34"/>
  <c r="BM68" i="34"/>
  <c r="E68" i="34"/>
  <c r="G68" i="34"/>
  <c r="R68" i="34"/>
  <c r="AX68" i="34"/>
  <c r="BA68" i="34"/>
  <c r="AZ68" i="34"/>
  <c r="BJ68" i="34"/>
  <c r="BM54" i="34"/>
  <c r="C54" i="34"/>
  <c r="BL54" i="34"/>
  <c r="AQ54" i="34"/>
  <c r="E54" i="34"/>
  <c r="Y54" i="34"/>
  <c r="AX54" i="34"/>
  <c r="BA54" i="34"/>
  <c r="AZ54" i="34"/>
  <c r="BM58" i="34"/>
  <c r="C58" i="34"/>
  <c r="BL58" i="34"/>
  <c r="AQ58" i="34"/>
  <c r="D58" i="34"/>
  <c r="E58" i="34"/>
  <c r="F58" i="34"/>
  <c r="G58" i="34"/>
  <c r="K58" i="34"/>
  <c r="R58" i="34"/>
  <c r="U58" i="34"/>
  <c r="AX58" i="34"/>
  <c r="AY58" i="34"/>
  <c r="BD58" i="34"/>
  <c r="BE58" i="34"/>
  <c r="BF58" i="34"/>
  <c r="BG58" i="34"/>
  <c r="BL64" i="34"/>
  <c r="C64" i="34"/>
  <c r="BM64" i="34"/>
  <c r="AQ64" i="34"/>
  <c r="D64" i="34"/>
  <c r="E64" i="34"/>
  <c r="F64" i="34"/>
  <c r="G64" i="34"/>
  <c r="O64" i="34"/>
  <c r="R64" i="34"/>
  <c r="AX63" i="34"/>
  <c r="AY63" i="34"/>
  <c r="BA64" i="34"/>
  <c r="AZ64" i="34"/>
  <c r="BH63" i="34"/>
  <c r="BL65" i="34"/>
  <c r="BM65" i="34"/>
  <c r="BM66" i="34"/>
  <c r="BL66" i="34"/>
  <c r="C66" i="34"/>
  <c r="AQ66" i="34"/>
  <c r="D66" i="34"/>
  <c r="E66" i="34"/>
  <c r="F66" i="34"/>
  <c r="G66" i="34"/>
  <c r="O66" i="34"/>
  <c r="R66" i="34"/>
  <c r="AX66" i="34"/>
  <c r="AY69" i="34"/>
  <c r="BA66" i="34"/>
  <c r="AZ66" i="34"/>
  <c r="BI66" i="34"/>
  <c r="BJ66" i="34"/>
  <c r="BK66" i="34"/>
  <c r="BJ65" i="34"/>
  <c r="D65" i="34"/>
  <c r="AY65" i="34"/>
  <c r="E65" i="34"/>
  <c r="G65" i="34"/>
  <c r="AX65" i="34"/>
  <c r="F65" i="34"/>
  <c r="R65" i="34"/>
  <c r="AY60" i="34"/>
  <c r="D60" i="34"/>
  <c r="G60" i="34"/>
  <c r="E60" i="34"/>
  <c r="AX60" i="34"/>
  <c r="F60" i="34"/>
  <c r="R60" i="34"/>
  <c r="E55" i="34"/>
  <c r="F55" i="34"/>
  <c r="R55" i="34"/>
  <c r="G55" i="34"/>
  <c r="AX55" i="34"/>
  <c r="BF55" i="34"/>
  <c r="D55" i="34"/>
  <c r="AY55" i="34"/>
  <c r="B45" i="34"/>
  <c r="AY45" i="34"/>
  <c r="B46" i="34"/>
  <c r="AU46" i="34"/>
  <c r="B47" i="34"/>
  <c r="AR47" i="34"/>
  <c r="B48" i="34"/>
  <c r="AY48" i="34"/>
  <c r="B49" i="34"/>
  <c r="AY49" i="34"/>
  <c r="B50" i="34"/>
  <c r="AO50" i="34"/>
  <c r="B51" i="34"/>
  <c r="AR51" i="34"/>
  <c r="AY50" i="34"/>
  <c r="E50" i="34"/>
  <c r="AR49" i="34"/>
  <c r="K49" i="34"/>
  <c r="R48" i="34"/>
  <c r="E49" i="34"/>
  <c r="K48" i="34"/>
  <c r="U49" i="34"/>
  <c r="AO49" i="34"/>
  <c r="AR48" i="34"/>
  <c r="E46" i="34"/>
  <c r="K45" i="34"/>
  <c r="U48" i="34"/>
  <c r="AO46" i="34"/>
  <c r="AR45" i="34"/>
  <c r="AY46" i="34"/>
  <c r="E45" i="34"/>
  <c r="P48" i="34"/>
  <c r="U45" i="34"/>
  <c r="AO45" i="34"/>
  <c r="AU48" i="34"/>
  <c r="AX51" i="34"/>
  <c r="BM50" i="34"/>
  <c r="C50" i="34"/>
  <c r="AQ50" i="34"/>
  <c r="BL50" i="34"/>
  <c r="D50" i="34"/>
  <c r="P47" i="34"/>
  <c r="R47" i="34"/>
  <c r="AQ49" i="34"/>
  <c r="BL49" i="34"/>
  <c r="D49" i="34"/>
  <c r="C49" i="34"/>
  <c r="BM49" i="34"/>
  <c r="AQ45" i="34"/>
  <c r="BL45" i="34"/>
  <c r="D45" i="34"/>
  <c r="BM45" i="34"/>
  <c r="C45" i="34"/>
  <c r="E48" i="34"/>
  <c r="K51" i="34"/>
  <c r="K47" i="34"/>
  <c r="P50" i="34"/>
  <c r="P46" i="34"/>
  <c r="Q49" i="34"/>
  <c r="Q45" i="34"/>
  <c r="R46" i="34"/>
  <c r="U51" i="34"/>
  <c r="U47" i="34"/>
  <c r="Y49" i="34"/>
  <c r="Y45" i="34"/>
  <c r="AN49" i="34"/>
  <c r="AN45" i="34"/>
  <c r="AO48" i="34"/>
  <c r="AU50" i="34"/>
  <c r="AX49" i="34"/>
  <c r="AX45" i="34"/>
  <c r="BM51" i="34"/>
  <c r="C51" i="34"/>
  <c r="AQ51" i="34"/>
  <c r="D51" i="34"/>
  <c r="BL51" i="34"/>
  <c r="BM47" i="34"/>
  <c r="C47" i="34"/>
  <c r="AQ47" i="34"/>
  <c r="BL47" i="34"/>
  <c r="D47" i="34"/>
  <c r="Q51" i="34"/>
  <c r="Q47" i="34"/>
  <c r="R51" i="34"/>
  <c r="Y47" i="34"/>
  <c r="AN51" i="34"/>
  <c r="AN47" i="34"/>
  <c r="AX47" i="34"/>
  <c r="BM46" i="34"/>
  <c r="C46" i="34"/>
  <c r="AQ46" i="34"/>
  <c r="BL46" i="34"/>
  <c r="D46" i="34"/>
  <c r="P51" i="34"/>
  <c r="Q50" i="34"/>
  <c r="Q46" i="34"/>
  <c r="R50" i="34"/>
  <c r="Y50" i="34"/>
  <c r="Y46" i="34"/>
  <c r="AN50" i="34"/>
  <c r="AN46" i="34"/>
  <c r="AU51" i="34"/>
  <c r="AU47" i="34"/>
  <c r="AX50" i="34"/>
  <c r="AX46" i="34"/>
  <c r="BL48" i="34"/>
  <c r="D48" i="34"/>
  <c r="BM48" i="34"/>
  <c r="C48" i="34"/>
  <c r="AQ48" i="34"/>
  <c r="E51" i="34"/>
  <c r="E47" i="34"/>
  <c r="K50" i="34"/>
  <c r="K46" i="34"/>
  <c r="P49" i="34"/>
  <c r="P45" i="34"/>
  <c r="Q48" i="34"/>
  <c r="R49" i="34"/>
  <c r="R45" i="34"/>
  <c r="U50" i="34"/>
  <c r="U46" i="34"/>
  <c r="Y48" i="34"/>
  <c r="Y51" i="34"/>
  <c r="AN48" i="34"/>
  <c r="AO51" i="34"/>
  <c r="AO47" i="34"/>
  <c r="AR50" i="34"/>
  <c r="AR46" i="34"/>
  <c r="AU49" i="34"/>
  <c r="AU45" i="34"/>
  <c r="AX48" i="34"/>
  <c r="AY51" i="34"/>
  <c r="AY47" i="34"/>
  <c r="B39" i="34"/>
  <c r="AY39" i="34"/>
  <c r="B40" i="34"/>
  <c r="B41" i="34"/>
  <c r="AY41" i="34"/>
  <c r="B42" i="34"/>
  <c r="AY42" i="34"/>
  <c r="B37" i="34"/>
  <c r="AX37" i="34"/>
  <c r="Y37" i="34"/>
  <c r="D37" i="34"/>
  <c r="AT37" i="34"/>
  <c r="C39" i="34"/>
  <c r="BM39" i="34"/>
  <c r="AQ39" i="34"/>
  <c r="BL39" i="34"/>
  <c r="D39" i="34"/>
  <c r="E39" i="34"/>
  <c r="R39" i="34"/>
  <c r="AX39" i="34"/>
  <c r="BA39" i="34"/>
  <c r="AZ39" i="34"/>
  <c r="E37" i="34"/>
  <c r="BM42" i="34"/>
  <c r="AQ42" i="34"/>
  <c r="BL42" i="34"/>
  <c r="C42" i="34"/>
  <c r="D42" i="34"/>
  <c r="E42" i="34"/>
  <c r="R42" i="34"/>
  <c r="AX42" i="34"/>
  <c r="BA42" i="34"/>
  <c r="AZ42" i="34"/>
  <c r="BL37" i="34"/>
  <c r="C37" i="34"/>
  <c r="AQ37" i="34"/>
  <c r="BM37" i="34"/>
  <c r="BA37" i="34"/>
  <c r="AZ37" i="34"/>
  <c r="BL40" i="34"/>
  <c r="C40" i="34"/>
  <c r="BM40" i="34"/>
  <c r="AQ40" i="34"/>
  <c r="D40" i="34"/>
  <c r="E40" i="34"/>
  <c r="R40" i="34"/>
  <c r="AX40" i="34"/>
  <c r="BA40" i="34"/>
  <c r="AZ40" i="34"/>
  <c r="R37" i="34"/>
  <c r="AY37" i="34"/>
  <c r="BL41" i="34"/>
  <c r="C41" i="34"/>
  <c r="AQ41" i="34"/>
  <c r="BM41" i="34"/>
  <c r="D41" i="34"/>
  <c r="E41" i="34"/>
  <c r="R41" i="34"/>
  <c r="AX41" i="34"/>
  <c r="AY40" i="34"/>
  <c r="BA41" i="34"/>
  <c r="AZ41" i="34"/>
  <c r="B33" i="34"/>
  <c r="U33" i="34"/>
  <c r="B34" i="34"/>
  <c r="AJ34" i="34"/>
  <c r="B35" i="34"/>
  <c r="AY35" i="34"/>
  <c r="B29" i="34"/>
  <c r="AX29" i="34"/>
  <c r="B30" i="34"/>
  <c r="AL30" i="34"/>
  <c r="B31" i="34"/>
  <c r="U31" i="34"/>
  <c r="B27" i="34"/>
  <c r="AL27" i="34"/>
  <c r="B21" i="34"/>
  <c r="E21" i="34"/>
  <c r="BA21" i="34"/>
  <c r="AZ21" i="34"/>
  <c r="B19" i="34"/>
  <c r="BA19" i="34"/>
  <c r="AZ19" i="34"/>
  <c r="B11" i="34"/>
  <c r="D11" i="34"/>
  <c r="B12" i="34"/>
  <c r="AM12" i="34"/>
  <c r="B13" i="34"/>
  <c r="AX13" i="34"/>
  <c r="B14" i="34"/>
  <c r="E14" i="34"/>
  <c r="B15" i="34"/>
  <c r="AO15" i="34"/>
  <c r="B16" i="34"/>
  <c r="B17" i="34"/>
  <c r="R17" i="34"/>
  <c r="B7" i="34"/>
  <c r="B8" i="34"/>
  <c r="BA8" i="34"/>
  <c r="AZ8" i="34"/>
  <c r="B9" i="34"/>
  <c r="AG9" i="34"/>
  <c r="AO14" i="34"/>
  <c r="U29" i="34"/>
  <c r="R9" i="34"/>
  <c r="AC19" i="34"/>
  <c r="AL31" i="34"/>
  <c r="AX9" i="34"/>
  <c r="D15" i="34"/>
  <c r="AY29" i="34"/>
  <c r="Y34" i="34"/>
  <c r="AY17" i="34"/>
  <c r="U27" i="34"/>
  <c r="AJ33" i="34"/>
  <c r="R8" i="34"/>
  <c r="AY9" i="34"/>
  <c r="D14" i="34"/>
  <c r="AO13" i="34"/>
  <c r="AY13" i="34"/>
  <c r="U21" i="34"/>
  <c r="D27" i="34"/>
  <c r="Y27" i="34"/>
  <c r="AY27" i="34"/>
  <c r="E29" i="34"/>
  <c r="Y30" i="34"/>
  <c r="AL29" i="34"/>
  <c r="D35" i="34"/>
  <c r="K33" i="34"/>
  <c r="Y33" i="34"/>
  <c r="AX34" i="34"/>
  <c r="R13" i="34"/>
  <c r="AX27" i="34"/>
  <c r="D9" i="34"/>
  <c r="AA8" i="34"/>
  <c r="D13" i="34"/>
  <c r="E13" i="34"/>
  <c r="AO17" i="34"/>
  <c r="AO11" i="34"/>
  <c r="AY21" i="34"/>
  <c r="E27" i="34"/>
  <c r="AE27" i="34"/>
  <c r="D31" i="34"/>
  <c r="K29" i="34"/>
  <c r="Y29" i="34"/>
  <c r="AX30" i="34"/>
  <c r="D33" i="34"/>
  <c r="U35" i="34"/>
  <c r="AB33" i="34"/>
  <c r="AX33" i="34"/>
  <c r="E17" i="34"/>
  <c r="E30" i="34"/>
  <c r="E33" i="34"/>
  <c r="E9" i="34"/>
  <c r="D17" i="34"/>
  <c r="K27" i="34"/>
  <c r="D29" i="34"/>
  <c r="AD29" i="34"/>
  <c r="E34" i="34"/>
  <c r="AJ35" i="34"/>
  <c r="BM7" i="34"/>
  <c r="C7" i="34"/>
  <c r="BL7" i="34"/>
  <c r="AQ7" i="34"/>
  <c r="AX7" i="34"/>
  <c r="E7" i="34"/>
  <c r="AY7" i="34"/>
  <c r="R7" i="34"/>
  <c r="BA7" i="34"/>
  <c r="AZ7" i="34"/>
  <c r="AG7" i="34"/>
  <c r="D7" i="34"/>
  <c r="BM19" i="34"/>
  <c r="AQ19" i="34"/>
  <c r="BL19" i="34"/>
  <c r="C19" i="34"/>
  <c r="AY19" i="34"/>
  <c r="Y19" i="34"/>
  <c r="I19" i="34"/>
  <c r="AX19" i="34"/>
  <c r="U19" i="34"/>
  <c r="E19" i="34"/>
  <c r="AE19" i="34"/>
  <c r="R19" i="34"/>
  <c r="D19" i="34"/>
  <c r="BM8" i="34"/>
  <c r="C8" i="34"/>
  <c r="AQ8" i="34"/>
  <c r="BL8" i="34"/>
  <c r="AG8" i="34"/>
  <c r="D8" i="34"/>
  <c r="AX8" i="34"/>
  <c r="E8" i="34"/>
  <c r="AY8" i="34"/>
  <c r="AA7" i="34"/>
  <c r="BM16" i="34"/>
  <c r="C16" i="34"/>
  <c r="BL16" i="34"/>
  <c r="AQ16" i="34"/>
  <c r="AO16" i="34"/>
  <c r="D16" i="34"/>
  <c r="E16" i="34"/>
  <c r="AY16" i="34"/>
  <c r="AX16" i="34"/>
  <c r="R16" i="34"/>
  <c r="BM12" i="34"/>
  <c r="C12" i="34"/>
  <c r="AQ12" i="34"/>
  <c r="BL12" i="34"/>
  <c r="AO12" i="34"/>
  <c r="D12" i="34"/>
  <c r="E12" i="34"/>
  <c r="AY12" i="34"/>
  <c r="AX12" i="34"/>
  <c r="R12" i="34"/>
  <c r="AM16" i="34"/>
  <c r="K19" i="34"/>
  <c r="BM15" i="34"/>
  <c r="C15" i="34"/>
  <c r="BL15" i="34"/>
  <c r="AQ15" i="34"/>
  <c r="BM11" i="34"/>
  <c r="C11" i="34"/>
  <c r="BL11" i="34"/>
  <c r="AQ11" i="34"/>
  <c r="AM15" i="34"/>
  <c r="AM11" i="34"/>
  <c r="H21" i="34"/>
  <c r="Y21" i="34"/>
  <c r="BM31" i="34"/>
  <c r="C31" i="34"/>
  <c r="AQ31" i="34"/>
  <c r="BL31" i="34"/>
  <c r="D30" i="34"/>
  <c r="R31" i="34"/>
  <c r="U30" i="34"/>
  <c r="AJ31" i="34"/>
  <c r="BA31" i="34"/>
  <c r="AZ31" i="34"/>
  <c r="BM35" i="34"/>
  <c r="C35" i="34"/>
  <c r="AQ35" i="34"/>
  <c r="BL35" i="34"/>
  <c r="D34" i="34"/>
  <c r="R35" i="34"/>
  <c r="U34" i="34"/>
  <c r="AD35" i="34"/>
  <c r="BA35" i="34"/>
  <c r="AZ35" i="34"/>
  <c r="BL21" i="34"/>
  <c r="C21" i="34"/>
  <c r="BM21" i="34"/>
  <c r="AQ21" i="34"/>
  <c r="AE21" i="34"/>
  <c r="BM30" i="34"/>
  <c r="C30" i="34"/>
  <c r="AQ30" i="34"/>
  <c r="BL30" i="34"/>
  <c r="K31" i="34"/>
  <c r="R30" i="34"/>
  <c r="AD31" i="34"/>
  <c r="AJ30" i="34"/>
  <c r="AY31" i="34"/>
  <c r="BA30" i="34"/>
  <c r="AZ30" i="34"/>
  <c r="BM34" i="34"/>
  <c r="C34" i="34"/>
  <c r="AQ34" i="34"/>
  <c r="BL34" i="34"/>
  <c r="K35" i="34"/>
  <c r="R34" i="34"/>
  <c r="AB35" i="34"/>
  <c r="AD34" i="34"/>
  <c r="AY34" i="34"/>
  <c r="BA34" i="34"/>
  <c r="AZ34" i="34"/>
  <c r="C14" i="34"/>
  <c r="BL14" i="34"/>
  <c r="AQ14" i="34"/>
  <c r="BM14" i="34"/>
  <c r="R15" i="34"/>
  <c r="R11" i="34"/>
  <c r="AM14" i="34"/>
  <c r="AX15" i="34"/>
  <c r="AX11" i="34"/>
  <c r="AY15" i="34"/>
  <c r="AY11" i="34"/>
  <c r="K21" i="34"/>
  <c r="BL9" i="34"/>
  <c r="AQ9" i="34"/>
  <c r="BM9" i="34"/>
  <c r="C9" i="34"/>
  <c r="AA9" i="34"/>
  <c r="BA9" i="34"/>
  <c r="AZ9" i="34"/>
  <c r="BL17" i="34"/>
  <c r="AQ17" i="34"/>
  <c r="BM17" i="34"/>
  <c r="C17" i="34"/>
  <c r="BL13" i="34"/>
  <c r="AQ13" i="34"/>
  <c r="BM13" i="34"/>
  <c r="C13" i="34"/>
  <c r="E15" i="34"/>
  <c r="E11" i="34"/>
  <c r="R14" i="34"/>
  <c r="AM17" i="34"/>
  <c r="AM13" i="34"/>
  <c r="AX14" i="34"/>
  <c r="AX17" i="34"/>
  <c r="AY14" i="34"/>
  <c r="D21" i="34"/>
  <c r="R21" i="34"/>
  <c r="AX21" i="34"/>
  <c r="AQ27" i="34"/>
  <c r="BM27" i="34"/>
  <c r="BL27" i="34"/>
  <c r="C27" i="34"/>
  <c r="R27" i="34"/>
  <c r="AK27" i="34"/>
  <c r="BA27" i="34"/>
  <c r="AZ27" i="34"/>
  <c r="AQ29" i="34"/>
  <c r="BL29" i="34"/>
  <c r="BM29" i="34"/>
  <c r="C29" i="34"/>
  <c r="E31" i="34"/>
  <c r="K30" i="34"/>
  <c r="R29" i="34"/>
  <c r="Y31" i="34"/>
  <c r="AD30" i="34"/>
  <c r="AJ29" i="34"/>
  <c r="AX31" i="34"/>
  <c r="AY30" i="34"/>
  <c r="BA29" i="34"/>
  <c r="AZ29" i="34"/>
  <c r="AQ33" i="34"/>
  <c r="BL33" i="34"/>
  <c r="BM33" i="34"/>
  <c r="C33" i="34"/>
  <c r="E35" i="34"/>
  <c r="K34" i="34"/>
  <c r="R33" i="34"/>
  <c r="Y35" i="34"/>
  <c r="AB34" i="34"/>
  <c r="AD33" i="34"/>
  <c r="AX35" i="34"/>
  <c r="AY33" i="34"/>
  <c r="BA33" i="34"/>
  <c r="AZ33" i="34"/>
  <c r="B4" i="34"/>
  <c r="BR4" i="34"/>
  <c r="B5" i="34"/>
  <c r="BR5" i="34"/>
  <c r="BM4" i="34"/>
  <c r="C4" i="34"/>
  <c r="BL4" i="34"/>
  <c r="AQ4" i="34"/>
  <c r="AO4" i="34"/>
  <c r="R4" i="34"/>
  <c r="D4" i="34"/>
  <c r="AX4" i="34"/>
  <c r="S4" i="34"/>
  <c r="E4" i="34"/>
  <c r="BA4" i="34"/>
  <c r="AZ4" i="34"/>
  <c r="O4" i="34"/>
  <c r="AY4" i="34"/>
  <c r="F4" i="34"/>
  <c r="AI4" i="34"/>
  <c r="Z4" i="34"/>
  <c r="BL5" i="34"/>
  <c r="AQ5" i="34"/>
  <c r="BM5" i="34"/>
  <c r="C5" i="34"/>
  <c r="BA5" i="34"/>
  <c r="AZ5" i="34"/>
  <c r="AI5" i="34"/>
  <c r="O5" i="34"/>
  <c r="AO5" i="34"/>
  <c r="R5" i="34"/>
  <c r="D5" i="34"/>
  <c r="Z5" i="34"/>
  <c r="S5" i="34"/>
  <c r="F5" i="34"/>
  <c r="AX5" i="34"/>
  <c r="E5" i="34"/>
  <c r="AY5" i="34"/>
  <c r="K2" i="4"/>
  <c r="H426" i="5"/>
  <c r="G426" i="5"/>
  <c r="I426" i="5"/>
  <c r="J426" i="5"/>
  <c r="H427" i="5"/>
  <c r="H428" i="5"/>
  <c r="H429" i="5"/>
  <c r="H425" i="5"/>
  <c r="G427" i="5"/>
  <c r="I427" i="5"/>
  <c r="J427" i="5"/>
  <c r="G428" i="5"/>
  <c r="G429" i="5"/>
  <c r="I429" i="5"/>
  <c r="J429" i="5"/>
  <c r="G425" i="5"/>
  <c r="F426" i="5"/>
  <c r="F427" i="5"/>
  <c r="F428" i="5"/>
  <c r="F429" i="5"/>
  <c r="F425" i="5"/>
  <c r="BH70" i="34"/>
  <c r="E426" i="5"/>
  <c r="E427" i="5"/>
  <c r="E428" i="5"/>
  <c r="E429" i="5"/>
  <c r="E425" i="5"/>
  <c r="D426" i="5"/>
  <c r="D427" i="5"/>
  <c r="D428" i="5"/>
  <c r="D429" i="5"/>
  <c r="D425" i="5"/>
  <c r="BO70" i="34"/>
  <c r="C426" i="5"/>
  <c r="C427" i="5"/>
  <c r="C428" i="5"/>
  <c r="C429" i="5"/>
  <c r="C425" i="5"/>
  <c r="B426" i="5"/>
  <c r="M426" i="5"/>
  <c r="B427" i="5"/>
  <c r="M427" i="5"/>
  <c r="B428" i="5"/>
  <c r="M428" i="5"/>
  <c r="B429" i="5"/>
  <c r="M429" i="5"/>
  <c r="B425" i="5"/>
  <c r="H424" i="5"/>
  <c r="G424" i="5"/>
  <c r="F424" i="5"/>
  <c r="E424" i="5"/>
  <c r="D424" i="5"/>
  <c r="C424" i="5"/>
  <c r="B424" i="5"/>
  <c r="K429" i="5"/>
  <c r="L429" i="5"/>
  <c r="BA70" i="34"/>
  <c r="M425" i="5"/>
  <c r="M430" i="5"/>
  <c r="L427" i="5"/>
  <c r="K427" i="5"/>
  <c r="K426" i="5"/>
  <c r="L426" i="5"/>
  <c r="K428" i="5"/>
  <c r="L428" i="5"/>
  <c r="I428" i="5"/>
  <c r="J428" i="5"/>
  <c r="I425" i="5"/>
  <c r="J425" i="5"/>
  <c r="BP70" i="34"/>
  <c r="C410" i="5"/>
  <c r="C411" i="5"/>
  <c r="C412" i="5"/>
  <c r="C413" i="5"/>
  <c r="C409" i="5"/>
  <c r="G410" i="5"/>
  <c r="M410" i="5"/>
  <c r="G411" i="5"/>
  <c r="M411" i="5"/>
  <c r="G412" i="5"/>
  <c r="M412" i="5"/>
  <c r="G413" i="5"/>
  <c r="M413" i="5"/>
  <c r="G409" i="5"/>
  <c r="M409" i="5"/>
  <c r="BK65" i="34"/>
  <c r="F410" i="5"/>
  <c r="K410" i="5"/>
  <c r="F411" i="5"/>
  <c r="K411" i="5"/>
  <c r="F412" i="5"/>
  <c r="K412" i="5"/>
  <c r="F413" i="5"/>
  <c r="K413" i="5"/>
  <c r="F409" i="5"/>
  <c r="K409" i="5"/>
  <c r="BR65" i="34"/>
  <c r="E410" i="5"/>
  <c r="E411" i="5"/>
  <c r="E412" i="5"/>
  <c r="E413" i="5"/>
  <c r="E409" i="5"/>
  <c r="D410" i="5"/>
  <c r="D411" i="5"/>
  <c r="D412" i="5"/>
  <c r="D413" i="5"/>
  <c r="D409" i="5"/>
  <c r="B410" i="5"/>
  <c r="J410" i="5"/>
  <c r="B411" i="5"/>
  <c r="J411" i="5"/>
  <c r="B412" i="5"/>
  <c r="J412" i="5"/>
  <c r="B413" i="5"/>
  <c r="J413" i="5"/>
  <c r="B409" i="5"/>
  <c r="L425" i="5"/>
  <c r="B144" i="4"/>
  <c r="K425" i="5"/>
  <c r="C144" i="4"/>
  <c r="C70" i="34"/>
  <c r="I413" i="5"/>
  <c r="H413" i="5"/>
  <c r="N412" i="5"/>
  <c r="L412" i="5"/>
  <c r="BH68" i="34"/>
  <c r="J409" i="5"/>
  <c r="BA65" i="34"/>
  <c r="I412" i="5"/>
  <c r="H412" i="5"/>
  <c r="N411" i="5"/>
  <c r="L411" i="5"/>
  <c r="BH67" i="34"/>
  <c r="I411" i="5"/>
  <c r="H411" i="5"/>
  <c r="N410" i="5"/>
  <c r="L410" i="5"/>
  <c r="BH66" i="34"/>
  <c r="I410" i="5"/>
  <c r="H410" i="5"/>
  <c r="N413" i="5"/>
  <c r="L413" i="5"/>
  <c r="BH69" i="34"/>
  <c r="H409" i="5"/>
  <c r="C135" i="4"/>
  <c r="C65" i="34"/>
  <c r="I409" i="5"/>
  <c r="B135" i="4"/>
  <c r="AQ70" i="34"/>
  <c r="O65" i="34"/>
  <c r="L409" i="5"/>
  <c r="BH65" i="34"/>
  <c r="N409" i="5"/>
  <c r="BI65" i="34"/>
  <c r="C149" i="4"/>
  <c r="H28" i="30"/>
  <c r="AQ65" i="34"/>
  <c r="J414" i="5"/>
  <c r="M299" i="5"/>
  <c r="M301" i="5"/>
  <c r="M302" i="5"/>
  <c r="I296" i="5"/>
  <c r="I298" i="5"/>
  <c r="I299" i="5"/>
  <c r="I300" i="5"/>
  <c r="I301" i="5"/>
  <c r="I302" i="5"/>
  <c r="E390" i="5"/>
  <c r="F390" i="5"/>
  <c r="E391" i="5"/>
  <c r="F391" i="5"/>
  <c r="E392" i="5"/>
  <c r="F392" i="5"/>
  <c r="E393" i="5"/>
  <c r="F393" i="5"/>
  <c r="E389" i="5"/>
  <c r="F389" i="5"/>
  <c r="D390" i="5"/>
  <c r="D391" i="5"/>
  <c r="D392" i="5"/>
  <c r="D393" i="5"/>
  <c r="D389" i="5"/>
  <c r="C390" i="5"/>
  <c r="C391" i="5"/>
  <c r="C392" i="5"/>
  <c r="C393" i="5"/>
  <c r="C389" i="5"/>
  <c r="B390" i="5"/>
  <c r="I390" i="5"/>
  <c r="B391" i="5"/>
  <c r="I391" i="5"/>
  <c r="B392" i="5"/>
  <c r="I392" i="5"/>
  <c r="B393" i="5"/>
  <c r="I393" i="5"/>
  <c r="B389" i="5"/>
  <c r="I389" i="5"/>
  <c r="C372" i="5"/>
  <c r="C373" i="5"/>
  <c r="C374" i="5"/>
  <c r="C375" i="5"/>
  <c r="C371" i="5"/>
  <c r="B372"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L372" i="5"/>
  <c r="B373" i="5"/>
  <c r="B374" i="5"/>
  <c r="L374" i="5"/>
  <c r="B375" i="5"/>
  <c r="L375" i="5"/>
  <c r="B371" i="5"/>
  <c r="L371" i="5"/>
  <c r="H393" i="5"/>
  <c r="G393" i="5"/>
  <c r="J393" i="5"/>
  <c r="G390" i="5"/>
  <c r="H390" i="5"/>
  <c r="J390" i="5"/>
  <c r="H392" i="5"/>
  <c r="G392" i="5"/>
  <c r="J392" i="5"/>
  <c r="L373" i="5"/>
  <c r="G391" i="5"/>
  <c r="H391" i="5"/>
  <c r="J391" i="5"/>
  <c r="H389" i="5"/>
  <c r="G389" i="5"/>
  <c r="B149" i="4"/>
  <c r="G28" i="30"/>
  <c r="I28" i="30"/>
  <c r="O60" i="34"/>
  <c r="J389" i="5"/>
  <c r="BH60" i="34"/>
  <c r="L302" i="5"/>
  <c r="L301" i="5"/>
  <c r="L299" i="5"/>
  <c r="G371" i="5"/>
  <c r="BE55" i="34"/>
  <c r="B140" i="4"/>
  <c r="C140" i="4"/>
  <c r="H27" i="30"/>
  <c r="D371" i="5"/>
  <c r="AQ60" i="34"/>
  <c r="BA60" i="34"/>
  <c r="C60" i="34"/>
  <c r="E371" i="5"/>
  <c r="U55" i="34"/>
  <c r="F371" i="5"/>
  <c r="G372" i="5"/>
  <c r="D375" i="5"/>
  <c r="E375" i="5"/>
  <c r="I375" i="5"/>
  <c r="E372" i="5"/>
  <c r="F373" i="5"/>
  <c r="G374" i="5"/>
  <c r="F374" i="5"/>
  <c r="J374" i="5"/>
  <c r="K374" i="5"/>
  <c r="D374" i="5"/>
  <c r="F372" i="5"/>
  <c r="J372" i="5"/>
  <c r="K372" i="5"/>
  <c r="G373" i="5"/>
  <c r="D372" i="5"/>
  <c r="I372" i="5"/>
  <c r="E373" i="5"/>
  <c r="G375" i="5"/>
  <c r="D373" i="5"/>
  <c r="I373" i="5"/>
  <c r="E374" i="5"/>
  <c r="F375" i="5"/>
  <c r="C55" i="5"/>
  <c r="C56" i="5"/>
  <c r="C57" i="5"/>
  <c r="C58" i="5"/>
  <c r="C59" i="5"/>
  <c r="C60" i="5"/>
  <c r="C61" i="5"/>
  <c r="C54" i="5"/>
  <c r="B55" i="5"/>
  <c r="B56" i="5"/>
  <c r="B57" i="5"/>
  <c r="D57" i="5"/>
  <c r="B58" i="5"/>
  <c r="E58" i="5"/>
  <c r="B59" i="5"/>
  <c r="E59" i="5"/>
  <c r="B60" i="5"/>
  <c r="E60" i="5"/>
  <c r="B61" i="5"/>
  <c r="E61" i="5"/>
  <c r="B54" i="5"/>
  <c r="F45" i="5"/>
  <c r="G45" i="5"/>
  <c r="F46" i="5"/>
  <c r="G46" i="5"/>
  <c r="F47" i="5"/>
  <c r="G47" i="5"/>
  <c r="F48" i="5"/>
  <c r="G48" i="5"/>
  <c r="F49" i="5"/>
  <c r="G49" i="5"/>
  <c r="F50" i="5"/>
  <c r="G50" i="5"/>
  <c r="G44" i="5"/>
  <c r="F44" i="5"/>
  <c r="G27" i="30"/>
  <c r="I27" i="30"/>
  <c r="H373" i="5"/>
  <c r="H375" i="5"/>
  <c r="J375" i="5"/>
  <c r="K375" i="5"/>
  <c r="J373" i="5"/>
  <c r="K373" i="5"/>
  <c r="I374" i="5"/>
  <c r="BD55" i="34"/>
  <c r="J371" i="5"/>
  <c r="K371" i="5"/>
  <c r="H372" i="5"/>
  <c r="K55" i="34"/>
  <c r="I371" i="5"/>
  <c r="I394" i="5"/>
  <c r="L376" i="5"/>
  <c r="C55" i="34"/>
  <c r="C131" i="4"/>
  <c r="B131" i="4"/>
  <c r="I26" i="30"/>
  <c r="E56" i="5"/>
  <c r="E55" i="5"/>
  <c r="E54" i="5"/>
  <c r="H57" i="5"/>
  <c r="I57" i="5"/>
  <c r="H60" i="5"/>
  <c r="I60" i="5"/>
  <c r="H56" i="5"/>
  <c r="I56" i="5"/>
  <c r="H59" i="5"/>
  <c r="I59" i="5"/>
  <c r="H55" i="5"/>
  <c r="I55" i="5"/>
  <c r="H61" i="5"/>
  <c r="I61" i="5"/>
  <c r="H54" i="5"/>
  <c r="I54" i="5"/>
  <c r="H58" i="5"/>
  <c r="I58" i="5"/>
  <c r="E57" i="5"/>
  <c r="D59" i="5"/>
  <c r="D55" i="5"/>
  <c r="D54" i="5"/>
  <c r="D58" i="5"/>
  <c r="D61" i="5"/>
  <c r="D60" i="5"/>
  <c r="D56" i="5"/>
  <c r="H374" i="5"/>
  <c r="H371" i="5"/>
  <c r="BA11" i="34"/>
  <c r="AZ11" i="34"/>
  <c r="H11" i="34"/>
  <c r="BA13" i="34"/>
  <c r="AZ13" i="34"/>
  <c r="H13" i="34"/>
  <c r="BC56" i="34"/>
  <c r="BB56" i="34"/>
  <c r="BA14" i="34"/>
  <c r="AZ14" i="34"/>
  <c r="H14" i="34"/>
  <c r="BA15" i="34"/>
  <c r="AZ15" i="34"/>
  <c r="H15" i="34"/>
  <c r="BC58" i="34"/>
  <c r="BB58" i="34"/>
  <c r="BC57" i="34"/>
  <c r="BB57" i="34"/>
  <c r="BA10" i="34"/>
  <c r="H10" i="34"/>
  <c r="BA12" i="34"/>
  <c r="AZ12" i="34"/>
  <c r="H12" i="34"/>
  <c r="BC55" i="34"/>
  <c r="BB55" i="34"/>
  <c r="BA17" i="34"/>
  <c r="AZ17" i="34"/>
  <c r="H17" i="34"/>
  <c r="BA16" i="34"/>
  <c r="AZ16" i="34"/>
  <c r="H16" i="34"/>
  <c r="BC59" i="34"/>
  <c r="BB59" i="34"/>
  <c r="S131" i="5"/>
  <c r="S132" i="5"/>
  <c r="S133" i="5"/>
  <c r="S134" i="5"/>
  <c r="C122" i="4"/>
  <c r="B122" i="4"/>
  <c r="I25" i="30"/>
  <c r="B175" i="5"/>
  <c r="B174" i="5"/>
  <c r="B173" i="5"/>
  <c r="B172" i="5"/>
  <c r="AB172" i="5"/>
  <c r="E175" i="5"/>
  <c r="G175" i="5"/>
  <c r="E174" i="5"/>
  <c r="G174" i="5"/>
  <c r="E173" i="5"/>
  <c r="G173" i="5"/>
  <c r="E172" i="5"/>
  <c r="G172" i="5"/>
  <c r="AB173" i="5"/>
  <c r="X173" i="5"/>
  <c r="Y173" i="5"/>
  <c r="AA173" i="5"/>
  <c r="AB174" i="5"/>
  <c r="X174" i="5"/>
  <c r="Y174" i="5"/>
  <c r="AB175" i="5"/>
  <c r="Y175" i="5"/>
  <c r="X175" i="5"/>
  <c r="F172" i="5"/>
  <c r="F175" i="5"/>
  <c r="F174" i="5"/>
  <c r="F173" i="5"/>
  <c r="D151" i="5"/>
  <c r="E151" i="5"/>
  <c r="D150" i="5"/>
  <c r="E150" i="5"/>
  <c r="AA174" i="5"/>
  <c r="AA175" i="5"/>
  <c r="F150" i="5"/>
  <c r="F151" i="5"/>
  <c r="B89" i="4"/>
  <c r="I21" i="30"/>
  <c r="B80" i="4"/>
  <c r="I20" i="30"/>
  <c r="B221" i="5"/>
  <c r="C221" i="5"/>
  <c r="B220" i="5"/>
  <c r="C220" i="5"/>
  <c r="B76" i="4"/>
  <c r="B36" i="34"/>
  <c r="AY36" i="34"/>
  <c r="AQ36" i="34"/>
  <c r="AX36" i="34"/>
  <c r="AT36" i="34"/>
  <c r="BL36" i="34"/>
  <c r="E36" i="34"/>
  <c r="R36" i="34"/>
  <c r="BM36" i="34"/>
  <c r="D36" i="34"/>
  <c r="Y36" i="34"/>
  <c r="C36" i="34"/>
  <c r="BA36" i="34"/>
  <c r="C80" i="4"/>
  <c r="H2" i="30"/>
  <c r="H3" i="30"/>
  <c r="B27" i="5"/>
  <c r="B28" i="5"/>
  <c r="C319" i="5"/>
  <c r="B319" i="5"/>
  <c r="D319" i="5"/>
  <c r="I319" i="5"/>
  <c r="E319" i="5"/>
  <c r="O203" i="5"/>
  <c r="O204" i="5"/>
  <c r="O205" i="5"/>
  <c r="O202" i="5"/>
  <c r="I203" i="5"/>
  <c r="I204" i="5"/>
  <c r="I205" i="5"/>
  <c r="I202" i="5"/>
  <c r="Q202" i="5"/>
  <c r="Q205" i="5"/>
  <c r="Q204" i="5"/>
  <c r="Q203" i="5"/>
  <c r="C173" i="5"/>
  <c r="C174" i="5"/>
  <c r="C175" i="5"/>
  <c r="G132" i="5"/>
  <c r="G133" i="5"/>
  <c r="O133" i="5"/>
  <c r="G134" i="5"/>
  <c r="O134" i="5"/>
  <c r="G131" i="5"/>
  <c r="G130" i="5"/>
  <c r="O130" i="5"/>
  <c r="C316" i="5"/>
  <c r="O132" i="5"/>
  <c r="Z173" i="5"/>
  <c r="D175" i="5"/>
  <c r="V175" i="5"/>
  <c r="Z175" i="5"/>
  <c r="D174" i="5"/>
  <c r="V174" i="5"/>
  <c r="F319" i="5"/>
  <c r="H319" i="5"/>
  <c r="O131" i="5"/>
  <c r="D173" i="5"/>
  <c r="N173" i="5"/>
  <c r="N175" i="5"/>
  <c r="B203" i="5"/>
  <c r="B204" i="5"/>
  <c r="B205" i="5"/>
  <c r="B202" i="5"/>
  <c r="R175" i="5"/>
  <c r="L175" i="5"/>
  <c r="U175" i="5"/>
  <c r="M175" i="5"/>
  <c r="Q175" i="5"/>
  <c r="I175" i="5"/>
  <c r="H175" i="5"/>
  <c r="T174" i="5"/>
  <c r="J175" i="5"/>
  <c r="P174" i="5"/>
  <c r="T175" i="5"/>
  <c r="P175" i="5"/>
  <c r="I174" i="5"/>
  <c r="L174" i="5"/>
  <c r="J174" i="5"/>
  <c r="U174" i="5"/>
  <c r="W174" i="5"/>
  <c r="H174" i="5"/>
  <c r="Q174" i="5"/>
  <c r="M174" i="5"/>
  <c r="N174" i="5"/>
  <c r="R174" i="5"/>
  <c r="O175" i="5"/>
  <c r="Z174" i="5"/>
  <c r="G319" i="5"/>
  <c r="H173" i="5"/>
  <c r="M173" i="5"/>
  <c r="V173" i="5"/>
  <c r="U173" i="5"/>
  <c r="Q173" i="5"/>
  <c r="R173" i="5"/>
  <c r="T173" i="5"/>
  <c r="P173" i="5"/>
  <c r="I173" i="5"/>
  <c r="J173" i="5"/>
  <c r="L173" i="5"/>
  <c r="C317" i="5"/>
  <c r="B318" i="5"/>
  <c r="C318" i="5"/>
  <c r="B317" i="5"/>
  <c r="B108" i="4"/>
  <c r="B52" i="34"/>
  <c r="E24" i="30"/>
  <c r="S175" i="5"/>
  <c r="W175" i="5"/>
  <c r="BL52" i="34"/>
  <c r="E52" i="34"/>
  <c r="BM52" i="34"/>
  <c r="R52" i="34"/>
  <c r="AU52" i="34"/>
  <c r="AX52" i="34"/>
  <c r="Y52" i="34"/>
  <c r="AY52" i="34"/>
  <c r="D52" i="34"/>
  <c r="K175" i="5"/>
  <c r="S174" i="5"/>
  <c r="K174" i="5"/>
  <c r="O174" i="5"/>
  <c r="K173" i="5"/>
  <c r="S173" i="5"/>
  <c r="W173" i="5"/>
  <c r="O173" i="5"/>
  <c r="E317" i="5"/>
  <c r="D317" i="5"/>
  <c r="D318" i="5"/>
  <c r="I318" i="5"/>
  <c r="E318" i="5"/>
  <c r="BA52" i="34"/>
  <c r="I317" i="5"/>
  <c r="F318" i="5"/>
  <c r="H318" i="5"/>
  <c r="F317" i="5"/>
  <c r="H317" i="5"/>
  <c r="D8" i="31"/>
  <c r="D9" i="31"/>
  <c r="D10" i="31"/>
  <c r="D7" i="31"/>
  <c r="AN8" i="31"/>
  <c r="AN9" i="31"/>
  <c r="AN10" i="31"/>
  <c r="AN11" i="31"/>
  <c r="AN12" i="31"/>
  <c r="AN13" i="31"/>
  <c r="AN14" i="31"/>
  <c r="AN15" i="31"/>
  <c r="AN7" i="31"/>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E15" i="31"/>
  <c r="E16" i="31"/>
  <c r="E17" i="31"/>
  <c r="E14" i="31"/>
  <c r="J13" i="31"/>
  <c r="H13" i="31"/>
  <c r="D13" i="31"/>
  <c r="G318" i="5"/>
  <c r="C52" i="34"/>
  <c r="G317" i="5"/>
  <c r="C15" i="31"/>
  <c r="C16" i="31"/>
  <c r="C17" i="31"/>
  <c r="C14" i="31"/>
  <c r="J3" i="30"/>
  <c r="B249" i="5"/>
  <c r="C249" i="5"/>
  <c r="B91" i="4"/>
  <c r="B43" i="34"/>
  <c r="B94" i="4"/>
  <c r="I22" i="30"/>
  <c r="B237" i="5"/>
  <c r="B238" i="5"/>
  <c r="B239" i="5"/>
  <c r="B240" i="5"/>
  <c r="B236" i="5"/>
  <c r="B132" i="5"/>
  <c r="B133" i="5"/>
  <c r="B134" i="5"/>
  <c r="B131" i="5"/>
  <c r="B129" i="5"/>
  <c r="I13" i="31"/>
  <c r="L130" i="5"/>
  <c r="F13" i="31"/>
  <c r="M130" i="5"/>
  <c r="G13" i="31"/>
  <c r="D130" i="5"/>
  <c r="E130" i="5"/>
  <c r="L131" i="5"/>
  <c r="M131" i="5"/>
  <c r="X131" i="5"/>
  <c r="I14" i="31"/>
  <c r="V14" i="31"/>
  <c r="L132" i="5"/>
  <c r="M132" i="5"/>
  <c r="X132" i="5"/>
  <c r="I15" i="31"/>
  <c r="V15" i="31"/>
  <c r="L133" i="5"/>
  <c r="M133" i="5"/>
  <c r="X133" i="5"/>
  <c r="I16" i="31"/>
  <c r="V16" i="31"/>
  <c r="L134" i="5"/>
  <c r="M134" i="5"/>
  <c r="X134" i="5"/>
  <c r="I17" i="31"/>
  <c r="V17" i="31"/>
  <c r="D131" i="5"/>
  <c r="E131" i="5"/>
  <c r="D132" i="5"/>
  <c r="E132" i="5"/>
  <c r="D133" i="5"/>
  <c r="E133" i="5"/>
  <c r="D134" i="5"/>
  <c r="E134" i="5"/>
  <c r="B106" i="5"/>
  <c r="B107" i="5"/>
  <c r="B108" i="5"/>
  <c r="B109" i="5"/>
  <c r="B110" i="5"/>
  <c r="B111" i="5"/>
  <c r="B112" i="5"/>
  <c r="B113" i="5"/>
  <c r="B114" i="5"/>
  <c r="B115" i="5"/>
  <c r="B116" i="5"/>
  <c r="B117" i="5"/>
  <c r="B118" i="5"/>
  <c r="B119" i="5"/>
  <c r="B120" i="5"/>
  <c r="B121" i="5"/>
  <c r="B122" i="5"/>
  <c r="B123" i="5"/>
  <c r="B124" i="5"/>
  <c r="B125" i="5"/>
  <c r="B126" i="5"/>
  <c r="F133" i="5"/>
  <c r="F131" i="5"/>
  <c r="F134" i="5"/>
  <c r="F132" i="5"/>
  <c r="C132" i="5"/>
  <c r="I132" i="5"/>
  <c r="C43" i="34"/>
  <c r="E43" i="34"/>
  <c r="AQ43" i="34"/>
  <c r="AY43" i="34"/>
  <c r="AX43" i="34"/>
  <c r="BM43" i="34"/>
  <c r="D43" i="34"/>
  <c r="R43" i="34"/>
  <c r="BL43" i="34"/>
  <c r="BA43" i="34"/>
  <c r="G15" i="31"/>
  <c r="G16" i="31"/>
  <c r="K16" i="31"/>
  <c r="L16" i="31"/>
  <c r="C94" i="4"/>
  <c r="G17" i="31"/>
  <c r="K17" i="31"/>
  <c r="L17" i="31"/>
  <c r="C113" i="4"/>
  <c r="N131" i="5"/>
  <c r="K131" i="5"/>
  <c r="Q131" i="5"/>
  <c r="N133" i="5"/>
  <c r="C240" i="5"/>
  <c r="C239" i="5"/>
  <c r="C238" i="5"/>
  <c r="C236" i="5"/>
  <c r="C237" i="5"/>
  <c r="N132" i="5"/>
  <c r="N134" i="5"/>
  <c r="F16" i="31"/>
  <c r="F15" i="31"/>
  <c r="F17" i="31"/>
  <c r="F14" i="31"/>
  <c r="AQ52" i="34"/>
  <c r="C131" i="5"/>
  <c r="H131" i="5"/>
  <c r="G14" i="31"/>
  <c r="K14" i="31"/>
  <c r="C134" i="5"/>
  <c r="H134" i="5"/>
  <c r="C133" i="5"/>
  <c r="P15" i="31"/>
  <c r="Q15" i="31"/>
  <c r="R15" i="31"/>
  <c r="K15" i="31"/>
  <c r="L15" i="31"/>
  <c r="P17" i="31"/>
  <c r="Q17" i="31"/>
  <c r="R17" i="31"/>
  <c r="P16" i="31"/>
  <c r="Q16" i="31"/>
  <c r="S16" i="31"/>
  <c r="B113" i="4"/>
  <c r="H14" i="31"/>
  <c r="P131" i="5"/>
  <c r="R131" i="5"/>
  <c r="I24" i="30"/>
  <c r="C89" i="4"/>
  <c r="D14" i="31"/>
  <c r="K133" i="5"/>
  <c r="H16" i="31"/>
  <c r="M15" i="31"/>
  <c r="N15" i="31"/>
  <c r="M17" i="31"/>
  <c r="N17" i="31"/>
  <c r="K132" i="5"/>
  <c r="H15" i="31"/>
  <c r="K134" i="5"/>
  <c r="H17" i="31"/>
  <c r="P14" i="31"/>
  <c r="Q14" i="31"/>
  <c r="L14" i="31"/>
  <c r="M14" i="31"/>
  <c r="N16" i="31"/>
  <c r="M16" i="31"/>
  <c r="H132" i="5"/>
  <c r="J132" i="5"/>
  <c r="I134" i="5"/>
  <c r="J134" i="5"/>
  <c r="I131" i="5"/>
  <c r="I133" i="5"/>
  <c r="H133" i="5"/>
  <c r="S15" i="31"/>
  <c r="R16" i="31"/>
  <c r="S17" i="31"/>
  <c r="T131" i="5"/>
  <c r="P132" i="5"/>
  <c r="Q132" i="5"/>
  <c r="P134" i="5"/>
  <c r="Q134" i="5"/>
  <c r="Q133" i="5"/>
  <c r="P133" i="5"/>
  <c r="S14" i="31"/>
  <c r="R14" i="31"/>
  <c r="J133" i="5"/>
  <c r="J131" i="5"/>
  <c r="O16" i="31"/>
  <c r="D17" i="31"/>
  <c r="O17" i="31"/>
  <c r="D16" i="31"/>
  <c r="N14" i="31"/>
  <c r="D15" i="31"/>
  <c r="O15" i="31"/>
  <c r="V131" i="5"/>
  <c r="R133" i="5"/>
  <c r="R134" i="5"/>
  <c r="R132" i="5"/>
  <c r="T14" i="31"/>
  <c r="O14" i="31"/>
  <c r="U131" i="5"/>
  <c r="T134" i="5"/>
  <c r="V134" i="5"/>
  <c r="T133" i="5"/>
  <c r="V133" i="5"/>
  <c r="T132" i="5"/>
  <c r="V132" i="5"/>
  <c r="J14" i="31"/>
  <c r="U14" i="31"/>
  <c r="J16" i="31"/>
  <c r="J17" i="31"/>
  <c r="J15" i="31"/>
  <c r="C296" i="5"/>
  <c r="D296" i="5"/>
  <c r="E296" i="5"/>
  <c r="G296" i="5"/>
  <c r="H296" i="5"/>
  <c r="C297" i="5"/>
  <c r="D297" i="5"/>
  <c r="E297" i="5"/>
  <c r="G297" i="5"/>
  <c r="H297" i="5"/>
  <c r="C298" i="5"/>
  <c r="D298" i="5"/>
  <c r="E298" i="5"/>
  <c r="G298" i="5"/>
  <c r="H298" i="5"/>
  <c r="C299" i="5"/>
  <c r="D299" i="5"/>
  <c r="E299" i="5"/>
  <c r="G299" i="5"/>
  <c r="H299" i="5"/>
  <c r="C300" i="5"/>
  <c r="D300" i="5"/>
  <c r="E300" i="5"/>
  <c r="G300" i="5"/>
  <c r="H300" i="5"/>
  <c r="C301" i="5"/>
  <c r="D301" i="5"/>
  <c r="E301" i="5"/>
  <c r="G301" i="5"/>
  <c r="H301" i="5"/>
  <c r="C302" i="5"/>
  <c r="D302" i="5"/>
  <c r="E302" i="5"/>
  <c r="G302" i="5"/>
  <c r="H302" i="5"/>
  <c r="H295" i="5"/>
  <c r="G295" i="5"/>
  <c r="D295" i="5"/>
  <c r="E295" i="5"/>
  <c r="C295" i="5"/>
  <c r="B96" i="4"/>
  <c r="B44" i="34"/>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59" i="5"/>
  <c r="B82" i="4"/>
  <c r="B38" i="34"/>
  <c r="B191" i="5"/>
  <c r="B192" i="5"/>
  <c r="B193" i="5"/>
  <c r="B194" i="5"/>
  <c r="B195" i="5"/>
  <c r="B196" i="5"/>
  <c r="B197" i="5"/>
  <c r="B190" i="5"/>
  <c r="E203" i="5"/>
  <c r="W203" i="5"/>
  <c r="E204" i="5"/>
  <c r="W204" i="5"/>
  <c r="E205" i="5"/>
  <c r="W205" i="5"/>
  <c r="E202" i="5"/>
  <c r="W202" i="5"/>
  <c r="D203" i="5"/>
  <c r="D204" i="5"/>
  <c r="D205" i="5"/>
  <c r="D202" i="5"/>
  <c r="D200" i="5"/>
  <c r="B68" i="4"/>
  <c r="B32" i="34"/>
  <c r="C172" i="5"/>
  <c r="B60" i="4"/>
  <c r="B28" i="34"/>
  <c r="C151" i="5"/>
  <c r="Q151" i="5"/>
  <c r="C150" i="5"/>
  <c r="Q150" i="5"/>
  <c r="B151" i="5"/>
  <c r="B150" i="5"/>
  <c r="B54" i="4"/>
  <c r="B26" i="34"/>
  <c r="B45" i="4"/>
  <c r="B94" i="5"/>
  <c r="B93" i="5"/>
  <c r="C94" i="5"/>
  <c r="O94" i="5"/>
  <c r="C93" i="5"/>
  <c r="O93" i="5"/>
  <c r="B39" i="4"/>
  <c r="B20" i="34"/>
  <c r="C78" i="5"/>
  <c r="Q78" i="5"/>
  <c r="C77" i="5"/>
  <c r="Q77" i="5"/>
  <c r="B77" i="5"/>
  <c r="B78" i="5"/>
  <c r="B33" i="4"/>
  <c r="B18" i="34"/>
  <c r="B21" i="4"/>
  <c r="B10" i="34"/>
  <c r="C28" i="5"/>
  <c r="G28" i="5"/>
  <c r="C27" i="5"/>
  <c r="B13" i="4"/>
  <c r="B6" i="34"/>
  <c r="B17" i="5"/>
  <c r="K17" i="5"/>
  <c r="C17" i="5"/>
  <c r="D17" i="5"/>
  <c r="B18" i="5"/>
  <c r="K18" i="5"/>
  <c r="C18" i="5"/>
  <c r="D18" i="5"/>
  <c r="B19" i="5"/>
  <c r="K19" i="5"/>
  <c r="C19" i="5"/>
  <c r="D19" i="5"/>
  <c r="B20" i="5"/>
  <c r="K20" i="5"/>
  <c r="C20" i="5"/>
  <c r="D20" i="5"/>
  <c r="C16" i="5"/>
  <c r="D16" i="5"/>
  <c r="B16" i="5"/>
  <c r="B5" i="4"/>
  <c r="B10" i="5"/>
  <c r="B11" i="5"/>
  <c r="B12" i="5"/>
  <c r="B13" i="5"/>
  <c r="E9" i="5"/>
  <c r="AJ28" i="34"/>
  <c r="AE20" i="34"/>
  <c r="R20" i="34"/>
  <c r="BL20" i="34"/>
  <c r="AX20" i="34"/>
  <c r="Y20" i="34"/>
  <c r="BM20" i="34"/>
  <c r="E20" i="34"/>
  <c r="D20" i="34"/>
  <c r="AY20" i="34"/>
  <c r="H20" i="34"/>
  <c r="AU44" i="34"/>
  <c r="AC18" i="34"/>
  <c r="B22" i="34"/>
  <c r="V22" i="34"/>
  <c r="B23" i="34"/>
  <c r="V23" i="34"/>
  <c r="B24" i="34"/>
  <c r="V24" i="34"/>
  <c r="B25" i="34"/>
  <c r="V25" i="34"/>
  <c r="Y32" i="34"/>
  <c r="AX32" i="34"/>
  <c r="R32" i="34"/>
  <c r="D32" i="34"/>
  <c r="AB32" i="34"/>
  <c r="AY32" i="34"/>
  <c r="BL32" i="34"/>
  <c r="E32" i="34"/>
  <c r="AD32" i="34"/>
  <c r="BM32" i="34"/>
  <c r="AJ32" i="34"/>
  <c r="AO44" i="34"/>
  <c r="B2" i="34"/>
  <c r="B3" i="34"/>
  <c r="D44" i="34"/>
  <c r="E44" i="34"/>
  <c r="AY44" i="34"/>
  <c r="BL44" i="34"/>
  <c r="AN44" i="34"/>
  <c r="BM44" i="34"/>
  <c r="R44" i="34"/>
  <c r="AX44" i="34"/>
  <c r="Y44" i="34"/>
  <c r="E10" i="34"/>
  <c r="AY10" i="34"/>
  <c r="AX10" i="34"/>
  <c r="BL10" i="34"/>
  <c r="D10" i="34"/>
  <c r="R10" i="34"/>
  <c r="BM10" i="34"/>
  <c r="AO10" i="34"/>
  <c r="AM10" i="34"/>
  <c r="BL26" i="34"/>
  <c r="AK26" i="34"/>
  <c r="AL26" i="34"/>
  <c r="AE26" i="34"/>
  <c r="BM26" i="34"/>
  <c r="E26" i="34"/>
  <c r="AY26" i="34"/>
  <c r="AX26" i="34"/>
  <c r="R26" i="34"/>
  <c r="D26" i="34"/>
  <c r="Y26" i="34"/>
  <c r="P44" i="34"/>
  <c r="AG6" i="34"/>
  <c r="E6" i="34"/>
  <c r="BL6" i="34"/>
  <c r="AY6" i="34"/>
  <c r="R6" i="34"/>
  <c r="AQ6" i="34"/>
  <c r="D6" i="34"/>
  <c r="BM6" i="34"/>
  <c r="AA6" i="34"/>
  <c r="AX6" i="34"/>
  <c r="BA6" i="34"/>
  <c r="S3" i="34"/>
  <c r="R18" i="34"/>
  <c r="E18" i="34"/>
  <c r="D18" i="34"/>
  <c r="AY18" i="34"/>
  <c r="BM18" i="34"/>
  <c r="Y18" i="34"/>
  <c r="AE18" i="34"/>
  <c r="BL18" i="34"/>
  <c r="AX18" i="34"/>
  <c r="AY28" i="34"/>
  <c r="AL28" i="34"/>
  <c r="AE28" i="34"/>
  <c r="Y28" i="34"/>
  <c r="BL28" i="34"/>
  <c r="E28" i="34"/>
  <c r="R28" i="34"/>
  <c r="BM28" i="34"/>
  <c r="D28" i="34"/>
  <c r="AX28" i="34"/>
  <c r="BA28" i="34"/>
  <c r="BA32" i="34"/>
  <c r="BM38" i="34"/>
  <c r="AY38" i="34"/>
  <c r="BL38" i="34"/>
  <c r="E38" i="34"/>
  <c r="C38" i="34"/>
  <c r="D38" i="34"/>
  <c r="R38" i="34"/>
  <c r="AQ38" i="34"/>
  <c r="AX38" i="34"/>
  <c r="BA38" i="34"/>
  <c r="Q44" i="34"/>
  <c r="L93" i="5"/>
  <c r="U20" i="34"/>
  <c r="K93" i="5"/>
  <c r="K20" i="34"/>
  <c r="L94" i="5"/>
  <c r="K94" i="5"/>
  <c r="BA26" i="34"/>
  <c r="BA20" i="34"/>
  <c r="Q302" i="5"/>
  <c r="Q298" i="5"/>
  <c r="Q301" i="5"/>
  <c r="Q297" i="5"/>
  <c r="Q299" i="5"/>
  <c r="Q300" i="5"/>
  <c r="Q296" i="5"/>
  <c r="BA18" i="34"/>
  <c r="E16" i="30"/>
  <c r="E14" i="30"/>
  <c r="E18" i="30"/>
  <c r="E21" i="30"/>
  <c r="E11" i="30"/>
  <c r="E12" i="30"/>
  <c r="E15" i="30"/>
  <c r="E19" i="30"/>
  <c r="E13" i="30"/>
  <c r="E17" i="30"/>
  <c r="Q295" i="5"/>
  <c r="AR44" i="34"/>
  <c r="N302" i="5"/>
  <c r="N298" i="5"/>
  <c r="O298" i="5"/>
  <c r="BA3" i="34"/>
  <c r="I78" i="5"/>
  <c r="N295" i="5"/>
  <c r="O295" i="5"/>
  <c r="N301" i="5"/>
  <c r="O301" i="5"/>
  <c r="N297" i="5"/>
  <c r="O297" i="5"/>
  <c r="U132" i="5"/>
  <c r="C23" i="34"/>
  <c r="H77" i="5"/>
  <c r="N300" i="5"/>
  <c r="O300" i="5"/>
  <c r="N296" i="5"/>
  <c r="O296" i="5"/>
  <c r="N299" i="5"/>
  <c r="O299" i="5"/>
  <c r="U134" i="5"/>
  <c r="C25" i="34"/>
  <c r="U133" i="5"/>
  <c r="O302" i="5"/>
  <c r="F202" i="5"/>
  <c r="D31" i="5"/>
  <c r="F31" i="5"/>
  <c r="D30" i="5"/>
  <c r="F30" i="5"/>
  <c r="D29" i="5"/>
  <c r="F29" i="5"/>
  <c r="D28" i="5"/>
  <c r="F28" i="5"/>
  <c r="C15" i="4"/>
  <c r="F61" i="5"/>
  <c r="G59" i="5"/>
  <c r="F58" i="5"/>
  <c r="F59" i="5"/>
  <c r="G61" i="5"/>
  <c r="G58" i="5"/>
  <c r="F60" i="5"/>
  <c r="G60" i="5"/>
  <c r="P205" i="5"/>
  <c r="J205" i="5"/>
  <c r="F204" i="5"/>
  <c r="C204" i="5"/>
  <c r="H204" i="5"/>
  <c r="K204" i="5"/>
  <c r="P204" i="5"/>
  <c r="J204" i="5"/>
  <c r="P203" i="5"/>
  <c r="J203" i="5"/>
  <c r="P202" i="5"/>
  <c r="J202" i="5"/>
  <c r="D172" i="5"/>
  <c r="L151" i="5"/>
  <c r="I151" i="5"/>
  <c r="H151" i="5"/>
  <c r="G151" i="5"/>
  <c r="L150" i="5"/>
  <c r="K150" i="5"/>
  <c r="J150" i="5"/>
  <c r="G150" i="5"/>
  <c r="I150" i="5"/>
  <c r="H150" i="5"/>
  <c r="F296" i="5"/>
  <c r="B296" i="5"/>
  <c r="J296" i="5"/>
  <c r="F299" i="5"/>
  <c r="B299" i="5"/>
  <c r="K299" i="5"/>
  <c r="F300" i="5"/>
  <c r="B300" i="5"/>
  <c r="F302" i="5"/>
  <c r="B302" i="5"/>
  <c r="J302" i="5"/>
  <c r="F298" i="5"/>
  <c r="B298" i="5"/>
  <c r="F295" i="5"/>
  <c r="B295" i="5"/>
  <c r="I295" i="5"/>
  <c r="F301" i="5"/>
  <c r="B301" i="5"/>
  <c r="K301" i="5"/>
  <c r="F297" i="5"/>
  <c r="B297" i="5"/>
  <c r="I297" i="5"/>
  <c r="F54" i="5"/>
  <c r="G57" i="5"/>
  <c r="G56" i="5"/>
  <c r="F55" i="5"/>
  <c r="F56" i="5"/>
  <c r="F57" i="5"/>
  <c r="G55" i="5"/>
  <c r="G54" i="5"/>
  <c r="F205" i="5"/>
  <c r="F203" i="5"/>
  <c r="K151" i="5"/>
  <c r="J151" i="5"/>
  <c r="N151" i="5"/>
  <c r="D78" i="5"/>
  <c r="J78" i="5"/>
  <c r="E77" i="5"/>
  <c r="J77" i="5"/>
  <c r="G77" i="5"/>
  <c r="G78" i="5"/>
  <c r="I77" i="5"/>
  <c r="H78" i="5"/>
  <c r="D77" i="5"/>
  <c r="I18" i="34"/>
  <c r="F77" i="5"/>
  <c r="E78" i="5"/>
  <c r="F78" i="5"/>
  <c r="B19" i="4"/>
  <c r="G12" i="30"/>
  <c r="E18" i="5"/>
  <c r="G18" i="5"/>
  <c r="F3" i="34"/>
  <c r="E17" i="5"/>
  <c r="F17" i="5"/>
  <c r="E20" i="5"/>
  <c r="H20" i="5"/>
  <c r="E19" i="5"/>
  <c r="G19" i="5"/>
  <c r="P296" i="5"/>
  <c r="BA45" i="34"/>
  <c r="AZ45" i="34"/>
  <c r="P300" i="5"/>
  <c r="BA49" i="34"/>
  <c r="AZ49" i="34"/>
  <c r="P297" i="5"/>
  <c r="BA46" i="34"/>
  <c r="AZ46" i="34"/>
  <c r="P301" i="5"/>
  <c r="BA50" i="34"/>
  <c r="AZ50" i="34"/>
  <c r="P298" i="5"/>
  <c r="BA47" i="34"/>
  <c r="AZ47" i="34"/>
  <c r="Z2" i="34"/>
  <c r="P302" i="5"/>
  <c r="BA51" i="34"/>
  <c r="AZ51" i="34"/>
  <c r="P299" i="5"/>
  <c r="BA48" i="34"/>
  <c r="AZ48" i="34"/>
  <c r="P295" i="5"/>
  <c r="BA44" i="34"/>
  <c r="AI2" i="34"/>
  <c r="BA2" i="34"/>
  <c r="S2" i="34"/>
  <c r="AQ24" i="34"/>
  <c r="AQ25" i="34"/>
  <c r="AQ23" i="34"/>
  <c r="AQ10" i="34"/>
  <c r="B31" i="4"/>
  <c r="I13" i="30"/>
  <c r="C10" i="34"/>
  <c r="C6" i="34"/>
  <c r="C19" i="4"/>
  <c r="H12" i="30"/>
  <c r="AI3" i="34"/>
  <c r="BR3" i="34"/>
  <c r="AO3" i="34"/>
  <c r="M151" i="5"/>
  <c r="C24" i="34"/>
  <c r="BM3" i="34"/>
  <c r="AY3" i="34"/>
  <c r="BL3" i="34"/>
  <c r="D3" i="34"/>
  <c r="AX3" i="34"/>
  <c r="R3" i="34"/>
  <c r="E3" i="34"/>
  <c r="AY25" i="34"/>
  <c r="R25" i="34"/>
  <c r="W25" i="34"/>
  <c r="BL25" i="34"/>
  <c r="L25" i="34"/>
  <c r="X25" i="34"/>
  <c r="AX25" i="34"/>
  <c r="M25" i="34"/>
  <c r="D25" i="34"/>
  <c r="BM25" i="34"/>
  <c r="E25" i="34"/>
  <c r="AF25" i="34"/>
  <c r="J25" i="34"/>
  <c r="AH25" i="34"/>
  <c r="T25" i="34"/>
  <c r="L22" i="34"/>
  <c r="X22" i="34"/>
  <c r="W22" i="34"/>
  <c r="BL22" i="34"/>
  <c r="M22" i="34"/>
  <c r="AX22" i="34"/>
  <c r="BM22" i="34"/>
  <c r="D22" i="34"/>
  <c r="R22" i="34"/>
  <c r="AY22" i="34"/>
  <c r="E22" i="34"/>
  <c r="AF22" i="34"/>
  <c r="AH22" i="34"/>
  <c r="J22" i="34"/>
  <c r="T22" i="34"/>
  <c r="C22" i="34"/>
  <c r="N22" i="34"/>
  <c r="AQ22" i="34"/>
  <c r="BL2" i="34"/>
  <c r="D2" i="34"/>
  <c r="AX2" i="34"/>
  <c r="AY2" i="34"/>
  <c r="R2" i="34"/>
  <c r="BM2" i="34"/>
  <c r="E2" i="34"/>
  <c r="AY24" i="34"/>
  <c r="W24" i="34"/>
  <c r="D24" i="34"/>
  <c r="BM24" i="34"/>
  <c r="AX24" i="34"/>
  <c r="M24" i="34"/>
  <c r="BL24" i="34"/>
  <c r="E24" i="34"/>
  <c r="R24" i="34"/>
  <c r="L24" i="34"/>
  <c r="X24" i="34"/>
  <c r="AF24" i="34"/>
  <c r="J24" i="34"/>
  <c r="AH24" i="34"/>
  <c r="T24" i="34"/>
  <c r="AO2" i="34"/>
  <c r="R23" i="34"/>
  <c r="M23" i="34"/>
  <c r="AX23" i="34"/>
  <c r="X23" i="34"/>
  <c r="L23" i="34"/>
  <c r="D23" i="34"/>
  <c r="BM23" i="34"/>
  <c r="AY23" i="34"/>
  <c r="E23" i="34"/>
  <c r="BL23" i="34"/>
  <c r="W23" i="34"/>
  <c r="AF23" i="34"/>
  <c r="J23" i="34"/>
  <c r="AH23" i="34"/>
  <c r="T23" i="34"/>
  <c r="P151" i="5"/>
  <c r="M150" i="5"/>
  <c r="K26" i="34"/>
  <c r="N150" i="5"/>
  <c r="U26" i="34"/>
  <c r="N93" i="5"/>
  <c r="N94" i="5"/>
  <c r="N77" i="5"/>
  <c r="L77" i="5"/>
  <c r="N78" i="5"/>
  <c r="M78" i="5"/>
  <c r="L78" i="5"/>
  <c r="C52" i="4"/>
  <c r="B52" i="4"/>
  <c r="J295" i="5"/>
  <c r="K44" i="34"/>
  <c r="I12" i="30"/>
  <c r="C31" i="4"/>
  <c r="M205" i="5"/>
  <c r="R205" i="5"/>
  <c r="U205" i="5"/>
  <c r="M204" i="5"/>
  <c r="R204" i="5"/>
  <c r="U204" i="5"/>
  <c r="M203" i="5"/>
  <c r="R203" i="5"/>
  <c r="U203" i="5"/>
  <c r="M202" i="5"/>
  <c r="R202" i="5"/>
  <c r="U202" i="5"/>
  <c r="U32" i="34"/>
  <c r="C202" i="5"/>
  <c r="G202" i="5"/>
  <c r="V172" i="5"/>
  <c r="U172" i="5"/>
  <c r="R172" i="5"/>
  <c r="T172" i="5"/>
  <c r="Q172" i="5"/>
  <c r="P172" i="5"/>
  <c r="J299" i="5"/>
  <c r="H172" i="5"/>
  <c r="I172" i="5"/>
  <c r="M172" i="5"/>
  <c r="L172" i="5"/>
  <c r="N172" i="5"/>
  <c r="J172" i="5"/>
  <c r="K296" i="5"/>
  <c r="J301" i="5"/>
  <c r="K302" i="5"/>
  <c r="G204" i="5"/>
  <c r="L204" i="5"/>
  <c r="T204" i="5"/>
  <c r="J300" i="5"/>
  <c r="K300" i="5"/>
  <c r="K295" i="5"/>
  <c r="U44" i="34"/>
  <c r="J298" i="5"/>
  <c r="K298" i="5"/>
  <c r="J297" i="5"/>
  <c r="K297" i="5"/>
  <c r="C203" i="5"/>
  <c r="H203" i="5"/>
  <c r="K203" i="5"/>
  <c r="C205" i="5"/>
  <c r="H205" i="5"/>
  <c r="K205" i="5"/>
  <c r="M94" i="5"/>
  <c r="G20" i="5"/>
  <c r="F18" i="5"/>
  <c r="Z3" i="34"/>
  <c r="H18" i="5"/>
  <c r="O3" i="34"/>
  <c r="H17" i="5"/>
  <c r="BR2" i="34"/>
  <c r="G17" i="5"/>
  <c r="F2" i="34"/>
  <c r="F20" i="5"/>
  <c r="F19" i="5"/>
  <c r="H19" i="5"/>
  <c r="G203" i="5"/>
  <c r="L203" i="5"/>
  <c r="T203" i="5"/>
  <c r="O151" i="5"/>
  <c r="C20" i="34"/>
  <c r="M93" i="5"/>
  <c r="K77" i="5"/>
  <c r="K18" i="34"/>
  <c r="M77" i="5"/>
  <c r="U18" i="34"/>
  <c r="O2" i="34"/>
  <c r="P150" i="5"/>
  <c r="P77" i="5"/>
  <c r="K78" i="5"/>
  <c r="P78" i="5"/>
  <c r="O78" i="5"/>
  <c r="J20" i="5"/>
  <c r="I18" i="5"/>
  <c r="M296" i="5"/>
  <c r="M297" i="5"/>
  <c r="M295" i="5"/>
  <c r="J17" i="5"/>
  <c r="C7" i="4"/>
  <c r="M300" i="5"/>
  <c r="M298" i="5"/>
  <c r="K172" i="5"/>
  <c r="O172" i="5"/>
  <c r="W172" i="5"/>
  <c r="S172" i="5"/>
  <c r="Y172" i="5"/>
  <c r="U28" i="34"/>
  <c r="I17" i="5"/>
  <c r="B7" i="4"/>
  <c r="I20" i="5"/>
  <c r="I19" i="5"/>
  <c r="C18" i="34"/>
  <c r="V204" i="5"/>
  <c r="H202" i="5"/>
  <c r="K202" i="5"/>
  <c r="G205" i="5"/>
  <c r="V203" i="5"/>
  <c r="C43" i="4"/>
  <c r="J19" i="5"/>
  <c r="J18" i="5"/>
  <c r="S204" i="5"/>
  <c r="S203" i="5"/>
  <c r="L297" i="5"/>
  <c r="L296" i="5"/>
  <c r="L295" i="5"/>
  <c r="O150" i="5"/>
  <c r="AQ20" i="34"/>
  <c r="B43" i="4"/>
  <c r="O77" i="5"/>
  <c r="C11" i="4"/>
  <c r="H11" i="30"/>
  <c r="AQ2" i="34"/>
  <c r="C3" i="34"/>
  <c r="X172" i="5"/>
  <c r="AA172" i="5"/>
  <c r="AQ3" i="34"/>
  <c r="K28" i="34"/>
  <c r="C26" i="34"/>
  <c r="C44" i="34"/>
  <c r="L298" i="5"/>
  <c r="L300" i="5"/>
  <c r="I15" i="30"/>
  <c r="C37" i="4"/>
  <c r="AQ18" i="34"/>
  <c r="L205" i="5"/>
  <c r="T205" i="5"/>
  <c r="L202" i="5"/>
  <c r="V202" i="5"/>
  <c r="C2" i="34"/>
  <c r="AQ44" i="34"/>
  <c r="B106" i="4"/>
  <c r="S202" i="5"/>
  <c r="Z172" i="5"/>
  <c r="AQ26" i="34"/>
  <c r="B58" i="4"/>
  <c r="C58" i="4"/>
  <c r="T202" i="5"/>
  <c r="K32" i="34"/>
  <c r="B11" i="4"/>
  <c r="I17" i="30"/>
  <c r="B66" i="4"/>
  <c r="C106" i="4"/>
  <c r="B37" i="4"/>
  <c r="V205" i="5"/>
  <c r="C28" i="34"/>
  <c r="S205" i="5"/>
  <c r="G11" i="30"/>
  <c r="I11" i="30"/>
  <c r="AQ28" i="34"/>
  <c r="AQ32" i="34"/>
  <c r="C66" i="4"/>
  <c r="I23" i="30"/>
  <c r="I18" i="30"/>
  <c r="B74" i="4"/>
  <c r="C32" i="34"/>
  <c r="I14" i="30"/>
  <c r="I19" i="30"/>
  <c r="C74" i="4"/>
  <c r="E7" i="30"/>
  <c r="F7" i="30"/>
  <c r="W14" i="31"/>
  <c r="X14" i="31"/>
  <c r="C7" i="31"/>
  <c r="T15" i="31"/>
  <c r="U15" i="31"/>
  <c r="T17" i="31"/>
  <c r="U17" i="31"/>
  <c r="T16" i="31"/>
  <c r="U16" i="31"/>
  <c r="BA22" i="34"/>
  <c r="E7" i="31"/>
  <c r="W131" i="5"/>
  <c r="W16" i="31"/>
  <c r="X16" i="31"/>
  <c r="C9" i="31"/>
  <c r="N24" i="34"/>
  <c r="W17" i="31"/>
  <c r="X17" i="31"/>
  <c r="C10" i="31"/>
  <c r="N25" i="34"/>
  <c r="W15" i="31"/>
  <c r="X15" i="31"/>
  <c r="C8" i="31"/>
  <c r="N23" i="34"/>
  <c r="I16" i="30"/>
  <c r="G7" i="30"/>
  <c r="E8" i="31"/>
  <c r="W132" i="5"/>
  <c r="BA23" i="34"/>
  <c r="E9" i="31"/>
  <c r="W133" i="5"/>
  <c r="BA24" i="34"/>
  <c r="AZ24" i="34"/>
  <c r="E10" i="31"/>
  <c r="W134" i="5"/>
  <c r="BA25" i="34"/>
  <c r="AZ25" i="34"/>
  <c r="AZ6" i="34"/>
  <c r="AZ10" i="34"/>
  <c r="AZ18" i="34"/>
  <c r="AZ22" i="34"/>
  <c r="AZ26" i="34"/>
  <c r="AZ38" i="34"/>
  <c r="AZ70" i="34"/>
  <c r="AZ65" i="34"/>
  <c r="AZ3" i="34"/>
  <c r="AZ43" i="34"/>
  <c r="AZ20" i="34"/>
  <c r="AZ28" i="34"/>
  <c r="AZ32" i="34"/>
  <c r="AZ36" i="34"/>
  <c r="AZ44" i="34"/>
  <c r="AZ52" i="34"/>
  <c r="AZ60" i="34"/>
  <c r="AZ2" i="34"/>
  <c r="AZ2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Boone Drummond</author>
  </authors>
  <commentList>
    <comment ref="G69" authorId="0" shapeId="0" xr:uid="{F6AEA1D0-3924-4230-A6CF-E64988AC2A4C}">
      <text>
        <r>
          <rPr>
            <sz val="9"/>
            <color indexed="81"/>
            <rFont val="Tahoma"/>
            <family val="2"/>
          </rPr>
          <t xml:space="preserve">Must be 3 or greater.
</t>
        </r>
      </text>
    </comment>
    <comment ref="G77" authorId="0" shapeId="0" xr:uid="{155B6D55-867D-4BAD-9CF7-DB54FE4767C4}">
      <text>
        <r>
          <rPr>
            <b/>
            <sz val="9"/>
            <color indexed="81"/>
            <rFont val="Tahoma"/>
            <family val="2"/>
          </rPr>
          <t xml:space="preserve">Class A </t>
        </r>
        <r>
          <rPr>
            <sz val="9"/>
            <color indexed="81"/>
            <rFont val="Tahoma"/>
            <family val="2"/>
          </rPr>
          <t>machine is defined as a refrigerated bottled or canned beverage vending machine that is fully cooled, and is not a combination vending machine.</t>
        </r>
        <r>
          <rPr>
            <b/>
            <sz val="9"/>
            <color indexed="81"/>
            <rFont val="Tahoma"/>
            <family val="2"/>
          </rPr>
          <t xml:space="preserve">
Class B </t>
        </r>
        <r>
          <rPr>
            <sz val="9"/>
            <color indexed="81"/>
            <rFont val="Tahoma"/>
            <family val="2"/>
          </rPr>
          <t xml:space="preserve">machine is defined as any refrigerated bottled or canned beverage vending machine not considered to be Class A, and is not a combination vending machine. </t>
        </r>
      </text>
    </comment>
  </commentList>
</comments>
</file>

<file path=xl/sharedStrings.xml><?xml version="1.0" encoding="utf-8"?>
<sst xmlns="http://schemas.openxmlformats.org/spreadsheetml/2006/main" count="1779" uniqueCount="541">
  <si>
    <t xml:space="preserve">Grey cells are calculated values. </t>
  </si>
  <si>
    <t>Worksheet Summary</t>
  </si>
  <si>
    <t>Methodology</t>
  </si>
  <si>
    <t>Calculator</t>
  </si>
  <si>
    <t>Summary of required inputs and outputs of the Calculator</t>
  </si>
  <si>
    <t>Calculations</t>
  </si>
  <si>
    <t>Summary of Calculations Worksheet</t>
  </si>
  <si>
    <t>Version Log</t>
  </si>
  <si>
    <t>The Version Log Worksheet tracks updates and changes made to the workbook.</t>
  </si>
  <si>
    <t>Glossary of Inputs</t>
  </si>
  <si>
    <t>Glossary of Outputs</t>
  </si>
  <si>
    <t>kWh</t>
  </si>
  <si>
    <t>$/year</t>
  </si>
  <si>
    <t>Calculator Methodology</t>
  </si>
  <si>
    <t>Date</t>
  </si>
  <si>
    <t>unit</t>
  </si>
  <si>
    <t>Constants</t>
  </si>
  <si>
    <t>Look-Up Table 1</t>
  </si>
  <si>
    <t>Original Author:</t>
  </si>
  <si>
    <t>QA/QC Engineer(s):</t>
  </si>
  <si>
    <t>Primary Developer:</t>
  </si>
  <si>
    <t>Senior Engineer Approval:</t>
  </si>
  <si>
    <t>Version</t>
  </si>
  <si>
    <t>Reason for Change</t>
  </si>
  <si>
    <t>Change Description</t>
  </si>
  <si>
    <t>Contact, Department</t>
  </si>
  <si>
    <t>New Calc</t>
  </si>
  <si>
    <t>Created tempary calc until DSMT is launched</t>
  </si>
  <si>
    <t>A Boone Drummond, PE</t>
  </si>
  <si>
    <t>A. Boone Drummond</t>
  </si>
  <si>
    <t>Anti-Sweat Heater Control</t>
  </si>
  <si>
    <t>kWd</t>
  </si>
  <si>
    <t>HOURS</t>
  </si>
  <si>
    <t>%ONcontrol</t>
  </si>
  <si>
    <t>%ONnone</t>
  </si>
  <si>
    <t>Type</t>
  </si>
  <si>
    <t>CF</t>
  </si>
  <si>
    <t>User Inputs List</t>
  </si>
  <si>
    <t>Refrigerator</t>
  </si>
  <si>
    <t>Freezer</t>
  </si>
  <si>
    <t>Control Type</t>
  </si>
  <si>
    <t>Temprature</t>
  </si>
  <si>
    <t>WHF</t>
  </si>
  <si>
    <t>CONCATENATE</t>
  </si>
  <si>
    <t># of Doors</t>
  </si>
  <si>
    <t>kW</t>
  </si>
  <si>
    <t>Total</t>
  </si>
  <si>
    <t>Night Covers for Refrigerated Cases</t>
  </si>
  <si>
    <t>Btu/h</t>
  </si>
  <si>
    <t>Hours</t>
  </si>
  <si>
    <t>COP</t>
  </si>
  <si>
    <t>Strip Curtains for Walk-In Coolers and Freezers</t>
  </si>
  <si>
    <t>Size</t>
  </si>
  <si>
    <t>Standard</t>
  </si>
  <si>
    <t>IDLE</t>
  </si>
  <si>
    <t>EFF</t>
  </si>
  <si>
    <t>PC</t>
  </si>
  <si>
    <t>Efood</t>
  </si>
  <si>
    <t>kWh/lb</t>
  </si>
  <si>
    <t>lb</t>
  </si>
  <si>
    <t>Days</t>
  </si>
  <si>
    <t>Look-Up Table: Base</t>
  </si>
  <si>
    <t>Look-Up Table: EE</t>
  </si>
  <si>
    <t>Energy Star Commercial Fryers</t>
  </si>
  <si>
    <t>Pounds</t>
  </si>
  <si>
    <t>Baseline</t>
  </si>
  <si>
    <t>New</t>
  </si>
  <si>
    <t># of Fryers</t>
  </si>
  <si>
    <t>Energy Star Commercial Griddle</t>
  </si>
  <si>
    <t>Ice Machine</t>
  </si>
  <si>
    <t>Commercial Convection Oven</t>
  </si>
  <si>
    <t># of Ovens</t>
  </si>
  <si>
    <t>Commercial Combination Oven</t>
  </si>
  <si>
    <t># of Pans</t>
  </si>
  <si>
    <t>&lt; 15</t>
  </si>
  <si>
    <r>
      <rPr>
        <sz val="11"/>
        <color theme="1"/>
        <rFont val="Calibri"/>
        <family val="2"/>
      </rPr>
      <t>≥</t>
    </r>
    <r>
      <rPr>
        <sz val="9.9"/>
        <color theme="1"/>
        <rFont val="Arial"/>
        <family val="2"/>
      </rPr>
      <t xml:space="preserve"> 15</t>
    </r>
  </si>
  <si>
    <t>≥ 15</t>
  </si>
  <si>
    <t>Convection</t>
  </si>
  <si>
    <t>Steam</t>
  </si>
  <si>
    <t>Cooking Mode</t>
  </si>
  <si>
    <t>Efoodconv</t>
  </si>
  <si>
    <t>Efoodsteam</t>
  </si>
  <si>
    <t>PCT</t>
  </si>
  <si>
    <t>Commercial Steam Cooker</t>
  </si>
  <si>
    <t>Baseline Model</t>
  </si>
  <si>
    <t>Steam Generator</t>
  </si>
  <si>
    <t>Boiler Based</t>
  </si>
  <si>
    <t>6+</t>
  </si>
  <si>
    <t>hr/day</t>
  </si>
  <si>
    <t>day/year</t>
  </si>
  <si>
    <t>lb/day</t>
  </si>
  <si>
    <t>Pcbas/pan</t>
  </si>
  <si>
    <t>Pcee/pan</t>
  </si>
  <si>
    <t>PCTsteam</t>
  </si>
  <si>
    <t>Measure Name</t>
  </si>
  <si>
    <t>Savings</t>
  </si>
  <si>
    <t>Incentive</t>
  </si>
  <si>
    <t>Energy Star Commercial Reach-ins</t>
  </si>
  <si>
    <t>Solid</t>
  </si>
  <si>
    <t>Transparent</t>
  </si>
  <si>
    <t>Door Type</t>
  </si>
  <si>
    <t>0&lt;V&lt;15</t>
  </si>
  <si>
    <t>Vertical</t>
  </si>
  <si>
    <t>Door Closed</t>
  </si>
  <si>
    <t>Horizontal</t>
  </si>
  <si>
    <t>kWh base a</t>
  </si>
  <si>
    <t>kWh base b</t>
  </si>
  <si>
    <t>kWh ee a</t>
  </si>
  <si>
    <t>kWh ee b</t>
  </si>
  <si>
    <t>Hour</t>
  </si>
  <si>
    <t>hr/year</t>
  </si>
  <si>
    <t># of Reach-ins</t>
  </si>
  <si>
    <t>Volume per Unit</t>
  </si>
  <si>
    <t>Volumn Group</t>
  </si>
  <si>
    <t>kWh base</t>
  </si>
  <si>
    <t>kWh ee</t>
  </si>
  <si>
    <t>Building Type</t>
  </si>
  <si>
    <t>Pre-existing Curtain</t>
  </si>
  <si>
    <t>Convenience Store</t>
  </si>
  <si>
    <t>Restaurant</t>
  </si>
  <si>
    <t>Refrigerated Warehouse</t>
  </si>
  <si>
    <t>Program Year</t>
  </si>
  <si>
    <t>Last Updated:</t>
  </si>
  <si>
    <t>Version:</t>
  </si>
  <si>
    <t># of Machines</t>
  </si>
  <si>
    <t>Duty Cycle</t>
  </si>
  <si>
    <t>days/year</t>
  </si>
  <si>
    <t>&lt; 300</t>
  </si>
  <si>
    <t>Ice Making Head</t>
  </si>
  <si>
    <t>Operation Type</t>
  </si>
  <si>
    <t>Batch</t>
  </si>
  <si>
    <t>Continuous</t>
  </si>
  <si>
    <t>&lt; 110</t>
  </si>
  <si>
    <t>&lt; 310</t>
  </si>
  <si>
    <t>&lt; 800</t>
  </si>
  <si>
    <t>&lt; 200</t>
  </si>
  <si>
    <t>kWhbase a</t>
  </si>
  <si>
    <t>kWhbase b</t>
  </si>
  <si>
    <t>Operation</t>
  </si>
  <si>
    <t>Baseline Type</t>
  </si>
  <si>
    <t>New Type</t>
  </si>
  <si>
    <t>HR</t>
  </si>
  <si>
    <t>kWh/day</t>
  </si>
  <si>
    <t>New Equipment</t>
  </si>
  <si>
    <t>Baseline Equipment</t>
  </si>
  <si>
    <t>Beverage Vending Machine Controls</t>
  </si>
  <si>
    <t>Capacity</t>
  </si>
  <si>
    <t>Look-Up Table: Savings</t>
  </si>
  <si>
    <t>kWh Savings</t>
  </si>
  <si>
    <t>Snack Vending Machine Controls</t>
  </si>
  <si>
    <t>Watts</t>
  </si>
  <si>
    <t>ESF</t>
  </si>
  <si>
    <t>Instructions: Enter all the project information in the yellow cells below.</t>
  </si>
  <si>
    <t>Project Name</t>
  </si>
  <si>
    <t>Incentive Rate</t>
  </si>
  <si>
    <t>QTY</t>
  </si>
  <si>
    <t>Each</t>
  </si>
  <si>
    <t>SolidRefrigerator&lt; 19 cubic ft</t>
  </si>
  <si>
    <t>SolidRefrigerator19-20 cubic ft</t>
  </si>
  <si>
    <t>SolidRefrigerator21-60 cubic ft</t>
  </si>
  <si>
    <t>SolidRefrigerator60-90 cubic ft</t>
  </si>
  <si>
    <t>SolidFreezer&lt; 19 cubic ft</t>
  </si>
  <si>
    <t>SolidFreezer19-20 cubic ft</t>
  </si>
  <si>
    <t>SolidFreezer21-60 cubic ft</t>
  </si>
  <si>
    <t>SolidFreezer60-90 cubic ft</t>
  </si>
  <si>
    <t>TransparentRefrigerator&lt; 19 cubic ft</t>
  </si>
  <si>
    <t>TransparentRefrigerator19-20 cubic ft</t>
  </si>
  <si>
    <t>TransparentRefrigerator21-60 cubic ft</t>
  </si>
  <si>
    <t>TransparentRefrigerator60-90 cubic ft</t>
  </si>
  <si>
    <t>TransparentFreezer&lt; 19 cubic ft</t>
  </si>
  <si>
    <t>TransparentFreezer19-20 cubic ft</t>
  </si>
  <si>
    <t>TransparentFreezer21-60 cubic ft</t>
  </si>
  <si>
    <t>TransparentFreezer60-90 cubic ft</t>
  </si>
  <si>
    <t>Ice Type</t>
  </si>
  <si>
    <t>Cube/Nugget</t>
  </si>
  <si>
    <t>Flake</t>
  </si>
  <si>
    <t>unknown</t>
  </si>
  <si>
    <t>CEE Tier I</t>
  </si>
  <si>
    <t>CEE Tier II</t>
  </si>
  <si>
    <t>min</t>
  </si>
  <si>
    <t>max</t>
  </si>
  <si>
    <t>a</t>
  </si>
  <si>
    <t>b</t>
  </si>
  <si>
    <t>CEE Tiers</t>
  </si>
  <si>
    <t>Incentives</t>
  </si>
  <si>
    <t>H &lt; 450</t>
  </si>
  <si>
    <t>450 ≤ H</t>
  </si>
  <si>
    <t>175 ≤ H</t>
  </si>
  <si>
    <t>H &lt; 1,000</t>
  </si>
  <si>
    <t>1,000 ≤ H</t>
  </si>
  <si>
    <t>H &lt; 934</t>
  </si>
  <si>
    <t>934 ≤ H</t>
  </si>
  <si>
    <t>H &lt; 175</t>
  </si>
  <si>
    <t>175 ≤ H &lt; 450</t>
  </si>
  <si>
    <t>450 ≤ H &lt; 1,000</t>
  </si>
  <si>
    <t>Tier I HR</t>
  </si>
  <si>
    <t>Tier II HR</t>
  </si>
  <si>
    <t>$/qty</t>
  </si>
  <si>
    <t>QA/QC</t>
  </si>
  <si>
    <t>Hot Food Holding Cabinet</t>
  </si>
  <si>
    <t>0 &lt; V &lt; 13</t>
  </si>
  <si>
    <t>13 ≤ V &lt; 28</t>
  </si>
  <si>
    <t>28 ≤ V</t>
  </si>
  <si>
    <t>IDLEbase</t>
  </si>
  <si>
    <t>IDLEeff</t>
  </si>
  <si>
    <t>Volume</t>
  </si>
  <si>
    <t>IDLEeff a</t>
  </si>
  <si>
    <t>IDLEeff b</t>
  </si>
  <si>
    <t>Equipment Cost</t>
  </si>
  <si>
    <t>Make</t>
  </si>
  <si>
    <t>Model</t>
  </si>
  <si>
    <t>Ryan Novosediak, EIT</t>
  </si>
  <si>
    <t>updated based on QC</t>
  </si>
  <si>
    <t>volume</t>
  </si>
  <si>
    <t>IDLE a</t>
  </si>
  <si>
    <t>IDLE b</t>
  </si>
  <si>
    <t>kWh cook</t>
  </si>
  <si>
    <t>kWh idle</t>
  </si>
  <si>
    <t>Time</t>
  </si>
  <si>
    <t>(lb/hr)</t>
  </si>
  <si>
    <t>tab on hold</t>
  </si>
  <si>
    <t>Total Linear Feet</t>
  </si>
  <si>
    <r>
      <t>Volume per Unit (ft</t>
    </r>
    <r>
      <rPr>
        <vertAlign val="superscript"/>
        <sz val="11"/>
        <color theme="1"/>
        <rFont val="Arial"/>
        <family val="2"/>
        <scheme val="minor"/>
      </rPr>
      <t>3</t>
    </r>
    <r>
      <rPr>
        <sz val="11"/>
        <color theme="1"/>
        <rFont val="Arial"/>
        <family val="2"/>
        <scheme val="minor"/>
      </rPr>
      <t>)</t>
    </r>
  </si>
  <si>
    <r>
      <t>Work Surface Area (ft</t>
    </r>
    <r>
      <rPr>
        <vertAlign val="superscript"/>
        <sz val="11"/>
        <color theme="1"/>
        <rFont val="Arial"/>
        <family val="2"/>
        <scheme val="minor"/>
      </rPr>
      <t>2</t>
    </r>
    <r>
      <rPr>
        <sz val="11"/>
        <color theme="1"/>
        <rFont val="Arial"/>
        <family val="2"/>
        <scheme val="minor"/>
      </rPr>
      <t>)</t>
    </r>
  </si>
  <si>
    <t>Length per Case (ft)</t>
  </si>
  <si>
    <t>PA TRM 2016 with Errata correction</t>
  </si>
  <si>
    <t>Summary</t>
  </si>
  <si>
    <t>Summary of Equipment Cost, Calculator Savings, and Incentives.</t>
  </si>
  <si>
    <t>Peak Demand Reduction</t>
  </si>
  <si>
    <t>Annual Energy Reduction</t>
  </si>
  <si>
    <t>Temperature</t>
  </si>
  <si>
    <t>Harvest Rate (lbs/day)</t>
  </si>
  <si>
    <t>Volume per Unit (ft3)</t>
  </si>
  <si>
    <t>Work Surface Area (ft2)</t>
  </si>
  <si>
    <t>Total number of doors for Anti-Sweater per Control Type and Temperature combination</t>
  </si>
  <si>
    <t>Total number of Vending Controls units for each Make and Model Number</t>
  </si>
  <si>
    <t>Total square footage of work surface of each Make and Model Number</t>
  </si>
  <si>
    <t>Methodology List</t>
  </si>
  <si>
    <t>Energy Star</t>
  </si>
  <si>
    <t>Site Address</t>
  </si>
  <si>
    <t>Total number of Pans in one unit for each Make and Model Number</t>
  </si>
  <si>
    <t>one time payment of Eligible Program Incentive</t>
  </si>
  <si>
    <t>Energy use per pound (kWh/100lbs)</t>
  </si>
  <si>
    <t>MER kWh/100lbs</t>
  </si>
  <si>
    <t>Actual kWh/100lbs</t>
  </si>
  <si>
    <t>Use kWh/100lbs</t>
  </si>
  <si>
    <t>fixed error on Continous Ice Machine</t>
  </si>
  <si>
    <t>Beverage Vending Machine</t>
  </si>
  <si>
    <t>Class Type</t>
  </si>
  <si>
    <t>Class A</t>
  </si>
  <si>
    <t>Class B</t>
  </si>
  <si>
    <t>(cannot be combined with Energy Star Beverage Vending Machine measure above)</t>
  </si>
  <si>
    <t>added Beverage Vending Machine measure</t>
  </si>
  <si>
    <t xml:space="preserve">***This calculator is used for estimating savings and incentives from the installation of food service measures. The measure inputs used in this calculator, by an applicant, will be reviewed by the Program in order to determine the final incentive amount. The Program reserves the right to inspect any and all measures prior to any incentive payment.  
</t>
  </si>
  <si>
    <t>Total cubic feet of each Make and Model Number</t>
  </si>
  <si>
    <t>Total number of Reach-in units for each Temperature, Door Type, Door Closure, and Volume combination</t>
  </si>
  <si>
    <t>Specific information of the existing equipment</t>
  </si>
  <si>
    <t>Existing equipment steam generation type</t>
  </si>
  <si>
    <t>Describes the use of the majority of building square footage</t>
  </si>
  <si>
    <t>Total number of beverages that type of the vending machine can hold</t>
  </si>
  <si>
    <t>Method for controlling Anti-Sweater Heater</t>
  </si>
  <si>
    <t>New unit hinge orientation on a Reach-in</t>
  </si>
  <si>
    <t>New unit material on the door</t>
  </si>
  <si>
    <t>Total cost of equipment of each measure, excluding labor</t>
  </si>
  <si>
    <t>Horizontal length of one Display Case being covered</t>
  </si>
  <si>
    <t>Manufacture name of new equipment</t>
  </si>
  <si>
    <t>Manufacture Model Number of new equipment</t>
  </si>
  <si>
    <t>Specific information of the proposed or newly installed equipment</t>
  </si>
  <si>
    <t>Was there an existing curtain installed?</t>
  </si>
  <si>
    <t>Quantity of new equipment per type</t>
  </si>
  <si>
    <t>Defined on new equipment qualified product list</t>
  </si>
  <si>
    <t>New equipment temperature setting</t>
  </si>
  <si>
    <t>Michael Stevenson</t>
  </si>
  <si>
    <t>Input Instructions</t>
  </si>
  <si>
    <t>Calculator for Food Service Measures</t>
  </si>
  <si>
    <t>Yellow cells indicate that user input is required. Cells with an asterisk (*) are required.</t>
  </si>
  <si>
    <r>
      <t>All measures are based on either the Mid-Atlantic v7 TRM, PA 2016 TRM, or ENERGY STAR</t>
    </r>
    <r>
      <rPr>
        <sz val="11"/>
        <rFont val="Calibri"/>
        <family val="2"/>
      </rPr>
      <t>®</t>
    </r>
    <r>
      <rPr>
        <sz val="11"/>
        <rFont val="Arial"/>
        <family val="2"/>
      </rPr>
      <t xml:space="preserve"> requirements.</t>
    </r>
  </si>
  <si>
    <t>Type of ENERGY STAR Beverage Vending Machine</t>
  </si>
  <si>
    <t>Meredith Woy</t>
  </si>
  <si>
    <t>Phase V Launch</t>
  </si>
  <si>
    <t>Per Door</t>
  </si>
  <si>
    <t>ECM Evaporator Fan Motor</t>
  </si>
  <si>
    <t>Per Unit</t>
  </si>
  <si>
    <t>Per Cooler</t>
  </si>
  <si>
    <t>Mid-Atlantic TRM v10</t>
  </si>
  <si>
    <t>PA TRM 2016 with Errata correction, PA TRM 2019</t>
  </si>
  <si>
    <t>Community College</t>
  </si>
  <si>
    <t>Fast Food Restaurant</t>
  </si>
  <si>
    <t>Full Service Restaurant</t>
  </si>
  <si>
    <t>Grocery</t>
  </si>
  <si>
    <t>Hospital</t>
  </si>
  <si>
    <t>Hotel</t>
  </si>
  <si>
    <t>Miscellaneous</t>
  </si>
  <si>
    <t>Motel</t>
  </si>
  <si>
    <t>Primary School</t>
  </si>
  <si>
    <t>Secondary School</t>
  </si>
  <si>
    <t>Office</t>
  </si>
  <si>
    <t>University</t>
  </si>
  <si>
    <t>Hrs/Day</t>
  </si>
  <si>
    <t>days/yr</t>
  </si>
  <si>
    <t>Look-Up Table: Hours</t>
  </si>
  <si>
    <t>Hours/Day</t>
  </si>
  <si>
    <t>Days/Year</t>
  </si>
  <si>
    <t>Unit Quantity</t>
  </si>
  <si>
    <t># of Pans per Unit</t>
  </si>
  <si>
    <t>Mid Atlantic v10 pg377</t>
  </si>
  <si>
    <r>
      <t xml:space="preserve">300 </t>
    </r>
    <r>
      <rPr>
        <sz val="11"/>
        <rFont val="Calibri"/>
        <family val="2"/>
      </rPr>
      <t>≤</t>
    </r>
    <r>
      <rPr>
        <sz val="9.9"/>
        <rFont val="Arial"/>
        <family val="2"/>
      </rPr>
      <t xml:space="preserve"> H &lt; 800</t>
    </r>
  </si>
  <si>
    <r>
      <t xml:space="preserve">800 </t>
    </r>
    <r>
      <rPr>
        <sz val="11"/>
        <rFont val="Calibri"/>
        <family val="2"/>
      </rPr>
      <t>≤</t>
    </r>
    <r>
      <rPr>
        <sz val="9.9"/>
        <rFont val="Arial"/>
        <family val="2"/>
      </rPr>
      <t xml:space="preserve"> H &lt; 1,500</t>
    </r>
  </si>
  <si>
    <r>
      <t xml:space="preserve">1,500 </t>
    </r>
    <r>
      <rPr>
        <sz val="11"/>
        <rFont val="Calibri"/>
        <family val="2"/>
      </rPr>
      <t>≤</t>
    </r>
    <r>
      <rPr>
        <sz val="9.9"/>
        <rFont val="Arial"/>
        <family val="2"/>
      </rPr>
      <t xml:space="preserve"> H &lt; 4,000</t>
    </r>
  </si>
  <si>
    <t>&lt; 988</t>
  </si>
  <si>
    <r>
      <t xml:space="preserve">988 </t>
    </r>
    <r>
      <rPr>
        <sz val="11"/>
        <rFont val="Calibri"/>
        <family val="2"/>
      </rPr>
      <t>≤</t>
    </r>
    <r>
      <rPr>
        <sz val="9.9"/>
        <rFont val="Arial"/>
        <family val="2"/>
      </rPr>
      <t xml:space="preserve"> H &lt; 4,000</t>
    </r>
  </si>
  <si>
    <t>&lt; 930</t>
  </si>
  <si>
    <r>
      <t xml:space="preserve">930 </t>
    </r>
    <r>
      <rPr>
        <sz val="11"/>
        <rFont val="Calibri"/>
        <family val="2"/>
      </rPr>
      <t>≤</t>
    </r>
    <r>
      <rPr>
        <sz val="9.9"/>
        <rFont val="Arial"/>
        <family val="2"/>
      </rPr>
      <t xml:space="preserve"> H &lt; 4,000</t>
    </r>
  </si>
  <si>
    <r>
      <t xml:space="preserve">110 </t>
    </r>
    <r>
      <rPr>
        <sz val="11"/>
        <rFont val="Calibri"/>
        <family val="2"/>
      </rPr>
      <t>≤</t>
    </r>
    <r>
      <rPr>
        <sz val="9.9"/>
        <rFont val="Arial"/>
        <family val="2"/>
      </rPr>
      <t xml:space="preserve"> H &lt; 200</t>
    </r>
  </si>
  <si>
    <r>
      <t xml:space="preserve">200 </t>
    </r>
    <r>
      <rPr>
        <sz val="11"/>
        <rFont val="Calibri"/>
        <family val="2"/>
      </rPr>
      <t>≤</t>
    </r>
    <r>
      <rPr>
        <sz val="9.9"/>
        <rFont val="Arial"/>
        <family val="2"/>
      </rPr>
      <t xml:space="preserve"> H &lt; 4,000</t>
    </r>
  </si>
  <si>
    <r>
      <t xml:space="preserve">310 </t>
    </r>
    <r>
      <rPr>
        <sz val="11"/>
        <rFont val="Calibri"/>
        <family val="2"/>
      </rPr>
      <t>≤</t>
    </r>
    <r>
      <rPr>
        <sz val="9.9"/>
        <rFont val="Arial"/>
        <family val="2"/>
      </rPr>
      <t xml:space="preserve"> H &lt; 820</t>
    </r>
  </si>
  <si>
    <r>
      <t xml:space="preserve">820 </t>
    </r>
    <r>
      <rPr>
        <sz val="11"/>
        <rFont val="Calibri"/>
        <family val="2"/>
      </rPr>
      <t>≤</t>
    </r>
    <r>
      <rPr>
        <sz val="9.9"/>
        <rFont val="Arial"/>
        <family val="2"/>
      </rPr>
      <t xml:space="preserve"> H &lt; 4,000</t>
    </r>
  </si>
  <si>
    <r>
      <t xml:space="preserve">800 </t>
    </r>
    <r>
      <rPr>
        <sz val="11"/>
        <rFont val="Calibri"/>
        <family val="2"/>
      </rPr>
      <t>≤</t>
    </r>
    <r>
      <rPr>
        <sz val="9.9"/>
        <rFont val="Arial"/>
        <family val="2"/>
      </rPr>
      <t xml:space="preserve"> H &lt; 4,000</t>
    </r>
  </si>
  <si>
    <r>
      <t xml:space="preserve">200 </t>
    </r>
    <r>
      <rPr>
        <sz val="11"/>
        <rFont val="Calibri"/>
        <family val="2"/>
      </rPr>
      <t>≤</t>
    </r>
    <r>
      <rPr>
        <sz val="9.9"/>
        <rFont val="Arial"/>
        <family val="2"/>
      </rPr>
      <t xml:space="preserve"> H &lt; 700</t>
    </r>
  </si>
  <si>
    <r>
      <t xml:space="preserve">700 </t>
    </r>
    <r>
      <rPr>
        <sz val="11"/>
        <rFont val="Calibri"/>
        <family val="2"/>
      </rPr>
      <t>≤</t>
    </r>
    <r>
      <rPr>
        <sz val="9.9"/>
        <rFont val="Arial"/>
        <family val="2"/>
      </rPr>
      <t xml:space="preserve"> H &lt; 4,000</t>
    </r>
  </si>
  <si>
    <t>kWhee a</t>
  </si>
  <si>
    <t>kWhee b</t>
  </si>
  <si>
    <t xml:space="preserve">Look-Up Table </t>
  </si>
  <si>
    <t>PA TRM 2019 with Errata correction</t>
  </si>
  <si>
    <t>Refrigerated Beverage Vending Machine</t>
  </si>
  <si>
    <t>Glass Front Refrigerated Cooler</t>
  </si>
  <si>
    <t>Total Project Cost</t>
  </si>
  <si>
    <t>Cooler/Freezer QTY</t>
  </si>
  <si>
    <t>Doorway Area Assumptions</t>
  </si>
  <si>
    <t>GroceryCooler</t>
  </si>
  <si>
    <t>GroceryFreezer</t>
  </si>
  <si>
    <t>Convenience StoreCooler</t>
  </si>
  <si>
    <t>Convenience StoreFreezer</t>
  </si>
  <si>
    <t>Doorway Area ft2</t>
  </si>
  <si>
    <t>Cooler</t>
  </si>
  <si>
    <t>Energy Savings, kWh/ft2</t>
  </si>
  <si>
    <t>Demand Savings, kW/ft2</t>
  </si>
  <si>
    <t>Demand Savings per Door (kW)</t>
  </si>
  <si>
    <t>Energy savings per door (kWh/yr)</t>
  </si>
  <si>
    <t>RestaurantCooler</t>
  </si>
  <si>
    <t>RestaurantFreezer</t>
  </si>
  <si>
    <t>Refrigerated WarehouseCooler</t>
  </si>
  <si>
    <t>Quantity</t>
  </si>
  <si>
    <t>kW/door</t>
  </si>
  <si>
    <t>kWh/door</t>
  </si>
  <si>
    <t>Total kWh</t>
  </si>
  <si>
    <t>Total kW</t>
  </si>
  <si>
    <t>Total Area</t>
  </si>
  <si>
    <t>Measure Life</t>
  </si>
  <si>
    <t>Years</t>
  </si>
  <si>
    <r>
      <t>15</t>
    </r>
    <r>
      <rPr>
        <sz val="11"/>
        <rFont val="Calibri"/>
        <family val="2"/>
      </rPr>
      <t>≤</t>
    </r>
    <r>
      <rPr>
        <sz val="9.9"/>
        <rFont val="Arial"/>
        <family val="2"/>
      </rPr>
      <t>V&lt;30</t>
    </r>
  </si>
  <si>
    <r>
      <rPr>
        <sz val="11"/>
        <rFont val="Calibri"/>
        <family val="2"/>
      </rPr>
      <t>30≤</t>
    </r>
    <r>
      <rPr>
        <sz val="9.9"/>
        <rFont val="Arial"/>
        <family val="2"/>
      </rPr>
      <t>V&lt;50</t>
    </r>
  </si>
  <si>
    <r>
      <rPr>
        <sz val="11"/>
        <rFont val="Calibri"/>
        <family val="2"/>
      </rPr>
      <t>50≤</t>
    </r>
    <r>
      <rPr>
        <sz val="9.9"/>
        <rFont val="Arial"/>
        <family val="2"/>
      </rPr>
      <t>V</t>
    </r>
  </si>
  <si>
    <t>Project Type</t>
  </si>
  <si>
    <t>Early Replacement</t>
  </si>
  <si>
    <t>New Construction</t>
  </si>
  <si>
    <t>Time of Sale</t>
  </si>
  <si>
    <t>Existing Equip. Manufacture Date</t>
  </si>
  <si>
    <t>kWh exist a</t>
  </si>
  <si>
    <t>kWh exist b</t>
  </si>
  <si>
    <t>Existing Equipment manufactured after 3/26/2017</t>
  </si>
  <si>
    <t>Existing Equipment manufactured before 3/26/2017</t>
  </si>
  <si>
    <t>kWh exist</t>
  </si>
  <si>
    <t>Commercial Dishwashers</t>
  </si>
  <si>
    <t>Commercial Dishwasher</t>
  </si>
  <si>
    <t>Building Hot Water Fuel Type</t>
  </si>
  <si>
    <t>Booster Water Heater Fuel Type</t>
  </si>
  <si>
    <t>Electric</t>
  </si>
  <si>
    <t>Natural Gas</t>
  </si>
  <si>
    <t>Fuel Type</t>
  </si>
  <si>
    <t>Hours/yr</t>
  </si>
  <si>
    <t>Machine Type</t>
  </si>
  <si>
    <t>Under Counter</t>
  </si>
  <si>
    <t>Stationary Single Tank Door</t>
  </si>
  <si>
    <t>Single Tank Conveyor</t>
  </si>
  <si>
    <t>Multi Tank Conveyor</t>
  </si>
  <si>
    <t>Pot, Pan, and Utensil</t>
  </si>
  <si>
    <t>kWh Baseline</t>
  </si>
  <si>
    <t>kWh Energy Star</t>
  </si>
  <si>
    <t>MMBtu Baseline</t>
  </si>
  <si>
    <t>MMBtu Energy Star</t>
  </si>
  <si>
    <t>High</t>
  </si>
  <si>
    <t>Low</t>
  </si>
  <si>
    <t>Dishwasher Type</t>
  </si>
  <si>
    <t>Concatenate</t>
  </si>
  <si>
    <t>Look-Up Table</t>
  </si>
  <si>
    <t>MMBtu base</t>
  </si>
  <si>
    <t>MMBtu ee</t>
  </si>
  <si>
    <t>kWh savings</t>
  </si>
  <si>
    <t>MMBtu savings</t>
  </si>
  <si>
    <t>Therm savings</t>
  </si>
  <si>
    <t>kW savings</t>
  </si>
  <si>
    <t>Units</t>
  </si>
  <si>
    <t>Rated Motor Power</t>
  </si>
  <si>
    <t>HP</t>
  </si>
  <si>
    <t>WHFd Freezer</t>
  </si>
  <si>
    <t>WHFd Cooler</t>
  </si>
  <si>
    <t>%ON uc</t>
  </si>
  <si>
    <r>
      <t>%</t>
    </r>
    <r>
      <rPr>
        <sz val="11"/>
        <color theme="1"/>
        <rFont val="Calibri"/>
        <family val="2"/>
      </rPr>
      <t>Δp</t>
    </r>
  </si>
  <si>
    <t>kW/hp</t>
  </si>
  <si>
    <t>Energy Savings (kWh/yr)</t>
  </si>
  <si>
    <t>Demand Savings (kW)</t>
  </si>
  <si>
    <t>Volume Group</t>
  </si>
  <si>
    <t>Evaporator Fan Controller</t>
  </si>
  <si>
    <t>ON/OFF</t>
  </si>
  <si>
    <t>Multi-Speed</t>
  </si>
  <si>
    <t>%ON ON/OFFcontrol</t>
  </si>
  <si>
    <t>%ON multispeed control</t>
  </si>
  <si>
    <t>WHFe Cooler</t>
  </si>
  <si>
    <t>WHFe Freezer</t>
  </si>
  <si>
    <t>Existing Motor Type</t>
  </si>
  <si>
    <t>Motor Type</t>
  </si>
  <si>
    <t>ECM</t>
  </si>
  <si>
    <t>Shaded Pole</t>
  </si>
  <si>
    <t>kW/hp ECM</t>
  </si>
  <si>
    <t>kW/hp SP</t>
  </si>
  <si>
    <t>Uncapped Incentive</t>
  </si>
  <si>
    <t>Per Sq. Ft.</t>
  </si>
  <si>
    <t>Per Pan</t>
  </si>
  <si>
    <t>Total kW Savings</t>
  </si>
  <si>
    <t>Total kWh Savings</t>
  </si>
  <si>
    <t>Total Incentive</t>
  </si>
  <si>
    <t>Incentive Lookups</t>
  </si>
  <si>
    <t>Controller QTY</t>
  </si>
  <si>
    <t>Evaporator Compressor Controller</t>
  </si>
  <si>
    <t>Refrigeration System Rating Units</t>
  </si>
  <si>
    <t>Tons</t>
  </si>
  <si>
    <t>Rated HP per Compressor</t>
  </si>
  <si>
    <t>Refrigeration tonnage of system</t>
  </si>
  <si>
    <t>Unknown</t>
  </si>
  <si>
    <t>Reach-In</t>
  </si>
  <si>
    <t>Walk-In</t>
  </si>
  <si>
    <t>Cooler/Freezer Configuration</t>
  </si>
  <si>
    <t>Compressor Quantity</t>
  </si>
  <si>
    <t>ES value, kWh/ton</t>
  </si>
  <si>
    <t>DS value, kW/ton</t>
  </si>
  <si>
    <t>HP to ton conversion</t>
  </si>
  <si>
    <t>Cooler QTY</t>
  </si>
  <si>
    <t>COP Lookup</t>
  </si>
  <si>
    <t>CoolerReach-In</t>
  </si>
  <si>
    <t>FreezerReach-In</t>
  </si>
  <si>
    <t>UnknownReach-In</t>
  </si>
  <si>
    <t>CoolerWalk-In</t>
  </si>
  <si>
    <t>FreezerWalk-In</t>
  </si>
  <si>
    <t>UnknownWalk-In</t>
  </si>
  <si>
    <t xml:space="preserve">Total cost of project including material and labor but excluding taxes. </t>
  </si>
  <si>
    <t>Existing Equipment Manufacture Date</t>
  </si>
  <si>
    <t>Date existing commercial reach in was manufactured, from nameplate</t>
  </si>
  <si>
    <t>Fuel type for hot water production, electric or natural gas</t>
  </si>
  <si>
    <t>Type of new Dishwasher</t>
  </si>
  <si>
    <t>Rated HP or kW of motor</t>
  </si>
  <si>
    <t>Motor type of existing motor, electronically-commutated (ECM) or shaded pole (SP)</t>
  </si>
  <si>
    <t>Installation Type</t>
  </si>
  <si>
    <t>Oven Type</t>
  </si>
  <si>
    <t>Product Description</t>
  </si>
  <si>
    <t>Annual_Electric_Energy_Savings_kwh__c</t>
  </si>
  <si>
    <t>Installation_Type__c</t>
  </si>
  <si>
    <t>Make__c</t>
  </si>
  <si>
    <t xml:space="preserve">Pre-existing Curtains? </t>
  </si>
  <si>
    <t>Pre-existing Curtains</t>
  </si>
  <si>
    <t>Yes</t>
  </si>
  <si>
    <t>No</t>
  </si>
  <si>
    <t>Combination</t>
  </si>
  <si>
    <t>Reach-in</t>
  </si>
  <si>
    <t>Volume_cubic_feet__c</t>
  </si>
  <si>
    <t>Baseline kW</t>
  </si>
  <si>
    <t>Baseline kWh</t>
  </si>
  <si>
    <t>EE kW</t>
  </si>
  <si>
    <t>EE kWh</t>
  </si>
  <si>
    <t>Motor hp</t>
  </si>
  <si>
    <t>% ON Controlled</t>
  </si>
  <si>
    <t>Energy Star Certified</t>
  </si>
  <si>
    <t>Added Data Export Tab</t>
  </si>
  <si>
    <t>Coincident Factor</t>
  </si>
  <si>
    <t>Annual Operating Hours (hours/year)</t>
  </si>
  <si>
    <t>Area (sqft)</t>
  </si>
  <si>
    <t xml:space="preserve">Average Daily Hours of Use </t>
  </si>
  <si>
    <t>Baseline Energy Use (kWh/100 lbs ice)</t>
  </si>
  <si>
    <t>Baseline Energy Use (kWh/year)</t>
  </si>
  <si>
    <t>Baseline Ice Machine Type</t>
  </si>
  <si>
    <t>Baseline Ice Production Type</t>
  </si>
  <si>
    <t>Remote Condensing w/out Remote Compressor</t>
  </si>
  <si>
    <t>Remote Condensing with Remote Compressor</t>
  </si>
  <si>
    <t>Self Contained Unit</t>
  </si>
  <si>
    <t>Efficient Controls Factor</t>
  </si>
  <si>
    <t>Efficiency Level</t>
  </si>
  <si>
    <t>Electric Demand HVAC IE</t>
  </si>
  <si>
    <t>Configuration</t>
  </si>
  <si>
    <t>Cooling Capacity (tons)</t>
  </si>
  <si>
    <t>Equipment Cost ($)</t>
  </si>
  <si>
    <t>Efficient Controls Strategy</t>
  </si>
  <si>
    <t>On/Off Controls</t>
  </si>
  <si>
    <t>Micropulse Controls</t>
  </si>
  <si>
    <t>Efficient COP</t>
  </si>
  <si>
    <t>Efficient Energy Use (kWh/100 lbs ice)</t>
  </si>
  <si>
    <t>Efficient Energy Use (kWh/year)</t>
  </si>
  <si>
    <t>Efficient Ice Machine Type</t>
  </si>
  <si>
    <t>Efficient Ice Production Type</t>
  </si>
  <si>
    <t>Efficient Ice Type</t>
  </si>
  <si>
    <t>ENERGY STAR Certified</t>
  </si>
  <si>
    <t>Efficient Motor Horsepower (hp)</t>
  </si>
  <si>
    <t>Factor 1</t>
  </si>
  <si>
    <t xml:space="preserve">Energy Savings Factor </t>
  </si>
  <si>
    <t>Existing COP</t>
  </si>
  <si>
    <t>Existing Steam Cooker Type</t>
  </si>
  <si>
    <t>Fryer Type</t>
  </si>
  <si>
    <t>Standard Vat</t>
  </si>
  <si>
    <t>Large Vat</t>
  </si>
  <si>
    <t>Fuel QPL Fuel Type</t>
  </si>
  <si>
    <t>Ice Machine Harvest Rate (lbs/day)</t>
  </si>
  <si>
    <t>Length in Feet</t>
  </si>
  <si>
    <t>Maximum Energy Use (kWh/100 lbs ice)</t>
  </si>
  <si>
    <t>Number of Doors</t>
  </si>
  <si>
    <t>Number of Pans</t>
  </si>
  <si>
    <t>Oven Size</t>
  </si>
  <si>
    <t>Half-size</t>
  </si>
  <si>
    <t>Full-size</t>
  </si>
  <si>
    <t>Pre-Existing Curtains</t>
  </si>
  <si>
    <t>Refrigeration Type</t>
  </si>
  <si>
    <t>SC Peak Demand Savings (kW)</t>
  </si>
  <si>
    <t>Refrigerator Configuration</t>
  </si>
  <si>
    <t>Vending Machine Capacity (cans)</t>
  </si>
  <si>
    <t>Vending Machine Type</t>
  </si>
  <si>
    <t>Measure Name Text</t>
  </si>
  <si>
    <t>SC Peak Demand Savings (kW) -RTO/ISO</t>
  </si>
  <si>
    <t>WC Peak Demand Savings (kW) -RTO/ISO</t>
  </si>
  <si>
    <t>OrderLineId</t>
  </si>
  <si>
    <t>SampleId</t>
  </si>
  <si>
    <t>Total Incentive Cap</t>
  </si>
  <si>
    <t>Deemed Annual Energy Savings </t>
  </si>
  <si>
    <t>Deemed Annual Energy Savings (Therms)</t>
  </si>
  <si>
    <t>MMBTu Base</t>
  </si>
  <si>
    <t>MMBTu Eff</t>
  </si>
  <si>
    <t>Factor 8</t>
  </si>
  <si>
    <t>Percent On Uncontrolled</t>
  </si>
  <si>
    <t>Percent On Controlled</t>
  </si>
  <si>
    <t>Water Heater Fuel Type</t>
  </si>
  <si>
    <t>Electric HVAC IE</t>
  </si>
  <si>
    <t>Updated night cover incentive</t>
  </si>
  <si>
    <t>Up to $500 per case</t>
  </si>
  <si>
    <t>Per Linear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</si>
</sst>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_);[Red]\(&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0.0000"/>
    <numFmt numFmtId="167" formatCode="0.00000"/>
    <numFmt numFmtId="168" formatCode="&quot;$&quot;#,##0.00"/>
    <numFmt numFmtId="169" formatCode="#,##0.0000"/>
    <numFmt numFmtId="170" formatCode="&quot;$&quot;#,##0"/>
    <numFmt numFmtId="171" formatCode="0.000"/>
    <numFmt numFmtId="172" formatCode="_(* #,##0.00_);_(* \(#,##0.00\);_(* \-??_);_(@_)"/>
    <numFmt numFmtId="173" formatCode="_(\$* #,##0.00_);_(\$* \(#,##0.00\);_(\$* \-??_);_(@_)"/>
    <numFmt numFmtId="174" formatCode="0.0000000000"/>
    <numFmt numFmtId="175" formatCode="m\-d\-yy"/>
    <numFmt numFmtId="176" formatCode="_(* #,##0.0_);_(* \(#,##0.00\);_(* &quot;-&quot;??_);_(@_)"/>
    <numFmt numFmtId="177" formatCode="General_)"/>
    <numFmt numFmtId="178" formatCode="&quot;fl&quot;#,##0_);\(&quot;fl&quot;#,##0\)"/>
    <numFmt numFmtId="179" formatCode="&quot;fl&quot;#,##0_);[Red]\(&quot;fl&quot;#,##0\)"/>
    <numFmt numFmtId="180" formatCode="_-* #,##0_-;\-* #,##0_-;_-* &quot;-&quot;_-;_-@_-"/>
    <numFmt numFmtId="181" formatCode="_-* #,##0.0_-;\-* #,##0.0_-;_-* &quot;-&quot;??_-;_-@_-"/>
    <numFmt numFmtId="182" formatCode="#,##0.00&quot; $&quot;;\-#,##0.00&quot; $&quot;"/>
    <numFmt numFmtId="183" formatCode="0.00_)"/>
    <numFmt numFmtId="184" formatCode="dd"/>
    <numFmt numFmtId="185" formatCode="_(&quot;$&quot;* #,##0.00000_);_(&quot;$&quot;* \(#,##0.00000\);_(&quot;$&quot;* &quot;-&quot;??_);_(@_)"/>
    <numFmt numFmtId="186" formatCode="_(&quot;$&quot;* #,##0.0000_);_(&quot;$&quot;* \(#,##0.0000\);_(&quot;$&quot;* &quot;-&quot;??_);_(@_)"/>
    <numFmt numFmtId="187" formatCode="#,##0.0"/>
    <numFmt numFmtId="188" formatCode="_(&quot;$&quot;* #,##0_);_(&quot;$&quot;* \(#,##0\);_(&quot;$&quot;* &quot;-&quot;??_);_(@_)"/>
    <numFmt numFmtId="189" formatCode="0.0%"/>
    <numFmt numFmtId="190" formatCode="0.000000"/>
    <numFmt numFmtId="191" formatCode="#,##0.000"/>
    <numFmt numFmtId="192" formatCode="#,##0.000000"/>
  </numFmts>
  <fonts count="102">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1"/>
      <color theme="1"/>
      <name val="Calibri"/>
      <family val="2"/>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b/>
      <u/>
      <sz val="14"/>
      <color theme="5"/>
      <name val="Arial"/>
      <family val="2"/>
      <scheme val="minor"/>
    </font>
    <font>
      <sz val="14"/>
      <color theme="1"/>
      <name val="Arial"/>
      <family val="2"/>
      <scheme val="minor"/>
    </font>
    <font>
      <b/>
      <sz val="12"/>
      <color theme="1"/>
      <name val="Arial"/>
      <family val="2"/>
      <scheme val="minor"/>
    </font>
    <font>
      <b/>
      <sz val="14"/>
      <color theme="5"/>
      <name val="Arial"/>
      <family val="2"/>
      <scheme val="minor"/>
    </font>
    <font>
      <vertAlign val="superscript"/>
      <sz val="11"/>
      <color theme="1"/>
      <name val="Arial"/>
      <family val="2"/>
      <scheme val="minor"/>
    </font>
    <font>
      <sz val="9.9"/>
      <color theme="1"/>
      <name val="Arial"/>
      <family val="2"/>
    </font>
    <font>
      <sz val="11"/>
      <name val="Arial"/>
      <family val="2"/>
      <scheme val="minor"/>
    </font>
    <font>
      <b/>
      <sz val="11"/>
      <name val="Arial"/>
      <family val="2"/>
      <scheme val="minor"/>
    </font>
    <font>
      <sz val="11"/>
      <name val="Calibri"/>
      <family val="2"/>
    </font>
    <font>
      <sz val="11"/>
      <color theme="4"/>
      <name val="Arial"/>
      <family val="2"/>
      <scheme val="minor"/>
    </font>
    <font>
      <sz val="9.9"/>
      <color theme="1"/>
      <name val="Calibri"/>
      <family val="2"/>
    </font>
    <font>
      <sz val="9"/>
      <color indexed="81"/>
      <name val="Tahoma"/>
      <family val="2"/>
    </font>
    <font>
      <b/>
      <u/>
      <sz val="16"/>
      <color theme="5"/>
      <name val="Arial"/>
      <family val="2"/>
      <scheme val="minor"/>
    </font>
    <font>
      <b/>
      <u/>
      <sz val="18"/>
      <color theme="5"/>
      <name val="Arial"/>
      <family val="2"/>
      <scheme val="minor"/>
    </font>
    <font>
      <sz val="11"/>
      <color theme="5"/>
      <name val="Calibri"/>
      <family val="2"/>
    </font>
    <font>
      <sz val="9"/>
      <color theme="1"/>
      <name val="Arial"/>
      <family val="2"/>
      <scheme val="minor"/>
    </font>
    <font>
      <b/>
      <sz val="9"/>
      <color theme="1"/>
      <name val="Arial"/>
      <family val="2"/>
      <scheme val="minor"/>
    </font>
    <font>
      <b/>
      <sz val="14"/>
      <color theme="6"/>
      <name val="Arial"/>
      <family val="2"/>
    </font>
    <font>
      <sz val="14"/>
      <color theme="6"/>
      <name val="Arial"/>
      <family val="2"/>
    </font>
    <font>
      <sz val="14"/>
      <color theme="6"/>
      <name val="Arial"/>
      <family val="2"/>
      <scheme val="minor"/>
    </font>
    <font>
      <b/>
      <sz val="9"/>
      <color indexed="81"/>
      <name val="Tahoma"/>
      <family val="2"/>
    </font>
    <font>
      <sz val="10"/>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sz val="11"/>
      <color rgb="FFFF0000"/>
      <name val="Arial"/>
      <family val="2"/>
    </font>
    <font>
      <b/>
      <sz val="22"/>
      <color rgb="FF0060AF"/>
      <name val="Arial"/>
      <family val="2"/>
    </font>
    <font>
      <b/>
      <sz val="14"/>
      <color rgb="FFFA9500"/>
      <name val="Arial"/>
      <family val="2"/>
    </font>
    <font>
      <b/>
      <sz val="11"/>
      <color rgb="FF3083BD"/>
      <name val="Arial"/>
      <family val="2"/>
    </font>
    <font>
      <sz val="11"/>
      <color theme="1"/>
      <name val="Arial"/>
      <family val="2"/>
      <scheme val="major"/>
    </font>
    <font>
      <sz val="14"/>
      <color theme="0"/>
      <name val="Arial"/>
      <family val="2"/>
      <scheme val="minor"/>
    </font>
    <font>
      <sz val="9.9"/>
      <name val="Arial"/>
      <family val="2"/>
    </font>
    <font>
      <b/>
      <sz val="12"/>
      <name val="Arial"/>
      <family val="2"/>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theme="3" tint="0.59999389629810485"/>
        <bgColor indexed="64"/>
      </patternFill>
    </fill>
    <fill>
      <patternFill patternType="solid">
        <fgColor rgb="FFFFC000"/>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2602">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4" borderId="0" applyNumberFormat="0" applyBorder="0" applyAlignment="0" applyProtection="0"/>
    <xf numFmtId="0" fontId="30" fillId="38" borderId="0" applyNumberFormat="0" applyBorder="0" applyAlignment="0" applyProtection="0"/>
    <xf numFmtId="0" fontId="31" fillId="55" borderId="23" applyNumberFormat="0" applyAlignment="0" applyProtection="0"/>
    <xf numFmtId="0" fontId="32" fillId="56" borderId="24" applyNumberFormat="0" applyAlignment="0" applyProtection="0"/>
    <xf numFmtId="44" fontId="20" fillId="0" borderId="0" applyFont="0" applyFill="0" applyBorder="0" applyAlignment="0" applyProtection="0"/>
    <xf numFmtId="44" fontId="28" fillId="0" borderId="0" applyFont="0" applyFill="0" applyBorder="0" applyAlignment="0" applyProtection="0"/>
    <xf numFmtId="0" fontId="33" fillId="0" borderId="0" applyNumberFormat="0" applyFill="0" applyBorder="0" applyAlignment="0" applyProtection="0"/>
    <xf numFmtId="0" fontId="34" fillId="39" borderId="0" applyNumberFormat="0" applyBorder="0" applyAlignment="0" applyProtection="0"/>
    <xf numFmtId="0" fontId="35" fillId="0" borderId="25" applyNumberFormat="0" applyFill="0" applyAlignment="0" applyProtection="0"/>
    <xf numFmtId="0" fontId="36" fillId="0" borderId="26" applyNumberFormat="0" applyFill="0" applyAlignment="0" applyProtection="0"/>
    <xf numFmtId="0" fontId="37" fillId="0" borderId="27" applyNumberFormat="0" applyFill="0" applyAlignment="0" applyProtection="0"/>
    <xf numFmtId="0" fontId="37" fillId="0" borderId="0" applyNumberFormat="0" applyFill="0" applyBorder="0" applyAlignment="0" applyProtection="0"/>
    <xf numFmtId="0" fontId="38" fillId="42" borderId="23" applyNumberFormat="0" applyAlignment="0" applyProtection="0"/>
    <xf numFmtId="0" fontId="39" fillId="0" borderId="28" applyNumberFormat="0" applyFill="0" applyAlignment="0" applyProtection="0"/>
    <xf numFmtId="0" fontId="40"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9" applyNumberFormat="0" applyFont="0" applyAlignment="0" applyProtection="0"/>
    <xf numFmtId="0" fontId="41" fillId="55" borderId="30" applyNumberFormat="0" applyAlignment="0" applyProtection="0"/>
    <xf numFmtId="9" fontId="20" fillId="0" borderId="0" applyFont="0" applyFill="0" applyBorder="0" applyAlignment="0" applyProtection="0"/>
    <xf numFmtId="0" fontId="42" fillId="0" borderId="0" applyNumberFormat="0" applyFill="0" applyBorder="0" applyAlignment="0" applyProtection="0"/>
    <xf numFmtId="0" fontId="43" fillId="0" borderId="31" applyNumberFormat="0" applyFill="0" applyAlignment="0" applyProtection="0"/>
    <xf numFmtId="0" fontId="44" fillId="0" borderId="0" applyNumberFormat="0" applyFill="0" applyBorder="0" applyAlignment="0" applyProtection="0"/>
    <xf numFmtId="0" fontId="20" fillId="0" borderId="0"/>
    <xf numFmtId="0" fontId="68" fillId="0" borderId="0"/>
    <xf numFmtId="0" fontId="1" fillId="0" borderId="0"/>
    <xf numFmtId="0" fontId="28" fillId="0" borderId="0"/>
    <xf numFmtId="172" fontId="28"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2" fillId="0" borderId="0" applyFill="0" applyBorder="0" applyAlignment="0" applyProtection="0"/>
    <xf numFmtId="172" fontId="72"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2"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2" fillId="0" borderId="0" applyFill="0" applyBorder="0" applyAlignment="0" applyProtection="0"/>
    <xf numFmtId="43" fontId="20" fillId="0" borderId="0" applyFont="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43" fontId="28" fillId="0" borderId="0" applyFont="0" applyFill="0" applyBorder="0" applyAlignment="0" applyProtection="0"/>
    <xf numFmtId="172" fontId="72" fillId="0" borderId="0" applyFill="0" applyBorder="0" applyAlignment="0" applyProtection="0"/>
    <xf numFmtId="172" fontId="72" fillId="0" borderId="0" applyFill="0" applyBorder="0" applyAlignment="0" applyProtection="0"/>
    <xf numFmtId="172" fontId="72" fillId="0" borderId="0" applyFill="0" applyBorder="0" applyAlignment="0" applyProtection="0"/>
    <xf numFmtId="173" fontId="72"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2" fillId="0" borderId="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2" fillId="0" borderId="0" applyFill="0" applyBorder="0" applyAlignment="0" applyProtection="0"/>
    <xf numFmtId="44" fontId="28" fillId="0" borderId="0" applyFon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37" fontId="76" fillId="0" borderId="0"/>
    <xf numFmtId="0" fontId="77"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2"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20"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79" fillId="0" borderId="0" applyFont="0" applyFill="0" applyBorder="0" applyAlignment="0" applyProtection="0">
      <alignment horizontal="right"/>
    </xf>
    <xf numFmtId="2" fontId="79" fillId="0" borderId="0" applyFont="0" applyFill="0" applyBorder="0" applyAlignment="0" applyProtection="0">
      <alignment horizontal="right"/>
    </xf>
    <xf numFmtId="0" fontId="1" fillId="37" borderId="0" applyNumberFormat="0" applyBorder="0" applyAlignment="0" applyProtection="0"/>
    <xf numFmtId="0" fontId="28"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8"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8"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8"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9"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9"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9" fillId="50" borderId="0" applyNumberFormat="0" applyBorder="0" applyAlignment="0" applyProtection="0"/>
    <xf numFmtId="0" fontId="17" fillId="50" borderId="0" applyNumberFormat="0" applyBorder="0" applyAlignment="0" applyProtection="0"/>
    <xf numFmtId="174" fontId="80" fillId="64" borderId="50">
      <alignment horizontal="center" vertical="center"/>
    </xf>
    <xf numFmtId="175" fontId="71" fillId="64" borderId="50">
      <alignment horizontal="center" vertical="center"/>
    </xf>
    <xf numFmtId="176" fontId="81" fillId="0" borderId="0" applyFill="0" applyBorder="0" applyAlignment="0"/>
    <xf numFmtId="177" fontId="81" fillId="0" borderId="0" applyFill="0" applyBorder="0" applyAlignment="0"/>
    <xf numFmtId="171" fontId="81" fillId="0" borderId="0" applyFill="0" applyBorder="0" applyAlignment="0"/>
    <xf numFmtId="178" fontId="81" fillId="0" borderId="0" applyFill="0" applyBorder="0" applyAlignment="0"/>
    <xf numFmtId="179" fontId="81" fillId="0" borderId="0" applyFill="0" applyBorder="0" applyAlignment="0"/>
    <xf numFmtId="176" fontId="81" fillId="0" borderId="0" applyFill="0" applyBorder="0" applyAlignment="0"/>
    <xf numFmtId="179" fontId="82" fillId="0" borderId="0" applyFill="0" applyBorder="0" applyAlignment="0"/>
    <xf numFmtId="177" fontId="81" fillId="0" borderId="0" applyFill="0" applyBorder="0" applyAlignment="0"/>
    <xf numFmtId="176"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20" fillId="0" borderId="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3" fontId="79" fillId="0" borderId="0" applyFont="0" applyFill="0" applyBorder="0" applyAlignment="0" applyProtection="0">
      <alignment horizontal="right"/>
    </xf>
    <xf numFmtId="177" fontId="8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0" fontId="79" fillId="0" borderId="0"/>
    <xf numFmtId="6" fontId="84" fillId="0" borderId="0">
      <protection locked="0"/>
    </xf>
    <xf numFmtId="14" fontId="85" fillId="0" borderId="0" applyFill="0" applyBorder="0" applyAlignment="0"/>
    <xf numFmtId="180" fontId="20" fillId="0" borderId="51">
      <alignment vertical="center"/>
    </xf>
    <xf numFmtId="176" fontId="81" fillId="0" borderId="0" applyFill="0" applyBorder="0" applyAlignment="0"/>
    <xf numFmtId="177" fontId="81" fillId="0" borderId="0" applyFill="0" applyBorder="0" applyAlignment="0"/>
    <xf numFmtId="176" fontId="81" fillId="0" borderId="0" applyFill="0" applyBorder="0" applyAlignment="0"/>
    <xf numFmtId="179" fontId="82" fillId="0" borderId="0" applyFill="0" applyBorder="0" applyAlignment="0"/>
    <xf numFmtId="177" fontId="81" fillId="0" borderId="0" applyFill="0" applyBorder="0" applyAlignment="0"/>
    <xf numFmtId="181" fontId="20" fillId="0" borderId="0">
      <protection locked="0"/>
    </xf>
    <xf numFmtId="38" fontId="79" fillId="63" borderId="0" applyNumberFormat="0" applyBorder="0" applyAlignment="0" applyProtection="0"/>
    <xf numFmtId="38" fontId="79" fillId="63" borderId="0" applyNumberFormat="0" applyBorder="0" applyAlignment="0" applyProtection="0"/>
    <xf numFmtId="0" fontId="86" fillId="0" borderId="0" applyNumberFormat="0" applyFill="0" applyBorder="0" applyAlignment="0" applyProtection="0"/>
    <xf numFmtId="0" fontId="69" fillId="0" borderId="49" applyNumberFormat="0" applyAlignment="0" applyProtection="0">
      <alignment horizontal="left" vertical="center"/>
    </xf>
    <xf numFmtId="0" fontId="69" fillId="0" borderId="37">
      <alignment horizontal="left" vertical="center"/>
    </xf>
    <xf numFmtId="0" fontId="69" fillId="0" borderId="37">
      <alignment horizontal="left" vertical="center"/>
    </xf>
    <xf numFmtId="182" fontId="20" fillId="0" borderId="0">
      <protection locked="0"/>
    </xf>
    <xf numFmtId="182" fontId="20" fillId="0" borderId="0">
      <protection locked="0"/>
    </xf>
    <xf numFmtId="0" fontId="87" fillId="0" borderId="52" applyNumberFormat="0" applyFill="0" applyAlignment="0" applyProtection="0"/>
    <xf numFmtId="10" fontId="79" fillId="65" borderId="10" applyNumberFormat="0" applyBorder="0" applyAlignment="0" applyProtection="0"/>
    <xf numFmtId="10" fontId="79" fillId="65" borderId="10" applyNumberFormat="0" applyBorder="0" applyAlignment="0" applyProtection="0"/>
    <xf numFmtId="176" fontId="81" fillId="0" borderId="0" applyFill="0" applyBorder="0" applyAlignment="0"/>
    <xf numFmtId="177" fontId="81" fillId="0" borderId="0" applyFill="0" applyBorder="0" applyAlignment="0"/>
    <xf numFmtId="176" fontId="81" fillId="0" borderId="0" applyFill="0" applyBorder="0" applyAlignment="0"/>
    <xf numFmtId="179" fontId="82" fillId="0" borderId="0" applyFill="0" applyBorder="0" applyAlignment="0"/>
    <xf numFmtId="177" fontId="81" fillId="0" borderId="0" applyFill="0" applyBorder="0" applyAlignment="0"/>
    <xf numFmtId="183" fontId="88"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20" fillId="0" borderId="0"/>
    <xf numFmtId="0" fontId="89"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79" fillId="0" borderId="0"/>
    <xf numFmtId="0" fontId="79" fillId="0" borderId="0"/>
    <xf numFmtId="0" fontId="20" fillId="0" borderId="0"/>
    <xf numFmtId="0" fontId="89" fillId="0" borderId="0"/>
    <xf numFmtId="0" fontId="20" fillId="0" borderId="0" applyNumberFormat="0" applyFill="0" applyBorder="0" applyAlignment="0" applyProtection="0"/>
    <xf numFmtId="0" fontId="1" fillId="0" borderId="0"/>
    <xf numFmtId="0" fontId="90" fillId="0" borderId="0"/>
    <xf numFmtId="0" fontId="1" fillId="0" borderId="0"/>
    <xf numFmtId="0" fontId="20" fillId="0" borderId="0" applyNumberFormat="0" applyFill="0" applyBorder="0" applyAlignment="0" applyProtection="0"/>
    <xf numFmtId="0" fontId="20" fillId="0" borderId="0"/>
    <xf numFmtId="0" fontId="20" fillId="0" borderId="0"/>
    <xf numFmtId="0" fontId="20" fillId="0" borderId="0"/>
    <xf numFmtId="0" fontId="1" fillId="0" borderId="0"/>
    <xf numFmtId="0" fontId="1" fillId="0" borderId="0"/>
    <xf numFmtId="0" fontId="1" fillId="0" borderId="0"/>
    <xf numFmtId="0" fontId="38" fillId="42" borderId="69" applyNumberFormat="0" applyAlignment="0" applyProtection="0"/>
    <xf numFmtId="0" fontId="69" fillId="0" borderId="68">
      <alignment horizontal="left" vertical="center"/>
    </xf>
    <xf numFmtId="0" fontId="38" fillId="42" borderId="55" applyNumberFormat="0" applyAlignment="0" applyProtection="0"/>
    <xf numFmtId="0" fontId="69" fillId="0" borderId="54">
      <alignment horizontal="left" vertical="center"/>
    </xf>
    <xf numFmtId="0" fontId="69" fillId="0" borderId="54">
      <alignment horizontal="left" vertical="center"/>
    </xf>
    <xf numFmtId="0" fontId="41" fillId="55" borderId="80" applyNumberFormat="0" applyAlignment="0" applyProtection="0"/>
    <xf numFmtId="0" fontId="41" fillId="55" borderId="76" applyNumberFormat="0" applyAlignment="0" applyProtection="0"/>
    <xf numFmtId="0" fontId="20" fillId="58" borderId="79" applyNumberFormat="0" applyFont="0" applyAlignment="0" applyProtection="0"/>
    <xf numFmtId="0" fontId="41" fillId="55" borderId="67" applyNumberFormat="0" applyAlignment="0" applyProtection="0"/>
    <xf numFmtId="0" fontId="69" fillId="0" borderId="73">
      <alignment horizontal="left" vertical="center"/>
    </xf>
    <xf numFmtId="0" fontId="20" fillId="58" borderId="61" applyNumberFormat="0" applyFont="0" applyAlignment="0" applyProtection="0"/>
    <xf numFmtId="0" fontId="41" fillId="55" borderId="62" applyNumberFormat="0" applyAlignment="0" applyProtection="0"/>
    <xf numFmtId="0" fontId="31" fillId="55" borderId="55" applyNumberFormat="0" applyAlignment="0" applyProtection="0"/>
    <xf numFmtId="0" fontId="20" fillId="58" borderId="66" applyNumberFormat="0" applyFont="0" applyAlignment="0" applyProtection="0"/>
    <xf numFmtId="0" fontId="20" fillId="0" borderId="0"/>
    <xf numFmtId="0" fontId="43" fillId="0" borderId="81" applyNumberFormat="0" applyFill="0" applyAlignment="0" applyProtection="0"/>
    <xf numFmtId="0" fontId="41" fillId="55" borderId="71" applyNumberFormat="0" applyAlignment="0" applyProtection="0"/>
    <xf numFmtId="0" fontId="20" fillId="0" borderId="0"/>
    <xf numFmtId="0" fontId="20" fillId="0" borderId="0"/>
    <xf numFmtId="0" fontId="28" fillId="0" borderId="0"/>
    <xf numFmtId="0" fontId="1" fillId="0" borderId="0"/>
    <xf numFmtId="0" fontId="1" fillId="0" borderId="0"/>
    <xf numFmtId="0" fontId="1" fillId="0" borderId="0"/>
    <xf numFmtId="0" fontId="20" fillId="58" borderId="79" applyNumberFormat="0" applyFont="0" applyAlignment="0" applyProtection="0"/>
    <xf numFmtId="0" fontId="20" fillId="0" borderId="0"/>
    <xf numFmtId="0" fontId="31" fillId="55" borderId="74" applyNumberFormat="0" applyAlignment="0" applyProtection="0"/>
    <xf numFmtId="0" fontId="31" fillId="55" borderId="69" applyNumberFormat="0" applyAlignment="0" applyProtection="0"/>
    <xf numFmtId="0" fontId="1" fillId="0" borderId="0"/>
    <xf numFmtId="0" fontId="28" fillId="8" borderId="8" applyNumberFormat="0" applyFont="0" applyAlignment="0" applyProtection="0"/>
    <xf numFmtId="0" fontId="20" fillId="58" borderId="29" applyNumberFormat="0" applyFont="0" applyAlignment="0" applyProtection="0"/>
    <xf numFmtId="0" fontId="28" fillId="8" borderId="8" applyNumberFormat="0" applyFont="0" applyAlignment="0" applyProtection="0"/>
    <xf numFmtId="0" fontId="91" fillId="0" borderId="22" applyFill="0" applyProtection="0">
      <alignment horizontal="right" wrapText="1"/>
    </xf>
    <xf numFmtId="179" fontId="81" fillId="0" borderId="0" applyFont="0" applyFill="0" applyBorder="0" applyAlignment="0" applyProtection="0"/>
    <xf numFmtId="184"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6" fontId="81" fillId="0" borderId="0" applyFill="0" applyBorder="0" applyAlignment="0"/>
    <xf numFmtId="177" fontId="81" fillId="0" borderId="0" applyFill="0" applyBorder="0" applyAlignment="0"/>
    <xf numFmtId="176" fontId="81" fillId="0" borderId="0" applyFill="0" applyBorder="0" applyAlignment="0"/>
    <xf numFmtId="179" fontId="82" fillId="0" borderId="0" applyFill="0" applyBorder="0" applyAlignment="0"/>
    <xf numFmtId="177" fontId="81" fillId="0" borderId="0" applyFill="0" applyBorder="0" applyAlignment="0"/>
    <xf numFmtId="0" fontId="92" fillId="0" borderId="0" applyFill="0" applyBorder="0" applyProtection="0">
      <alignment horizontal="left" wrapText="1"/>
    </xf>
    <xf numFmtId="49" fontId="85" fillId="0" borderId="0" applyFill="0" applyBorder="0" applyAlignment="0"/>
    <xf numFmtId="185" fontId="20" fillId="0" borderId="0" applyFill="0" applyBorder="0" applyAlignment="0"/>
    <xf numFmtId="186" fontId="20" fillId="0" borderId="0" applyFill="0" applyBorder="0" applyAlignment="0"/>
    <xf numFmtId="182" fontId="20" fillId="0" borderId="53">
      <protection locked="0"/>
    </xf>
    <xf numFmtId="37" fontId="79" fillId="66" borderId="0" applyNumberFormat="0" applyBorder="0" applyAlignment="0" applyProtection="0"/>
    <xf numFmtId="37" fontId="79" fillId="66" borderId="0" applyNumberFormat="0" applyBorder="0" applyAlignment="0" applyProtection="0"/>
    <xf numFmtId="37" fontId="79" fillId="0" borderId="0"/>
    <xf numFmtId="3" fontId="93" fillId="0" borderId="52" applyProtection="0"/>
    <xf numFmtId="0" fontId="69" fillId="0" borderId="68">
      <alignment horizontal="left" vertical="center"/>
    </xf>
    <xf numFmtId="0" fontId="31" fillId="55" borderId="23" applyNumberFormat="0" applyAlignment="0" applyProtection="0"/>
    <xf numFmtId="10" fontId="79" fillId="65" borderId="10" applyNumberFormat="0" applyBorder="0" applyAlignment="0" applyProtection="0"/>
    <xf numFmtId="10" fontId="79" fillId="65" borderId="10" applyNumberFormat="0" applyBorder="0" applyAlignment="0" applyProtection="0"/>
    <xf numFmtId="0" fontId="38" fillId="42" borderId="23" applyNumberFormat="0" applyAlignment="0" applyProtection="0"/>
    <xf numFmtId="0" fontId="38" fillId="42" borderId="23" applyNumberFormat="0" applyAlignment="0" applyProtection="0"/>
    <xf numFmtId="0" fontId="31" fillId="55" borderId="23" applyNumberFormat="0" applyAlignment="0" applyProtection="0"/>
    <xf numFmtId="0" fontId="20" fillId="58" borderId="29" applyNumberFormat="0" applyFont="0" applyAlignment="0" applyProtection="0"/>
    <xf numFmtId="0" fontId="91" fillId="0" borderId="22" applyFill="0" applyProtection="0">
      <alignment horizontal="right" wrapText="1"/>
    </xf>
    <xf numFmtId="0" fontId="41" fillId="55" borderId="30" applyNumberFormat="0" applyAlignment="0" applyProtection="0"/>
    <xf numFmtId="0" fontId="20" fillId="58" borderId="29" applyNumberFormat="0" applyFont="0" applyAlignment="0" applyProtection="0"/>
    <xf numFmtId="0" fontId="91" fillId="0" borderId="22" applyFill="0" applyProtection="0">
      <alignment horizontal="right" wrapText="1"/>
    </xf>
    <xf numFmtId="0" fontId="41" fillId="55" borderId="30" applyNumberFormat="0" applyAlignment="0" applyProtection="0"/>
    <xf numFmtId="0" fontId="43" fillId="0" borderId="77"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69" fillId="0" borderId="73">
      <alignment horizontal="left" vertical="center"/>
    </xf>
    <xf numFmtId="0" fontId="69" fillId="0" borderId="73">
      <alignment horizontal="left" vertical="center"/>
    </xf>
    <xf numFmtId="0" fontId="69" fillId="0" borderId="64">
      <alignment horizontal="left" vertical="center"/>
    </xf>
    <xf numFmtId="0" fontId="69" fillId="0" borderId="64">
      <alignment horizontal="left" vertical="center"/>
    </xf>
    <xf numFmtId="0" fontId="38" fillId="42" borderId="60" applyNumberFormat="0" applyAlignment="0" applyProtection="0"/>
    <xf numFmtId="0" fontId="69" fillId="0" borderId="59">
      <alignment horizontal="left" vertical="center"/>
    </xf>
    <xf numFmtId="0" fontId="69" fillId="0" borderId="59">
      <alignment horizontal="left" vertical="center"/>
    </xf>
    <xf numFmtId="0" fontId="69" fillId="0" borderId="82">
      <alignment horizontal="left" vertical="center"/>
    </xf>
    <xf numFmtId="0" fontId="69" fillId="0" borderId="82">
      <alignment horizontal="left" vertical="center"/>
    </xf>
    <xf numFmtId="10" fontId="79" fillId="65" borderId="58" applyNumberFormat="0" applyBorder="0" applyAlignment="0" applyProtection="0"/>
    <xf numFmtId="0" fontId="31" fillId="55" borderId="60" applyNumberFormat="0" applyAlignment="0" applyProtection="0"/>
    <xf numFmtId="0" fontId="38" fillId="42" borderId="74" applyNumberFormat="0" applyAlignment="0" applyProtection="0"/>
    <xf numFmtId="0" fontId="31" fillId="55" borderId="60" applyNumberFormat="0" applyAlignment="0" applyProtection="0"/>
    <xf numFmtId="10" fontId="79" fillId="65" borderId="63" applyNumberFormat="0" applyBorder="0" applyAlignment="0" applyProtection="0"/>
    <xf numFmtId="10" fontId="79" fillId="65" borderId="63" applyNumberFormat="0" applyBorder="0" applyAlignment="0" applyProtection="0"/>
    <xf numFmtId="0" fontId="38" fillId="42" borderId="60" applyNumberFormat="0" applyAlignment="0" applyProtection="0"/>
    <xf numFmtId="0" fontId="38" fillId="42" borderId="60" applyNumberFormat="0" applyAlignment="0" applyProtection="0"/>
    <xf numFmtId="0" fontId="20" fillId="58" borderId="56" applyNumberFormat="0" applyFont="0" applyAlignment="0" applyProtection="0"/>
    <xf numFmtId="0" fontId="41" fillId="55" borderId="57" applyNumberFormat="0" applyAlignment="0" applyProtection="0"/>
    <xf numFmtId="0" fontId="20" fillId="58" borderId="75" applyNumberFormat="0" applyFont="0" applyAlignment="0" applyProtection="0"/>
    <xf numFmtId="0" fontId="20" fillId="58" borderId="70" applyNumberFormat="0" applyFont="0" applyAlignment="0" applyProtection="0"/>
    <xf numFmtId="0" fontId="69" fillId="0" borderId="82">
      <alignment horizontal="left" vertical="center"/>
    </xf>
    <xf numFmtId="0" fontId="31" fillId="55" borderId="65" applyNumberFormat="0" applyAlignment="0" applyProtection="0"/>
    <xf numFmtId="0" fontId="69" fillId="0" borderId="82">
      <alignment horizontal="left" vertical="center"/>
    </xf>
    <xf numFmtId="10" fontId="79" fillId="65" borderId="10" applyNumberFormat="0" applyBorder="0" applyAlignment="0" applyProtection="0"/>
    <xf numFmtId="0" fontId="38" fillId="42" borderId="65" applyNumberFormat="0" applyAlignment="0" applyProtection="0"/>
    <xf numFmtId="0" fontId="69" fillId="0" borderId="73">
      <alignment horizontal="left" vertical="center"/>
    </xf>
    <xf numFmtId="10" fontId="79" fillId="65" borderId="58" applyNumberFormat="0" applyBorder="0" applyAlignment="0" applyProtection="0"/>
    <xf numFmtId="0" fontId="31" fillId="55" borderId="55" applyNumberFormat="0" applyAlignment="0" applyProtection="0"/>
    <xf numFmtId="10" fontId="79" fillId="65" borderId="58" applyNumberFormat="0" applyBorder="0" applyAlignment="0" applyProtection="0"/>
    <xf numFmtId="10" fontId="79" fillId="65" borderId="58" applyNumberFormat="0" applyBorder="0" applyAlignment="0" applyProtection="0"/>
    <xf numFmtId="0" fontId="38" fillId="42" borderId="55" applyNumberFormat="0" applyAlignment="0" applyProtection="0"/>
    <xf numFmtId="0" fontId="38" fillId="42" borderId="55" applyNumberFormat="0" applyAlignment="0" applyProtection="0"/>
    <xf numFmtId="0" fontId="31" fillId="55" borderId="55" applyNumberFormat="0" applyAlignment="0" applyProtection="0"/>
    <xf numFmtId="0" fontId="20" fillId="58" borderId="56" applyNumberFormat="0" applyFont="0" applyAlignment="0" applyProtection="0"/>
    <xf numFmtId="0" fontId="41" fillId="55" borderId="57" applyNumberFormat="0" applyAlignment="0" applyProtection="0"/>
    <xf numFmtId="0" fontId="20" fillId="58" borderId="56" applyNumberFormat="0" applyFont="0" applyAlignment="0" applyProtection="0"/>
    <xf numFmtId="0" fontId="41" fillId="55" borderId="57" applyNumberFormat="0" applyAlignment="0" applyProtection="0"/>
    <xf numFmtId="0" fontId="31" fillId="55" borderId="60" applyNumberFormat="0" applyAlignment="0" applyProtection="0"/>
    <xf numFmtId="0" fontId="20" fillId="58" borderId="61" applyNumberFormat="0" applyFont="0" applyAlignment="0" applyProtection="0"/>
    <xf numFmtId="0" fontId="41" fillId="55" borderId="62" applyNumberFormat="0" applyAlignment="0" applyProtection="0"/>
    <xf numFmtId="0" fontId="20" fillId="58" borderId="61" applyNumberFormat="0" applyFont="0" applyAlignment="0" applyProtection="0"/>
    <xf numFmtId="0" fontId="41" fillId="55" borderId="62" applyNumberFormat="0" applyAlignment="0" applyProtection="0"/>
    <xf numFmtId="0" fontId="31" fillId="55" borderId="65" applyNumberFormat="0" applyAlignment="0" applyProtection="0"/>
    <xf numFmtId="0" fontId="38" fillId="42" borderId="65" applyNumberFormat="0" applyAlignment="0" applyProtection="0"/>
    <xf numFmtId="0" fontId="38" fillId="42" borderId="65" applyNumberFormat="0" applyAlignment="0" applyProtection="0"/>
    <xf numFmtId="0" fontId="31" fillId="55" borderId="65" applyNumberFormat="0" applyAlignment="0" applyProtection="0"/>
    <xf numFmtId="0" fontId="20" fillId="58" borderId="66" applyNumberFormat="0" applyFont="0" applyAlignment="0" applyProtection="0"/>
    <xf numFmtId="0" fontId="41" fillId="55" borderId="67" applyNumberFormat="0" applyAlignment="0" applyProtection="0"/>
    <xf numFmtId="0" fontId="20" fillId="58" borderId="66" applyNumberFormat="0" applyFont="0" applyAlignment="0" applyProtection="0"/>
    <xf numFmtId="0" fontId="41" fillId="55" borderId="67" applyNumberFormat="0" applyAlignment="0" applyProtection="0"/>
    <xf numFmtId="0" fontId="31" fillId="55" borderId="69" applyNumberFormat="0" applyAlignment="0" applyProtection="0"/>
    <xf numFmtId="10" fontId="79" fillId="65" borderId="72" applyNumberFormat="0" applyBorder="0" applyAlignment="0" applyProtection="0"/>
    <xf numFmtId="10" fontId="79" fillId="65" borderId="72" applyNumberFormat="0" applyBorder="0" applyAlignment="0" applyProtection="0"/>
    <xf numFmtId="0" fontId="38" fillId="42" borderId="69" applyNumberFormat="0" applyAlignment="0" applyProtection="0"/>
    <xf numFmtId="0" fontId="38" fillId="42" borderId="69" applyNumberFormat="0" applyAlignment="0" applyProtection="0"/>
    <xf numFmtId="0" fontId="31" fillId="55" borderId="69" applyNumberFormat="0" applyAlignment="0" applyProtection="0"/>
    <xf numFmtId="0" fontId="20" fillId="58" borderId="70" applyNumberFormat="0" applyFont="0" applyAlignment="0" applyProtection="0"/>
    <xf numFmtId="0" fontId="41" fillId="55" borderId="71" applyNumberFormat="0" applyAlignment="0" applyProtection="0"/>
    <xf numFmtId="0" fontId="20" fillId="58" borderId="70" applyNumberFormat="0" applyFont="0" applyAlignment="0" applyProtection="0"/>
    <xf numFmtId="0" fontId="41" fillId="55" borderId="71" applyNumberFormat="0" applyAlignment="0" applyProtection="0"/>
    <xf numFmtId="10" fontId="79" fillId="65" borderId="10" applyNumberFormat="0" applyBorder="0" applyAlignment="0" applyProtection="0"/>
    <xf numFmtId="0" fontId="38" fillId="42" borderId="78" applyNumberFormat="0" applyAlignment="0" applyProtection="0"/>
    <xf numFmtId="0" fontId="31" fillId="55" borderId="78" applyNumberFormat="0" applyAlignment="0" applyProtection="0"/>
    <xf numFmtId="0" fontId="31" fillId="55" borderId="74" applyNumberFormat="0" applyAlignment="0" applyProtection="0"/>
    <xf numFmtId="0" fontId="38" fillId="42" borderId="74" applyNumberFormat="0" applyAlignment="0" applyProtection="0"/>
    <xf numFmtId="0" fontId="38" fillId="42" borderId="74" applyNumberFormat="0" applyAlignment="0" applyProtection="0"/>
    <xf numFmtId="0" fontId="31" fillId="55" borderId="74" applyNumberFormat="0" applyAlignment="0" applyProtection="0"/>
    <xf numFmtId="0" fontId="20" fillId="58" borderId="75" applyNumberFormat="0" applyFont="0" applyAlignment="0" applyProtection="0"/>
    <xf numFmtId="0" fontId="41" fillId="55" borderId="76" applyNumberFormat="0" applyAlignment="0" applyProtection="0"/>
    <xf numFmtId="0" fontId="20" fillId="58" borderId="75" applyNumberFormat="0" applyFont="0" applyAlignment="0" applyProtection="0"/>
    <xf numFmtId="0" fontId="41" fillId="55" borderId="76" applyNumberFormat="0" applyAlignment="0" applyProtection="0"/>
    <xf numFmtId="0" fontId="31" fillId="55" borderId="78" applyNumberFormat="0" applyAlignment="0" applyProtection="0"/>
    <xf numFmtId="0" fontId="38" fillId="42" borderId="78" applyNumberFormat="0" applyAlignment="0" applyProtection="0"/>
    <xf numFmtId="0" fontId="38" fillId="42" borderId="78" applyNumberFormat="0" applyAlignment="0" applyProtection="0"/>
    <xf numFmtId="0" fontId="31" fillId="55" borderId="78" applyNumberFormat="0" applyAlignment="0" applyProtection="0"/>
    <xf numFmtId="0" fontId="20" fillId="58" borderId="79" applyNumberFormat="0" applyFont="0" applyAlignment="0" applyProtection="0"/>
    <xf numFmtId="0" fontId="41" fillId="55" borderId="80" applyNumberFormat="0" applyAlignment="0" applyProtection="0"/>
    <xf numFmtId="0" fontId="20" fillId="58" borderId="79" applyNumberFormat="0" applyFont="0" applyAlignment="0" applyProtection="0"/>
    <xf numFmtId="0" fontId="41" fillId="55" borderId="80" applyNumberFormat="0" applyAlignment="0" applyProtection="0"/>
    <xf numFmtId="10" fontId="79" fillId="65" borderId="10" applyNumberFormat="0" applyBorder="0" applyAlignment="0" applyProtection="0"/>
    <xf numFmtId="10" fontId="79" fillId="65" borderId="1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0" fontId="0" fillId="34" borderId="0" xfId="0" applyFill="1"/>
    <xf numFmtId="0" fontId="0" fillId="34" borderId="0" xfId="0" applyFill="1" applyBorder="1"/>
    <xf numFmtId="0" fontId="23" fillId="34" borderId="0" xfId="43"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4" fillId="0" borderId="0" xfId="43" applyFont="1" applyBorder="1" applyAlignment="1">
      <alignment vertical="center"/>
    </xf>
    <xf numFmtId="0" fontId="24" fillId="34" borderId="0" xfId="43" applyFont="1" applyFill="1" applyBorder="1" applyAlignment="1">
      <alignment vertical="center"/>
    </xf>
    <xf numFmtId="0" fontId="17" fillId="34" borderId="0" xfId="0" applyFont="1" applyFill="1" applyBorder="1"/>
    <xf numFmtId="0" fontId="18" fillId="34" borderId="0" xfId="0" applyFont="1" applyFill="1" applyBorder="1"/>
    <xf numFmtId="0" fontId="26" fillId="34" borderId="0" xfId="0" applyFont="1" applyFill="1" applyBorder="1" applyAlignment="1"/>
    <xf numFmtId="0" fontId="0" fillId="34" borderId="0" xfId="0" applyFill="1" applyBorder="1" applyProtection="1"/>
    <xf numFmtId="0" fontId="0" fillId="34" borderId="0" xfId="0" applyFill="1" applyProtection="1"/>
    <xf numFmtId="0" fontId="0" fillId="34" borderId="0" xfId="0" applyFill="1" applyAlignment="1" applyProtection="1">
      <alignment vertical="center"/>
    </xf>
    <xf numFmtId="0" fontId="13" fillId="34" borderId="0" xfId="0" applyFont="1" applyFill="1" applyBorder="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ont="1" applyFill="1" applyBorder="1" applyAlignment="1">
      <alignment horizontal="left" vertical="center" wrapText="1" indent="1"/>
    </xf>
    <xf numFmtId="0" fontId="0" fillId="35" borderId="10" xfId="0" applyFont="1" applyFill="1" applyBorder="1" applyAlignment="1" applyProtection="1">
      <alignment horizontal="left" vertical="center" indent="1"/>
    </xf>
    <xf numFmtId="0" fontId="16" fillId="34" borderId="0" xfId="0" applyFont="1" applyFill="1" applyAlignment="1">
      <alignment vertical="top"/>
    </xf>
    <xf numFmtId="0" fontId="16" fillId="34" borderId="0" xfId="0" applyFont="1" applyFill="1"/>
    <xf numFmtId="0" fontId="0" fillId="35" borderId="10" xfId="0" applyFill="1" applyBorder="1" applyAlignment="1">
      <alignment horizontal="left" vertical="center" indent="1"/>
    </xf>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0" fillId="35" borderId="10" xfId="0" applyFont="1" applyFill="1" applyBorder="1" applyAlignment="1">
      <alignment horizontal="left" vertical="center" indent="1"/>
    </xf>
    <xf numFmtId="0" fontId="16" fillId="34" borderId="0" xfId="0" applyFont="1" applyFill="1" applyAlignment="1">
      <alignment horizontal="left" vertical="top"/>
    </xf>
    <xf numFmtId="0" fontId="16" fillId="34" borderId="0" xfId="0" applyFont="1" applyFill="1" applyAlignment="1">
      <alignment horizontal="left" vertical="top" indent="18"/>
    </xf>
    <xf numFmtId="0" fontId="16" fillId="34" borderId="0" xfId="0" applyFont="1" applyFill="1" applyBorder="1" applyAlignment="1">
      <alignment horizontal="left" vertical="top" wrapText="1" indent="18"/>
    </xf>
    <xf numFmtId="0" fontId="0" fillId="35" borderId="10" xfId="0" applyFont="1" applyFill="1" applyBorder="1" applyAlignment="1">
      <alignment horizontal="left" vertical="center" indent="1"/>
    </xf>
    <xf numFmtId="10" fontId="0" fillId="35" borderId="10" xfId="0" applyNumberFormat="1" applyFill="1" applyBorder="1" applyAlignment="1">
      <alignment horizontal="left" vertical="center" indent="1"/>
    </xf>
    <xf numFmtId="0" fontId="0" fillId="35" borderId="10" xfId="0" applyFill="1" applyBorder="1"/>
    <xf numFmtId="0" fontId="47" fillId="34" borderId="0" xfId="0" applyFont="1" applyFill="1" applyBorder="1" applyProtection="1"/>
    <xf numFmtId="0" fontId="47" fillId="34" borderId="0" xfId="0" applyFont="1" applyFill="1" applyProtection="1"/>
    <xf numFmtId="164" fontId="1" fillId="33" borderId="10" xfId="1" applyNumberFormat="1" applyFont="1" applyFill="1" applyBorder="1" applyAlignment="1" applyProtection="1">
      <alignment horizontal="center" vertical="center"/>
      <protection locked="0"/>
    </xf>
    <xf numFmtId="0" fontId="48" fillId="34" borderId="0" xfId="0" applyFont="1" applyFill="1" applyBorder="1" applyProtection="1"/>
    <xf numFmtId="0" fontId="48" fillId="34" borderId="0" xfId="0" applyFont="1" applyFill="1" applyProtection="1"/>
    <xf numFmtId="0" fontId="16" fillId="34" borderId="0" xfId="0" applyFont="1" applyFill="1" applyBorder="1"/>
    <xf numFmtId="0" fontId="13" fillId="34" borderId="0" xfId="0" applyFont="1" applyFill="1" applyBorder="1"/>
    <xf numFmtId="10" fontId="0" fillId="35" borderId="10" xfId="0" applyNumberFormat="1" applyFont="1" applyFill="1" applyBorder="1" applyAlignment="1">
      <alignment horizontal="left" vertical="center" indent="1"/>
    </xf>
    <xf numFmtId="0" fontId="0" fillId="35" borderId="0" xfId="0" applyFont="1" applyFill="1" applyBorder="1" applyAlignment="1">
      <alignment horizontal="left" vertical="center" indent="1"/>
    </xf>
    <xf numFmtId="0" fontId="0" fillId="35" borderId="0" xfId="0" applyFont="1" applyFill="1" applyBorder="1" applyAlignment="1" applyProtection="1">
      <alignment horizontal="left" vertical="center" indent="1"/>
    </xf>
    <xf numFmtId="3" fontId="0" fillId="35" borderId="10" xfId="0" applyNumberFormat="1" applyFill="1" applyBorder="1" applyAlignment="1">
      <alignment horizontal="left" vertical="center" indent="1"/>
    </xf>
    <xf numFmtId="4" fontId="0" fillId="35" borderId="10" xfId="0" applyNumberFormat="1" applyFill="1" applyBorder="1" applyAlignment="1">
      <alignment horizontal="left" vertical="center" indent="1"/>
    </xf>
    <xf numFmtId="0" fontId="0" fillId="36" borderId="10" xfId="0" applyFont="1" applyFill="1" applyBorder="1" applyAlignment="1" applyProtection="1">
      <alignment horizontal="center" vertical="center"/>
    </xf>
    <xf numFmtId="0" fontId="16" fillId="36" borderId="10" xfId="0" applyFont="1" applyFill="1" applyBorder="1" applyAlignment="1">
      <alignment horizontal="center" vertical="center" wrapText="1"/>
    </xf>
    <xf numFmtId="0" fontId="45" fillId="35" borderId="10" xfId="0" applyFont="1" applyFill="1" applyBorder="1"/>
    <xf numFmtId="0" fontId="27" fillId="35" borderId="10" xfId="0" applyFont="1" applyFill="1" applyBorder="1"/>
    <xf numFmtId="0" fontId="52" fillId="35" borderId="10" xfId="0" applyFont="1" applyFill="1" applyBorder="1"/>
    <xf numFmtId="0" fontId="16" fillId="36" borderId="10" xfId="0" applyFont="1" applyFill="1" applyBorder="1" applyAlignment="1">
      <alignment vertical="center" wrapText="1"/>
    </xf>
    <xf numFmtId="0" fontId="53" fillId="36" borderId="10" xfId="0" applyFont="1" applyFill="1" applyBorder="1" applyAlignment="1">
      <alignment wrapText="1"/>
    </xf>
    <xf numFmtId="0" fontId="53" fillId="35" borderId="10" xfId="0" applyFont="1" applyFill="1" applyBorder="1" applyAlignment="1">
      <alignment wrapText="1"/>
    </xf>
    <xf numFmtId="0" fontId="0" fillId="36" borderId="16" xfId="0" applyFont="1" applyFill="1" applyBorder="1" applyAlignment="1" applyProtection="1">
      <alignment vertical="center"/>
    </xf>
    <xf numFmtId="0" fontId="0" fillId="36" borderId="37" xfId="0" applyFont="1" applyFill="1" applyBorder="1" applyAlignment="1" applyProtection="1">
      <alignment vertical="center"/>
    </xf>
    <xf numFmtId="0" fontId="16" fillId="36" borderId="35" xfId="0" applyFont="1" applyFill="1" applyBorder="1" applyAlignment="1">
      <alignment vertical="center" wrapText="1"/>
    </xf>
    <xf numFmtId="164" fontId="0" fillId="33" borderId="10" xfId="1" applyNumberFormat="1" applyFont="1" applyFill="1" applyBorder="1" applyAlignment="1" applyProtection="1">
      <alignment horizontal="center" vertical="center"/>
      <protection locked="0"/>
    </xf>
    <xf numFmtId="0" fontId="0" fillId="34" borderId="18" xfId="0" applyFill="1" applyBorder="1" applyAlignment="1">
      <alignment horizontal="center" vertical="center"/>
    </xf>
    <xf numFmtId="0" fontId="0" fillId="34" borderId="18" xfId="0" applyFill="1" applyBorder="1" applyAlignment="1">
      <alignment vertical="top"/>
    </xf>
    <xf numFmtId="0" fontId="16" fillId="34" borderId="33" xfId="0" applyFont="1" applyFill="1" applyBorder="1" applyAlignment="1">
      <alignment horizontal="center"/>
    </xf>
    <xf numFmtId="0" fontId="0" fillId="34" borderId="32" xfId="0" applyFill="1" applyBorder="1" applyAlignment="1">
      <alignment vertical="top"/>
    </xf>
    <xf numFmtId="167" fontId="0" fillId="35" borderId="10" xfId="0" applyNumberFormat="1" applyFill="1" applyBorder="1" applyAlignment="1">
      <alignment horizontal="left" vertical="center" indent="1"/>
    </xf>
    <xf numFmtId="0" fontId="54" fillId="34" borderId="0" xfId="0" applyFont="1" applyFill="1" applyBorder="1"/>
    <xf numFmtId="10" fontId="0" fillId="34" borderId="0" xfId="0" applyNumberFormat="1" applyFill="1" applyBorder="1" applyAlignment="1">
      <alignment horizontal="left" vertical="center" indent="1"/>
    </xf>
    <xf numFmtId="4" fontId="0" fillId="34" borderId="0" xfId="0" applyNumberFormat="1" applyFill="1" applyBorder="1" applyAlignment="1">
      <alignment horizontal="left" vertical="center" indent="1"/>
    </xf>
    <xf numFmtId="10" fontId="0" fillId="35" borderId="10" xfId="0" applyNumberFormat="1" applyFill="1" applyBorder="1"/>
    <xf numFmtId="0" fontId="0" fillId="0" borderId="0" xfId="0" applyFill="1" applyAlignment="1" applyProtection="1">
      <alignment vertical="center"/>
    </xf>
    <xf numFmtId="14" fontId="0" fillId="33" borderId="14" xfId="0" applyNumberFormat="1" applyFont="1" applyFill="1" applyBorder="1" applyAlignment="1" applyProtection="1">
      <alignment vertical="center"/>
      <protection locked="0"/>
    </xf>
    <xf numFmtId="0" fontId="0" fillId="33" borderId="17" xfId="0" applyFont="1" applyFill="1" applyBorder="1" applyAlignment="1" applyProtection="1">
      <alignment vertical="center"/>
      <protection locked="0"/>
    </xf>
    <xf numFmtId="0" fontId="16" fillId="36" borderId="10" xfId="0" applyFont="1" applyFill="1" applyBorder="1" applyAlignment="1" applyProtection="1">
      <alignment horizontal="center" vertical="center"/>
    </xf>
    <xf numFmtId="0" fontId="16" fillId="36" borderId="12" xfId="0" applyFont="1" applyFill="1" applyBorder="1" applyAlignment="1" applyProtection="1">
      <alignment horizontal="right" vertical="center" indent="1"/>
    </xf>
    <xf numFmtId="0" fontId="16" fillId="36" borderId="15" xfId="0" applyFont="1" applyFill="1" applyBorder="1" applyAlignment="1" applyProtection="1">
      <alignment horizontal="right" vertical="center" indent="1"/>
    </xf>
    <xf numFmtId="0" fontId="16" fillId="36" borderId="19" xfId="0" applyFont="1" applyFill="1" applyBorder="1" applyAlignment="1" applyProtection="1">
      <alignment horizontal="right" vertical="center" indent="1"/>
    </xf>
    <xf numFmtId="0" fontId="0" fillId="34" borderId="0" xfId="0" applyFill="1" applyBorder="1" applyAlignment="1" applyProtection="1">
      <alignment wrapText="1"/>
    </xf>
    <xf numFmtId="0" fontId="0" fillId="34" borderId="0" xfId="0" applyFill="1" applyAlignment="1" applyProtection="1">
      <alignment wrapText="1"/>
    </xf>
    <xf numFmtId="164" fontId="1" fillId="33" borderId="10" xfId="1" applyNumberFormat="1" applyFont="1" applyFill="1" applyBorder="1" applyAlignment="1" applyProtection="1">
      <alignment horizontal="center" vertical="center" wrapText="1"/>
      <protection locked="0"/>
    </xf>
    <xf numFmtId="0" fontId="0" fillId="35" borderId="10" xfId="0" applyFont="1" applyFill="1" applyBorder="1" applyAlignment="1">
      <alignment horizontal="left" vertical="center" indent="1"/>
    </xf>
    <xf numFmtId="0" fontId="16" fillId="36" borderId="10" xfId="0" applyFont="1" applyFill="1" applyBorder="1" applyAlignment="1">
      <alignment horizontal="center" vertical="center" wrapText="1"/>
    </xf>
    <xf numFmtId="0" fontId="0" fillId="36" borderId="10" xfId="0" applyFont="1" applyFill="1" applyBorder="1" applyAlignment="1" applyProtection="1">
      <alignment horizontal="center" vertical="center"/>
    </xf>
    <xf numFmtId="4" fontId="16" fillId="34" borderId="0" xfId="0" applyNumberFormat="1" applyFont="1" applyFill="1" applyBorder="1" applyAlignment="1" applyProtection="1">
      <alignment horizontal="center"/>
    </xf>
    <xf numFmtId="4" fontId="47" fillId="34" borderId="0" xfId="0" applyNumberFormat="1" applyFont="1" applyFill="1" applyProtection="1"/>
    <xf numFmtId="4" fontId="0" fillId="34" borderId="0" xfId="0" applyNumberFormat="1" applyFill="1" applyProtection="1"/>
    <xf numFmtId="169" fontId="16" fillId="34" borderId="0" xfId="0" applyNumberFormat="1" applyFont="1" applyFill="1" applyBorder="1" applyAlignment="1" applyProtection="1">
      <alignment horizontal="center"/>
    </xf>
    <xf numFmtId="169" fontId="46" fillId="34" borderId="0" xfId="0" applyNumberFormat="1" applyFont="1" applyFill="1" applyBorder="1" applyAlignment="1" applyProtection="1">
      <alignment horizontal="left"/>
    </xf>
    <xf numFmtId="169" fontId="0" fillId="34" borderId="0" xfId="0" applyNumberFormat="1" applyFill="1" applyProtection="1"/>
    <xf numFmtId="0" fontId="56" fillId="35" borderId="10" xfId="0" applyFont="1" applyFill="1" applyBorder="1"/>
    <xf numFmtId="0" fontId="0" fillId="36" borderId="10" xfId="0" applyFont="1" applyFill="1" applyBorder="1" applyAlignment="1" applyProtection="1">
      <alignment vertical="center"/>
    </xf>
    <xf numFmtId="1" fontId="0" fillId="35" borderId="10" xfId="0" applyNumberFormat="1" applyFont="1" applyFill="1" applyBorder="1" applyAlignment="1">
      <alignment horizontal="left" vertical="center" indent="1"/>
    </xf>
    <xf numFmtId="0" fontId="0" fillId="36" borderId="10" xfId="0" applyFont="1" applyFill="1" applyBorder="1" applyAlignment="1" applyProtection="1">
      <alignment horizontal="center" vertical="center"/>
    </xf>
    <xf numFmtId="4" fontId="1" fillId="33" borderId="10" xfId="1" applyNumberFormat="1" applyFont="1" applyFill="1" applyBorder="1" applyAlignment="1" applyProtection="1">
      <alignment horizontal="center" vertical="center"/>
      <protection locked="0"/>
    </xf>
    <xf numFmtId="0" fontId="52" fillId="0" borderId="0" xfId="0" applyFont="1" applyFill="1" applyProtection="1"/>
    <xf numFmtId="2" fontId="0" fillId="34" borderId="0" xfId="0" applyNumberFormat="1" applyFill="1" applyBorder="1" applyAlignment="1">
      <alignment horizontal="left" vertical="center" indent="1"/>
    </xf>
    <xf numFmtId="169" fontId="0" fillId="35" borderId="10" xfId="0" applyNumberFormat="1" applyFill="1" applyBorder="1" applyAlignment="1">
      <alignment horizontal="left" vertical="center" indent="1"/>
    </xf>
    <xf numFmtId="0" fontId="14" fillId="34" borderId="0" xfId="0" applyFont="1" applyFill="1" applyProtection="1"/>
    <xf numFmtId="0" fontId="55" fillId="34" borderId="0" xfId="0" applyFont="1" applyFill="1" applyAlignment="1" applyProtection="1">
      <alignment wrapText="1"/>
    </xf>
    <xf numFmtId="167" fontId="0" fillId="34" borderId="0" xfId="0" applyNumberFormat="1" applyFill="1" applyBorder="1"/>
    <xf numFmtId="43" fontId="16" fillId="36" borderId="10" xfId="1" applyFont="1" applyFill="1" applyBorder="1" applyAlignment="1">
      <alignment horizontal="center" vertical="center" wrapText="1"/>
    </xf>
    <xf numFmtId="164" fontId="0" fillId="33" borderId="10" xfId="1" applyNumberFormat="1" applyFont="1" applyFill="1" applyBorder="1" applyAlignment="1" applyProtection="1">
      <alignment horizontal="center" vertical="center" wrapText="1"/>
      <protection locked="0"/>
    </xf>
    <xf numFmtId="0" fontId="22" fillId="34" borderId="0" xfId="43" applyFont="1" applyFill="1" applyAlignment="1" applyProtection="1">
      <alignment horizontal="left" vertical="center" wrapText="1"/>
      <protection hidden="1"/>
    </xf>
    <xf numFmtId="0" fontId="22"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59" fillId="34" borderId="0" xfId="0" applyFont="1" applyFill="1"/>
    <xf numFmtId="0" fontId="58" fillId="34" borderId="0" xfId="0" applyFont="1" applyFill="1" applyAlignment="1">
      <alignment horizontal="left" wrapText="1"/>
    </xf>
    <xf numFmtId="0" fontId="58" fillId="34" borderId="0" xfId="0" applyFont="1" applyFill="1" applyAlignment="1">
      <alignment horizontal="left"/>
    </xf>
    <xf numFmtId="0" fontId="27" fillId="34" borderId="0" xfId="0" applyFont="1" applyFill="1" applyAlignment="1">
      <alignment horizontal="left"/>
    </xf>
    <xf numFmtId="0" fontId="0" fillId="35" borderId="0" xfId="0" applyFill="1"/>
    <xf numFmtId="0" fontId="27" fillId="35" borderId="0" xfId="0" applyFont="1" applyFill="1" applyAlignment="1">
      <alignment horizontal="left"/>
    </xf>
    <xf numFmtId="0" fontId="26" fillId="35" borderId="0" xfId="0" applyFont="1" applyFill="1" applyBorder="1" applyAlignment="1"/>
    <xf numFmtId="0" fontId="60" fillId="35" borderId="0" xfId="0" applyFont="1" applyFill="1" applyAlignment="1">
      <alignment horizontal="left" wrapText="1"/>
    </xf>
    <xf numFmtId="0" fontId="0" fillId="34" borderId="22" xfId="0" applyFill="1" applyBorder="1" applyAlignment="1" applyProtection="1">
      <alignment horizontal="right" vertical="center"/>
    </xf>
    <xf numFmtId="14" fontId="0" fillId="34" borderId="22" xfId="0" applyNumberFormat="1" applyFill="1" applyBorder="1" applyAlignment="1" applyProtection="1">
      <alignment horizontal="center"/>
    </xf>
    <xf numFmtId="3" fontId="1" fillId="33" borderId="10" xfId="1" applyNumberFormat="1" applyFont="1" applyFill="1" applyBorder="1" applyAlignment="1" applyProtection="1">
      <alignment horizontal="center" vertical="center"/>
      <protection locked="0"/>
    </xf>
    <xf numFmtId="0" fontId="61" fillId="34" borderId="0" xfId="0" applyFont="1" applyFill="1" applyProtection="1"/>
    <xf numFmtId="0" fontId="62" fillId="34" borderId="22" xfId="0" applyFont="1" applyFill="1" applyBorder="1" applyAlignment="1" applyProtection="1">
      <alignment horizontal="right"/>
    </xf>
    <xf numFmtId="14" fontId="61" fillId="34" borderId="22" xfId="0" applyNumberFormat="1" applyFont="1" applyFill="1" applyBorder="1" applyAlignment="1" applyProtection="1">
      <alignment horizontal="center"/>
    </xf>
    <xf numFmtId="0" fontId="0" fillId="61" borderId="0" xfId="0" applyFill="1" applyProtection="1"/>
    <xf numFmtId="0" fontId="0" fillId="0" borderId="0" xfId="0" applyProtection="1"/>
    <xf numFmtId="0" fontId="0" fillId="0" borderId="0" xfId="0" applyFill="1" applyProtection="1"/>
    <xf numFmtId="0" fontId="63" fillId="34" borderId="0" xfId="43" applyFont="1" applyFill="1" applyAlignment="1" applyProtection="1">
      <alignment horizontal="left" vertical="center" wrapText="1" indent="2"/>
      <protection hidden="1"/>
    </xf>
    <xf numFmtId="0" fontId="64" fillId="34" borderId="0" xfId="43" applyFont="1" applyFill="1" applyAlignment="1" applyProtection="1">
      <alignment horizontal="left" vertical="center" wrapText="1" indent="2"/>
      <protection hidden="1"/>
    </xf>
    <xf numFmtId="0" fontId="65" fillId="34" borderId="0" xfId="0" applyFont="1" applyFill="1"/>
    <xf numFmtId="0" fontId="0" fillId="33" borderId="10" xfId="0" applyFont="1" applyFill="1" applyBorder="1" applyAlignment="1">
      <alignment horizontal="left" vertical="center" indent="1"/>
    </xf>
    <xf numFmtId="0" fontId="0" fillId="36" borderId="14" xfId="0" applyFont="1" applyFill="1" applyBorder="1" applyAlignment="1" applyProtection="1">
      <alignment horizontal="center" vertical="center"/>
    </xf>
    <xf numFmtId="0" fontId="16" fillId="36" borderId="10" xfId="0" applyFont="1" applyFill="1" applyBorder="1" applyAlignment="1">
      <alignment horizontal="center" vertical="center" wrapText="1"/>
    </xf>
    <xf numFmtId="4" fontId="67" fillId="34" borderId="0" xfId="0" applyNumberFormat="1" applyFont="1" applyFill="1" applyProtection="1"/>
    <xf numFmtId="0" fontId="25" fillId="34" borderId="22" xfId="43" applyFont="1" applyFill="1" applyBorder="1" applyAlignment="1" applyProtection="1">
      <alignment vertical="center"/>
      <protection hidden="1"/>
    </xf>
    <xf numFmtId="0" fontId="25" fillId="34" borderId="0" xfId="43" applyFont="1" applyFill="1" applyBorder="1" applyAlignment="1" applyProtection="1">
      <alignment vertical="center"/>
      <protection hidden="1"/>
    </xf>
    <xf numFmtId="0" fontId="96" fillId="34" borderId="0" xfId="1899" applyFont="1" applyFill="1" applyBorder="1" applyAlignment="1" applyProtection="1">
      <alignment vertical="center"/>
      <protection hidden="1"/>
    </xf>
    <xf numFmtId="0" fontId="0" fillId="0" borderId="0" xfId="0"/>
    <xf numFmtId="0" fontId="96" fillId="34" borderId="0" xfId="1899" applyFont="1" applyFill="1" applyBorder="1" applyAlignment="1" applyProtection="1">
      <alignment vertical="center"/>
      <protection hidden="1"/>
    </xf>
    <xf numFmtId="0" fontId="96" fillId="34" borderId="0" xfId="1899" applyFont="1" applyFill="1" applyBorder="1" applyAlignment="1" applyProtection="1">
      <alignment vertical="center"/>
      <protection hidden="1"/>
    </xf>
    <xf numFmtId="0" fontId="96" fillId="34" borderId="0" xfId="1899" applyFont="1" applyFill="1" applyBorder="1" applyAlignment="1" applyProtection="1">
      <alignment vertical="center"/>
      <protection hidden="1"/>
    </xf>
    <xf numFmtId="0" fontId="97" fillId="34" borderId="0" xfId="43" applyFont="1" applyFill="1" applyAlignment="1" applyProtection="1">
      <alignment horizontal="left" vertical="center" indent="2"/>
      <protection hidden="1"/>
    </xf>
    <xf numFmtId="0" fontId="0" fillId="36" borderId="10" xfId="0" applyFont="1" applyFill="1" applyBorder="1" applyAlignment="1" applyProtection="1">
      <alignment horizontal="center" vertical="center"/>
    </xf>
    <xf numFmtId="0" fontId="16" fillId="36" borderId="10" xfId="0" applyFont="1" applyFill="1" applyBorder="1" applyAlignment="1">
      <alignment horizontal="center" vertical="center" wrapText="1"/>
    </xf>
    <xf numFmtId="0" fontId="52" fillId="0" borderId="0" xfId="0" applyFont="1" applyFill="1"/>
    <xf numFmtId="0" fontId="14" fillId="0" borderId="0" xfId="0" applyFont="1"/>
    <xf numFmtId="0" fontId="14" fillId="0" borderId="45" xfId="0" applyFont="1" applyBorder="1"/>
    <xf numFmtId="0" fontId="14" fillId="0" borderId="47" xfId="0" applyFont="1" applyBorder="1"/>
    <xf numFmtId="0" fontId="52" fillId="0" borderId="0" xfId="0" applyFont="1"/>
    <xf numFmtId="0" fontId="52" fillId="0" borderId="0" xfId="0" applyFont="1" applyAlignment="1"/>
    <xf numFmtId="168" fontId="52" fillId="0" borderId="0" xfId="0" applyNumberFormat="1" applyFont="1"/>
    <xf numFmtId="0" fontId="18" fillId="34" borderId="0" xfId="0" applyFont="1" applyFill="1" applyBorder="1" applyAlignment="1"/>
    <xf numFmtId="0" fontId="99" fillId="34" borderId="0" xfId="0" applyFont="1" applyFill="1" applyBorder="1"/>
    <xf numFmtId="43" fontId="13" fillId="34" borderId="0" xfId="1" applyFont="1" applyFill="1" applyBorder="1" applyAlignment="1">
      <alignment horizontal="center" vertical="center" wrapText="1"/>
    </xf>
    <xf numFmtId="0" fontId="17" fillId="34" borderId="0" xfId="0" applyFont="1" applyFill="1" applyBorder="1" applyAlignment="1">
      <alignment horizontal="left" vertical="center" indent="1"/>
    </xf>
    <xf numFmtId="170" fontId="17" fillId="34" borderId="0" xfId="0" applyNumberFormat="1" applyFont="1" applyFill="1" applyBorder="1" applyAlignment="1">
      <alignment horizontal="left" vertical="center" indent="1"/>
    </xf>
    <xf numFmtId="0" fontId="52" fillId="0" borderId="42" xfId="0" applyFont="1" applyBorder="1"/>
    <xf numFmtId="0" fontId="52" fillId="0" borderId="43" xfId="0" applyFont="1" applyBorder="1"/>
    <xf numFmtId="168" fontId="52" fillId="0" borderId="43" xfId="0" applyNumberFormat="1" applyFont="1" applyBorder="1"/>
    <xf numFmtId="0" fontId="52" fillId="0" borderId="45" xfId="0" applyFont="1" applyBorder="1"/>
    <xf numFmtId="2" fontId="52" fillId="0" borderId="0" xfId="0" applyNumberFormat="1" applyFont="1" applyBorder="1"/>
    <xf numFmtId="0" fontId="52" fillId="0" borderId="0" xfId="0" applyFont="1" applyBorder="1"/>
    <xf numFmtId="0" fontId="52" fillId="0" borderId="47" xfId="0" applyFont="1" applyBorder="1"/>
    <xf numFmtId="2" fontId="52" fillId="0" borderId="38" xfId="0" applyNumberFormat="1" applyFont="1" applyBorder="1"/>
    <xf numFmtId="0" fontId="52" fillId="0" borderId="38" xfId="0" applyFont="1" applyBorder="1"/>
    <xf numFmtId="0" fontId="0" fillId="34" borderId="0" xfId="0" applyFont="1" applyFill="1" applyBorder="1"/>
    <xf numFmtId="3" fontId="0" fillId="35" borderId="10" xfId="0" applyNumberFormat="1" applyFill="1" applyBorder="1" applyAlignment="1">
      <alignment horizontal="center" vertical="center"/>
    </xf>
    <xf numFmtId="0" fontId="18" fillId="34" borderId="0" xfId="0" applyFont="1" applyFill="1" applyBorder="1" applyAlignment="1">
      <alignment horizontal="left"/>
    </xf>
    <xf numFmtId="0" fontId="0" fillId="36" borderId="18" xfId="0" applyFont="1" applyFill="1" applyBorder="1" applyAlignment="1" applyProtection="1">
      <alignment vertical="center"/>
    </xf>
    <xf numFmtId="0" fontId="0" fillId="0" borderId="0" xfId="0" applyFont="1"/>
    <xf numFmtId="168" fontId="0" fillId="0" borderId="0" xfId="0" applyNumberFormat="1" applyFont="1"/>
    <xf numFmtId="0" fontId="0" fillId="0" borderId="0" xfId="0" applyFont="1" applyFill="1"/>
    <xf numFmtId="43" fontId="16" fillId="36" borderId="10" xfId="1" applyFont="1" applyFill="1" applyBorder="1" applyAlignment="1">
      <alignment horizontal="center" vertical="center" wrapText="1"/>
    </xf>
    <xf numFmtId="3" fontId="52" fillId="0" borderId="0" xfId="0" applyNumberFormat="1" applyFont="1"/>
    <xf numFmtId="168" fontId="52" fillId="0" borderId="0" xfId="0" applyNumberFormat="1" applyFont="1" applyFill="1" applyBorder="1"/>
    <xf numFmtId="0" fontId="16" fillId="36" borderId="10" xfId="0" applyFont="1" applyFill="1" applyBorder="1" applyAlignment="1">
      <alignment horizontal="center" vertical="center" wrapText="1"/>
    </xf>
    <xf numFmtId="0" fontId="16" fillId="34" borderId="0" xfId="0" applyFont="1" applyFill="1" applyBorder="1" applyAlignment="1">
      <alignment horizontal="center" vertical="center" wrapText="1"/>
    </xf>
    <xf numFmtId="43" fontId="16" fillId="34" borderId="0" xfId="1" applyFont="1" applyFill="1" applyBorder="1" applyAlignment="1">
      <alignment horizontal="center" vertical="center" wrapText="1"/>
    </xf>
    <xf numFmtId="168" fontId="0" fillId="34" borderId="0" xfId="0" applyNumberFormat="1" applyFill="1" applyBorder="1" applyAlignment="1">
      <alignment horizontal="left" vertical="center" indent="1"/>
    </xf>
    <xf numFmtId="0" fontId="52" fillId="34" borderId="0" xfId="0" applyFont="1" applyFill="1" applyBorder="1"/>
    <xf numFmtId="0" fontId="14" fillId="34" borderId="0" xfId="0" applyFont="1" applyFill="1" applyBorder="1" applyAlignment="1">
      <alignment horizontal="left" vertical="center" indent="1"/>
    </xf>
    <xf numFmtId="10" fontId="14" fillId="34" borderId="0" xfId="0" applyNumberFormat="1" applyFont="1" applyFill="1" applyBorder="1" applyAlignment="1">
      <alignment horizontal="left" vertical="center" indent="1"/>
    </xf>
    <xf numFmtId="4" fontId="14" fillId="34" borderId="0" xfId="0" applyNumberFormat="1" applyFont="1" applyFill="1" applyBorder="1" applyAlignment="1">
      <alignment horizontal="left" vertical="center" indent="1"/>
    </xf>
    <xf numFmtId="167" fontId="14" fillId="34" borderId="0" xfId="0" applyNumberFormat="1" applyFont="1" applyFill="1" applyBorder="1" applyAlignment="1">
      <alignment horizontal="left" vertical="center" indent="1"/>
    </xf>
    <xf numFmtId="0" fontId="52" fillId="35" borderId="10" xfId="0" applyFont="1" applyFill="1" applyBorder="1" applyAlignment="1">
      <alignment horizontal="left" vertical="center" indent="1"/>
    </xf>
    <xf numFmtId="10" fontId="52" fillId="35" borderId="10" xfId="0" applyNumberFormat="1" applyFont="1" applyFill="1" applyBorder="1" applyAlignment="1">
      <alignment horizontal="left" vertical="center" indent="1"/>
    </xf>
    <xf numFmtId="4" fontId="52" fillId="35" borderId="10" xfId="0" applyNumberFormat="1" applyFont="1" applyFill="1" applyBorder="1" applyAlignment="1">
      <alignment horizontal="left" vertical="center" indent="1"/>
    </xf>
    <xf numFmtId="167" fontId="52" fillId="35" borderId="10" xfId="0" applyNumberFormat="1" applyFont="1" applyFill="1" applyBorder="1" applyAlignment="1">
      <alignment horizontal="left" vertical="center" indent="1"/>
    </xf>
    <xf numFmtId="0" fontId="52" fillId="35" borderId="10" xfId="0" applyFont="1" applyFill="1" applyBorder="1" applyAlignment="1">
      <alignment horizontal="left" vertical="center" wrapText="1" indent="1"/>
    </xf>
    <xf numFmtId="2" fontId="52" fillId="35" borderId="10" xfId="0" applyNumberFormat="1" applyFont="1" applyFill="1" applyBorder="1" applyAlignment="1">
      <alignment horizontal="center" vertical="center"/>
    </xf>
    <xf numFmtId="167" fontId="52" fillId="35" borderId="10" xfId="0" applyNumberFormat="1" applyFont="1" applyFill="1" applyBorder="1" applyAlignment="1">
      <alignment horizontal="center" vertical="center"/>
    </xf>
    <xf numFmtId="0" fontId="52" fillId="35" borderId="0" xfId="0" applyFont="1" applyFill="1" applyBorder="1"/>
    <xf numFmtId="0" fontId="53" fillId="0" borderId="42" xfId="0" applyFont="1" applyBorder="1"/>
    <xf numFmtId="0" fontId="52" fillId="60" borderId="0" xfId="0" applyFont="1" applyFill="1"/>
    <xf numFmtId="0" fontId="52" fillId="36" borderId="0" xfId="0" applyFont="1" applyFill="1"/>
    <xf numFmtId="0" fontId="52" fillId="62" borderId="0" xfId="0" applyFont="1" applyFill="1"/>
    <xf numFmtId="43" fontId="52" fillId="0" borderId="43" xfId="0" applyNumberFormat="1" applyFont="1" applyBorder="1"/>
    <xf numFmtId="0" fontId="52" fillId="0" borderId="44" xfId="0" applyFont="1" applyBorder="1"/>
    <xf numFmtId="2" fontId="52" fillId="0" borderId="46" xfId="0" applyNumberFormat="1" applyFont="1" applyBorder="1"/>
    <xf numFmtId="2" fontId="52" fillId="0" borderId="48" xfId="0" applyNumberFormat="1" applyFont="1" applyBorder="1"/>
    <xf numFmtId="0" fontId="0" fillId="35" borderId="10" xfId="0" applyFont="1" applyFill="1" applyBorder="1" applyAlignment="1">
      <alignment horizontal="left" vertical="center" indent="1"/>
    </xf>
    <xf numFmtId="0" fontId="0" fillId="36" borderId="10" xfId="0" applyFont="1" applyFill="1" applyBorder="1" applyAlignment="1" applyProtection="1">
      <alignment horizontal="center" vertical="center"/>
    </xf>
    <xf numFmtId="0" fontId="0" fillId="36" borderId="10" xfId="0" applyFont="1" applyFill="1" applyBorder="1" applyAlignment="1" applyProtection="1">
      <alignment horizontal="center" vertical="center" wrapText="1"/>
    </xf>
    <xf numFmtId="0" fontId="62" fillId="34" borderId="0" xfId="0" applyFont="1" applyFill="1" applyBorder="1" applyAlignment="1" applyProtection="1">
      <alignment horizontal="right"/>
    </xf>
    <xf numFmtId="14" fontId="61" fillId="34" borderId="0" xfId="0" applyNumberFormat="1" applyFont="1" applyFill="1" applyBorder="1" applyAlignment="1" applyProtection="1">
      <alignment horizontal="center"/>
    </xf>
    <xf numFmtId="0" fontId="52" fillId="34" borderId="0" xfId="0" applyFont="1" applyFill="1" applyBorder="1" applyAlignment="1" applyProtection="1">
      <alignment horizontal="center" vertical="center"/>
    </xf>
    <xf numFmtId="164" fontId="52" fillId="34" borderId="0" xfId="1" applyNumberFormat="1" applyFont="1" applyFill="1" applyBorder="1" applyAlignment="1" applyProtection="1">
      <alignment horizontal="center" vertical="center"/>
      <protection locked="0"/>
    </xf>
    <xf numFmtId="0" fontId="101" fillId="34" borderId="0" xfId="0" applyFont="1" applyFill="1" applyBorder="1" applyAlignment="1" applyProtection="1">
      <alignment vertical="center"/>
    </xf>
    <xf numFmtId="0" fontId="14" fillId="34" borderId="0" xfId="0" applyFont="1" applyFill="1" applyBorder="1"/>
    <xf numFmtId="0" fontId="53" fillId="35" borderId="10" xfId="0" applyFont="1" applyFill="1" applyBorder="1"/>
    <xf numFmtId="0" fontId="0" fillId="34" borderId="0" xfId="0" applyFont="1" applyFill="1" applyBorder="1" applyAlignment="1">
      <alignment horizontal="left" vertical="center" indent="1"/>
    </xf>
    <xf numFmtId="0" fontId="0" fillId="34" borderId="0" xfId="0" applyFont="1" applyFill="1" applyBorder="1" applyAlignment="1" applyProtection="1">
      <alignment horizontal="left" vertical="center" indent="1"/>
    </xf>
    <xf numFmtId="3" fontId="0" fillId="34" borderId="0" xfId="0" applyNumberFormat="1" applyFont="1" applyFill="1" applyBorder="1" applyAlignment="1">
      <alignment horizontal="left" vertical="center" indent="1"/>
    </xf>
    <xf numFmtId="166" fontId="52" fillId="35" borderId="10" xfId="0" applyNumberFormat="1" applyFont="1" applyFill="1" applyBorder="1" applyAlignment="1">
      <alignment horizontal="left" vertical="center" indent="1"/>
    </xf>
    <xf numFmtId="0" fontId="0" fillId="35" borderId="10" xfId="0" applyFont="1" applyFill="1" applyBorder="1" applyAlignment="1">
      <alignment horizontal="left" vertical="center" indent="1"/>
    </xf>
    <xf numFmtId="0" fontId="16" fillId="36" borderId="14" xfId="0" applyFont="1" applyFill="1" applyBorder="1" applyAlignment="1" applyProtection="1">
      <alignment horizontal="center" vertical="center"/>
    </xf>
    <xf numFmtId="0" fontId="16" fillId="36" borderId="17"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0" fillId="36" borderId="10" xfId="0" applyFont="1" applyFill="1" applyBorder="1" applyAlignment="1" applyProtection="1">
      <alignment horizontal="center" vertical="center"/>
    </xf>
    <xf numFmtId="0" fontId="0" fillId="36" borderId="10" xfId="0" applyFont="1" applyFill="1" applyBorder="1" applyAlignment="1" applyProtection="1">
      <alignment horizontal="center" vertical="center" wrapText="1"/>
    </xf>
    <xf numFmtId="0" fontId="16" fillId="36" borderId="10" xfId="0" applyFont="1" applyFill="1" applyBorder="1" applyAlignment="1">
      <alignment horizontal="center" vertical="center" wrapText="1"/>
    </xf>
    <xf numFmtId="0" fontId="52" fillId="35" borderId="10" xfId="0" applyFont="1" applyFill="1" applyBorder="1" applyAlignment="1" applyProtection="1">
      <alignment horizontal="left" vertical="center" indent="1"/>
    </xf>
    <xf numFmtId="0" fontId="22" fillId="35" borderId="10" xfId="0" applyFont="1" applyFill="1" applyBorder="1"/>
    <xf numFmtId="0" fontId="52" fillId="35" borderId="35" xfId="0" applyFont="1" applyFill="1" applyBorder="1"/>
    <xf numFmtId="166" fontId="52" fillId="35" borderId="35" xfId="0" applyNumberFormat="1" applyFont="1" applyFill="1" applyBorder="1" applyAlignment="1">
      <alignment horizontal="left" vertical="center" indent="1"/>
    </xf>
    <xf numFmtId="0" fontId="52" fillId="36" borderId="10" xfId="0" applyFont="1" applyFill="1" applyBorder="1"/>
    <xf numFmtId="43" fontId="53" fillId="36" borderId="10" xfId="1" applyFont="1" applyFill="1" applyBorder="1" applyAlignment="1">
      <alignment horizontal="center" vertical="center" wrapText="1"/>
    </xf>
    <xf numFmtId="4" fontId="0" fillId="36" borderId="13" xfId="0" applyNumberFormat="1" applyFont="1" applyFill="1" applyBorder="1" applyAlignment="1" applyProtection="1">
      <alignment horizontal="center" vertical="center" wrapText="1"/>
    </xf>
    <xf numFmtId="0" fontId="1" fillId="33" borderId="10" xfId="1" applyNumberFormat="1" applyFont="1" applyFill="1" applyBorder="1" applyAlignment="1" applyProtection="1">
      <alignment horizontal="center" vertical="center"/>
      <protection locked="0"/>
    </xf>
    <xf numFmtId="0" fontId="52" fillId="34" borderId="0" xfId="0" applyFont="1" applyFill="1" applyProtection="1"/>
    <xf numFmtId="44" fontId="0" fillId="35" borderId="10" xfId="2600" applyFont="1" applyFill="1" applyBorder="1" applyAlignment="1">
      <alignment horizontal="left" vertical="center" indent="1"/>
    </xf>
    <xf numFmtId="188" fontId="0" fillId="35" borderId="10" xfId="2600" applyNumberFormat="1" applyFont="1" applyFill="1" applyBorder="1" applyAlignment="1">
      <alignment horizontal="left" vertical="center" indent="1"/>
    </xf>
    <xf numFmtId="165" fontId="0" fillId="35" borderId="10" xfId="0" applyNumberFormat="1" applyFont="1" applyFill="1" applyBorder="1" applyAlignment="1">
      <alignment horizontal="center" vertical="center"/>
    </xf>
    <xf numFmtId="187" fontId="0" fillId="35" borderId="10" xfId="0" applyNumberFormat="1" applyFont="1" applyFill="1" applyBorder="1" applyAlignment="1">
      <alignment horizontal="center" vertical="center"/>
    </xf>
    <xf numFmtId="0" fontId="0" fillId="35" borderId="10" xfId="0" applyFont="1" applyFill="1" applyBorder="1" applyAlignment="1">
      <alignment horizontal="center" vertical="center"/>
    </xf>
    <xf numFmtId="44" fontId="0" fillId="35" borderId="10" xfId="2600" applyFont="1" applyFill="1" applyBorder="1" applyAlignment="1">
      <alignment horizontal="center" vertical="center"/>
    </xf>
    <xf numFmtId="188" fontId="0" fillId="35" borderId="10" xfId="2600" applyNumberFormat="1" applyFont="1" applyFill="1" applyBorder="1" applyAlignment="1">
      <alignment horizontal="center" vertical="center"/>
    </xf>
    <xf numFmtId="188" fontId="0" fillId="34" borderId="0" xfId="0" applyNumberFormat="1" applyFill="1" applyBorder="1"/>
    <xf numFmtId="9" fontId="0" fillId="35" borderId="10" xfId="2601" applyFont="1" applyFill="1" applyBorder="1" applyAlignment="1">
      <alignment horizontal="left" vertical="center" indent="1"/>
    </xf>
    <xf numFmtId="2" fontId="0" fillId="35" borderId="10" xfId="0" applyNumberFormat="1" applyFont="1" applyFill="1" applyBorder="1" applyAlignment="1">
      <alignment horizontal="center" vertical="center"/>
    </xf>
    <xf numFmtId="4" fontId="0" fillId="35" borderId="10" xfId="0" applyNumberFormat="1" applyFont="1" applyFill="1" applyBorder="1" applyAlignment="1">
      <alignment horizontal="center" vertical="center"/>
    </xf>
    <xf numFmtId="1" fontId="1" fillId="33" borderId="10" xfId="1" applyNumberFormat="1" applyFont="1" applyFill="1" applyBorder="1" applyAlignment="1" applyProtection="1">
      <alignment horizontal="center" vertical="center"/>
      <protection locked="0"/>
    </xf>
    <xf numFmtId="1" fontId="0" fillId="33" borderId="10" xfId="1" applyNumberFormat="1" applyFont="1" applyFill="1" applyBorder="1" applyAlignment="1" applyProtection="1">
      <alignment horizontal="center" vertical="center"/>
      <protection locked="0"/>
    </xf>
    <xf numFmtId="0" fontId="53" fillId="36" borderId="10" xfId="0" applyFont="1" applyFill="1" applyBorder="1" applyAlignment="1">
      <alignment vertical="center" wrapText="1"/>
    </xf>
    <xf numFmtId="0" fontId="53" fillId="36" borderId="35"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3" fillId="36" borderId="11" xfId="0" applyFont="1" applyFill="1" applyBorder="1" applyAlignment="1">
      <alignment vertical="center" wrapText="1"/>
    </xf>
    <xf numFmtId="0" fontId="53" fillId="36" borderId="11" xfId="0" applyFont="1" applyFill="1" applyBorder="1" applyAlignment="1">
      <alignment horizontal="center" vertical="center" wrapText="1"/>
    </xf>
    <xf numFmtId="0" fontId="52" fillId="36" borderId="10" xfId="0" applyFont="1" applyFill="1" applyBorder="1" applyAlignment="1" applyProtection="1">
      <alignment horizontal="center" vertical="center"/>
    </xf>
    <xf numFmtId="2" fontId="52" fillId="35" borderId="10" xfId="0" applyNumberFormat="1" applyFont="1" applyFill="1" applyBorder="1" applyAlignment="1">
      <alignment horizontal="left" vertical="center" indent="1"/>
    </xf>
    <xf numFmtId="0" fontId="53" fillId="36" borderId="16" xfId="0" applyFont="1" applyFill="1" applyBorder="1" applyAlignment="1" applyProtection="1">
      <alignment vertical="center"/>
    </xf>
    <xf numFmtId="0" fontId="53" fillId="36" borderId="37" xfId="0" applyFont="1" applyFill="1" applyBorder="1" applyAlignment="1" applyProtection="1">
      <alignment vertical="center"/>
    </xf>
    <xf numFmtId="44" fontId="0" fillId="34" borderId="0" xfId="0" applyNumberFormat="1" applyFill="1" applyBorder="1"/>
    <xf numFmtId="0" fontId="0" fillId="34" borderId="16" xfId="0" applyFont="1" applyFill="1" applyBorder="1" applyAlignment="1">
      <alignment horizontal="left" vertical="center" wrapText="1"/>
    </xf>
    <xf numFmtId="0" fontId="0" fillId="34" borderId="18" xfId="0" applyFont="1" applyFill="1" applyBorder="1" applyAlignment="1">
      <alignment horizontal="left" vertical="center" wrapText="1"/>
    </xf>
    <xf numFmtId="0" fontId="0" fillId="35" borderId="10" xfId="0" applyFont="1" applyFill="1" applyBorder="1" applyAlignment="1">
      <alignment horizontal="left" vertical="center" indent="1"/>
    </xf>
    <xf numFmtId="0" fontId="0" fillId="36" borderId="10" xfId="0" applyFont="1" applyFill="1" applyBorder="1" applyAlignment="1" applyProtection="1">
      <alignment horizontal="center" vertical="center" wrapText="1"/>
    </xf>
    <xf numFmtId="189" fontId="0" fillId="35" borderId="10" xfId="2601" applyNumberFormat="1" applyFont="1" applyFill="1" applyBorder="1" applyAlignment="1">
      <alignment horizontal="left" vertical="center" indent="1"/>
    </xf>
    <xf numFmtId="3" fontId="0" fillId="35" borderId="10" xfId="0" applyNumberFormat="1" applyFont="1" applyFill="1" applyBorder="1" applyAlignment="1">
      <alignment horizontal="left" vertical="center" indent="1"/>
    </xf>
    <xf numFmtId="44" fontId="0" fillId="35" borderId="10" xfId="2600" applyFont="1" applyFill="1" applyBorder="1" applyAlignment="1" applyProtection="1">
      <alignment horizontal="left" vertical="center" indent="1"/>
    </xf>
    <xf numFmtId="0" fontId="16" fillId="36" borderId="12" xfId="0" applyFont="1" applyFill="1" applyBorder="1" applyAlignment="1" applyProtection="1">
      <alignment horizontal="center" vertical="center"/>
    </xf>
    <xf numFmtId="168" fontId="0" fillId="68" borderId="21" xfId="0" applyNumberFormat="1" applyFill="1" applyBorder="1" applyAlignment="1" applyProtection="1">
      <alignment horizontal="center" vertical="center"/>
    </xf>
    <xf numFmtId="168" fontId="0" fillId="33" borderId="21" xfId="0" applyNumberFormat="1" applyFont="1" applyFill="1" applyBorder="1" applyAlignment="1" applyProtection="1">
      <alignment vertical="center"/>
      <protection locked="0"/>
    </xf>
    <xf numFmtId="0" fontId="14" fillId="34" borderId="0" xfId="0" applyFont="1" applyFill="1"/>
    <xf numFmtId="168" fontId="0" fillId="35" borderId="10" xfId="0" applyNumberFormat="1" applyFont="1" applyFill="1" applyBorder="1" applyAlignment="1" applyProtection="1">
      <alignment horizontal="left" vertical="center" indent="1"/>
    </xf>
    <xf numFmtId="168" fontId="0" fillId="35" borderId="10" xfId="0" applyNumberFormat="1" applyFill="1" applyBorder="1" applyAlignment="1">
      <alignment horizontal="left" vertical="center" indent="1"/>
    </xf>
    <xf numFmtId="0" fontId="52" fillId="34" borderId="0" xfId="0" applyFont="1" applyFill="1"/>
    <xf numFmtId="168" fontId="52" fillId="35" borderId="10" xfId="0" applyNumberFormat="1" applyFont="1" applyFill="1" applyBorder="1" applyAlignment="1" applyProtection="1">
      <alignment horizontal="left" vertical="center" indent="1"/>
    </xf>
    <xf numFmtId="168" fontId="52" fillId="35" borderId="10" xfId="0" applyNumberFormat="1" applyFont="1" applyFill="1" applyBorder="1" applyAlignment="1">
      <alignment horizontal="left" vertical="center" indent="1"/>
    </xf>
    <xf numFmtId="0" fontId="22" fillId="34" borderId="0" xfId="43" applyFont="1" applyFill="1" applyAlignment="1" applyProtection="1">
      <alignment horizontal="left" vertical="center" wrapText="1" indent="2"/>
      <protection hidden="1"/>
    </xf>
    <xf numFmtId="165" fontId="61" fillId="34" borderId="22" xfId="0" applyNumberFormat="1" applyFont="1" applyFill="1" applyBorder="1" applyAlignment="1" applyProtection="1">
      <alignment horizontal="center"/>
    </xf>
    <xf numFmtId="168" fontId="0" fillId="60" borderId="90" xfId="0" applyNumberFormat="1" applyFill="1" applyBorder="1" applyAlignment="1" applyProtection="1">
      <alignment horizontal="center" vertical="center"/>
    </xf>
    <xf numFmtId="168" fontId="0" fillId="34" borderId="90" xfId="0" applyNumberFormat="1" applyFill="1" applyBorder="1" applyAlignment="1" applyProtection="1">
      <alignment horizontal="center" vertical="center"/>
    </xf>
    <xf numFmtId="168" fontId="0" fillId="60" borderId="91" xfId="0" applyNumberFormat="1" applyFill="1" applyBorder="1" applyAlignment="1" applyProtection="1">
      <alignment horizontal="center" vertical="center"/>
    </xf>
    <xf numFmtId="168" fontId="0" fillId="34" borderId="92" xfId="0" applyNumberFormat="1" applyFill="1" applyBorder="1" applyAlignment="1" applyProtection="1">
      <alignment horizontal="center" vertical="center"/>
    </xf>
    <xf numFmtId="0" fontId="54" fillId="0" borderId="10" xfId="0" applyFont="1" applyBorder="1" applyAlignment="1">
      <alignment horizontal="left" vertical="top" wrapText="1"/>
    </xf>
    <xf numFmtId="0" fontId="52" fillId="0" borderId="10" xfId="0" applyFont="1" applyBorder="1" applyAlignment="1">
      <alignment horizontal="left" vertical="top" wrapText="1"/>
    </xf>
    <xf numFmtId="0" fontId="54" fillId="69" borderId="10" xfId="0" applyFont="1" applyFill="1" applyBorder="1" applyAlignment="1">
      <alignment horizontal="left" wrapText="1"/>
    </xf>
    <xf numFmtId="0" fontId="54" fillId="69" borderId="10" xfId="0" applyFont="1" applyFill="1" applyBorder="1" applyAlignment="1">
      <alignment horizontal="left" vertical="top" wrapText="1"/>
    </xf>
    <xf numFmtId="4" fontId="0" fillId="0" borderId="0" xfId="0" applyNumberFormat="1"/>
    <xf numFmtId="4" fontId="0" fillId="0" borderId="0" xfId="0" applyNumberFormat="1" applyFill="1"/>
    <xf numFmtId="0" fontId="0" fillId="0" borderId="0" xfId="0" applyFill="1"/>
    <xf numFmtId="3" fontId="0" fillId="0" borderId="0" xfId="0" applyNumberFormat="1"/>
    <xf numFmtId="44" fontId="0" fillId="0" borderId="0" xfId="0" applyNumberFormat="1"/>
    <xf numFmtId="169" fontId="0" fillId="36" borderId="12" xfId="0" applyNumberFormat="1" applyFont="1" applyFill="1" applyBorder="1" applyAlignment="1" applyProtection="1">
      <alignment horizontal="center" vertical="center"/>
    </xf>
    <xf numFmtId="4" fontId="0" fillId="36" borderId="13" xfId="0" applyNumberFormat="1" applyFont="1" applyFill="1" applyBorder="1" applyAlignment="1" applyProtection="1">
      <alignment horizontal="center" vertical="center"/>
    </xf>
    <xf numFmtId="0" fontId="0" fillId="36" borderId="13" xfId="0" applyFont="1" applyFill="1" applyBorder="1" applyAlignment="1" applyProtection="1">
      <alignment horizontal="center" vertical="center"/>
    </xf>
    <xf numFmtId="0" fontId="0" fillId="36" borderId="13" xfId="0" applyFont="1" applyFill="1" applyBorder="1" applyAlignment="1" applyProtection="1">
      <alignment horizontal="center" vertical="center" wrapText="1"/>
    </xf>
    <xf numFmtId="0" fontId="0" fillId="36" borderId="10" xfId="0" applyFont="1" applyFill="1" applyBorder="1" applyAlignment="1" applyProtection="1">
      <alignment horizontal="center" vertical="center" wrapText="1"/>
    </xf>
    <xf numFmtId="0" fontId="0" fillId="36" borderId="10" xfId="0" applyFont="1" applyFill="1" applyBorder="1" applyAlignment="1" applyProtection="1">
      <alignment horizontal="center" vertical="center"/>
    </xf>
    <xf numFmtId="0" fontId="0" fillId="36" borderId="10" xfId="0" applyFont="1" applyFill="1" applyBorder="1" applyAlignment="1" applyProtection="1">
      <alignment horizontal="center" vertical="center" wrapText="1"/>
    </xf>
    <xf numFmtId="0" fontId="54" fillId="0" borderId="11" xfId="0" applyFont="1" applyBorder="1" applyAlignment="1">
      <alignment horizontal="left" vertical="top" wrapText="1"/>
    </xf>
    <xf numFmtId="43" fontId="1" fillId="33" borderId="10" xfId="1" applyNumberFormat="1" applyFont="1" applyFill="1" applyBorder="1" applyAlignment="1" applyProtection="1">
      <alignment horizontal="center" vertical="center"/>
      <protection locked="0"/>
    </xf>
    <xf numFmtId="43" fontId="1" fillId="33" borderId="10" xfId="1" applyNumberFormat="1" applyFont="1" applyFill="1" applyBorder="1" applyAlignment="1" applyProtection="1">
      <alignment horizontal="center" vertical="center" wrapText="1"/>
      <protection locked="0"/>
    </xf>
    <xf numFmtId="49" fontId="1" fillId="33" borderId="10" xfId="1" applyNumberFormat="1" applyFont="1" applyFill="1" applyBorder="1" applyAlignment="1" applyProtection="1">
      <alignment horizontal="center" vertical="center" wrapText="1"/>
      <protection locked="0"/>
    </xf>
    <xf numFmtId="165" fontId="0" fillId="35" borderId="10" xfId="0" applyNumberFormat="1" applyFill="1" applyBorder="1" applyAlignment="1">
      <alignment horizontal="center" vertical="center"/>
    </xf>
    <xf numFmtId="2" fontId="14" fillId="34" borderId="0" xfId="0" applyNumberFormat="1" applyFont="1" applyFill="1" applyBorder="1"/>
    <xf numFmtId="0" fontId="0" fillId="34" borderId="85" xfId="0" applyFill="1" applyBorder="1" applyAlignment="1"/>
    <xf numFmtId="171" fontId="0" fillId="35" borderId="10" xfId="0" applyNumberFormat="1" applyFont="1" applyFill="1" applyBorder="1" applyAlignment="1">
      <alignment horizontal="center" vertical="center"/>
    </xf>
    <xf numFmtId="0" fontId="54" fillId="0" borderId="10" xfId="0" applyFont="1" applyFill="1" applyBorder="1" applyAlignment="1">
      <alignment horizontal="left" vertical="top" wrapText="1"/>
    </xf>
    <xf numFmtId="4" fontId="52" fillId="0" borderId="0" xfId="0" applyNumberFormat="1" applyFont="1"/>
    <xf numFmtId="2" fontId="52" fillId="0" borderId="0" xfId="0" applyNumberFormat="1" applyFont="1" applyFill="1"/>
    <xf numFmtId="4" fontId="52" fillId="0" borderId="0" xfId="0" applyNumberFormat="1" applyFont="1" applyFill="1"/>
    <xf numFmtId="0" fontId="52" fillId="35" borderId="0" xfId="0" applyFont="1" applyFill="1"/>
    <xf numFmtId="44" fontId="52" fillId="0" borderId="0" xfId="0" applyNumberFormat="1" applyFont="1" applyFill="1"/>
    <xf numFmtId="2" fontId="52" fillId="0" borderId="0" xfId="0" applyNumberFormat="1" applyFont="1"/>
    <xf numFmtId="44" fontId="52" fillId="0" borderId="0" xfId="0" applyNumberFormat="1" applyFont="1"/>
    <xf numFmtId="1" fontId="52" fillId="0" borderId="0" xfId="0" applyNumberFormat="1" applyFont="1"/>
    <xf numFmtId="43" fontId="52" fillId="0" borderId="0" xfId="0" applyNumberFormat="1" applyFont="1"/>
    <xf numFmtId="168" fontId="1" fillId="33" borderId="17" xfId="2600" applyNumberFormat="1" applyFont="1" applyFill="1" applyBorder="1" applyAlignment="1" applyProtection="1">
      <alignment horizontal="center" vertical="center"/>
      <protection locked="0"/>
    </xf>
    <xf numFmtId="168" fontId="1" fillId="33" borderId="17" xfId="1" applyNumberFormat="1" applyFont="1" applyFill="1" applyBorder="1" applyAlignment="1" applyProtection="1">
      <alignment horizontal="center" vertical="center"/>
      <protection locked="0"/>
    </xf>
    <xf numFmtId="190" fontId="52" fillId="0" borderId="0" xfId="0" applyNumberFormat="1" applyFont="1" applyFill="1"/>
    <xf numFmtId="190" fontId="52" fillId="0" borderId="0" xfId="0" applyNumberFormat="1" applyFont="1"/>
    <xf numFmtId="191" fontId="52" fillId="0" borderId="0" xfId="0" applyNumberFormat="1" applyFont="1"/>
    <xf numFmtId="0" fontId="0" fillId="35" borderId="10" xfId="0" applyFill="1" applyBorder="1" applyAlignment="1">
      <alignment horizontal="left" vertical="center" wrapText="1" indent="1"/>
    </xf>
    <xf numFmtId="0" fontId="54" fillId="0" borderId="0" xfId="0" applyFont="1" applyAlignment="1">
      <alignment horizontal="left" vertical="top" wrapText="1"/>
    </xf>
    <xf numFmtId="0" fontId="54" fillId="69" borderId="10" xfId="0" applyFont="1" applyFill="1" applyBorder="1" applyAlignment="1">
      <alignment vertical="center" wrapText="1"/>
    </xf>
    <xf numFmtId="0" fontId="54" fillId="69" borderId="10" xfId="0" applyFont="1" applyFill="1" applyBorder="1" applyAlignment="1">
      <alignment wrapText="1"/>
    </xf>
    <xf numFmtId="0" fontId="52" fillId="69" borderId="10" xfId="0" applyFont="1" applyFill="1" applyBorder="1" applyAlignment="1">
      <alignment wrapText="1"/>
    </xf>
    <xf numFmtId="3" fontId="0" fillId="0" borderId="0" xfId="0" applyNumberFormat="1" applyFill="1"/>
    <xf numFmtId="192" fontId="1" fillId="35" borderId="15" xfId="1" applyNumberFormat="1" applyFont="1" applyFill="1" applyBorder="1" applyAlignment="1" applyProtection="1">
      <alignment horizontal="center" vertical="center"/>
    </xf>
    <xf numFmtId="192" fontId="48" fillId="59" borderId="19" xfId="1" applyNumberFormat="1" applyFont="1" applyFill="1" applyBorder="1" applyAlignment="1" applyProtection="1">
      <alignment horizontal="center" vertical="center"/>
    </xf>
    <xf numFmtId="192" fontId="1" fillId="35" borderId="15" xfId="1" applyNumberFormat="1" applyFont="1" applyFill="1" applyBorder="1" applyAlignment="1" applyProtection="1">
      <alignment horizontal="center" vertical="center" wrapText="1"/>
    </xf>
    <xf numFmtId="191" fontId="1" fillId="35" borderId="10" xfId="1" applyNumberFormat="1" applyFont="1" applyFill="1" applyBorder="1" applyAlignment="1" applyProtection="1">
      <alignment horizontal="center" vertical="center"/>
    </xf>
    <xf numFmtId="191" fontId="48" fillId="59" borderId="20" xfId="1" applyNumberFormat="1" applyFont="1" applyFill="1" applyBorder="1" applyAlignment="1" applyProtection="1">
      <alignment horizontal="center" vertical="center"/>
    </xf>
    <xf numFmtId="191" fontId="1" fillId="35" borderId="10" xfId="1" applyNumberFormat="1" applyFont="1" applyFill="1" applyBorder="1" applyAlignment="1" applyProtection="1">
      <alignment horizontal="center" vertical="center" wrapText="1"/>
    </xf>
    <xf numFmtId="190" fontId="0" fillId="60" borderId="10" xfId="0" applyNumberFormat="1" applyFill="1" applyBorder="1" applyAlignment="1" applyProtection="1">
      <alignment horizontal="center" vertical="center"/>
    </xf>
    <xf numFmtId="190" fontId="0" fillId="34" borderId="10" xfId="0" applyNumberFormat="1" applyFill="1" applyBorder="1" applyAlignment="1" applyProtection="1">
      <alignment horizontal="center" vertical="center"/>
    </xf>
    <xf numFmtId="190" fontId="0" fillId="34" borderId="20" xfId="0" applyNumberFormat="1" applyFill="1" applyBorder="1" applyAlignment="1" applyProtection="1">
      <alignment horizontal="center" vertical="center"/>
    </xf>
    <xf numFmtId="191" fontId="0" fillId="60" borderId="17" xfId="0" applyNumberFormat="1" applyFill="1" applyBorder="1" applyAlignment="1" applyProtection="1">
      <alignment horizontal="center" vertical="center"/>
    </xf>
    <xf numFmtId="191" fontId="0" fillId="34" borderId="17" xfId="0" applyNumberFormat="1" applyFill="1" applyBorder="1" applyAlignment="1" applyProtection="1">
      <alignment horizontal="center" vertical="center"/>
    </xf>
    <xf numFmtId="191" fontId="0" fillId="34" borderId="21" xfId="0" applyNumberFormat="1" applyFill="1" applyBorder="1" applyAlignment="1" applyProtection="1">
      <alignment horizontal="center" vertical="center"/>
    </xf>
    <xf numFmtId="190" fontId="0" fillId="68" borderId="19" xfId="0" applyNumberFormat="1" applyFill="1" applyBorder="1" applyAlignment="1" applyProtection="1">
      <alignment horizontal="center" vertical="center"/>
    </xf>
    <xf numFmtId="191" fontId="0" fillId="68" borderId="20" xfId="0" applyNumberFormat="1" applyFill="1" applyBorder="1" applyAlignment="1" applyProtection="1">
      <alignment horizontal="center" vertical="center"/>
    </xf>
    <xf numFmtId="7" fontId="0" fillId="34" borderId="15" xfId="2600" applyNumberFormat="1" applyFont="1" applyFill="1" applyBorder="1" applyAlignment="1" applyProtection="1">
      <alignment horizontal="center" vertical="center"/>
    </xf>
    <xf numFmtId="7" fontId="0" fillId="60" borderId="15" xfId="2600" applyNumberFormat="1" applyFont="1" applyFill="1" applyBorder="1" applyAlignment="1" applyProtection="1">
      <alignment horizontal="center" vertical="center"/>
    </xf>
    <xf numFmtId="0" fontId="0" fillId="60" borderId="90" xfId="0" applyFill="1" applyBorder="1" applyAlignment="1" applyProtection="1">
      <alignment horizontal="left" vertical="center"/>
    </xf>
    <xf numFmtId="0" fontId="0" fillId="34" borderId="90" xfId="0" applyFill="1" applyBorder="1" applyAlignment="1" applyProtection="1">
      <alignment horizontal="left" vertical="center"/>
    </xf>
    <xf numFmtId="0" fontId="0" fillId="34" borderId="92" xfId="0" applyFill="1" applyBorder="1" applyAlignment="1" applyProtection="1">
      <alignment horizontal="left" vertical="center"/>
    </xf>
    <xf numFmtId="7" fontId="0" fillId="34" borderId="19" xfId="2600" applyNumberFormat="1" applyFont="1" applyFill="1" applyBorder="1" applyAlignment="1" applyProtection="1">
      <alignment horizontal="center" vertical="center"/>
    </xf>
    <xf numFmtId="0" fontId="94" fillId="67" borderId="0" xfId="0" applyFont="1" applyFill="1" applyAlignment="1" applyProtection="1">
      <alignment horizontal="center"/>
      <protection hidden="1"/>
    </xf>
    <xf numFmtId="0" fontId="95" fillId="0" borderId="0" xfId="0" applyFont="1" applyAlignment="1" applyProtection="1">
      <alignment horizontal="center" vertical="center"/>
      <protection hidden="1"/>
    </xf>
    <xf numFmtId="0" fontId="98" fillId="33" borderId="10" xfId="0" applyFont="1" applyFill="1" applyBorder="1" applyAlignment="1">
      <alignment horizontal="left" vertical="center" indent="1"/>
    </xf>
    <xf numFmtId="0" fontId="0" fillId="34" borderId="16" xfId="0" applyFont="1" applyFill="1" applyBorder="1" applyAlignment="1">
      <alignment horizontal="left" vertical="center" wrapText="1"/>
    </xf>
    <xf numFmtId="0" fontId="0" fillId="34" borderId="18" xfId="0" applyFont="1" applyFill="1" applyBorder="1" applyAlignment="1">
      <alignment horizontal="left" vertical="center" wrapText="1"/>
    </xf>
    <xf numFmtId="0" fontId="22" fillId="34" borderId="0" xfId="43" applyFont="1" applyFill="1" applyAlignment="1" applyProtection="1">
      <alignment horizontal="left" vertical="top" wrapText="1"/>
      <protection hidden="1"/>
    </xf>
    <xf numFmtId="0" fontId="0" fillId="35" borderId="10" xfId="0" applyFont="1" applyFill="1" applyBorder="1" applyAlignment="1">
      <alignment horizontal="left" vertical="center" indent="1"/>
    </xf>
    <xf numFmtId="0" fontId="22" fillId="34" borderId="0" xfId="43" applyFont="1" applyFill="1" applyAlignment="1" applyProtection="1">
      <alignment horizontal="left" vertical="center" wrapText="1" indent="2"/>
      <protection hidden="1"/>
    </xf>
    <xf numFmtId="0" fontId="0" fillId="34" borderId="10" xfId="0" applyFont="1" applyFill="1" applyBorder="1" applyAlignment="1">
      <alignment horizontal="left" vertical="center" wrapText="1"/>
    </xf>
    <xf numFmtId="0" fontId="0" fillId="34" borderId="10" xfId="0" applyFont="1" applyFill="1" applyBorder="1" applyAlignment="1">
      <alignment horizontal="left" vertical="center" wrapText="1" indent="1"/>
    </xf>
    <xf numFmtId="0" fontId="16" fillId="36" borderId="89" xfId="0" applyFont="1" applyFill="1" applyBorder="1" applyAlignment="1" applyProtection="1">
      <alignment horizontal="center" vertical="center"/>
    </xf>
    <xf numFmtId="0" fontId="16" fillId="36" borderId="90" xfId="0" applyFont="1" applyFill="1" applyBorder="1" applyAlignment="1" applyProtection="1">
      <alignment horizontal="center" vertical="center"/>
    </xf>
    <xf numFmtId="0" fontId="16" fillId="36" borderId="93" xfId="0" applyFont="1" applyFill="1" applyBorder="1" applyAlignment="1" applyProtection="1">
      <alignment horizontal="center" vertical="center"/>
    </xf>
    <xf numFmtId="0" fontId="16" fillId="36" borderId="94"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4" xfId="0" applyFont="1" applyFill="1" applyBorder="1" applyAlignment="1" applyProtection="1">
      <alignment horizontal="center" vertical="center"/>
    </xf>
    <xf numFmtId="0" fontId="16" fillId="36" borderId="41" xfId="0" applyFont="1" applyFill="1" applyBorder="1" applyAlignment="1" applyProtection="1">
      <alignment horizontal="center" vertical="center"/>
    </xf>
    <xf numFmtId="0" fontId="16" fillId="36" borderId="40" xfId="0" applyFont="1" applyFill="1" applyBorder="1" applyAlignment="1" applyProtection="1">
      <alignment horizontal="center" vertical="center"/>
    </xf>
    <xf numFmtId="0" fontId="48" fillId="36" borderId="20" xfId="0" applyFont="1" applyFill="1" applyBorder="1" applyAlignment="1" applyProtection="1">
      <alignment horizontal="left" vertical="center"/>
    </xf>
    <xf numFmtId="0" fontId="48" fillId="36" borderId="21" xfId="0" applyFont="1" applyFill="1" applyBorder="1" applyAlignment="1" applyProtection="1">
      <alignment horizontal="left" vertical="center"/>
    </xf>
    <xf numFmtId="0" fontId="0" fillId="36" borderId="14" xfId="0" applyFont="1" applyFill="1" applyBorder="1" applyAlignment="1" applyProtection="1">
      <alignment horizontal="center" vertical="center"/>
    </xf>
    <xf numFmtId="0" fontId="0" fillId="36" borderId="17" xfId="0" applyFont="1" applyFill="1" applyBorder="1" applyAlignment="1" applyProtection="1">
      <alignment horizontal="center" vertical="center"/>
    </xf>
    <xf numFmtId="0" fontId="0" fillId="36" borderId="13" xfId="0" applyFont="1" applyFill="1" applyBorder="1" applyAlignment="1" applyProtection="1">
      <alignment horizontal="center" vertical="center"/>
    </xf>
    <xf numFmtId="0" fontId="0" fillId="36" borderId="13" xfId="0" applyFont="1" applyFill="1" applyBorder="1" applyAlignment="1" applyProtection="1">
      <alignment horizontal="center" vertical="center" wrapText="1"/>
    </xf>
    <xf numFmtId="0" fontId="0" fillId="36" borderId="10" xfId="0" applyFont="1" applyFill="1" applyBorder="1" applyAlignment="1" applyProtection="1">
      <alignment horizontal="center" vertical="center" wrapText="1"/>
    </xf>
    <xf numFmtId="0" fontId="26" fillId="34" borderId="0" xfId="0" applyFont="1" applyFill="1" applyBorder="1" applyAlignment="1" applyProtection="1">
      <alignment horizontal="left" vertical="center"/>
    </xf>
    <xf numFmtId="169" fontId="0" fillId="36" borderId="12" xfId="0" applyNumberFormat="1" applyFont="1" applyFill="1" applyBorder="1" applyAlignment="1" applyProtection="1">
      <alignment horizontal="center" vertical="center"/>
    </xf>
    <xf numFmtId="169" fontId="0" fillId="36" borderId="15" xfId="0" applyNumberFormat="1" applyFont="1" applyFill="1" applyBorder="1" applyAlignment="1" applyProtection="1">
      <alignment horizontal="center" vertical="center"/>
    </xf>
    <xf numFmtId="4" fontId="0" fillId="36" borderId="13" xfId="0" applyNumberFormat="1" applyFont="1" applyFill="1" applyBorder="1" applyAlignment="1" applyProtection="1">
      <alignment horizontal="center" vertical="center"/>
    </xf>
    <xf numFmtId="4" fontId="0" fillId="36" borderId="10" xfId="0" applyNumberFormat="1" applyFont="1" applyFill="1" applyBorder="1" applyAlignment="1" applyProtection="1">
      <alignment horizontal="center" vertical="center"/>
    </xf>
    <xf numFmtId="0" fontId="0" fillId="36" borderId="10" xfId="0" applyFont="1" applyFill="1" applyBorder="1" applyAlignment="1" applyProtection="1">
      <alignment horizontal="center" vertical="center"/>
    </xf>
    <xf numFmtId="0" fontId="27" fillId="34" borderId="0" xfId="0" applyFont="1" applyFill="1" applyBorder="1" applyAlignment="1" applyProtection="1">
      <alignment horizontal="left" vertical="center" wrapText="1"/>
    </xf>
    <xf numFmtId="0" fontId="16" fillId="36" borderId="10" xfId="0" applyFont="1" applyFill="1" applyBorder="1" applyAlignment="1">
      <alignment horizontal="center" vertical="center" wrapText="1"/>
    </xf>
    <xf numFmtId="0" fontId="49" fillId="34" borderId="38" xfId="0" applyFont="1" applyFill="1" applyBorder="1" applyAlignment="1">
      <alignment horizontal="left"/>
    </xf>
    <xf numFmtId="0" fontId="0" fillId="34" borderId="85" xfId="0" applyFill="1" applyBorder="1" applyAlignment="1">
      <alignment horizontal="center"/>
    </xf>
    <xf numFmtId="0" fontId="52" fillId="34" borderId="0" xfId="0" applyFont="1" applyFill="1" applyBorder="1" applyAlignment="1">
      <alignment horizontal="center" wrapText="1"/>
    </xf>
    <xf numFmtId="0" fontId="53" fillId="36" borderId="86" xfId="0" applyFont="1" applyFill="1" applyBorder="1" applyAlignment="1">
      <alignment horizontal="center" vertical="center" wrapText="1"/>
    </xf>
    <xf numFmtId="0" fontId="53" fillId="36" borderId="84" xfId="0" applyFont="1" applyFill="1" applyBorder="1" applyAlignment="1">
      <alignment horizontal="center" vertical="center" wrapText="1"/>
    </xf>
    <xf numFmtId="0" fontId="53" fillId="36" borderId="87" xfId="0" applyFont="1" applyFill="1" applyBorder="1" applyAlignment="1">
      <alignment horizontal="center" vertical="center" wrapText="1"/>
    </xf>
    <xf numFmtId="0" fontId="53" fillId="36" borderId="88" xfId="0" applyFont="1" applyFill="1" applyBorder="1" applyAlignment="1">
      <alignment horizontal="center" vertical="center" wrapText="1"/>
    </xf>
    <xf numFmtId="0" fontId="16" fillId="36" borderId="35" xfId="0" applyFont="1" applyFill="1" applyBorder="1" applyAlignment="1">
      <alignment horizontal="center" vertical="center" wrapText="1"/>
    </xf>
    <xf numFmtId="0" fontId="16" fillId="36" borderId="11" xfId="0" applyFont="1" applyFill="1" applyBorder="1" applyAlignment="1">
      <alignment horizontal="center" vertical="center" wrapText="1"/>
    </xf>
    <xf numFmtId="0" fontId="53" fillId="36" borderId="10" xfId="0" applyFont="1" applyFill="1" applyBorder="1" applyAlignment="1">
      <alignment horizontal="center" wrapText="1"/>
    </xf>
    <xf numFmtId="0" fontId="0" fillId="36" borderId="16" xfId="0" applyFont="1" applyFill="1" applyBorder="1" applyAlignment="1" applyProtection="1">
      <alignment horizontal="center" vertical="center"/>
    </xf>
    <xf numFmtId="0" fontId="0" fillId="36" borderId="37" xfId="0" applyFont="1" applyFill="1" applyBorder="1" applyAlignment="1" applyProtection="1">
      <alignment horizontal="center" vertical="center"/>
    </xf>
    <xf numFmtId="0" fontId="0" fillId="36" borderId="18" xfId="0" applyFont="1" applyFill="1" applyBorder="1" applyAlignment="1" applyProtection="1">
      <alignment horizontal="center" vertical="center"/>
    </xf>
    <xf numFmtId="0" fontId="53" fillId="36" borderId="85" xfId="0" applyFont="1" applyFill="1" applyBorder="1" applyAlignment="1">
      <alignment horizontal="center" wrapText="1"/>
    </xf>
    <xf numFmtId="0" fontId="53" fillId="36" borderId="0" xfId="0" applyFont="1" applyFill="1" applyBorder="1" applyAlignment="1">
      <alignment horizontal="center" wrapText="1"/>
    </xf>
    <xf numFmtId="43" fontId="16" fillId="36" borderId="35" xfId="1" applyFont="1" applyFill="1" applyBorder="1" applyAlignment="1">
      <alignment horizontal="center" vertical="center" wrapText="1"/>
    </xf>
    <xf numFmtId="43" fontId="16" fillId="36" borderId="11" xfId="1" applyFont="1" applyFill="1" applyBorder="1" applyAlignment="1">
      <alignment horizontal="center" vertical="center" wrapText="1"/>
    </xf>
    <xf numFmtId="0" fontId="16" fillId="36" borderId="39" xfId="0" applyFont="1" applyFill="1" applyBorder="1" applyAlignment="1">
      <alignment horizontal="center" vertical="center" wrapText="1"/>
    </xf>
    <xf numFmtId="0" fontId="0" fillId="36" borderId="35" xfId="0" applyFont="1" applyFill="1" applyBorder="1" applyAlignment="1" applyProtection="1">
      <alignment horizontal="center" vertical="center"/>
    </xf>
    <xf numFmtId="0" fontId="0" fillId="36" borderId="11" xfId="0" applyFont="1" applyFill="1" applyBorder="1" applyAlignment="1" applyProtection="1">
      <alignment horizontal="center" vertical="center"/>
    </xf>
    <xf numFmtId="0" fontId="16" fillId="36" borderId="16" xfId="0" applyFont="1" applyFill="1" applyBorder="1" applyAlignment="1">
      <alignment horizontal="center" vertical="center" wrapText="1"/>
    </xf>
    <xf numFmtId="0" fontId="16" fillId="36" borderId="37" xfId="0" applyFont="1" applyFill="1" applyBorder="1" applyAlignment="1">
      <alignment horizontal="center" vertical="center" wrapText="1"/>
    </xf>
    <xf numFmtId="0" fontId="16" fillId="36" borderId="18" xfId="0" applyFont="1" applyFill="1" applyBorder="1" applyAlignment="1">
      <alignment horizontal="center" vertical="center" wrapText="1"/>
    </xf>
    <xf numFmtId="0" fontId="16" fillId="36" borderId="83" xfId="0" applyFont="1" applyFill="1" applyBorder="1" applyAlignment="1">
      <alignment horizontal="center" vertical="center" wrapText="1"/>
    </xf>
    <xf numFmtId="0" fontId="16" fillId="36" borderId="82" xfId="0" applyFont="1" applyFill="1" applyBorder="1" applyAlignment="1">
      <alignment horizontal="center" vertical="center" wrapText="1"/>
    </xf>
    <xf numFmtId="0" fontId="16" fillId="36" borderId="87" xfId="0" applyFont="1" applyFill="1" applyBorder="1" applyAlignment="1">
      <alignment horizontal="center" vertical="center" wrapText="1"/>
    </xf>
    <xf numFmtId="0" fontId="16" fillId="36" borderId="34" xfId="0" applyFont="1" applyFill="1" applyBorder="1" applyAlignment="1">
      <alignment horizontal="center" vertical="center" wrapText="1"/>
    </xf>
    <xf numFmtId="0" fontId="25" fillId="34" borderId="0" xfId="43" applyFont="1" applyFill="1" applyBorder="1" applyAlignment="1" applyProtection="1">
      <alignment horizontal="left" vertical="center"/>
      <protection hidden="1"/>
    </xf>
    <xf numFmtId="0" fontId="0" fillId="34" borderId="22" xfId="0" applyFill="1" applyBorder="1" applyAlignment="1">
      <alignment horizontal="center" vertical="top"/>
    </xf>
    <xf numFmtId="0" fontId="0" fillId="34" borderId="22" xfId="0" applyFill="1" applyBorder="1" applyAlignment="1">
      <alignment horizontal="left" vertical="top"/>
    </xf>
  </cellXfs>
  <cellStyles count="2602">
    <cellStyle name="_x0010_“+ˆÉ•?pý¤" xfId="2127" xr:uid="{00000000-0005-0000-0000-000000000000}"/>
    <cellStyle name="_x0010_“+ˆÉ•?pý¤ 2" xfId="2128" xr:uid="{00000000-0005-0000-0000-000001000000}"/>
    <cellStyle name="1" xfId="2129" xr:uid="{00000000-0005-0000-0000-000002000000}"/>
    <cellStyle name="2" xfId="2130" xr:uid="{00000000-0005-0000-0000-000003000000}"/>
    <cellStyle name="20% - Accent1" xfId="20" builtinId="30" customBuiltin="1"/>
    <cellStyle name="20% - Accent1 2" xfId="56" xr:uid="{00000000-0005-0000-0000-000001000000}"/>
    <cellStyle name="20% - Accent1 2 2" xfId="2132" xr:uid="{00000000-0005-0000-0000-000005000000}"/>
    <cellStyle name="20% - Accent1 2 3" xfId="2131" xr:uid="{00000000-0005-0000-0000-000004000000}"/>
    <cellStyle name="20% - Accent1 3" xfId="2133" xr:uid="{00000000-0005-0000-0000-000006000000}"/>
    <cellStyle name="20% - Accent2" xfId="24" builtinId="34" customBuiltin="1"/>
    <cellStyle name="20% - Accent2 2" xfId="57" xr:uid="{00000000-0005-0000-0000-000003000000}"/>
    <cellStyle name="20% - Accent2 2 2" xfId="2135" xr:uid="{00000000-0005-0000-0000-000008000000}"/>
    <cellStyle name="20% - Accent2 2 3" xfId="2134" xr:uid="{00000000-0005-0000-0000-000007000000}"/>
    <cellStyle name="20% - Accent2 3" xfId="2136" xr:uid="{00000000-0005-0000-0000-000009000000}"/>
    <cellStyle name="20% - Accent3" xfId="28" builtinId="38" customBuiltin="1"/>
    <cellStyle name="20% - Accent3 2" xfId="58" xr:uid="{00000000-0005-0000-0000-000005000000}"/>
    <cellStyle name="20% - Accent3 2 2" xfId="2138" xr:uid="{00000000-0005-0000-0000-00000B000000}"/>
    <cellStyle name="20% - Accent3 2 3" xfId="2137" xr:uid="{00000000-0005-0000-0000-00000A000000}"/>
    <cellStyle name="20% - Accent3 3" xfId="2139" xr:uid="{00000000-0005-0000-0000-00000C000000}"/>
    <cellStyle name="20% - Accent4" xfId="32" builtinId="42" customBuiltin="1"/>
    <cellStyle name="20% - Accent4 2" xfId="59" xr:uid="{00000000-0005-0000-0000-000007000000}"/>
    <cellStyle name="20% - Accent4 2 2" xfId="2141" xr:uid="{00000000-0005-0000-0000-00000E000000}"/>
    <cellStyle name="20% - Accent4 2 3" xfId="2140" xr:uid="{00000000-0005-0000-0000-00000D000000}"/>
    <cellStyle name="20% - Accent4 3" xfId="2142"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44" xr:uid="{00000000-0005-0000-0000-000015000000}"/>
    <cellStyle name="40% - Accent3 2 3" xfId="2143" xr:uid="{00000000-0005-0000-0000-000014000000}"/>
    <cellStyle name="40% - Accent3 3" xfId="2145"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47" xr:uid="{00000000-0005-0000-0000-00001D000000}"/>
    <cellStyle name="60% - Accent3 2 3" xfId="2146" xr:uid="{00000000-0005-0000-0000-00001C000000}"/>
    <cellStyle name="60% - Accent3 3" xfId="2148" xr:uid="{00000000-0005-0000-0000-00001E000000}"/>
    <cellStyle name="60% - Accent4" xfId="34" builtinId="44" customBuiltin="1"/>
    <cellStyle name="60% - Accent4 2" xfId="71" xr:uid="{00000000-0005-0000-0000-00001F000000}"/>
    <cellStyle name="60% - Accent4 2 2" xfId="2150" xr:uid="{00000000-0005-0000-0000-000020000000}"/>
    <cellStyle name="60% - Accent4 2 3" xfId="2149" xr:uid="{00000000-0005-0000-0000-00001F000000}"/>
    <cellStyle name="60% - Accent4 3" xfId="2151"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53" xr:uid="{00000000-0005-0000-0000-000024000000}"/>
    <cellStyle name="60% - Accent6 2 3" xfId="2152" xr:uid="{00000000-0005-0000-0000-000023000000}"/>
    <cellStyle name="60% - Accent6 3" xfId="2154"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55" xr:uid="{00000000-0005-0000-0000-00002C000000}"/>
    <cellStyle name="Actual Date 2" xfId="2156" xr:uid="{00000000-0005-0000-0000-00002D000000}"/>
    <cellStyle name="Bad" xfId="8" builtinId="27" customBuiltin="1"/>
    <cellStyle name="Bad 2" xfId="80" xr:uid="{00000000-0005-0000-0000-000031000000}"/>
    <cellStyle name="Calc Currency (0)" xfId="2157" xr:uid="{00000000-0005-0000-0000-00002F000000}"/>
    <cellStyle name="Calc Currency (2)" xfId="2158" xr:uid="{00000000-0005-0000-0000-000030000000}"/>
    <cellStyle name="Calc Percent (0)" xfId="2159" xr:uid="{00000000-0005-0000-0000-000031000000}"/>
    <cellStyle name="Calc Percent (1)" xfId="2160" xr:uid="{00000000-0005-0000-0000-000032000000}"/>
    <cellStyle name="Calc Percent (2)" xfId="2161" xr:uid="{00000000-0005-0000-0000-000033000000}"/>
    <cellStyle name="Calc Units (0)" xfId="2162" xr:uid="{00000000-0005-0000-0000-000034000000}"/>
    <cellStyle name="Calc Units (1)" xfId="2163" xr:uid="{00000000-0005-0000-0000-000035000000}"/>
    <cellStyle name="Calc Units (2)" xfId="2164" xr:uid="{00000000-0005-0000-0000-000036000000}"/>
    <cellStyle name="Calculation" xfId="12" builtinId="22" customBuiltin="1"/>
    <cellStyle name="Calculation 2" xfId="81" xr:uid="{00000000-0005-0000-0000-000033000000}"/>
    <cellStyle name="Calculation 2 2" xfId="2493" xr:uid="{00000000-0005-0000-0000-000038000000}"/>
    <cellStyle name="Calculation 2 2 2" xfId="2546" xr:uid="{00000000-0005-0000-0000-000038000000}"/>
    <cellStyle name="Calculation 2 2 3" xfId="2530" xr:uid="{00000000-0005-0000-0000-000038000000}"/>
    <cellStyle name="Calculation 2 2 4" xfId="2561" xr:uid="{00000000-0005-0000-0000-000038000000}"/>
    <cellStyle name="Calculation 2 2 5" xfId="2569" xr:uid="{00000000-0005-0000-0000-000038000000}"/>
    <cellStyle name="Calculation 2 2 6" xfId="2582" xr:uid="{00000000-0005-0000-0000-000038000000}"/>
    <cellStyle name="Calculation 2 2 7" xfId="2590" xr:uid="{00000000-0005-0000-0000-000038000000}"/>
    <cellStyle name="Calculation 2 3" xfId="2498" xr:uid="{00000000-0005-0000-0000-000039000000}"/>
    <cellStyle name="Calculation 2 3 2" xfId="2551" xr:uid="{00000000-0005-0000-0000-000039000000}"/>
    <cellStyle name="Calculation 2 3 3" xfId="2556" xr:uid="{00000000-0005-0000-0000-000039000000}"/>
    <cellStyle name="Calculation 2 3 4" xfId="2564" xr:uid="{00000000-0005-0000-0000-000039000000}"/>
    <cellStyle name="Calculation 2 3 5" xfId="2574" xr:uid="{00000000-0005-0000-0000-000039000000}"/>
    <cellStyle name="Calculation 2 3 6" xfId="2585" xr:uid="{00000000-0005-0000-0000-000039000000}"/>
    <cellStyle name="Calculation 2 3 7" xfId="2593" xr:uid="{00000000-0005-0000-0000-000039000000}"/>
    <cellStyle name="Calculation 2 4" xfId="2398" xr:uid="{00000000-0005-0000-0000-000037000000}"/>
    <cellStyle name="Calculation 2 5" xfId="2528" xr:uid="{00000000-0005-0000-0000-000037000000}"/>
    <cellStyle name="Calculation 2 6" xfId="2540" xr:uid="{00000000-0005-0000-0000-000037000000}"/>
    <cellStyle name="Calculation 2 7" xfId="2412" xr:uid="{00000000-0005-0000-0000-000037000000}"/>
    <cellStyle name="Calculation 2 8" xfId="2411" xr:uid="{00000000-0005-0000-0000-000037000000}"/>
    <cellStyle name="Calculation 2 9" xfId="2581" xr:uid="{00000000-0005-0000-0000-000033000000}"/>
    <cellStyle name="Check Cell" xfId="14" builtinId="23" customBuiltin="1"/>
    <cellStyle name="Check Cell 2" xfId="82" xr:uid="{00000000-0005-0000-0000-000035000000}"/>
    <cellStyle name="Comma" xfId="1" builtinId="3"/>
    <cellStyle name="Comma [00]" xfId="2165" xr:uid="{00000000-0005-0000-0000-00003B000000}"/>
    <cellStyle name="Comma 10" xfId="2003" xr:uid="{00000000-0005-0000-0000-00003C000000}"/>
    <cellStyle name="Comma 10 2" xfId="2166" xr:uid="{00000000-0005-0000-0000-00003D000000}"/>
    <cellStyle name="Comma 11" xfId="2004" xr:uid="{00000000-0005-0000-0000-00003E000000}"/>
    <cellStyle name="Comma 11 2" xfId="2005" xr:uid="{00000000-0005-0000-0000-00003F000000}"/>
    <cellStyle name="Comma 12" xfId="2006" xr:uid="{00000000-0005-0000-0000-000040000000}"/>
    <cellStyle name="Comma 12 2" xfId="2007" xr:uid="{00000000-0005-0000-0000-000041000000}"/>
    <cellStyle name="Comma 13" xfId="2008" xr:uid="{00000000-0005-0000-0000-000042000000}"/>
    <cellStyle name="Comma 13 2" xfId="2167" xr:uid="{00000000-0005-0000-0000-000043000000}"/>
    <cellStyle name="Comma 13 2 2" xfId="2168" xr:uid="{00000000-0005-0000-0000-000044000000}"/>
    <cellStyle name="Comma 13 3" xfId="2169" xr:uid="{00000000-0005-0000-0000-000045000000}"/>
    <cellStyle name="Comma 14" xfId="2124" xr:uid="{00000000-0005-0000-0000-000046000000}"/>
    <cellStyle name="Comma 14 2" xfId="2170" xr:uid="{00000000-0005-0000-0000-000047000000}"/>
    <cellStyle name="Comma 15 2" xfId="2171" xr:uid="{00000000-0005-0000-0000-000048000000}"/>
    <cellStyle name="Comma 16" xfId="2172" xr:uid="{00000000-0005-0000-0000-000049000000}"/>
    <cellStyle name="Comma 16 2" xfId="2173" xr:uid="{00000000-0005-0000-0000-00004A000000}"/>
    <cellStyle name="Comma 17 2" xfId="2174" xr:uid="{00000000-0005-0000-0000-00004B000000}"/>
    <cellStyle name="Comma 18" xfId="2175" xr:uid="{00000000-0005-0000-0000-00004C000000}"/>
    <cellStyle name="Comma 19" xfId="2176" xr:uid="{00000000-0005-0000-0000-00004D000000}"/>
    <cellStyle name="Comma 2" xfId="45" xr:uid="{00000000-0005-0000-0000-000037000000}"/>
    <cellStyle name="Comma 2 10" xfId="2507" xr:uid="{00000000-0005-0000-0000-000037000000}"/>
    <cellStyle name="Comma 2 106" xfId="2177" xr:uid="{00000000-0005-0000-0000-00004F000000}"/>
    <cellStyle name="Comma 2 2" xfId="46" xr:uid="{00000000-0005-0000-0000-000038000000}"/>
    <cellStyle name="Comma 2 2 2" xfId="2011" xr:uid="{00000000-0005-0000-0000-000051000000}"/>
    <cellStyle name="Comma 2 2 2 2" xfId="2178" xr:uid="{00000000-0005-0000-0000-000052000000}"/>
    <cellStyle name="Comma 2 2 2 3" xfId="2179" xr:uid="{00000000-0005-0000-0000-000053000000}"/>
    <cellStyle name="Comma 2 2 3" xfId="2012" xr:uid="{00000000-0005-0000-0000-000054000000}"/>
    <cellStyle name="Comma 2 2 4" xfId="2180" xr:uid="{00000000-0005-0000-0000-000055000000}"/>
    <cellStyle name="Comma 2 2 5" xfId="2181" xr:uid="{00000000-0005-0000-0000-000056000000}"/>
    <cellStyle name="Comma 2 2 6" xfId="2010" xr:uid="{00000000-0005-0000-0000-000050000000}"/>
    <cellStyle name="Comma 2 2 7" xfId="2514" xr:uid="{00000000-0005-0000-0000-000038000000}"/>
    <cellStyle name="Comma 2 2 8" xfId="2508" xr:uid="{00000000-0005-0000-0000-000038000000}"/>
    <cellStyle name="Comma 2 3" xfId="2013" xr:uid="{00000000-0005-0000-0000-000057000000}"/>
    <cellStyle name="Comma 2 3 2" xfId="2014" xr:uid="{00000000-0005-0000-0000-000058000000}"/>
    <cellStyle name="Comma 2 3 2 2" xfId="2182" xr:uid="{00000000-0005-0000-0000-000059000000}"/>
    <cellStyle name="Comma 2 3 3" xfId="2183" xr:uid="{00000000-0005-0000-0000-00005A000000}"/>
    <cellStyle name="Comma 2 4" xfId="2015" xr:uid="{00000000-0005-0000-0000-00005B000000}"/>
    <cellStyle name="Comma 2 4 2" xfId="2184" xr:uid="{00000000-0005-0000-0000-00005C000000}"/>
    <cellStyle name="Comma 2 4 3" xfId="2185" xr:uid="{00000000-0005-0000-0000-00005D000000}"/>
    <cellStyle name="Comma 2 4 3 2" xfId="2186" xr:uid="{00000000-0005-0000-0000-00005E000000}"/>
    <cellStyle name="Comma 2 4 4" xfId="2187" xr:uid="{00000000-0005-0000-0000-00005F000000}"/>
    <cellStyle name="Comma 2 4 5" xfId="2188" xr:uid="{00000000-0005-0000-0000-000060000000}"/>
    <cellStyle name="Comma 2 4 6" xfId="2189" xr:uid="{00000000-0005-0000-0000-000061000000}"/>
    <cellStyle name="Comma 2 5" xfId="2016" xr:uid="{00000000-0005-0000-0000-000062000000}"/>
    <cellStyle name="Comma 2 5 2" xfId="2190" xr:uid="{00000000-0005-0000-0000-000063000000}"/>
    <cellStyle name="Comma 2 6" xfId="2017" xr:uid="{00000000-0005-0000-0000-000064000000}"/>
    <cellStyle name="Comma 2 7" xfId="2191" xr:uid="{00000000-0005-0000-0000-000065000000}"/>
    <cellStyle name="Comma 2 8" xfId="2009" xr:uid="{00000000-0005-0000-0000-00004E000000}"/>
    <cellStyle name="Comma 2 9" xfId="2513" xr:uid="{00000000-0005-0000-0000-000037000000}"/>
    <cellStyle name="Comma 20" xfId="2192" xr:uid="{00000000-0005-0000-0000-000066000000}"/>
    <cellStyle name="Comma 21" xfId="2193" xr:uid="{00000000-0005-0000-0000-000067000000}"/>
    <cellStyle name="Comma 22" xfId="2194" xr:uid="{00000000-0005-0000-0000-000068000000}"/>
    <cellStyle name="Comma 3" xfId="47" xr:uid="{00000000-0005-0000-0000-000039000000}"/>
    <cellStyle name="Comma 3 10" xfId="2515" xr:uid="{00000000-0005-0000-0000-000039000000}"/>
    <cellStyle name="Comma 3 11" xfId="2509" xr:uid="{00000000-0005-0000-0000-000039000000}"/>
    <cellStyle name="Comma 3 2" xfId="2019" xr:uid="{00000000-0005-0000-0000-00006A000000}"/>
    <cellStyle name="Comma 3 2 10" xfId="2195" xr:uid="{00000000-0005-0000-0000-00006B000000}"/>
    <cellStyle name="Comma 3 2 11" xfId="2196" xr:uid="{00000000-0005-0000-0000-00006C000000}"/>
    <cellStyle name="Comma 3 2 2" xfId="2197" xr:uid="{00000000-0005-0000-0000-00006D000000}"/>
    <cellStyle name="Comma 3 2 2 2" xfId="2198" xr:uid="{00000000-0005-0000-0000-00006E000000}"/>
    <cellStyle name="Comma 3 2 3" xfId="2199" xr:uid="{00000000-0005-0000-0000-00006F000000}"/>
    <cellStyle name="Comma 3 2 4" xfId="2200" xr:uid="{00000000-0005-0000-0000-000070000000}"/>
    <cellStyle name="Comma 3 2 5" xfId="2201" xr:uid="{00000000-0005-0000-0000-000071000000}"/>
    <cellStyle name="Comma 3 2 6" xfId="2202" xr:uid="{00000000-0005-0000-0000-000072000000}"/>
    <cellStyle name="Comma 3 2 6 2" xfId="2203" xr:uid="{00000000-0005-0000-0000-000073000000}"/>
    <cellStyle name="Comma 3 2 7" xfId="2204" xr:uid="{00000000-0005-0000-0000-000074000000}"/>
    <cellStyle name="Comma 3 2 7 2" xfId="2205" xr:uid="{00000000-0005-0000-0000-000075000000}"/>
    <cellStyle name="Comma 3 2 8" xfId="2206" xr:uid="{00000000-0005-0000-0000-000076000000}"/>
    <cellStyle name="Comma 3 2 8 2" xfId="2207" xr:uid="{00000000-0005-0000-0000-000077000000}"/>
    <cellStyle name="Comma 3 2 9" xfId="2208" xr:uid="{00000000-0005-0000-0000-000078000000}"/>
    <cellStyle name="Comma 3 2 9 2" xfId="2209" xr:uid="{00000000-0005-0000-0000-000079000000}"/>
    <cellStyle name="Comma 3 3" xfId="2210" xr:uid="{00000000-0005-0000-0000-00007A000000}"/>
    <cellStyle name="Comma 3 3 2" xfId="2211" xr:uid="{00000000-0005-0000-0000-00007B000000}"/>
    <cellStyle name="Comma 3 3 3" xfId="2212" xr:uid="{00000000-0005-0000-0000-00007C000000}"/>
    <cellStyle name="Comma 3 3 4" xfId="2213" xr:uid="{00000000-0005-0000-0000-00007D000000}"/>
    <cellStyle name="Comma 3 3 5" xfId="2214" xr:uid="{00000000-0005-0000-0000-00007E000000}"/>
    <cellStyle name="Comma 3 3 6" xfId="2215" xr:uid="{00000000-0005-0000-0000-00007F000000}"/>
    <cellStyle name="Comma 3 4" xfId="2216" xr:uid="{00000000-0005-0000-0000-000080000000}"/>
    <cellStyle name="Comma 3 5" xfId="2217" xr:uid="{00000000-0005-0000-0000-000081000000}"/>
    <cellStyle name="Comma 3 6" xfId="2218" xr:uid="{00000000-0005-0000-0000-000082000000}"/>
    <cellStyle name="Comma 3 7" xfId="2219" xr:uid="{00000000-0005-0000-0000-000083000000}"/>
    <cellStyle name="Comma 3 8" xfId="2220" xr:uid="{00000000-0005-0000-0000-000084000000}"/>
    <cellStyle name="Comma 3 9" xfId="2018" xr:uid="{00000000-0005-0000-0000-000069000000}"/>
    <cellStyle name="Comma 4" xfId="48" xr:uid="{00000000-0005-0000-0000-00003A000000}"/>
    <cellStyle name="Comma 4 10" xfId="2020" xr:uid="{00000000-0005-0000-0000-000085000000}"/>
    <cellStyle name="Comma 4 2" xfId="2021" xr:uid="{00000000-0005-0000-0000-000086000000}"/>
    <cellStyle name="Comma 4 2 2" xfId="2022" xr:uid="{00000000-0005-0000-0000-000087000000}"/>
    <cellStyle name="Comma 4 2 2 2" xfId="2023" xr:uid="{00000000-0005-0000-0000-000088000000}"/>
    <cellStyle name="Comma 4 2 3" xfId="2024" xr:uid="{00000000-0005-0000-0000-000089000000}"/>
    <cellStyle name="Comma 4 3" xfId="2025" xr:uid="{00000000-0005-0000-0000-00008A000000}"/>
    <cellStyle name="Comma 4 3 2" xfId="2026" xr:uid="{00000000-0005-0000-0000-00008B000000}"/>
    <cellStyle name="Comma 4 4" xfId="2027" xr:uid="{00000000-0005-0000-0000-00008C000000}"/>
    <cellStyle name="Comma 4 5" xfId="2028" xr:uid="{00000000-0005-0000-0000-00008D000000}"/>
    <cellStyle name="Comma 4 5 2" xfId="2029" xr:uid="{00000000-0005-0000-0000-00008E000000}"/>
    <cellStyle name="Comma 4 6" xfId="2221" xr:uid="{00000000-0005-0000-0000-00008F000000}"/>
    <cellStyle name="Comma 4 7" xfId="2222" xr:uid="{00000000-0005-0000-0000-000090000000}"/>
    <cellStyle name="Comma 4 8" xfId="2223" xr:uid="{00000000-0005-0000-0000-000091000000}"/>
    <cellStyle name="Comma 4 9" xfId="2224" xr:uid="{00000000-0005-0000-0000-000092000000}"/>
    <cellStyle name="Comma 5" xfId="44" xr:uid="{00000000-0005-0000-0000-00003B000000}"/>
    <cellStyle name="Comma 5 2" xfId="2031" xr:uid="{00000000-0005-0000-0000-000094000000}"/>
    <cellStyle name="Comma 5 2 2" xfId="2032" xr:uid="{00000000-0005-0000-0000-000095000000}"/>
    <cellStyle name="Comma 5 2 2 2" xfId="2033" xr:uid="{00000000-0005-0000-0000-000096000000}"/>
    <cellStyle name="Comma 5 2 3" xfId="2034" xr:uid="{00000000-0005-0000-0000-000097000000}"/>
    <cellStyle name="Comma 5 3" xfId="2035" xr:uid="{00000000-0005-0000-0000-000098000000}"/>
    <cellStyle name="Comma 5 3 2" xfId="2036" xr:uid="{00000000-0005-0000-0000-000099000000}"/>
    <cellStyle name="Comma 5 4" xfId="2037" xr:uid="{00000000-0005-0000-0000-00009A000000}"/>
    <cellStyle name="Comma 5 5" xfId="2038" xr:uid="{00000000-0005-0000-0000-00009B000000}"/>
    <cellStyle name="Comma 5 6" xfId="2039" xr:uid="{00000000-0005-0000-0000-00009C000000}"/>
    <cellStyle name="Comma 5 7" xfId="2030" xr:uid="{00000000-0005-0000-0000-000093000000}"/>
    <cellStyle name="Comma 5 8" xfId="2512" xr:uid="{00000000-0005-0000-0000-00003B000000}"/>
    <cellStyle name="Comma 5 9" xfId="2506" xr:uid="{00000000-0005-0000-0000-00003B000000}"/>
    <cellStyle name="Comma 6" xfId="2040" xr:uid="{00000000-0005-0000-0000-00009D000000}"/>
    <cellStyle name="Comma 6 2" xfId="2041" xr:uid="{00000000-0005-0000-0000-00009E000000}"/>
    <cellStyle name="Comma 6 2 2" xfId="2042" xr:uid="{00000000-0005-0000-0000-00009F000000}"/>
    <cellStyle name="Comma 6 3" xfId="2043" xr:uid="{00000000-0005-0000-0000-0000A0000000}"/>
    <cellStyle name="Comma 6 3 2" xfId="2225" xr:uid="{00000000-0005-0000-0000-0000A1000000}"/>
    <cellStyle name="Comma 6 3 3" xfId="2226" xr:uid="{00000000-0005-0000-0000-0000A2000000}"/>
    <cellStyle name="Comma 6 4" xfId="2044" xr:uid="{00000000-0005-0000-0000-0000A3000000}"/>
    <cellStyle name="Comma 7" xfId="2045" xr:uid="{00000000-0005-0000-0000-0000A4000000}"/>
    <cellStyle name="Comma 7 2" xfId="2046" xr:uid="{00000000-0005-0000-0000-0000A5000000}"/>
    <cellStyle name="Comma 7 3" xfId="2227" xr:uid="{00000000-0005-0000-0000-0000A6000000}"/>
    <cellStyle name="Comma 7 4" xfId="2228" xr:uid="{00000000-0005-0000-0000-0000A7000000}"/>
    <cellStyle name="Comma 8" xfId="2047" xr:uid="{00000000-0005-0000-0000-0000A8000000}"/>
    <cellStyle name="Comma 8 2" xfId="2229" xr:uid="{00000000-0005-0000-0000-0000A9000000}"/>
    <cellStyle name="Comma 9" xfId="2002" xr:uid="{00000000-0005-0000-0000-0000AA000000}"/>
    <cellStyle name="Comma 9 2" xfId="2230" xr:uid="{00000000-0005-0000-0000-0000AB000000}"/>
    <cellStyle name="Comma 9 2 2" xfId="2231" xr:uid="{00000000-0005-0000-0000-0000AC000000}"/>
    <cellStyle name="Comma 9 3" xfId="2232" xr:uid="{00000000-0005-0000-0000-0000AD000000}"/>
    <cellStyle name="Comma 9 4" xfId="2233" xr:uid="{00000000-0005-0000-0000-0000AE000000}"/>
    <cellStyle name="Comma0" xfId="2234" xr:uid="{00000000-0005-0000-0000-0000AF000000}"/>
    <cellStyle name="CommaSimple" xfId="2235" xr:uid="{00000000-0005-0000-0000-0000B0000000}"/>
    <cellStyle name="Currency" xfId="2600" builtinId="4"/>
    <cellStyle name="Currency [00]" xfId="2236" xr:uid="{00000000-0005-0000-0000-0000B1000000}"/>
    <cellStyle name="Currency 10" xfId="2237" xr:uid="{00000000-0005-0000-0000-0000B2000000}"/>
    <cellStyle name="Currency 11" xfId="2238" xr:uid="{00000000-0005-0000-0000-0000B3000000}"/>
    <cellStyle name="Currency 11 2" xfId="2239" xr:uid="{00000000-0005-0000-0000-0000B4000000}"/>
    <cellStyle name="Currency 11 2 2" xfId="2240" xr:uid="{00000000-0005-0000-0000-0000B5000000}"/>
    <cellStyle name="Currency 12" xfId="2241" xr:uid="{00000000-0005-0000-0000-0000B6000000}"/>
    <cellStyle name="Currency 13" xfId="2242" xr:uid="{00000000-0005-0000-0000-0000B7000000}"/>
    <cellStyle name="Currency 13 2" xfId="2243" xr:uid="{00000000-0005-0000-0000-0000B8000000}"/>
    <cellStyle name="Currency 14" xfId="2244" xr:uid="{00000000-0005-0000-0000-0000B9000000}"/>
    <cellStyle name="Currency 14 2" xfId="2245" xr:uid="{00000000-0005-0000-0000-0000BA000000}"/>
    <cellStyle name="Currency 15" xfId="2246" xr:uid="{00000000-0005-0000-0000-0000BB000000}"/>
    <cellStyle name="Currency 15 2" xfId="2247" xr:uid="{00000000-0005-0000-0000-0000BC000000}"/>
    <cellStyle name="Currency 16 2" xfId="2248" xr:uid="{00000000-0005-0000-0000-0000BD000000}"/>
    <cellStyle name="Currency 17" xfId="2249" xr:uid="{00000000-0005-0000-0000-0000BE000000}"/>
    <cellStyle name="Currency 17 2" xfId="2250" xr:uid="{00000000-0005-0000-0000-0000BF000000}"/>
    <cellStyle name="Currency 18" xfId="2251" xr:uid="{00000000-0005-0000-0000-0000C0000000}"/>
    <cellStyle name="Currency 19" xfId="2252" xr:uid="{00000000-0005-0000-0000-0000C1000000}"/>
    <cellStyle name="Currency 2" xfId="83" xr:uid="{00000000-0005-0000-0000-00003C000000}"/>
    <cellStyle name="Currency 2 2" xfId="2049" xr:uid="{00000000-0005-0000-0000-0000C3000000}"/>
    <cellStyle name="Currency 2 2 2" xfId="2253" xr:uid="{00000000-0005-0000-0000-0000C4000000}"/>
    <cellStyle name="Currency 2 2 3" xfId="2254" xr:uid="{00000000-0005-0000-0000-0000C5000000}"/>
    <cellStyle name="Currency 2 2 4" xfId="2255" xr:uid="{00000000-0005-0000-0000-0000C6000000}"/>
    <cellStyle name="Currency 2 3" xfId="2050" xr:uid="{00000000-0005-0000-0000-0000C7000000}"/>
    <cellStyle name="Currency 2 3 2" xfId="2256" xr:uid="{00000000-0005-0000-0000-0000C8000000}"/>
    <cellStyle name="Currency 2 3 3" xfId="2257" xr:uid="{00000000-0005-0000-0000-0000C9000000}"/>
    <cellStyle name="Currency 2 4" xfId="2051" xr:uid="{00000000-0005-0000-0000-0000CA000000}"/>
    <cellStyle name="Currency 2 4 2" xfId="2258" xr:uid="{00000000-0005-0000-0000-0000CB000000}"/>
    <cellStyle name="Currency 2 4 3" xfId="2259" xr:uid="{00000000-0005-0000-0000-0000CC000000}"/>
    <cellStyle name="Currency 2 4 3 2" xfId="2260" xr:uid="{00000000-0005-0000-0000-0000CD000000}"/>
    <cellStyle name="Currency 2 4 4" xfId="2261" xr:uid="{00000000-0005-0000-0000-0000CE000000}"/>
    <cellStyle name="Currency 2 5" xfId="2262" xr:uid="{00000000-0005-0000-0000-0000CF000000}"/>
    <cellStyle name="Currency 2 5 2" xfId="2263" xr:uid="{00000000-0005-0000-0000-0000D0000000}"/>
    <cellStyle name="Currency 2 6" xfId="2264" xr:uid="{00000000-0005-0000-0000-0000D1000000}"/>
    <cellStyle name="Currency 2 7" xfId="2265" xr:uid="{00000000-0005-0000-0000-0000D2000000}"/>
    <cellStyle name="Currency 2 8" xfId="2266" xr:uid="{00000000-0005-0000-0000-0000D3000000}"/>
    <cellStyle name="Currency 2 9" xfId="2048" xr:uid="{00000000-0005-0000-0000-0000C2000000}"/>
    <cellStyle name="Currency 20" xfId="2267" xr:uid="{00000000-0005-0000-0000-0000D4000000}"/>
    <cellStyle name="Currency 21" xfId="2268" xr:uid="{00000000-0005-0000-0000-0000D5000000}"/>
    <cellStyle name="Currency 22" xfId="2269" xr:uid="{00000000-0005-0000-0000-0000D6000000}"/>
    <cellStyle name="Currency 24" xfId="2270" xr:uid="{00000000-0005-0000-0000-0000D7000000}"/>
    <cellStyle name="Currency 3" xfId="84" xr:uid="{00000000-0005-0000-0000-00003D000000}"/>
    <cellStyle name="Currency 3 2" xfId="2053" xr:uid="{00000000-0005-0000-0000-0000D9000000}"/>
    <cellStyle name="Currency 3 2 2" xfId="2271" xr:uid="{00000000-0005-0000-0000-0000DA000000}"/>
    <cellStyle name="Currency 3 3" xfId="2054" xr:uid="{00000000-0005-0000-0000-0000DB000000}"/>
    <cellStyle name="Currency 3 4" xfId="2052" xr:uid="{00000000-0005-0000-0000-0000D8000000}"/>
    <cellStyle name="Currency 4" xfId="2055" xr:uid="{00000000-0005-0000-0000-0000DC000000}"/>
    <cellStyle name="Currency 4 2" xfId="2272" xr:uid="{00000000-0005-0000-0000-0000DD000000}"/>
    <cellStyle name="Currency 4 2 10" xfId="2273" xr:uid="{00000000-0005-0000-0000-0000DE000000}"/>
    <cellStyle name="Currency 4 2 10 2" xfId="2274" xr:uid="{00000000-0005-0000-0000-0000DF000000}"/>
    <cellStyle name="Currency 4 2 11" xfId="2275" xr:uid="{00000000-0005-0000-0000-0000E0000000}"/>
    <cellStyle name="Currency 4 2 2" xfId="2276" xr:uid="{00000000-0005-0000-0000-0000E1000000}"/>
    <cellStyle name="Currency 4 2 2 2" xfId="2277" xr:uid="{00000000-0005-0000-0000-0000E2000000}"/>
    <cellStyle name="Currency 4 2 3" xfId="2278" xr:uid="{00000000-0005-0000-0000-0000E3000000}"/>
    <cellStyle name="Currency 4 2 4" xfId="2279" xr:uid="{00000000-0005-0000-0000-0000E4000000}"/>
    <cellStyle name="Currency 4 2 5" xfId="2280" xr:uid="{00000000-0005-0000-0000-0000E5000000}"/>
    <cellStyle name="Currency 4 2 6" xfId="2281" xr:uid="{00000000-0005-0000-0000-0000E6000000}"/>
    <cellStyle name="Currency 4 2 6 2" xfId="2282" xr:uid="{00000000-0005-0000-0000-0000E7000000}"/>
    <cellStyle name="Currency 4 2 7" xfId="2283" xr:uid="{00000000-0005-0000-0000-0000E8000000}"/>
    <cellStyle name="Currency 4 2 7 2" xfId="2284" xr:uid="{00000000-0005-0000-0000-0000E9000000}"/>
    <cellStyle name="Currency 4 2 8" xfId="2285" xr:uid="{00000000-0005-0000-0000-0000EA000000}"/>
    <cellStyle name="Currency 4 2 8 2" xfId="2286" xr:uid="{00000000-0005-0000-0000-0000EB000000}"/>
    <cellStyle name="Currency 4 2 9" xfId="2287" xr:uid="{00000000-0005-0000-0000-0000EC000000}"/>
    <cellStyle name="Currency 4 2 9 2" xfId="2288" xr:uid="{00000000-0005-0000-0000-0000ED000000}"/>
    <cellStyle name="Currency 4 3" xfId="2289" xr:uid="{00000000-0005-0000-0000-0000EE000000}"/>
    <cellStyle name="Currency 4 3 2" xfId="2290" xr:uid="{00000000-0005-0000-0000-0000EF000000}"/>
    <cellStyle name="Currency 4 3 3" xfId="2291" xr:uid="{00000000-0005-0000-0000-0000F0000000}"/>
    <cellStyle name="Currency 4 3 4" xfId="2292" xr:uid="{00000000-0005-0000-0000-0000F1000000}"/>
    <cellStyle name="Currency 4 3 5" xfId="2293" xr:uid="{00000000-0005-0000-0000-0000F2000000}"/>
    <cellStyle name="Currency 4 4" xfId="2294" xr:uid="{00000000-0005-0000-0000-0000F3000000}"/>
    <cellStyle name="Currency 4 5" xfId="2295" xr:uid="{00000000-0005-0000-0000-0000F4000000}"/>
    <cellStyle name="Currency 5" xfId="2056" xr:uid="{00000000-0005-0000-0000-0000F5000000}"/>
    <cellStyle name="Currency 5 2" xfId="2296" xr:uid="{00000000-0005-0000-0000-0000F6000000}"/>
    <cellStyle name="Currency 5 3" xfId="2297" xr:uid="{00000000-0005-0000-0000-0000F7000000}"/>
    <cellStyle name="Currency 5 4" xfId="2298" xr:uid="{00000000-0005-0000-0000-0000F8000000}"/>
    <cellStyle name="Currency 5 5" xfId="2299" xr:uid="{00000000-0005-0000-0000-0000F9000000}"/>
    <cellStyle name="Currency 5 6" xfId="2300" xr:uid="{00000000-0005-0000-0000-0000FA000000}"/>
    <cellStyle name="Currency 6" xfId="2301" xr:uid="{00000000-0005-0000-0000-0000FB000000}"/>
    <cellStyle name="Currency 6 2" xfId="2302" xr:uid="{00000000-0005-0000-0000-0000FC000000}"/>
    <cellStyle name="Currency 6 2 2" xfId="2303" xr:uid="{00000000-0005-0000-0000-0000FD000000}"/>
    <cellStyle name="Currency 7" xfId="2304" xr:uid="{00000000-0005-0000-0000-0000FE000000}"/>
    <cellStyle name="Currency 7 2" xfId="2305" xr:uid="{00000000-0005-0000-0000-0000FF000000}"/>
    <cellStyle name="Currency 8" xfId="2306" xr:uid="{00000000-0005-0000-0000-000000010000}"/>
    <cellStyle name="Currency 8 2" xfId="2307" xr:uid="{00000000-0005-0000-0000-000001010000}"/>
    <cellStyle name="Currency 8 3" xfId="2308" xr:uid="{00000000-0005-0000-0000-000002010000}"/>
    <cellStyle name="Currency 8 4" xfId="2309" xr:uid="{00000000-0005-0000-0000-000003010000}"/>
    <cellStyle name="Currency 8 5" xfId="2310" xr:uid="{00000000-0005-0000-0000-000004010000}"/>
    <cellStyle name="Currency 8 6" xfId="2311" xr:uid="{00000000-0005-0000-0000-000005010000}"/>
    <cellStyle name="Currency 9" xfId="2312" xr:uid="{00000000-0005-0000-0000-000006010000}"/>
    <cellStyle name="Currency 9 2" xfId="2313" xr:uid="{00000000-0005-0000-0000-000007010000}"/>
    <cellStyle name="Currency 9 3" xfId="2314" xr:uid="{00000000-0005-0000-0000-000008010000}"/>
    <cellStyle name="Currency Simple" xfId="2315" xr:uid="{00000000-0005-0000-0000-000009010000}"/>
    <cellStyle name="Date" xfId="2316" xr:uid="{00000000-0005-0000-0000-00000A010000}"/>
    <cellStyle name="Date Short" xfId="2317" xr:uid="{00000000-0005-0000-0000-00000B010000}"/>
    <cellStyle name="DELTA" xfId="2318" xr:uid="{00000000-0005-0000-0000-00000C010000}"/>
    <cellStyle name="Enter Currency (0)" xfId="2319" xr:uid="{00000000-0005-0000-0000-00000D010000}"/>
    <cellStyle name="Enter Currency (2)" xfId="2320" xr:uid="{00000000-0005-0000-0000-00000E010000}"/>
    <cellStyle name="Enter Units (0)" xfId="2321" xr:uid="{00000000-0005-0000-0000-00000F010000}"/>
    <cellStyle name="Enter Units (1)" xfId="2322" xr:uid="{00000000-0005-0000-0000-000010010000}"/>
    <cellStyle name="Enter Units (2)" xfId="2323" xr:uid="{00000000-0005-0000-0000-000011010000}"/>
    <cellStyle name="Explanatory Text" xfId="17" builtinId="53" customBuiltin="1"/>
    <cellStyle name="Explanatory Text 2" xfId="85" xr:uid="{00000000-0005-0000-0000-00003F000000}"/>
    <cellStyle name="Fixed" xfId="2324" xr:uid="{00000000-0005-0000-0000-000013010000}"/>
    <cellStyle name="Good" xfId="7" builtinId="26" customBuiltin="1"/>
    <cellStyle name="Good 2" xfId="86" xr:uid="{00000000-0005-0000-0000-000041000000}"/>
    <cellStyle name="Grey" xfId="2325" xr:uid="{00000000-0005-0000-0000-000015010000}"/>
    <cellStyle name="Grey 2" xfId="2326" xr:uid="{00000000-0005-0000-0000-000016010000}"/>
    <cellStyle name="HEADER" xfId="2327" xr:uid="{00000000-0005-0000-0000-000017010000}"/>
    <cellStyle name="Header1" xfId="2328" xr:uid="{00000000-0005-0000-0000-000018010000}"/>
    <cellStyle name="Header2" xfId="2329" xr:uid="{00000000-0005-0000-0000-000019010000}"/>
    <cellStyle name="Header2 2" xfId="2330" xr:uid="{00000000-0005-0000-0000-00001A010000}"/>
    <cellStyle name="Header2 2 2" xfId="2389" xr:uid="{00000000-0005-0000-0000-00001A010000}"/>
    <cellStyle name="Header2 2 2 2" xfId="2544" xr:uid="{00000000-0005-0000-0000-00001A010000}"/>
    <cellStyle name="Header2 2 2 3" xfId="2539" xr:uid="{00000000-0005-0000-0000-00001A010000}"/>
    <cellStyle name="Header2 2 3" xfId="2523" xr:uid="{00000000-0005-0000-0000-00001A010000}"/>
    <cellStyle name="Header2 2 4" xfId="2520" xr:uid="{00000000-0005-0000-0000-00001A010000}"/>
    <cellStyle name="Header2 2 5" xfId="2387" xr:uid="{00000000-0005-0000-0000-00001A010000}"/>
    <cellStyle name="Header2 2 6" xfId="2518" xr:uid="{00000000-0005-0000-0000-00001A010000}"/>
    <cellStyle name="Header2 2 7" xfId="2525" xr:uid="{00000000-0005-0000-0000-00001A010000}"/>
    <cellStyle name="Header2 3" xfId="2390" xr:uid="{00000000-0005-0000-0000-000019010000}"/>
    <cellStyle name="Header2 3 2" xfId="2395" xr:uid="{00000000-0005-0000-0000-000019010000}"/>
    <cellStyle name="Header2 3 3" xfId="2541" xr:uid="{00000000-0005-0000-0000-000019010000}"/>
    <cellStyle name="Header2 4" xfId="2524" xr:uid="{00000000-0005-0000-0000-000019010000}"/>
    <cellStyle name="Header2 5" xfId="2521" xr:uid="{00000000-0005-0000-0000-000019010000}"/>
    <cellStyle name="Header2 6" xfId="2492" xr:uid="{00000000-0005-0000-0000-000019010000}"/>
    <cellStyle name="Header2 7" xfId="2519" xr:uid="{00000000-0005-0000-0000-000019010000}"/>
    <cellStyle name="Header2 8" xfId="2526" xr:uid="{00000000-0005-0000-0000-000019010000}"/>
    <cellStyle name="Heading 1" xfId="3" builtinId="16" customBuiltin="1"/>
    <cellStyle name="Heading 1 2" xfId="87" xr:uid="{00000000-0005-0000-0000-000043000000}"/>
    <cellStyle name="Heading 2" xfId="4" builtinId="17" customBuiltin="1"/>
    <cellStyle name="Heading 2 2" xfId="88" xr:uid="{00000000-0005-0000-0000-000045000000}"/>
    <cellStyle name="Heading 3" xfId="5" builtinId="18" customBuiltin="1"/>
    <cellStyle name="Heading 3 2" xfId="89" xr:uid="{00000000-0005-0000-0000-000047000000}"/>
    <cellStyle name="Heading 4" xfId="6" builtinId="19" customBuiltin="1"/>
    <cellStyle name="Heading 4 2" xfId="90" xr:uid="{00000000-0005-0000-0000-000049000000}"/>
    <cellStyle name="Heading1" xfId="2331" xr:uid="{00000000-0005-0000-0000-00001F010000}"/>
    <cellStyle name="Heading2" xfId="2332" xr:uid="{00000000-0005-0000-0000-000020010000}"/>
    <cellStyle name="HIGHLIGHT" xfId="2333" xr:uid="{00000000-0005-0000-0000-000021010000}"/>
    <cellStyle name="Hyperlink 2" xfId="2057" xr:uid="{00000000-0005-0000-0000-000022010000}"/>
    <cellStyle name="Hyperlink 3" xfId="2058" xr:uid="{00000000-0005-0000-0000-000023010000}"/>
    <cellStyle name="Hyperlink 4" xfId="2059" xr:uid="{00000000-0005-0000-0000-000024010000}"/>
    <cellStyle name="Hyperlink 5" xfId="2125" xr:uid="{00000000-0005-0000-0000-000025010000}"/>
    <cellStyle name="Input" xfId="10" builtinId="20" customBuiltin="1"/>
    <cellStyle name="Input [yellow]" xfId="2334" xr:uid="{00000000-0005-0000-0000-000026010000}"/>
    <cellStyle name="Input [yellow] 2" xfId="2335" xr:uid="{00000000-0005-0000-0000-000027010000}"/>
    <cellStyle name="Input [yellow] 2 2" xfId="2495" xr:uid="{00000000-0005-0000-0000-000028010000}"/>
    <cellStyle name="Input [yellow] 2 2 2" xfId="2548" xr:uid="{00000000-0005-0000-0000-000028010000}"/>
    <cellStyle name="Input [yellow] 2 2 2 2" xfId="2599" xr:uid="{00000000-0005-0000-0000-000028010000}"/>
    <cellStyle name="Input [yellow] 2 2 3" xfId="2532" xr:uid="{00000000-0005-0000-0000-000028010000}"/>
    <cellStyle name="Input [yellow] 2 2 4" xfId="2571" xr:uid="{00000000-0005-0000-0000-000028010000}"/>
    <cellStyle name="Input [yellow] 2 3" xfId="2545" xr:uid="{00000000-0005-0000-0000-000027010000}"/>
    <cellStyle name="Input [yellow] 2 3 2" xfId="2579" xr:uid="{00000000-0005-0000-0000-000027010000}"/>
    <cellStyle name="Input [yellow] 3" xfId="2494" xr:uid="{00000000-0005-0000-0000-000029010000}"/>
    <cellStyle name="Input [yellow] 3 2" xfId="2547" xr:uid="{00000000-0005-0000-0000-000029010000}"/>
    <cellStyle name="Input [yellow] 3 2 2" xfId="2598" xr:uid="{00000000-0005-0000-0000-000029010000}"/>
    <cellStyle name="Input [yellow] 3 3" xfId="2531" xr:uid="{00000000-0005-0000-0000-000029010000}"/>
    <cellStyle name="Input [yellow] 3 4" xfId="2570" xr:uid="{00000000-0005-0000-0000-000029010000}"/>
    <cellStyle name="Input [yellow] 4" xfId="2527" xr:uid="{00000000-0005-0000-0000-000026010000}"/>
    <cellStyle name="Input [yellow] 4 2" xfId="2542" xr:uid="{00000000-0005-0000-0000-000026010000}"/>
    <cellStyle name="Input 2" xfId="91" xr:uid="{00000000-0005-0000-0000-00004B000000}"/>
    <cellStyle name="Input 2 2" xfId="2496" xr:uid="{00000000-0005-0000-0000-00002B010000}"/>
    <cellStyle name="Input 2 2 2" xfId="2549" xr:uid="{00000000-0005-0000-0000-00002B010000}"/>
    <cellStyle name="Input 2 2 3" xfId="2533" xr:uid="{00000000-0005-0000-0000-00002B010000}"/>
    <cellStyle name="Input 2 2 4" xfId="2562" xr:uid="{00000000-0005-0000-0000-00002B010000}"/>
    <cellStyle name="Input 2 2 5" xfId="2572" xr:uid="{00000000-0005-0000-0000-00002B010000}"/>
    <cellStyle name="Input 2 2 6" xfId="2583" xr:uid="{00000000-0005-0000-0000-00002B010000}"/>
    <cellStyle name="Input 2 2 7" xfId="2591" xr:uid="{00000000-0005-0000-0000-00002B010000}"/>
    <cellStyle name="Input 2 3" xfId="2497" xr:uid="{00000000-0005-0000-0000-00002C010000}"/>
    <cellStyle name="Input 2 3 2" xfId="2550" xr:uid="{00000000-0005-0000-0000-00002C010000}"/>
    <cellStyle name="Input 2 3 3" xfId="2534" xr:uid="{00000000-0005-0000-0000-00002C010000}"/>
    <cellStyle name="Input 2 3 4" xfId="2563" xr:uid="{00000000-0005-0000-0000-00002C010000}"/>
    <cellStyle name="Input 2 3 5" xfId="2573" xr:uid="{00000000-0005-0000-0000-00002C010000}"/>
    <cellStyle name="Input 2 3 6" xfId="2584" xr:uid="{00000000-0005-0000-0000-00002C010000}"/>
    <cellStyle name="Input 2 3 7" xfId="2592" xr:uid="{00000000-0005-0000-0000-00002C010000}"/>
    <cellStyle name="Input 2 4" xfId="2388" xr:uid="{00000000-0005-0000-0000-00002A010000}"/>
    <cellStyle name="Input 2 5" xfId="2522" xr:uid="{00000000-0005-0000-0000-00002A010000}"/>
    <cellStyle name="Input 2 6" xfId="2543" xr:uid="{00000000-0005-0000-0000-00002A010000}"/>
    <cellStyle name="Input 2 7" xfId="2386" xr:uid="{00000000-0005-0000-0000-00002A010000}"/>
    <cellStyle name="Input 2 8" xfId="2529" xr:uid="{00000000-0005-0000-0000-00002A010000}"/>
    <cellStyle name="Input 2 9" xfId="2580" xr:uid="{00000000-0005-0000-0000-00004C000000}"/>
    <cellStyle name="Link Currency (0)" xfId="2336" xr:uid="{00000000-0005-0000-0000-00002D010000}"/>
    <cellStyle name="Link Currency (2)" xfId="2337" xr:uid="{00000000-0005-0000-0000-00002E010000}"/>
    <cellStyle name="Link Units (0)" xfId="2338" xr:uid="{00000000-0005-0000-0000-00002F010000}"/>
    <cellStyle name="Link Units (1)" xfId="2339" xr:uid="{00000000-0005-0000-0000-000030010000}"/>
    <cellStyle name="Link Units (2)" xfId="2340" xr:uid="{00000000-0005-0000-0000-000031010000}"/>
    <cellStyle name="Linked Cell" xfId="13" builtinId="24" customBuiltin="1"/>
    <cellStyle name="Linked Cell 2" xfId="92" xr:uid="{00000000-0005-0000-0000-00004D000000}"/>
    <cellStyle name="Neutral" xfId="9" builtinId="28" customBuiltin="1"/>
    <cellStyle name="Neutral 2" xfId="93" xr:uid="{00000000-0005-0000-0000-00004F000000}"/>
    <cellStyle name="no dec" xfId="2060" xr:uid="{00000000-0005-0000-0000-000034010000}"/>
    <cellStyle name="Normal" xfId="0" builtinId="0"/>
    <cellStyle name="Normal - Style1" xfId="2341" xr:uid="{00000000-0005-0000-0000-000036010000}"/>
    <cellStyle name="Normal 10" xfId="2061" xr:uid="{00000000-0005-0000-0000-000037010000}"/>
    <cellStyle name="Normal 10 2" xfId="1998" xr:uid="{00000000-0005-0000-0000-000038010000}"/>
    <cellStyle name="Normal 10 3" xfId="2342" xr:uid="{00000000-0005-0000-0000-000039010000}"/>
    <cellStyle name="Normal 11" xfId="2062" xr:uid="{00000000-0005-0000-0000-00003A010000}"/>
    <cellStyle name="Normal 11 2" xfId="2343" xr:uid="{00000000-0005-0000-0000-00003B010000}"/>
    <cellStyle name="Normal 12" xfId="2001" xr:uid="{00000000-0005-0000-0000-00003C010000}"/>
    <cellStyle name="Normal 12 2" xfId="2344" xr:uid="{00000000-0005-0000-0000-00003D010000}"/>
    <cellStyle name="Normal 13" xfId="2345" xr:uid="{00000000-0005-0000-0000-00003E010000}"/>
    <cellStyle name="Normal 13 2" xfId="2346" xr:uid="{00000000-0005-0000-0000-00003F010000}"/>
    <cellStyle name="Normal 14" xfId="2347" xr:uid="{00000000-0005-0000-0000-000040010000}"/>
    <cellStyle name="Normal 14 2" xfId="2348" xr:uid="{00000000-0005-0000-0000-000041010000}"/>
    <cellStyle name="Normal 15" xfId="2349" xr:uid="{00000000-0005-0000-0000-000042010000}"/>
    <cellStyle name="Normal 15 2" xfId="2350" xr:uid="{00000000-0005-0000-0000-000043010000}"/>
    <cellStyle name="Normal 15 3" xfId="2351" xr:uid="{00000000-0005-0000-0000-000044010000}"/>
    <cellStyle name="Normal 16" xfId="2352" xr:uid="{00000000-0005-0000-0000-000045010000}"/>
    <cellStyle name="Normal 16 2" xfId="2353" xr:uid="{00000000-0005-0000-0000-000046010000}"/>
    <cellStyle name="Normal 17" xfId="2354" xr:uid="{00000000-0005-0000-0000-000047010000}"/>
    <cellStyle name="Normal 18" xfId="2355" xr:uid="{00000000-0005-0000-0000-000048010000}"/>
    <cellStyle name="Normal 18 2" xfId="2356" xr:uid="{00000000-0005-0000-0000-000049010000}"/>
    <cellStyle name="Normal 19" xfId="2357" xr:uid="{00000000-0005-0000-0000-00004A010000}"/>
    <cellStyle name="Normal 19 2" xfId="2358" xr:uid="{00000000-0005-0000-0000-00004B010000}"/>
    <cellStyle name="Normal 2" xfId="49" xr:uid="{00000000-0005-0000-0000-000051000000}"/>
    <cellStyle name="Normal 2 10" xfId="94" xr:uid="{00000000-0005-0000-0000-000052000000}"/>
    <cellStyle name="Normal 2 10 10" xfId="95" xr:uid="{00000000-0005-0000-0000-000053000000}"/>
    <cellStyle name="Normal 2 10 11" xfId="96" xr:uid="{00000000-0005-0000-0000-000054000000}"/>
    <cellStyle name="Normal 2 10 12" xfId="97" xr:uid="{00000000-0005-0000-0000-000055000000}"/>
    <cellStyle name="Normal 2 10 13" xfId="98" xr:uid="{00000000-0005-0000-0000-000056000000}"/>
    <cellStyle name="Normal 2 10 14" xfId="99" xr:uid="{00000000-0005-0000-0000-000057000000}"/>
    <cellStyle name="Normal 2 10 15" xfId="100" xr:uid="{00000000-0005-0000-0000-000058000000}"/>
    <cellStyle name="Normal 2 10 16" xfId="101" xr:uid="{00000000-0005-0000-0000-000059000000}"/>
    <cellStyle name="Normal 2 10 17" xfId="102" xr:uid="{00000000-0005-0000-0000-00005A000000}"/>
    <cellStyle name="Normal 2 10 18" xfId="103" xr:uid="{00000000-0005-0000-0000-00005B000000}"/>
    <cellStyle name="Normal 2 10 19" xfId="104" xr:uid="{00000000-0005-0000-0000-00005C000000}"/>
    <cellStyle name="Normal 2 10 2" xfId="105" xr:uid="{00000000-0005-0000-0000-00005D000000}"/>
    <cellStyle name="Normal 2 10 20" xfId="106" xr:uid="{00000000-0005-0000-0000-00005E000000}"/>
    <cellStyle name="Normal 2 10 21" xfId="107" xr:uid="{00000000-0005-0000-0000-00005F000000}"/>
    <cellStyle name="Normal 2 10 22" xfId="108" xr:uid="{00000000-0005-0000-0000-000060000000}"/>
    <cellStyle name="Normal 2 10 23" xfId="109" xr:uid="{00000000-0005-0000-0000-000061000000}"/>
    <cellStyle name="Normal 2 10 3" xfId="110" xr:uid="{00000000-0005-0000-0000-000062000000}"/>
    <cellStyle name="Normal 2 10 4" xfId="111" xr:uid="{00000000-0005-0000-0000-000063000000}"/>
    <cellStyle name="Normal 2 10 5" xfId="112" xr:uid="{00000000-0005-0000-0000-000064000000}"/>
    <cellStyle name="Normal 2 10 6" xfId="113" xr:uid="{00000000-0005-0000-0000-000065000000}"/>
    <cellStyle name="Normal 2 10 7" xfId="114" xr:uid="{00000000-0005-0000-0000-000066000000}"/>
    <cellStyle name="Normal 2 10 8" xfId="115" xr:uid="{00000000-0005-0000-0000-000067000000}"/>
    <cellStyle name="Normal 2 10 9" xfId="116" xr:uid="{00000000-0005-0000-0000-000068000000}"/>
    <cellStyle name="Normal 2 11" xfId="117" xr:uid="{00000000-0005-0000-0000-000069000000}"/>
    <cellStyle name="Normal 2 11 10" xfId="118" xr:uid="{00000000-0005-0000-0000-00006A000000}"/>
    <cellStyle name="Normal 2 11 11" xfId="119" xr:uid="{00000000-0005-0000-0000-00006B000000}"/>
    <cellStyle name="Normal 2 11 12" xfId="120" xr:uid="{00000000-0005-0000-0000-00006C000000}"/>
    <cellStyle name="Normal 2 11 13" xfId="121" xr:uid="{00000000-0005-0000-0000-00006D000000}"/>
    <cellStyle name="Normal 2 11 14" xfId="122" xr:uid="{00000000-0005-0000-0000-00006E000000}"/>
    <cellStyle name="Normal 2 11 15" xfId="123" xr:uid="{00000000-0005-0000-0000-00006F000000}"/>
    <cellStyle name="Normal 2 11 16" xfId="124" xr:uid="{00000000-0005-0000-0000-000070000000}"/>
    <cellStyle name="Normal 2 11 17" xfId="125" xr:uid="{00000000-0005-0000-0000-000071000000}"/>
    <cellStyle name="Normal 2 11 18" xfId="126" xr:uid="{00000000-0005-0000-0000-000072000000}"/>
    <cellStyle name="Normal 2 11 19" xfId="127" xr:uid="{00000000-0005-0000-0000-000073000000}"/>
    <cellStyle name="Normal 2 11 2" xfId="128" xr:uid="{00000000-0005-0000-0000-000074000000}"/>
    <cellStyle name="Normal 2 11 20" xfId="129" xr:uid="{00000000-0005-0000-0000-000075000000}"/>
    <cellStyle name="Normal 2 11 21" xfId="130" xr:uid="{00000000-0005-0000-0000-000076000000}"/>
    <cellStyle name="Normal 2 11 22" xfId="131" xr:uid="{00000000-0005-0000-0000-000077000000}"/>
    <cellStyle name="Normal 2 11 23" xfId="132" xr:uid="{00000000-0005-0000-0000-000078000000}"/>
    <cellStyle name="Normal 2 11 3" xfId="133" xr:uid="{00000000-0005-0000-0000-000079000000}"/>
    <cellStyle name="Normal 2 11 4" xfId="134" xr:uid="{00000000-0005-0000-0000-00007A000000}"/>
    <cellStyle name="Normal 2 11 5" xfId="135" xr:uid="{00000000-0005-0000-0000-00007B000000}"/>
    <cellStyle name="Normal 2 11 6" xfId="136" xr:uid="{00000000-0005-0000-0000-00007C000000}"/>
    <cellStyle name="Normal 2 11 7" xfId="137" xr:uid="{00000000-0005-0000-0000-00007D000000}"/>
    <cellStyle name="Normal 2 11 8" xfId="138" xr:uid="{00000000-0005-0000-0000-00007E000000}"/>
    <cellStyle name="Normal 2 11 9" xfId="139" xr:uid="{00000000-0005-0000-0000-00007F000000}"/>
    <cellStyle name="Normal 2 12" xfId="140" xr:uid="{00000000-0005-0000-0000-000080000000}"/>
    <cellStyle name="Normal 2 12 10" xfId="141" xr:uid="{00000000-0005-0000-0000-000081000000}"/>
    <cellStyle name="Normal 2 12 11" xfId="142" xr:uid="{00000000-0005-0000-0000-000082000000}"/>
    <cellStyle name="Normal 2 12 12" xfId="143" xr:uid="{00000000-0005-0000-0000-000083000000}"/>
    <cellStyle name="Normal 2 12 13" xfId="144" xr:uid="{00000000-0005-0000-0000-000084000000}"/>
    <cellStyle name="Normal 2 12 14" xfId="145" xr:uid="{00000000-0005-0000-0000-000085000000}"/>
    <cellStyle name="Normal 2 12 15" xfId="146" xr:uid="{00000000-0005-0000-0000-000086000000}"/>
    <cellStyle name="Normal 2 12 16" xfId="147" xr:uid="{00000000-0005-0000-0000-000087000000}"/>
    <cellStyle name="Normal 2 12 17" xfId="148" xr:uid="{00000000-0005-0000-0000-000088000000}"/>
    <cellStyle name="Normal 2 12 18" xfId="149" xr:uid="{00000000-0005-0000-0000-000089000000}"/>
    <cellStyle name="Normal 2 12 19" xfId="150" xr:uid="{00000000-0005-0000-0000-00008A000000}"/>
    <cellStyle name="Normal 2 12 2" xfId="151" xr:uid="{00000000-0005-0000-0000-00008B000000}"/>
    <cellStyle name="Normal 2 12 20" xfId="152" xr:uid="{00000000-0005-0000-0000-00008C000000}"/>
    <cellStyle name="Normal 2 12 21" xfId="153" xr:uid="{00000000-0005-0000-0000-00008D000000}"/>
    <cellStyle name="Normal 2 12 22" xfId="154" xr:uid="{00000000-0005-0000-0000-00008E000000}"/>
    <cellStyle name="Normal 2 12 23" xfId="155" xr:uid="{00000000-0005-0000-0000-00008F000000}"/>
    <cellStyle name="Normal 2 12 3" xfId="156" xr:uid="{00000000-0005-0000-0000-000090000000}"/>
    <cellStyle name="Normal 2 12 4" xfId="157" xr:uid="{00000000-0005-0000-0000-000091000000}"/>
    <cellStyle name="Normal 2 12 5" xfId="158" xr:uid="{00000000-0005-0000-0000-000092000000}"/>
    <cellStyle name="Normal 2 12 6" xfId="159" xr:uid="{00000000-0005-0000-0000-000093000000}"/>
    <cellStyle name="Normal 2 12 7" xfId="160" xr:uid="{00000000-0005-0000-0000-000094000000}"/>
    <cellStyle name="Normal 2 12 8" xfId="161" xr:uid="{00000000-0005-0000-0000-000095000000}"/>
    <cellStyle name="Normal 2 12 9" xfId="162" xr:uid="{00000000-0005-0000-0000-000096000000}"/>
    <cellStyle name="Normal 2 13" xfId="163" xr:uid="{00000000-0005-0000-0000-000097000000}"/>
    <cellStyle name="Normal 2 13 10" xfId="164" xr:uid="{00000000-0005-0000-0000-000098000000}"/>
    <cellStyle name="Normal 2 13 11" xfId="165" xr:uid="{00000000-0005-0000-0000-000099000000}"/>
    <cellStyle name="Normal 2 13 12" xfId="166" xr:uid="{00000000-0005-0000-0000-00009A000000}"/>
    <cellStyle name="Normal 2 13 13" xfId="167" xr:uid="{00000000-0005-0000-0000-00009B000000}"/>
    <cellStyle name="Normal 2 13 14" xfId="168" xr:uid="{00000000-0005-0000-0000-00009C000000}"/>
    <cellStyle name="Normal 2 13 15" xfId="169" xr:uid="{00000000-0005-0000-0000-00009D000000}"/>
    <cellStyle name="Normal 2 13 16" xfId="170" xr:uid="{00000000-0005-0000-0000-00009E000000}"/>
    <cellStyle name="Normal 2 13 17" xfId="171" xr:uid="{00000000-0005-0000-0000-00009F000000}"/>
    <cellStyle name="Normal 2 13 18" xfId="172" xr:uid="{00000000-0005-0000-0000-0000A0000000}"/>
    <cellStyle name="Normal 2 13 19" xfId="173" xr:uid="{00000000-0005-0000-0000-0000A1000000}"/>
    <cellStyle name="Normal 2 13 2" xfId="174" xr:uid="{00000000-0005-0000-0000-0000A2000000}"/>
    <cellStyle name="Normal 2 13 20" xfId="175" xr:uid="{00000000-0005-0000-0000-0000A3000000}"/>
    <cellStyle name="Normal 2 13 21" xfId="176" xr:uid="{00000000-0005-0000-0000-0000A4000000}"/>
    <cellStyle name="Normal 2 13 22" xfId="177" xr:uid="{00000000-0005-0000-0000-0000A5000000}"/>
    <cellStyle name="Normal 2 13 23" xfId="178" xr:uid="{00000000-0005-0000-0000-0000A6000000}"/>
    <cellStyle name="Normal 2 13 3" xfId="179" xr:uid="{00000000-0005-0000-0000-0000A7000000}"/>
    <cellStyle name="Normal 2 13 4" xfId="180" xr:uid="{00000000-0005-0000-0000-0000A8000000}"/>
    <cellStyle name="Normal 2 13 5" xfId="181" xr:uid="{00000000-0005-0000-0000-0000A9000000}"/>
    <cellStyle name="Normal 2 13 6" xfId="182" xr:uid="{00000000-0005-0000-0000-0000AA000000}"/>
    <cellStyle name="Normal 2 13 7" xfId="183" xr:uid="{00000000-0005-0000-0000-0000AB000000}"/>
    <cellStyle name="Normal 2 13 8" xfId="184" xr:uid="{00000000-0005-0000-0000-0000AC000000}"/>
    <cellStyle name="Normal 2 13 9" xfId="185" xr:uid="{00000000-0005-0000-0000-0000AD000000}"/>
    <cellStyle name="Normal 2 14" xfId="186" xr:uid="{00000000-0005-0000-0000-0000AE000000}"/>
    <cellStyle name="Normal 2 14 10" xfId="187" xr:uid="{00000000-0005-0000-0000-0000AF000000}"/>
    <cellStyle name="Normal 2 14 11" xfId="188" xr:uid="{00000000-0005-0000-0000-0000B0000000}"/>
    <cellStyle name="Normal 2 14 12" xfId="189" xr:uid="{00000000-0005-0000-0000-0000B1000000}"/>
    <cellStyle name="Normal 2 14 13" xfId="190" xr:uid="{00000000-0005-0000-0000-0000B2000000}"/>
    <cellStyle name="Normal 2 14 14" xfId="191" xr:uid="{00000000-0005-0000-0000-0000B3000000}"/>
    <cellStyle name="Normal 2 14 15" xfId="192" xr:uid="{00000000-0005-0000-0000-0000B4000000}"/>
    <cellStyle name="Normal 2 14 16" xfId="193" xr:uid="{00000000-0005-0000-0000-0000B5000000}"/>
    <cellStyle name="Normal 2 14 17" xfId="194" xr:uid="{00000000-0005-0000-0000-0000B6000000}"/>
    <cellStyle name="Normal 2 14 18" xfId="195" xr:uid="{00000000-0005-0000-0000-0000B7000000}"/>
    <cellStyle name="Normal 2 14 19" xfId="196" xr:uid="{00000000-0005-0000-0000-0000B8000000}"/>
    <cellStyle name="Normal 2 14 2" xfId="197" xr:uid="{00000000-0005-0000-0000-0000B9000000}"/>
    <cellStyle name="Normal 2 14 20" xfId="198" xr:uid="{00000000-0005-0000-0000-0000BA000000}"/>
    <cellStyle name="Normal 2 14 21" xfId="199" xr:uid="{00000000-0005-0000-0000-0000BB000000}"/>
    <cellStyle name="Normal 2 14 22" xfId="200" xr:uid="{00000000-0005-0000-0000-0000BC000000}"/>
    <cellStyle name="Normal 2 14 23" xfId="201" xr:uid="{00000000-0005-0000-0000-0000BD000000}"/>
    <cellStyle name="Normal 2 14 3" xfId="202" xr:uid="{00000000-0005-0000-0000-0000BE000000}"/>
    <cellStyle name="Normal 2 14 4" xfId="203" xr:uid="{00000000-0005-0000-0000-0000BF000000}"/>
    <cellStyle name="Normal 2 14 5" xfId="204" xr:uid="{00000000-0005-0000-0000-0000C0000000}"/>
    <cellStyle name="Normal 2 14 6" xfId="205" xr:uid="{00000000-0005-0000-0000-0000C1000000}"/>
    <cellStyle name="Normal 2 14 7" xfId="206" xr:uid="{00000000-0005-0000-0000-0000C2000000}"/>
    <cellStyle name="Normal 2 14 8" xfId="207" xr:uid="{00000000-0005-0000-0000-0000C3000000}"/>
    <cellStyle name="Normal 2 14 9" xfId="208" xr:uid="{00000000-0005-0000-0000-0000C4000000}"/>
    <cellStyle name="Normal 2 15" xfId="209" xr:uid="{00000000-0005-0000-0000-0000C5000000}"/>
    <cellStyle name="Normal 2 15 10" xfId="210" xr:uid="{00000000-0005-0000-0000-0000C6000000}"/>
    <cellStyle name="Normal 2 15 11" xfId="211" xr:uid="{00000000-0005-0000-0000-0000C7000000}"/>
    <cellStyle name="Normal 2 15 12" xfId="212" xr:uid="{00000000-0005-0000-0000-0000C8000000}"/>
    <cellStyle name="Normal 2 15 13" xfId="213" xr:uid="{00000000-0005-0000-0000-0000C9000000}"/>
    <cellStyle name="Normal 2 15 14" xfId="214" xr:uid="{00000000-0005-0000-0000-0000CA000000}"/>
    <cellStyle name="Normal 2 15 15" xfId="215" xr:uid="{00000000-0005-0000-0000-0000CB000000}"/>
    <cellStyle name="Normal 2 15 16" xfId="216" xr:uid="{00000000-0005-0000-0000-0000CC000000}"/>
    <cellStyle name="Normal 2 15 17" xfId="217" xr:uid="{00000000-0005-0000-0000-0000CD000000}"/>
    <cellStyle name="Normal 2 15 18" xfId="218" xr:uid="{00000000-0005-0000-0000-0000CE000000}"/>
    <cellStyle name="Normal 2 15 19" xfId="219" xr:uid="{00000000-0005-0000-0000-0000CF000000}"/>
    <cellStyle name="Normal 2 15 2" xfId="220" xr:uid="{00000000-0005-0000-0000-0000D0000000}"/>
    <cellStyle name="Normal 2 15 20" xfId="221" xr:uid="{00000000-0005-0000-0000-0000D1000000}"/>
    <cellStyle name="Normal 2 15 21" xfId="222" xr:uid="{00000000-0005-0000-0000-0000D2000000}"/>
    <cellStyle name="Normal 2 15 22" xfId="223" xr:uid="{00000000-0005-0000-0000-0000D3000000}"/>
    <cellStyle name="Normal 2 15 23" xfId="224" xr:uid="{00000000-0005-0000-0000-0000D4000000}"/>
    <cellStyle name="Normal 2 15 3" xfId="225" xr:uid="{00000000-0005-0000-0000-0000D5000000}"/>
    <cellStyle name="Normal 2 15 4" xfId="226" xr:uid="{00000000-0005-0000-0000-0000D6000000}"/>
    <cellStyle name="Normal 2 15 5" xfId="227" xr:uid="{00000000-0005-0000-0000-0000D7000000}"/>
    <cellStyle name="Normal 2 15 6" xfId="228" xr:uid="{00000000-0005-0000-0000-0000D8000000}"/>
    <cellStyle name="Normal 2 15 7" xfId="229" xr:uid="{00000000-0005-0000-0000-0000D9000000}"/>
    <cellStyle name="Normal 2 15 8" xfId="230" xr:uid="{00000000-0005-0000-0000-0000DA000000}"/>
    <cellStyle name="Normal 2 15 9" xfId="231" xr:uid="{00000000-0005-0000-0000-0000DB000000}"/>
    <cellStyle name="Normal 2 16" xfId="232" xr:uid="{00000000-0005-0000-0000-0000DC000000}"/>
    <cellStyle name="Normal 2 16 10" xfId="233" xr:uid="{00000000-0005-0000-0000-0000DD000000}"/>
    <cellStyle name="Normal 2 16 11" xfId="234" xr:uid="{00000000-0005-0000-0000-0000DE000000}"/>
    <cellStyle name="Normal 2 16 12" xfId="235" xr:uid="{00000000-0005-0000-0000-0000DF000000}"/>
    <cellStyle name="Normal 2 16 13" xfId="236" xr:uid="{00000000-0005-0000-0000-0000E0000000}"/>
    <cellStyle name="Normal 2 16 14" xfId="237" xr:uid="{00000000-0005-0000-0000-0000E1000000}"/>
    <cellStyle name="Normal 2 16 15" xfId="238" xr:uid="{00000000-0005-0000-0000-0000E2000000}"/>
    <cellStyle name="Normal 2 16 16" xfId="239" xr:uid="{00000000-0005-0000-0000-0000E3000000}"/>
    <cellStyle name="Normal 2 16 17" xfId="240" xr:uid="{00000000-0005-0000-0000-0000E4000000}"/>
    <cellStyle name="Normal 2 16 18" xfId="241" xr:uid="{00000000-0005-0000-0000-0000E5000000}"/>
    <cellStyle name="Normal 2 16 19" xfId="242" xr:uid="{00000000-0005-0000-0000-0000E6000000}"/>
    <cellStyle name="Normal 2 16 2" xfId="243" xr:uid="{00000000-0005-0000-0000-0000E7000000}"/>
    <cellStyle name="Normal 2 16 20" xfId="244" xr:uid="{00000000-0005-0000-0000-0000E8000000}"/>
    <cellStyle name="Normal 2 16 21" xfId="245" xr:uid="{00000000-0005-0000-0000-0000E9000000}"/>
    <cellStyle name="Normal 2 16 22" xfId="246" xr:uid="{00000000-0005-0000-0000-0000EA000000}"/>
    <cellStyle name="Normal 2 16 23" xfId="247" xr:uid="{00000000-0005-0000-0000-0000EB000000}"/>
    <cellStyle name="Normal 2 16 3" xfId="248" xr:uid="{00000000-0005-0000-0000-0000EC000000}"/>
    <cellStyle name="Normal 2 16 4" xfId="249" xr:uid="{00000000-0005-0000-0000-0000ED000000}"/>
    <cellStyle name="Normal 2 16 5" xfId="250" xr:uid="{00000000-0005-0000-0000-0000EE000000}"/>
    <cellStyle name="Normal 2 16 6" xfId="251" xr:uid="{00000000-0005-0000-0000-0000EF000000}"/>
    <cellStyle name="Normal 2 16 7" xfId="252" xr:uid="{00000000-0005-0000-0000-0000F0000000}"/>
    <cellStyle name="Normal 2 16 8" xfId="253" xr:uid="{00000000-0005-0000-0000-0000F1000000}"/>
    <cellStyle name="Normal 2 16 9" xfId="254" xr:uid="{00000000-0005-0000-0000-0000F2000000}"/>
    <cellStyle name="Normal 2 17" xfId="255" xr:uid="{00000000-0005-0000-0000-0000F3000000}"/>
    <cellStyle name="Normal 2 17 10" xfId="256" xr:uid="{00000000-0005-0000-0000-0000F4000000}"/>
    <cellStyle name="Normal 2 17 11" xfId="257" xr:uid="{00000000-0005-0000-0000-0000F5000000}"/>
    <cellStyle name="Normal 2 17 12" xfId="258" xr:uid="{00000000-0005-0000-0000-0000F6000000}"/>
    <cellStyle name="Normal 2 17 13" xfId="259" xr:uid="{00000000-0005-0000-0000-0000F7000000}"/>
    <cellStyle name="Normal 2 17 14" xfId="260" xr:uid="{00000000-0005-0000-0000-0000F8000000}"/>
    <cellStyle name="Normal 2 17 15" xfId="261" xr:uid="{00000000-0005-0000-0000-0000F9000000}"/>
    <cellStyle name="Normal 2 17 16" xfId="262" xr:uid="{00000000-0005-0000-0000-0000FA000000}"/>
    <cellStyle name="Normal 2 17 17" xfId="263" xr:uid="{00000000-0005-0000-0000-0000FB000000}"/>
    <cellStyle name="Normal 2 17 18" xfId="264" xr:uid="{00000000-0005-0000-0000-0000FC000000}"/>
    <cellStyle name="Normal 2 17 19" xfId="265" xr:uid="{00000000-0005-0000-0000-0000FD000000}"/>
    <cellStyle name="Normal 2 17 2" xfId="266" xr:uid="{00000000-0005-0000-0000-0000FE000000}"/>
    <cellStyle name="Normal 2 17 20" xfId="267" xr:uid="{00000000-0005-0000-0000-0000FF000000}"/>
    <cellStyle name="Normal 2 17 21" xfId="268" xr:uid="{00000000-0005-0000-0000-000000010000}"/>
    <cellStyle name="Normal 2 17 22" xfId="269" xr:uid="{00000000-0005-0000-0000-000001010000}"/>
    <cellStyle name="Normal 2 17 23" xfId="270" xr:uid="{00000000-0005-0000-0000-000002010000}"/>
    <cellStyle name="Normal 2 17 3" xfId="271" xr:uid="{00000000-0005-0000-0000-000003010000}"/>
    <cellStyle name="Normal 2 17 4" xfId="272" xr:uid="{00000000-0005-0000-0000-000004010000}"/>
    <cellStyle name="Normal 2 17 5" xfId="273" xr:uid="{00000000-0005-0000-0000-000005010000}"/>
    <cellStyle name="Normal 2 17 6" xfId="274" xr:uid="{00000000-0005-0000-0000-000006010000}"/>
    <cellStyle name="Normal 2 17 7" xfId="275" xr:uid="{00000000-0005-0000-0000-000007010000}"/>
    <cellStyle name="Normal 2 17 8" xfId="276" xr:uid="{00000000-0005-0000-0000-000008010000}"/>
    <cellStyle name="Normal 2 17 9" xfId="277" xr:uid="{00000000-0005-0000-0000-000009010000}"/>
    <cellStyle name="Normal 2 18" xfId="278" xr:uid="{00000000-0005-0000-0000-00000A010000}"/>
    <cellStyle name="Normal 2 18 10" xfId="279" xr:uid="{00000000-0005-0000-0000-00000B010000}"/>
    <cellStyle name="Normal 2 18 11" xfId="280" xr:uid="{00000000-0005-0000-0000-00000C010000}"/>
    <cellStyle name="Normal 2 18 12" xfId="281" xr:uid="{00000000-0005-0000-0000-00000D010000}"/>
    <cellStyle name="Normal 2 18 13" xfId="282" xr:uid="{00000000-0005-0000-0000-00000E010000}"/>
    <cellStyle name="Normal 2 18 14" xfId="283" xr:uid="{00000000-0005-0000-0000-00000F010000}"/>
    <cellStyle name="Normal 2 18 15" xfId="284" xr:uid="{00000000-0005-0000-0000-000010010000}"/>
    <cellStyle name="Normal 2 18 16" xfId="285" xr:uid="{00000000-0005-0000-0000-000011010000}"/>
    <cellStyle name="Normal 2 18 17" xfId="286" xr:uid="{00000000-0005-0000-0000-000012010000}"/>
    <cellStyle name="Normal 2 18 18" xfId="287" xr:uid="{00000000-0005-0000-0000-000013010000}"/>
    <cellStyle name="Normal 2 18 19" xfId="288" xr:uid="{00000000-0005-0000-0000-000014010000}"/>
    <cellStyle name="Normal 2 18 2" xfId="289" xr:uid="{00000000-0005-0000-0000-000015010000}"/>
    <cellStyle name="Normal 2 18 20" xfId="290" xr:uid="{00000000-0005-0000-0000-000016010000}"/>
    <cellStyle name="Normal 2 18 21" xfId="291" xr:uid="{00000000-0005-0000-0000-000017010000}"/>
    <cellStyle name="Normal 2 18 22" xfId="292" xr:uid="{00000000-0005-0000-0000-000018010000}"/>
    <cellStyle name="Normal 2 18 23" xfId="293" xr:uid="{00000000-0005-0000-0000-000019010000}"/>
    <cellStyle name="Normal 2 18 3" xfId="294" xr:uid="{00000000-0005-0000-0000-00001A010000}"/>
    <cellStyle name="Normal 2 18 4" xfId="295" xr:uid="{00000000-0005-0000-0000-00001B010000}"/>
    <cellStyle name="Normal 2 18 5" xfId="296" xr:uid="{00000000-0005-0000-0000-00001C010000}"/>
    <cellStyle name="Normal 2 18 6" xfId="297" xr:uid="{00000000-0005-0000-0000-00001D010000}"/>
    <cellStyle name="Normal 2 18 7" xfId="298" xr:uid="{00000000-0005-0000-0000-00001E010000}"/>
    <cellStyle name="Normal 2 18 8" xfId="299" xr:uid="{00000000-0005-0000-0000-00001F010000}"/>
    <cellStyle name="Normal 2 18 9" xfId="300" xr:uid="{00000000-0005-0000-0000-000020010000}"/>
    <cellStyle name="Normal 2 19" xfId="301" xr:uid="{00000000-0005-0000-0000-000021010000}"/>
    <cellStyle name="Normal 2 19 10" xfId="302" xr:uid="{00000000-0005-0000-0000-000022010000}"/>
    <cellStyle name="Normal 2 19 11" xfId="303" xr:uid="{00000000-0005-0000-0000-000023010000}"/>
    <cellStyle name="Normal 2 19 12" xfId="304" xr:uid="{00000000-0005-0000-0000-000024010000}"/>
    <cellStyle name="Normal 2 19 13" xfId="305" xr:uid="{00000000-0005-0000-0000-000025010000}"/>
    <cellStyle name="Normal 2 19 14" xfId="306" xr:uid="{00000000-0005-0000-0000-000026010000}"/>
    <cellStyle name="Normal 2 19 15" xfId="307" xr:uid="{00000000-0005-0000-0000-000027010000}"/>
    <cellStyle name="Normal 2 19 16" xfId="308" xr:uid="{00000000-0005-0000-0000-000028010000}"/>
    <cellStyle name="Normal 2 19 17" xfId="309" xr:uid="{00000000-0005-0000-0000-000029010000}"/>
    <cellStyle name="Normal 2 19 18" xfId="310" xr:uid="{00000000-0005-0000-0000-00002A010000}"/>
    <cellStyle name="Normal 2 19 19" xfId="311" xr:uid="{00000000-0005-0000-0000-00002B010000}"/>
    <cellStyle name="Normal 2 19 2" xfId="312" xr:uid="{00000000-0005-0000-0000-00002C010000}"/>
    <cellStyle name="Normal 2 19 20" xfId="313" xr:uid="{00000000-0005-0000-0000-00002D010000}"/>
    <cellStyle name="Normal 2 19 21" xfId="314" xr:uid="{00000000-0005-0000-0000-00002E010000}"/>
    <cellStyle name="Normal 2 19 22" xfId="315" xr:uid="{00000000-0005-0000-0000-00002F010000}"/>
    <cellStyle name="Normal 2 19 23" xfId="316" xr:uid="{00000000-0005-0000-0000-000030010000}"/>
    <cellStyle name="Normal 2 19 3" xfId="317" xr:uid="{00000000-0005-0000-0000-000031010000}"/>
    <cellStyle name="Normal 2 19 4" xfId="318" xr:uid="{00000000-0005-0000-0000-000032010000}"/>
    <cellStyle name="Normal 2 19 5" xfId="319" xr:uid="{00000000-0005-0000-0000-000033010000}"/>
    <cellStyle name="Normal 2 19 6" xfId="320" xr:uid="{00000000-0005-0000-0000-000034010000}"/>
    <cellStyle name="Normal 2 19 7" xfId="321" xr:uid="{00000000-0005-0000-0000-000035010000}"/>
    <cellStyle name="Normal 2 19 8" xfId="322" xr:uid="{00000000-0005-0000-0000-000036010000}"/>
    <cellStyle name="Normal 2 19 9" xfId="323" xr:uid="{00000000-0005-0000-0000-000037010000}"/>
    <cellStyle name="Normal 2 2" xfId="50" xr:uid="{00000000-0005-0000-0000-000038010000}"/>
    <cellStyle name="Normal 2 2 2" xfId="324" xr:uid="{00000000-0005-0000-0000-000039010000}"/>
    <cellStyle name="Normal 2 2 2 2" xfId="2359" xr:uid="{00000000-0005-0000-0000-000035020000}"/>
    <cellStyle name="Normal 2 2 2 3" xfId="2360" xr:uid="{00000000-0005-0000-0000-000036020000}"/>
    <cellStyle name="Normal 2 2 2 4" xfId="2361" xr:uid="{00000000-0005-0000-0000-000037020000}"/>
    <cellStyle name="Normal 2 2 3" xfId="2362" xr:uid="{00000000-0005-0000-0000-000038020000}"/>
    <cellStyle name="Normal 2 2 4" xfId="2363" xr:uid="{00000000-0005-0000-0000-000039020000}"/>
    <cellStyle name="Normal 2 2 5" xfId="2064" xr:uid="{00000000-0005-0000-0000-000033020000}"/>
    <cellStyle name="Normal 2 2_Summary" xfId="2364" xr:uid="{00000000-0005-0000-0000-00003A020000}"/>
    <cellStyle name="Normal 2 20" xfId="325" xr:uid="{00000000-0005-0000-0000-00003A010000}"/>
    <cellStyle name="Normal 2 20 10" xfId="326" xr:uid="{00000000-0005-0000-0000-00003B010000}"/>
    <cellStyle name="Normal 2 20 11" xfId="327" xr:uid="{00000000-0005-0000-0000-00003C010000}"/>
    <cellStyle name="Normal 2 20 12" xfId="328" xr:uid="{00000000-0005-0000-0000-00003D010000}"/>
    <cellStyle name="Normal 2 20 13" xfId="329" xr:uid="{00000000-0005-0000-0000-00003E010000}"/>
    <cellStyle name="Normal 2 20 14" xfId="330" xr:uid="{00000000-0005-0000-0000-00003F010000}"/>
    <cellStyle name="Normal 2 20 15" xfId="331" xr:uid="{00000000-0005-0000-0000-000040010000}"/>
    <cellStyle name="Normal 2 20 16" xfId="332" xr:uid="{00000000-0005-0000-0000-000041010000}"/>
    <cellStyle name="Normal 2 20 17" xfId="333" xr:uid="{00000000-0005-0000-0000-000042010000}"/>
    <cellStyle name="Normal 2 20 18" xfId="334" xr:uid="{00000000-0005-0000-0000-000043010000}"/>
    <cellStyle name="Normal 2 20 19" xfId="335" xr:uid="{00000000-0005-0000-0000-000044010000}"/>
    <cellStyle name="Normal 2 20 2" xfId="336" xr:uid="{00000000-0005-0000-0000-000045010000}"/>
    <cellStyle name="Normal 2 20 20" xfId="337" xr:uid="{00000000-0005-0000-0000-000046010000}"/>
    <cellStyle name="Normal 2 20 21" xfId="338" xr:uid="{00000000-0005-0000-0000-000047010000}"/>
    <cellStyle name="Normal 2 20 22" xfId="339" xr:uid="{00000000-0005-0000-0000-000048010000}"/>
    <cellStyle name="Normal 2 20 23" xfId="340" xr:uid="{00000000-0005-0000-0000-000049010000}"/>
    <cellStyle name="Normal 2 20 3" xfId="341" xr:uid="{00000000-0005-0000-0000-00004A010000}"/>
    <cellStyle name="Normal 2 20 4" xfId="342" xr:uid="{00000000-0005-0000-0000-00004B010000}"/>
    <cellStyle name="Normal 2 20 5" xfId="343" xr:uid="{00000000-0005-0000-0000-00004C010000}"/>
    <cellStyle name="Normal 2 20 6" xfId="344" xr:uid="{00000000-0005-0000-0000-00004D010000}"/>
    <cellStyle name="Normal 2 20 7" xfId="345" xr:uid="{00000000-0005-0000-0000-00004E010000}"/>
    <cellStyle name="Normal 2 20 8" xfId="346" xr:uid="{00000000-0005-0000-0000-00004F010000}"/>
    <cellStyle name="Normal 2 20 9" xfId="347" xr:uid="{00000000-0005-0000-0000-000050010000}"/>
    <cellStyle name="Normal 2 21" xfId="348" xr:uid="{00000000-0005-0000-0000-000051010000}"/>
    <cellStyle name="Normal 2 21 10" xfId="349" xr:uid="{00000000-0005-0000-0000-000052010000}"/>
    <cellStyle name="Normal 2 21 11" xfId="350" xr:uid="{00000000-0005-0000-0000-000053010000}"/>
    <cellStyle name="Normal 2 21 12" xfId="351" xr:uid="{00000000-0005-0000-0000-000054010000}"/>
    <cellStyle name="Normal 2 21 13" xfId="352" xr:uid="{00000000-0005-0000-0000-000055010000}"/>
    <cellStyle name="Normal 2 21 14" xfId="353" xr:uid="{00000000-0005-0000-0000-000056010000}"/>
    <cellStyle name="Normal 2 21 15" xfId="354" xr:uid="{00000000-0005-0000-0000-000057010000}"/>
    <cellStyle name="Normal 2 21 16" xfId="355" xr:uid="{00000000-0005-0000-0000-000058010000}"/>
    <cellStyle name="Normal 2 21 17" xfId="356" xr:uid="{00000000-0005-0000-0000-000059010000}"/>
    <cellStyle name="Normal 2 21 18" xfId="357" xr:uid="{00000000-0005-0000-0000-00005A010000}"/>
    <cellStyle name="Normal 2 21 19" xfId="358" xr:uid="{00000000-0005-0000-0000-00005B010000}"/>
    <cellStyle name="Normal 2 21 2" xfId="359" xr:uid="{00000000-0005-0000-0000-00005C010000}"/>
    <cellStyle name="Normal 2 21 20" xfId="360" xr:uid="{00000000-0005-0000-0000-00005D010000}"/>
    <cellStyle name="Normal 2 21 21" xfId="361" xr:uid="{00000000-0005-0000-0000-00005E010000}"/>
    <cellStyle name="Normal 2 21 22" xfId="362" xr:uid="{00000000-0005-0000-0000-00005F010000}"/>
    <cellStyle name="Normal 2 21 23" xfId="363" xr:uid="{00000000-0005-0000-0000-000060010000}"/>
    <cellStyle name="Normal 2 21 3" xfId="364" xr:uid="{00000000-0005-0000-0000-000061010000}"/>
    <cellStyle name="Normal 2 21 4" xfId="365" xr:uid="{00000000-0005-0000-0000-000062010000}"/>
    <cellStyle name="Normal 2 21 5" xfId="366" xr:uid="{00000000-0005-0000-0000-000063010000}"/>
    <cellStyle name="Normal 2 21 6" xfId="367" xr:uid="{00000000-0005-0000-0000-000064010000}"/>
    <cellStyle name="Normal 2 21 7" xfId="368" xr:uid="{00000000-0005-0000-0000-000065010000}"/>
    <cellStyle name="Normal 2 21 8" xfId="369" xr:uid="{00000000-0005-0000-0000-000066010000}"/>
    <cellStyle name="Normal 2 21 9" xfId="370" xr:uid="{00000000-0005-0000-0000-000067010000}"/>
    <cellStyle name="Normal 2 22" xfId="371" xr:uid="{00000000-0005-0000-0000-000068010000}"/>
    <cellStyle name="Normal 2 22 10" xfId="372" xr:uid="{00000000-0005-0000-0000-000069010000}"/>
    <cellStyle name="Normal 2 22 11" xfId="373" xr:uid="{00000000-0005-0000-0000-00006A010000}"/>
    <cellStyle name="Normal 2 22 12" xfId="374" xr:uid="{00000000-0005-0000-0000-00006B010000}"/>
    <cellStyle name="Normal 2 22 13" xfId="375" xr:uid="{00000000-0005-0000-0000-00006C010000}"/>
    <cellStyle name="Normal 2 22 14" xfId="376" xr:uid="{00000000-0005-0000-0000-00006D010000}"/>
    <cellStyle name="Normal 2 22 15" xfId="377" xr:uid="{00000000-0005-0000-0000-00006E010000}"/>
    <cellStyle name="Normal 2 22 16" xfId="378" xr:uid="{00000000-0005-0000-0000-00006F010000}"/>
    <cellStyle name="Normal 2 22 17" xfId="379" xr:uid="{00000000-0005-0000-0000-000070010000}"/>
    <cellStyle name="Normal 2 22 18" xfId="380" xr:uid="{00000000-0005-0000-0000-000071010000}"/>
    <cellStyle name="Normal 2 22 19" xfId="381" xr:uid="{00000000-0005-0000-0000-000072010000}"/>
    <cellStyle name="Normal 2 22 2" xfId="382" xr:uid="{00000000-0005-0000-0000-000073010000}"/>
    <cellStyle name="Normal 2 22 20" xfId="383" xr:uid="{00000000-0005-0000-0000-000074010000}"/>
    <cellStyle name="Normal 2 22 21" xfId="384" xr:uid="{00000000-0005-0000-0000-000075010000}"/>
    <cellStyle name="Normal 2 22 22" xfId="385" xr:uid="{00000000-0005-0000-0000-000076010000}"/>
    <cellStyle name="Normal 2 22 23" xfId="386" xr:uid="{00000000-0005-0000-0000-000077010000}"/>
    <cellStyle name="Normal 2 22 3" xfId="387" xr:uid="{00000000-0005-0000-0000-000078010000}"/>
    <cellStyle name="Normal 2 22 4" xfId="388" xr:uid="{00000000-0005-0000-0000-000079010000}"/>
    <cellStyle name="Normal 2 22 5" xfId="389" xr:uid="{00000000-0005-0000-0000-00007A010000}"/>
    <cellStyle name="Normal 2 22 6" xfId="390" xr:uid="{00000000-0005-0000-0000-00007B010000}"/>
    <cellStyle name="Normal 2 22 7" xfId="391" xr:uid="{00000000-0005-0000-0000-00007C010000}"/>
    <cellStyle name="Normal 2 22 8" xfId="392" xr:uid="{00000000-0005-0000-0000-00007D010000}"/>
    <cellStyle name="Normal 2 22 9" xfId="393" xr:uid="{00000000-0005-0000-0000-00007E010000}"/>
    <cellStyle name="Normal 2 23" xfId="394" xr:uid="{00000000-0005-0000-0000-00007F010000}"/>
    <cellStyle name="Normal 2 23 10" xfId="395" xr:uid="{00000000-0005-0000-0000-000080010000}"/>
    <cellStyle name="Normal 2 23 11" xfId="396" xr:uid="{00000000-0005-0000-0000-000081010000}"/>
    <cellStyle name="Normal 2 23 12" xfId="397" xr:uid="{00000000-0005-0000-0000-000082010000}"/>
    <cellStyle name="Normal 2 23 13" xfId="398" xr:uid="{00000000-0005-0000-0000-000083010000}"/>
    <cellStyle name="Normal 2 23 14" xfId="399" xr:uid="{00000000-0005-0000-0000-000084010000}"/>
    <cellStyle name="Normal 2 23 15" xfId="400" xr:uid="{00000000-0005-0000-0000-000085010000}"/>
    <cellStyle name="Normal 2 23 16" xfId="401" xr:uid="{00000000-0005-0000-0000-000086010000}"/>
    <cellStyle name="Normal 2 23 17" xfId="402" xr:uid="{00000000-0005-0000-0000-000087010000}"/>
    <cellStyle name="Normal 2 23 18" xfId="403" xr:uid="{00000000-0005-0000-0000-000088010000}"/>
    <cellStyle name="Normal 2 23 19" xfId="404" xr:uid="{00000000-0005-0000-0000-000089010000}"/>
    <cellStyle name="Normal 2 23 2" xfId="405" xr:uid="{00000000-0005-0000-0000-00008A010000}"/>
    <cellStyle name="Normal 2 23 20" xfId="406" xr:uid="{00000000-0005-0000-0000-00008B010000}"/>
    <cellStyle name="Normal 2 23 21" xfId="407" xr:uid="{00000000-0005-0000-0000-00008C010000}"/>
    <cellStyle name="Normal 2 23 22" xfId="408" xr:uid="{00000000-0005-0000-0000-00008D010000}"/>
    <cellStyle name="Normal 2 23 23" xfId="409" xr:uid="{00000000-0005-0000-0000-00008E010000}"/>
    <cellStyle name="Normal 2 23 3" xfId="410" xr:uid="{00000000-0005-0000-0000-00008F010000}"/>
    <cellStyle name="Normal 2 23 4" xfId="411" xr:uid="{00000000-0005-0000-0000-000090010000}"/>
    <cellStyle name="Normal 2 23 5" xfId="412" xr:uid="{00000000-0005-0000-0000-000091010000}"/>
    <cellStyle name="Normal 2 23 6" xfId="413" xr:uid="{00000000-0005-0000-0000-000092010000}"/>
    <cellStyle name="Normal 2 23 7" xfId="414" xr:uid="{00000000-0005-0000-0000-000093010000}"/>
    <cellStyle name="Normal 2 23 8" xfId="415" xr:uid="{00000000-0005-0000-0000-000094010000}"/>
    <cellStyle name="Normal 2 23 9" xfId="416" xr:uid="{00000000-0005-0000-0000-000095010000}"/>
    <cellStyle name="Normal 2 24" xfId="417" xr:uid="{00000000-0005-0000-0000-000096010000}"/>
    <cellStyle name="Normal 2 24 10" xfId="418" xr:uid="{00000000-0005-0000-0000-000097010000}"/>
    <cellStyle name="Normal 2 24 11" xfId="419" xr:uid="{00000000-0005-0000-0000-000098010000}"/>
    <cellStyle name="Normal 2 24 12" xfId="420" xr:uid="{00000000-0005-0000-0000-000099010000}"/>
    <cellStyle name="Normal 2 24 13" xfId="421" xr:uid="{00000000-0005-0000-0000-00009A010000}"/>
    <cellStyle name="Normal 2 24 14" xfId="422" xr:uid="{00000000-0005-0000-0000-00009B010000}"/>
    <cellStyle name="Normal 2 24 15" xfId="423" xr:uid="{00000000-0005-0000-0000-00009C010000}"/>
    <cellStyle name="Normal 2 24 16" xfId="424" xr:uid="{00000000-0005-0000-0000-00009D010000}"/>
    <cellStyle name="Normal 2 24 17" xfId="425" xr:uid="{00000000-0005-0000-0000-00009E010000}"/>
    <cellStyle name="Normal 2 24 18" xfId="426" xr:uid="{00000000-0005-0000-0000-00009F010000}"/>
    <cellStyle name="Normal 2 24 19" xfId="427" xr:uid="{00000000-0005-0000-0000-0000A0010000}"/>
    <cellStyle name="Normal 2 24 2" xfId="428" xr:uid="{00000000-0005-0000-0000-0000A1010000}"/>
    <cellStyle name="Normal 2 24 20" xfId="429" xr:uid="{00000000-0005-0000-0000-0000A2010000}"/>
    <cellStyle name="Normal 2 24 21" xfId="430" xr:uid="{00000000-0005-0000-0000-0000A3010000}"/>
    <cellStyle name="Normal 2 24 22" xfId="431" xr:uid="{00000000-0005-0000-0000-0000A4010000}"/>
    <cellStyle name="Normal 2 24 23" xfId="432" xr:uid="{00000000-0005-0000-0000-0000A5010000}"/>
    <cellStyle name="Normal 2 24 3" xfId="433" xr:uid="{00000000-0005-0000-0000-0000A6010000}"/>
    <cellStyle name="Normal 2 24 4" xfId="434" xr:uid="{00000000-0005-0000-0000-0000A7010000}"/>
    <cellStyle name="Normal 2 24 5" xfId="435" xr:uid="{00000000-0005-0000-0000-0000A8010000}"/>
    <cellStyle name="Normal 2 24 6" xfId="436" xr:uid="{00000000-0005-0000-0000-0000A9010000}"/>
    <cellStyle name="Normal 2 24 7" xfId="437" xr:uid="{00000000-0005-0000-0000-0000AA010000}"/>
    <cellStyle name="Normal 2 24 8" xfId="438" xr:uid="{00000000-0005-0000-0000-0000AB010000}"/>
    <cellStyle name="Normal 2 24 9" xfId="439" xr:uid="{00000000-0005-0000-0000-0000AC010000}"/>
    <cellStyle name="Normal 2 25" xfId="440" xr:uid="{00000000-0005-0000-0000-0000AD010000}"/>
    <cellStyle name="Normal 2 25 10" xfId="441" xr:uid="{00000000-0005-0000-0000-0000AE010000}"/>
    <cellStyle name="Normal 2 25 11" xfId="442" xr:uid="{00000000-0005-0000-0000-0000AF010000}"/>
    <cellStyle name="Normal 2 25 12" xfId="443" xr:uid="{00000000-0005-0000-0000-0000B0010000}"/>
    <cellStyle name="Normal 2 25 13" xfId="444" xr:uid="{00000000-0005-0000-0000-0000B1010000}"/>
    <cellStyle name="Normal 2 25 14" xfId="445" xr:uid="{00000000-0005-0000-0000-0000B2010000}"/>
    <cellStyle name="Normal 2 25 15" xfId="446" xr:uid="{00000000-0005-0000-0000-0000B3010000}"/>
    <cellStyle name="Normal 2 25 16" xfId="447" xr:uid="{00000000-0005-0000-0000-0000B4010000}"/>
    <cellStyle name="Normal 2 25 17" xfId="448" xr:uid="{00000000-0005-0000-0000-0000B5010000}"/>
    <cellStyle name="Normal 2 25 18" xfId="449" xr:uid="{00000000-0005-0000-0000-0000B6010000}"/>
    <cellStyle name="Normal 2 25 19" xfId="450" xr:uid="{00000000-0005-0000-0000-0000B7010000}"/>
    <cellStyle name="Normal 2 25 2" xfId="451" xr:uid="{00000000-0005-0000-0000-0000B8010000}"/>
    <cellStyle name="Normal 2 25 20" xfId="452" xr:uid="{00000000-0005-0000-0000-0000B9010000}"/>
    <cellStyle name="Normal 2 25 21" xfId="453" xr:uid="{00000000-0005-0000-0000-0000BA010000}"/>
    <cellStyle name="Normal 2 25 22" xfId="454" xr:uid="{00000000-0005-0000-0000-0000BB010000}"/>
    <cellStyle name="Normal 2 25 23" xfId="455" xr:uid="{00000000-0005-0000-0000-0000BC010000}"/>
    <cellStyle name="Normal 2 25 3" xfId="456" xr:uid="{00000000-0005-0000-0000-0000BD010000}"/>
    <cellStyle name="Normal 2 25 4" xfId="457" xr:uid="{00000000-0005-0000-0000-0000BE010000}"/>
    <cellStyle name="Normal 2 25 5" xfId="458" xr:uid="{00000000-0005-0000-0000-0000BF010000}"/>
    <cellStyle name="Normal 2 25 6" xfId="459" xr:uid="{00000000-0005-0000-0000-0000C0010000}"/>
    <cellStyle name="Normal 2 25 7" xfId="460" xr:uid="{00000000-0005-0000-0000-0000C1010000}"/>
    <cellStyle name="Normal 2 25 8" xfId="461" xr:uid="{00000000-0005-0000-0000-0000C2010000}"/>
    <cellStyle name="Normal 2 25 9" xfId="462" xr:uid="{00000000-0005-0000-0000-0000C3010000}"/>
    <cellStyle name="Normal 2 26" xfId="463" xr:uid="{00000000-0005-0000-0000-0000C4010000}"/>
    <cellStyle name="Normal 2 26 10" xfId="464" xr:uid="{00000000-0005-0000-0000-0000C5010000}"/>
    <cellStyle name="Normal 2 26 11" xfId="465" xr:uid="{00000000-0005-0000-0000-0000C6010000}"/>
    <cellStyle name="Normal 2 26 12" xfId="466" xr:uid="{00000000-0005-0000-0000-0000C7010000}"/>
    <cellStyle name="Normal 2 26 13" xfId="467" xr:uid="{00000000-0005-0000-0000-0000C8010000}"/>
    <cellStyle name="Normal 2 26 14" xfId="468" xr:uid="{00000000-0005-0000-0000-0000C9010000}"/>
    <cellStyle name="Normal 2 26 15" xfId="469" xr:uid="{00000000-0005-0000-0000-0000CA010000}"/>
    <cellStyle name="Normal 2 26 16" xfId="470" xr:uid="{00000000-0005-0000-0000-0000CB010000}"/>
    <cellStyle name="Normal 2 26 17" xfId="471" xr:uid="{00000000-0005-0000-0000-0000CC010000}"/>
    <cellStyle name="Normal 2 26 18" xfId="472" xr:uid="{00000000-0005-0000-0000-0000CD010000}"/>
    <cellStyle name="Normal 2 26 19" xfId="473" xr:uid="{00000000-0005-0000-0000-0000CE010000}"/>
    <cellStyle name="Normal 2 26 2" xfId="474" xr:uid="{00000000-0005-0000-0000-0000CF010000}"/>
    <cellStyle name="Normal 2 26 20" xfId="475" xr:uid="{00000000-0005-0000-0000-0000D0010000}"/>
    <cellStyle name="Normal 2 26 21" xfId="476" xr:uid="{00000000-0005-0000-0000-0000D1010000}"/>
    <cellStyle name="Normal 2 26 22" xfId="477" xr:uid="{00000000-0005-0000-0000-0000D2010000}"/>
    <cellStyle name="Normal 2 26 23" xfId="478" xr:uid="{00000000-0005-0000-0000-0000D3010000}"/>
    <cellStyle name="Normal 2 26 3" xfId="479" xr:uid="{00000000-0005-0000-0000-0000D4010000}"/>
    <cellStyle name="Normal 2 26 4" xfId="480" xr:uid="{00000000-0005-0000-0000-0000D5010000}"/>
    <cellStyle name="Normal 2 26 5" xfId="481" xr:uid="{00000000-0005-0000-0000-0000D6010000}"/>
    <cellStyle name="Normal 2 26 6" xfId="482" xr:uid="{00000000-0005-0000-0000-0000D7010000}"/>
    <cellStyle name="Normal 2 26 7" xfId="483" xr:uid="{00000000-0005-0000-0000-0000D8010000}"/>
    <cellStyle name="Normal 2 26 8" xfId="484" xr:uid="{00000000-0005-0000-0000-0000D9010000}"/>
    <cellStyle name="Normal 2 26 9" xfId="485" xr:uid="{00000000-0005-0000-0000-0000DA010000}"/>
    <cellStyle name="Normal 2 27" xfId="486" xr:uid="{00000000-0005-0000-0000-0000DB010000}"/>
    <cellStyle name="Normal 2 27 10" xfId="487" xr:uid="{00000000-0005-0000-0000-0000DC010000}"/>
    <cellStyle name="Normal 2 27 11" xfId="488" xr:uid="{00000000-0005-0000-0000-0000DD010000}"/>
    <cellStyle name="Normal 2 27 12" xfId="489" xr:uid="{00000000-0005-0000-0000-0000DE010000}"/>
    <cellStyle name="Normal 2 27 13" xfId="490" xr:uid="{00000000-0005-0000-0000-0000DF010000}"/>
    <cellStyle name="Normal 2 27 14" xfId="491" xr:uid="{00000000-0005-0000-0000-0000E0010000}"/>
    <cellStyle name="Normal 2 27 15" xfId="492" xr:uid="{00000000-0005-0000-0000-0000E1010000}"/>
    <cellStyle name="Normal 2 27 16" xfId="493" xr:uid="{00000000-0005-0000-0000-0000E2010000}"/>
    <cellStyle name="Normal 2 27 17" xfId="494" xr:uid="{00000000-0005-0000-0000-0000E3010000}"/>
    <cellStyle name="Normal 2 27 18" xfId="495" xr:uid="{00000000-0005-0000-0000-0000E4010000}"/>
    <cellStyle name="Normal 2 27 19" xfId="496" xr:uid="{00000000-0005-0000-0000-0000E5010000}"/>
    <cellStyle name="Normal 2 27 2" xfId="497" xr:uid="{00000000-0005-0000-0000-0000E6010000}"/>
    <cellStyle name="Normal 2 27 20" xfId="498" xr:uid="{00000000-0005-0000-0000-0000E7010000}"/>
    <cellStyle name="Normal 2 27 21" xfId="499" xr:uid="{00000000-0005-0000-0000-0000E8010000}"/>
    <cellStyle name="Normal 2 27 22" xfId="500" xr:uid="{00000000-0005-0000-0000-0000E9010000}"/>
    <cellStyle name="Normal 2 27 23" xfId="501" xr:uid="{00000000-0005-0000-0000-0000EA010000}"/>
    <cellStyle name="Normal 2 27 3" xfId="502" xr:uid="{00000000-0005-0000-0000-0000EB010000}"/>
    <cellStyle name="Normal 2 27 4" xfId="503" xr:uid="{00000000-0005-0000-0000-0000EC010000}"/>
    <cellStyle name="Normal 2 27 5" xfId="504" xr:uid="{00000000-0005-0000-0000-0000ED010000}"/>
    <cellStyle name="Normal 2 27 6" xfId="505" xr:uid="{00000000-0005-0000-0000-0000EE010000}"/>
    <cellStyle name="Normal 2 27 7" xfId="506" xr:uid="{00000000-0005-0000-0000-0000EF010000}"/>
    <cellStyle name="Normal 2 27 8" xfId="507" xr:uid="{00000000-0005-0000-0000-0000F0010000}"/>
    <cellStyle name="Normal 2 27 9" xfId="508" xr:uid="{00000000-0005-0000-0000-0000F1010000}"/>
    <cellStyle name="Normal 2 28" xfId="509" xr:uid="{00000000-0005-0000-0000-0000F2010000}"/>
    <cellStyle name="Normal 2 28 10" xfId="510" xr:uid="{00000000-0005-0000-0000-0000F3010000}"/>
    <cellStyle name="Normal 2 28 11" xfId="511" xr:uid="{00000000-0005-0000-0000-0000F4010000}"/>
    <cellStyle name="Normal 2 28 12" xfId="512" xr:uid="{00000000-0005-0000-0000-0000F5010000}"/>
    <cellStyle name="Normal 2 28 13" xfId="513" xr:uid="{00000000-0005-0000-0000-0000F6010000}"/>
    <cellStyle name="Normal 2 28 14" xfId="514" xr:uid="{00000000-0005-0000-0000-0000F7010000}"/>
    <cellStyle name="Normal 2 28 15" xfId="515" xr:uid="{00000000-0005-0000-0000-0000F8010000}"/>
    <cellStyle name="Normal 2 28 16" xfId="516" xr:uid="{00000000-0005-0000-0000-0000F9010000}"/>
    <cellStyle name="Normal 2 28 17" xfId="517" xr:uid="{00000000-0005-0000-0000-0000FA010000}"/>
    <cellStyle name="Normal 2 28 18" xfId="518" xr:uid="{00000000-0005-0000-0000-0000FB010000}"/>
    <cellStyle name="Normal 2 28 19" xfId="519" xr:uid="{00000000-0005-0000-0000-0000FC010000}"/>
    <cellStyle name="Normal 2 28 2" xfId="520" xr:uid="{00000000-0005-0000-0000-0000FD010000}"/>
    <cellStyle name="Normal 2 28 20" xfId="521" xr:uid="{00000000-0005-0000-0000-0000FE010000}"/>
    <cellStyle name="Normal 2 28 21" xfId="522" xr:uid="{00000000-0005-0000-0000-0000FF010000}"/>
    <cellStyle name="Normal 2 28 22" xfId="523" xr:uid="{00000000-0005-0000-0000-000000020000}"/>
    <cellStyle name="Normal 2 28 23" xfId="524" xr:uid="{00000000-0005-0000-0000-000001020000}"/>
    <cellStyle name="Normal 2 28 3" xfId="525" xr:uid="{00000000-0005-0000-0000-000002020000}"/>
    <cellStyle name="Normal 2 28 4" xfId="526" xr:uid="{00000000-0005-0000-0000-000003020000}"/>
    <cellStyle name="Normal 2 28 5" xfId="527" xr:uid="{00000000-0005-0000-0000-000004020000}"/>
    <cellStyle name="Normal 2 28 6" xfId="528" xr:uid="{00000000-0005-0000-0000-000005020000}"/>
    <cellStyle name="Normal 2 28 7" xfId="529" xr:uid="{00000000-0005-0000-0000-000006020000}"/>
    <cellStyle name="Normal 2 28 8" xfId="530" xr:uid="{00000000-0005-0000-0000-000007020000}"/>
    <cellStyle name="Normal 2 28 9" xfId="531" xr:uid="{00000000-0005-0000-0000-000008020000}"/>
    <cellStyle name="Normal 2 29" xfId="532" xr:uid="{00000000-0005-0000-0000-000009020000}"/>
    <cellStyle name="Normal 2 29 10" xfId="533" xr:uid="{00000000-0005-0000-0000-00000A020000}"/>
    <cellStyle name="Normal 2 29 11" xfId="534" xr:uid="{00000000-0005-0000-0000-00000B020000}"/>
    <cellStyle name="Normal 2 29 12" xfId="535" xr:uid="{00000000-0005-0000-0000-00000C020000}"/>
    <cellStyle name="Normal 2 29 13" xfId="536" xr:uid="{00000000-0005-0000-0000-00000D020000}"/>
    <cellStyle name="Normal 2 29 14" xfId="537" xr:uid="{00000000-0005-0000-0000-00000E020000}"/>
    <cellStyle name="Normal 2 29 15" xfId="538" xr:uid="{00000000-0005-0000-0000-00000F020000}"/>
    <cellStyle name="Normal 2 29 16" xfId="539" xr:uid="{00000000-0005-0000-0000-000010020000}"/>
    <cellStyle name="Normal 2 29 17" xfId="540" xr:uid="{00000000-0005-0000-0000-000011020000}"/>
    <cellStyle name="Normal 2 29 18" xfId="541" xr:uid="{00000000-0005-0000-0000-000012020000}"/>
    <cellStyle name="Normal 2 29 19" xfId="542" xr:uid="{00000000-0005-0000-0000-000013020000}"/>
    <cellStyle name="Normal 2 29 2" xfId="543" xr:uid="{00000000-0005-0000-0000-000014020000}"/>
    <cellStyle name="Normal 2 29 20" xfId="544" xr:uid="{00000000-0005-0000-0000-000015020000}"/>
    <cellStyle name="Normal 2 29 21" xfId="545" xr:uid="{00000000-0005-0000-0000-000016020000}"/>
    <cellStyle name="Normal 2 29 22" xfId="546" xr:uid="{00000000-0005-0000-0000-000017020000}"/>
    <cellStyle name="Normal 2 29 23" xfId="547" xr:uid="{00000000-0005-0000-0000-000018020000}"/>
    <cellStyle name="Normal 2 29 3" xfId="548" xr:uid="{00000000-0005-0000-0000-000019020000}"/>
    <cellStyle name="Normal 2 29 4" xfId="549" xr:uid="{00000000-0005-0000-0000-00001A020000}"/>
    <cellStyle name="Normal 2 29 5" xfId="550" xr:uid="{00000000-0005-0000-0000-00001B020000}"/>
    <cellStyle name="Normal 2 29 6" xfId="551" xr:uid="{00000000-0005-0000-0000-00001C020000}"/>
    <cellStyle name="Normal 2 29 7" xfId="552" xr:uid="{00000000-0005-0000-0000-00001D020000}"/>
    <cellStyle name="Normal 2 29 8" xfId="553" xr:uid="{00000000-0005-0000-0000-00001E020000}"/>
    <cellStyle name="Normal 2 29 9" xfId="554" xr:uid="{00000000-0005-0000-0000-00001F020000}"/>
    <cellStyle name="Normal 2 3" xfId="555" xr:uid="{00000000-0005-0000-0000-000020020000}"/>
    <cellStyle name="Normal 2 3 2" xfId="2365" xr:uid="{00000000-0005-0000-0000-000022030000}"/>
    <cellStyle name="Normal 2 3 2 2" xfId="2366" xr:uid="{00000000-0005-0000-0000-000023030000}"/>
    <cellStyle name="Normal 2 3 3" xfId="2367" xr:uid="{00000000-0005-0000-0000-000024030000}"/>
    <cellStyle name="Normal 2 3 4" xfId="2368" xr:uid="{00000000-0005-0000-0000-000025030000}"/>
    <cellStyle name="Normal 2 3 5" xfId="2369" xr:uid="{00000000-0005-0000-0000-000026030000}"/>
    <cellStyle name="Normal 2 3_Summary" xfId="2370" xr:uid="{00000000-0005-0000-0000-000027030000}"/>
    <cellStyle name="Normal 2 30" xfId="556" xr:uid="{00000000-0005-0000-0000-000021020000}"/>
    <cellStyle name="Normal 2 30 10" xfId="557" xr:uid="{00000000-0005-0000-0000-000022020000}"/>
    <cellStyle name="Normal 2 30 11" xfId="558" xr:uid="{00000000-0005-0000-0000-000023020000}"/>
    <cellStyle name="Normal 2 30 12" xfId="559" xr:uid="{00000000-0005-0000-0000-000024020000}"/>
    <cellStyle name="Normal 2 30 13" xfId="560" xr:uid="{00000000-0005-0000-0000-000025020000}"/>
    <cellStyle name="Normal 2 30 14" xfId="561" xr:uid="{00000000-0005-0000-0000-000026020000}"/>
    <cellStyle name="Normal 2 30 15" xfId="562" xr:uid="{00000000-0005-0000-0000-000027020000}"/>
    <cellStyle name="Normal 2 30 16" xfId="563" xr:uid="{00000000-0005-0000-0000-000028020000}"/>
    <cellStyle name="Normal 2 30 17" xfId="564" xr:uid="{00000000-0005-0000-0000-000029020000}"/>
    <cellStyle name="Normal 2 30 18" xfId="565" xr:uid="{00000000-0005-0000-0000-00002A020000}"/>
    <cellStyle name="Normal 2 30 19" xfId="566" xr:uid="{00000000-0005-0000-0000-00002B020000}"/>
    <cellStyle name="Normal 2 30 2" xfId="567" xr:uid="{00000000-0005-0000-0000-00002C020000}"/>
    <cellStyle name="Normal 2 30 20" xfId="568" xr:uid="{00000000-0005-0000-0000-00002D020000}"/>
    <cellStyle name="Normal 2 30 21" xfId="569" xr:uid="{00000000-0005-0000-0000-00002E020000}"/>
    <cellStyle name="Normal 2 30 22" xfId="570" xr:uid="{00000000-0005-0000-0000-00002F020000}"/>
    <cellStyle name="Normal 2 30 23" xfId="571" xr:uid="{00000000-0005-0000-0000-000030020000}"/>
    <cellStyle name="Normal 2 30 24" xfId="2372" xr:uid="{00000000-0005-0000-0000-000038030000}"/>
    <cellStyle name="Normal 2 30 25" xfId="2373" xr:uid="{00000000-0005-0000-0000-000039030000}"/>
    <cellStyle name="Normal 2 30 26" xfId="2371" xr:uid="{00000000-0005-0000-0000-000028030000}"/>
    <cellStyle name="Normal 2 30 3" xfId="572" xr:uid="{00000000-0005-0000-0000-000031020000}"/>
    <cellStyle name="Normal 2 30 4" xfId="573" xr:uid="{00000000-0005-0000-0000-000032020000}"/>
    <cellStyle name="Normal 2 30 5" xfId="574" xr:uid="{00000000-0005-0000-0000-000033020000}"/>
    <cellStyle name="Normal 2 30 6" xfId="575" xr:uid="{00000000-0005-0000-0000-000034020000}"/>
    <cellStyle name="Normal 2 30 7" xfId="576" xr:uid="{00000000-0005-0000-0000-000035020000}"/>
    <cellStyle name="Normal 2 30 8" xfId="577" xr:uid="{00000000-0005-0000-0000-000036020000}"/>
    <cellStyle name="Normal 2 30 9" xfId="578" xr:uid="{00000000-0005-0000-0000-000037020000}"/>
    <cellStyle name="Normal 2 31" xfId="579" xr:uid="{00000000-0005-0000-0000-000038020000}"/>
    <cellStyle name="Normal 2 31 10" xfId="580" xr:uid="{00000000-0005-0000-0000-000039020000}"/>
    <cellStyle name="Normal 2 31 11" xfId="581" xr:uid="{00000000-0005-0000-0000-00003A020000}"/>
    <cellStyle name="Normal 2 31 12" xfId="582" xr:uid="{00000000-0005-0000-0000-00003B020000}"/>
    <cellStyle name="Normal 2 31 13" xfId="583" xr:uid="{00000000-0005-0000-0000-00003C020000}"/>
    <cellStyle name="Normal 2 31 14" xfId="584" xr:uid="{00000000-0005-0000-0000-00003D020000}"/>
    <cellStyle name="Normal 2 31 15" xfId="585" xr:uid="{00000000-0005-0000-0000-00003E020000}"/>
    <cellStyle name="Normal 2 31 16" xfId="586" xr:uid="{00000000-0005-0000-0000-00003F020000}"/>
    <cellStyle name="Normal 2 31 17" xfId="587" xr:uid="{00000000-0005-0000-0000-000040020000}"/>
    <cellStyle name="Normal 2 31 18" xfId="588" xr:uid="{00000000-0005-0000-0000-000041020000}"/>
    <cellStyle name="Normal 2 31 19" xfId="589" xr:uid="{00000000-0005-0000-0000-000042020000}"/>
    <cellStyle name="Normal 2 31 2" xfId="590" xr:uid="{00000000-0005-0000-0000-000043020000}"/>
    <cellStyle name="Normal 2 31 20" xfId="591" xr:uid="{00000000-0005-0000-0000-000044020000}"/>
    <cellStyle name="Normal 2 31 21" xfId="592" xr:uid="{00000000-0005-0000-0000-000045020000}"/>
    <cellStyle name="Normal 2 31 22" xfId="593" xr:uid="{00000000-0005-0000-0000-000046020000}"/>
    <cellStyle name="Normal 2 31 23" xfId="594" xr:uid="{00000000-0005-0000-0000-000047020000}"/>
    <cellStyle name="Normal 2 31 3" xfId="595" xr:uid="{00000000-0005-0000-0000-000048020000}"/>
    <cellStyle name="Normal 2 31 4" xfId="596" xr:uid="{00000000-0005-0000-0000-000049020000}"/>
    <cellStyle name="Normal 2 31 5" xfId="597" xr:uid="{00000000-0005-0000-0000-00004A020000}"/>
    <cellStyle name="Normal 2 31 6" xfId="598" xr:uid="{00000000-0005-0000-0000-00004B020000}"/>
    <cellStyle name="Normal 2 31 7" xfId="599" xr:uid="{00000000-0005-0000-0000-00004C020000}"/>
    <cellStyle name="Normal 2 31 8" xfId="600" xr:uid="{00000000-0005-0000-0000-00004D020000}"/>
    <cellStyle name="Normal 2 31 9" xfId="601" xr:uid="{00000000-0005-0000-0000-00004E020000}"/>
    <cellStyle name="Normal 2 32" xfId="602" xr:uid="{00000000-0005-0000-0000-00004F020000}"/>
    <cellStyle name="Normal 2 32 10" xfId="603" xr:uid="{00000000-0005-0000-0000-000050020000}"/>
    <cellStyle name="Normal 2 32 11" xfId="604" xr:uid="{00000000-0005-0000-0000-000051020000}"/>
    <cellStyle name="Normal 2 32 12" xfId="605" xr:uid="{00000000-0005-0000-0000-000052020000}"/>
    <cellStyle name="Normal 2 32 13" xfId="606" xr:uid="{00000000-0005-0000-0000-000053020000}"/>
    <cellStyle name="Normal 2 32 14" xfId="607" xr:uid="{00000000-0005-0000-0000-000054020000}"/>
    <cellStyle name="Normal 2 32 15" xfId="608" xr:uid="{00000000-0005-0000-0000-000055020000}"/>
    <cellStyle name="Normal 2 32 16" xfId="609" xr:uid="{00000000-0005-0000-0000-000056020000}"/>
    <cellStyle name="Normal 2 32 17" xfId="610" xr:uid="{00000000-0005-0000-0000-000057020000}"/>
    <cellStyle name="Normal 2 32 18" xfId="611" xr:uid="{00000000-0005-0000-0000-000058020000}"/>
    <cellStyle name="Normal 2 32 19" xfId="612" xr:uid="{00000000-0005-0000-0000-000059020000}"/>
    <cellStyle name="Normal 2 32 2" xfId="613" xr:uid="{00000000-0005-0000-0000-00005A020000}"/>
    <cellStyle name="Normal 2 32 20" xfId="614" xr:uid="{00000000-0005-0000-0000-00005B020000}"/>
    <cellStyle name="Normal 2 32 21" xfId="615" xr:uid="{00000000-0005-0000-0000-00005C020000}"/>
    <cellStyle name="Normal 2 32 22" xfId="616" xr:uid="{00000000-0005-0000-0000-00005D020000}"/>
    <cellStyle name="Normal 2 32 23" xfId="617" xr:uid="{00000000-0005-0000-0000-00005E020000}"/>
    <cellStyle name="Normal 2 32 3" xfId="618" xr:uid="{00000000-0005-0000-0000-00005F020000}"/>
    <cellStyle name="Normal 2 32 4" xfId="619" xr:uid="{00000000-0005-0000-0000-000060020000}"/>
    <cellStyle name="Normal 2 32 5" xfId="620" xr:uid="{00000000-0005-0000-0000-000061020000}"/>
    <cellStyle name="Normal 2 32 6" xfId="621" xr:uid="{00000000-0005-0000-0000-000062020000}"/>
    <cellStyle name="Normal 2 32 7" xfId="622" xr:uid="{00000000-0005-0000-0000-000063020000}"/>
    <cellStyle name="Normal 2 32 8" xfId="623" xr:uid="{00000000-0005-0000-0000-000064020000}"/>
    <cellStyle name="Normal 2 32 9" xfId="624" xr:uid="{00000000-0005-0000-0000-000065020000}"/>
    <cellStyle name="Normal 2 33" xfId="625" xr:uid="{00000000-0005-0000-0000-000066020000}"/>
    <cellStyle name="Normal 2 33 10" xfId="626" xr:uid="{00000000-0005-0000-0000-000067020000}"/>
    <cellStyle name="Normal 2 33 11" xfId="627" xr:uid="{00000000-0005-0000-0000-000068020000}"/>
    <cellStyle name="Normal 2 33 12" xfId="628" xr:uid="{00000000-0005-0000-0000-000069020000}"/>
    <cellStyle name="Normal 2 33 13" xfId="629" xr:uid="{00000000-0005-0000-0000-00006A020000}"/>
    <cellStyle name="Normal 2 33 14" xfId="630" xr:uid="{00000000-0005-0000-0000-00006B020000}"/>
    <cellStyle name="Normal 2 33 15" xfId="631" xr:uid="{00000000-0005-0000-0000-00006C020000}"/>
    <cellStyle name="Normal 2 33 16" xfId="632" xr:uid="{00000000-0005-0000-0000-00006D020000}"/>
    <cellStyle name="Normal 2 33 17" xfId="633" xr:uid="{00000000-0005-0000-0000-00006E020000}"/>
    <cellStyle name="Normal 2 33 18" xfId="634" xr:uid="{00000000-0005-0000-0000-00006F020000}"/>
    <cellStyle name="Normal 2 33 19" xfId="635" xr:uid="{00000000-0005-0000-0000-000070020000}"/>
    <cellStyle name="Normal 2 33 2" xfId="636" xr:uid="{00000000-0005-0000-0000-000071020000}"/>
    <cellStyle name="Normal 2 33 20" xfId="637" xr:uid="{00000000-0005-0000-0000-000072020000}"/>
    <cellStyle name="Normal 2 33 21" xfId="638" xr:uid="{00000000-0005-0000-0000-000073020000}"/>
    <cellStyle name="Normal 2 33 22" xfId="639" xr:uid="{00000000-0005-0000-0000-000074020000}"/>
    <cellStyle name="Normal 2 33 23" xfId="640" xr:uid="{00000000-0005-0000-0000-000075020000}"/>
    <cellStyle name="Normal 2 33 3" xfId="641" xr:uid="{00000000-0005-0000-0000-000076020000}"/>
    <cellStyle name="Normal 2 33 4" xfId="642" xr:uid="{00000000-0005-0000-0000-000077020000}"/>
    <cellStyle name="Normal 2 33 5" xfId="643" xr:uid="{00000000-0005-0000-0000-000078020000}"/>
    <cellStyle name="Normal 2 33 6" xfId="644" xr:uid="{00000000-0005-0000-0000-000079020000}"/>
    <cellStyle name="Normal 2 33 7" xfId="645" xr:uid="{00000000-0005-0000-0000-00007A020000}"/>
    <cellStyle name="Normal 2 33 8" xfId="646" xr:uid="{00000000-0005-0000-0000-00007B020000}"/>
    <cellStyle name="Normal 2 33 9" xfId="647" xr:uid="{00000000-0005-0000-0000-00007C020000}"/>
    <cellStyle name="Normal 2 34" xfId="648" xr:uid="{00000000-0005-0000-0000-00007D020000}"/>
    <cellStyle name="Normal 2 34 10" xfId="649" xr:uid="{00000000-0005-0000-0000-00007E020000}"/>
    <cellStyle name="Normal 2 34 11" xfId="650" xr:uid="{00000000-0005-0000-0000-00007F020000}"/>
    <cellStyle name="Normal 2 34 12" xfId="651" xr:uid="{00000000-0005-0000-0000-000080020000}"/>
    <cellStyle name="Normal 2 34 13" xfId="652" xr:uid="{00000000-0005-0000-0000-000081020000}"/>
    <cellStyle name="Normal 2 34 14" xfId="653" xr:uid="{00000000-0005-0000-0000-000082020000}"/>
    <cellStyle name="Normal 2 34 15" xfId="654" xr:uid="{00000000-0005-0000-0000-000083020000}"/>
    <cellStyle name="Normal 2 34 16" xfId="655" xr:uid="{00000000-0005-0000-0000-000084020000}"/>
    <cellStyle name="Normal 2 34 17" xfId="656" xr:uid="{00000000-0005-0000-0000-000085020000}"/>
    <cellStyle name="Normal 2 34 18" xfId="657" xr:uid="{00000000-0005-0000-0000-000086020000}"/>
    <cellStyle name="Normal 2 34 19" xfId="658" xr:uid="{00000000-0005-0000-0000-000087020000}"/>
    <cellStyle name="Normal 2 34 2" xfId="659" xr:uid="{00000000-0005-0000-0000-000088020000}"/>
    <cellStyle name="Normal 2 34 20" xfId="660" xr:uid="{00000000-0005-0000-0000-000089020000}"/>
    <cellStyle name="Normal 2 34 21" xfId="661" xr:uid="{00000000-0005-0000-0000-00008A020000}"/>
    <cellStyle name="Normal 2 34 22" xfId="662" xr:uid="{00000000-0005-0000-0000-00008B020000}"/>
    <cellStyle name="Normal 2 34 23" xfId="663" xr:uid="{00000000-0005-0000-0000-00008C020000}"/>
    <cellStyle name="Normal 2 34 3" xfId="664" xr:uid="{00000000-0005-0000-0000-00008D020000}"/>
    <cellStyle name="Normal 2 34 4" xfId="665" xr:uid="{00000000-0005-0000-0000-00008E020000}"/>
    <cellStyle name="Normal 2 34 5" xfId="666" xr:uid="{00000000-0005-0000-0000-00008F020000}"/>
    <cellStyle name="Normal 2 34 6" xfId="667" xr:uid="{00000000-0005-0000-0000-000090020000}"/>
    <cellStyle name="Normal 2 34 7" xfId="668" xr:uid="{00000000-0005-0000-0000-000091020000}"/>
    <cellStyle name="Normal 2 34 8" xfId="669" xr:uid="{00000000-0005-0000-0000-000092020000}"/>
    <cellStyle name="Normal 2 34 9" xfId="670" xr:uid="{00000000-0005-0000-0000-000093020000}"/>
    <cellStyle name="Normal 2 35" xfId="671" xr:uid="{00000000-0005-0000-0000-000094020000}"/>
    <cellStyle name="Normal 2 35 10" xfId="672" xr:uid="{00000000-0005-0000-0000-000095020000}"/>
    <cellStyle name="Normal 2 35 11" xfId="673" xr:uid="{00000000-0005-0000-0000-000096020000}"/>
    <cellStyle name="Normal 2 35 12" xfId="674" xr:uid="{00000000-0005-0000-0000-000097020000}"/>
    <cellStyle name="Normal 2 35 13" xfId="675" xr:uid="{00000000-0005-0000-0000-000098020000}"/>
    <cellStyle name="Normal 2 35 14" xfId="676" xr:uid="{00000000-0005-0000-0000-000099020000}"/>
    <cellStyle name="Normal 2 35 15" xfId="677" xr:uid="{00000000-0005-0000-0000-00009A020000}"/>
    <cellStyle name="Normal 2 35 16" xfId="678" xr:uid="{00000000-0005-0000-0000-00009B020000}"/>
    <cellStyle name="Normal 2 35 17" xfId="679" xr:uid="{00000000-0005-0000-0000-00009C020000}"/>
    <cellStyle name="Normal 2 35 18" xfId="680" xr:uid="{00000000-0005-0000-0000-00009D020000}"/>
    <cellStyle name="Normal 2 35 19" xfId="681" xr:uid="{00000000-0005-0000-0000-00009E020000}"/>
    <cellStyle name="Normal 2 35 2" xfId="682" xr:uid="{00000000-0005-0000-0000-00009F020000}"/>
    <cellStyle name="Normal 2 35 20" xfId="683" xr:uid="{00000000-0005-0000-0000-0000A0020000}"/>
    <cellStyle name="Normal 2 35 21" xfId="684" xr:uid="{00000000-0005-0000-0000-0000A1020000}"/>
    <cellStyle name="Normal 2 35 22" xfId="685" xr:uid="{00000000-0005-0000-0000-0000A2020000}"/>
    <cellStyle name="Normal 2 35 23" xfId="686" xr:uid="{00000000-0005-0000-0000-0000A3020000}"/>
    <cellStyle name="Normal 2 35 3" xfId="687" xr:uid="{00000000-0005-0000-0000-0000A4020000}"/>
    <cellStyle name="Normal 2 35 4" xfId="688" xr:uid="{00000000-0005-0000-0000-0000A5020000}"/>
    <cellStyle name="Normal 2 35 5" xfId="689" xr:uid="{00000000-0005-0000-0000-0000A6020000}"/>
    <cellStyle name="Normal 2 35 6" xfId="690" xr:uid="{00000000-0005-0000-0000-0000A7020000}"/>
    <cellStyle name="Normal 2 35 7" xfId="691" xr:uid="{00000000-0005-0000-0000-0000A8020000}"/>
    <cellStyle name="Normal 2 35 8" xfId="692" xr:uid="{00000000-0005-0000-0000-0000A9020000}"/>
    <cellStyle name="Normal 2 35 9" xfId="693" xr:uid="{00000000-0005-0000-0000-0000AA020000}"/>
    <cellStyle name="Normal 2 36" xfId="694" xr:uid="{00000000-0005-0000-0000-0000AB020000}"/>
    <cellStyle name="Normal 2 36 10" xfId="695" xr:uid="{00000000-0005-0000-0000-0000AC020000}"/>
    <cellStyle name="Normal 2 36 11" xfId="696" xr:uid="{00000000-0005-0000-0000-0000AD020000}"/>
    <cellStyle name="Normal 2 36 12" xfId="697" xr:uid="{00000000-0005-0000-0000-0000AE020000}"/>
    <cellStyle name="Normal 2 36 13" xfId="698" xr:uid="{00000000-0005-0000-0000-0000AF020000}"/>
    <cellStyle name="Normal 2 36 14" xfId="699" xr:uid="{00000000-0005-0000-0000-0000B0020000}"/>
    <cellStyle name="Normal 2 36 15" xfId="700" xr:uid="{00000000-0005-0000-0000-0000B1020000}"/>
    <cellStyle name="Normal 2 36 16" xfId="701" xr:uid="{00000000-0005-0000-0000-0000B2020000}"/>
    <cellStyle name="Normal 2 36 17" xfId="702" xr:uid="{00000000-0005-0000-0000-0000B3020000}"/>
    <cellStyle name="Normal 2 36 18" xfId="703" xr:uid="{00000000-0005-0000-0000-0000B4020000}"/>
    <cellStyle name="Normal 2 36 19" xfId="704" xr:uid="{00000000-0005-0000-0000-0000B5020000}"/>
    <cellStyle name="Normal 2 36 2" xfId="705" xr:uid="{00000000-0005-0000-0000-0000B6020000}"/>
    <cellStyle name="Normal 2 36 20" xfId="706" xr:uid="{00000000-0005-0000-0000-0000B7020000}"/>
    <cellStyle name="Normal 2 36 21" xfId="707" xr:uid="{00000000-0005-0000-0000-0000B8020000}"/>
    <cellStyle name="Normal 2 36 22" xfId="708" xr:uid="{00000000-0005-0000-0000-0000B9020000}"/>
    <cellStyle name="Normal 2 36 23" xfId="709" xr:uid="{00000000-0005-0000-0000-0000BA020000}"/>
    <cellStyle name="Normal 2 36 3" xfId="710" xr:uid="{00000000-0005-0000-0000-0000BB020000}"/>
    <cellStyle name="Normal 2 36 4" xfId="711" xr:uid="{00000000-0005-0000-0000-0000BC020000}"/>
    <cellStyle name="Normal 2 36 5" xfId="712" xr:uid="{00000000-0005-0000-0000-0000BD020000}"/>
    <cellStyle name="Normal 2 36 6" xfId="713" xr:uid="{00000000-0005-0000-0000-0000BE020000}"/>
    <cellStyle name="Normal 2 36 7" xfId="714" xr:uid="{00000000-0005-0000-0000-0000BF020000}"/>
    <cellStyle name="Normal 2 36 8" xfId="715" xr:uid="{00000000-0005-0000-0000-0000C0020000}"/>
    <cellStyle name="Normal 2 36 9" xfId="716" xr:uid="{00000000-0005-0000-0000-0000C1020000}"/>
    <cellStyle name="Normal 2 37" xfId="717" xr:uid="{00000000-0005-0000-0000-0000C2020000}"/>
    <cellStyle name="Normal 2 37 10" xfId="718" xr:uid="{00000000-0005-0000-0000-0000C3020000}"/>
    <cellStyle name="Normal 2 37 11" xfId="719" xr:uid="{00000000-0005-0000-0000-0000C4020000}"/>
    <cellStyle name="Normal 2 37 12" xfId="720" xr:uid="{00000000-0005-0000-0000-0000C5020000}"/>
    <cellStyle name="Normal 2 37 13" xfId="721" xr:uid="{00000000-0005-0000-0000-0000C6020000}"/>
    <cellStyle name="Normal 2 37 14" xfId="722" xr:uid="{00000000-0005-0000-0000-0000C7020000}"/>
    <cellStyle name="Normal 2 37 15" xfId="723" xr:uid="{00000000-0005-0000-0000-0000C8020000}"/>
    <cellStyle name="Normal 2 37 16" xfId="724" xr:uid="{00000000-0005-0000-0000-0000C9020000}"/>
    <cellStyle name="Normal 2 37 17" xfId="725" xr:uid="{00000000-0005-0000-0000-0000CA020000}"/>
    <cellStyle name="Normal 2 37 18" xfId="726" xr:uid="{00000000-0005-0000-0000-0000CB020000}"/>
    <cellStyle name="Normal 2 37 19" xfId="727" xr:uid="{00000000-0005-0000-0000-0000CC020000}"/>
    <cellStyle name="Normal 2 37 2" xfId="728" xr:uid="{00000000-0005-0000-0000-0000CD020000}"/>
    <cellStyle name="Normal 2 37 20" xfId="729" xr:uid="{00000000-0005-0000-0000-0000CE020000}"/>
    <cellStyle name="Normal 2 37 21" xfId="730" xr:uid="{00000000-0005-0000-0000-0000CF020000}"/>
    <cellStyle name="Normal 2 37 22" xfId="731" xr:uid="{00000000-0005-0000-0000-0000D0020000}"/>
    <cellStyle name="Normal 2 37 23" xfId="732" xr:uid="{00000000-0005-0000-0000-0000D1020000}"/>
    <cellStyle name="Normal 2 37 3" xfId="733" xr:uid="{00000000-0005-0000-0000-0000D2020000}"/>
    <cellStyle name="Normal 2 37 4" xfId="734" xr:uid="{00000000-0005-0000-0000-0000D3020000}"/>
    <cellStyle name="Normal 2 37 5" xfId="735" xr:uid="{00000000-0005-0000-0000-0000D4020000}"/>
    <cellStyle name="Normal 2 37 6" xfId="736" xr:uid="{00000000-0005-0000-0000-0000D5020000}"/>
    <cellStyle name="Normal 2 37 7" xfId="737" xr:uid="{00000000-0005-0000-0000-0000D6020000}"/>
    <cellStyle name="Normal 2 37 8" xfId="738" xr:uid="{00000000-0005-0000-0000-0000D7020000}"/>
    <cellStyle name="Normal 2 37 9" xfId="739" xr:uid="{00000000-0005-0000-0000-0000D8020000}"/>
    <cellStyle name="Normal 2 38" xfId="740" xr:uid="{00000000-0005-0000-0000-0000D9020000}"/>
    <cellStyle name="Normal 2 38 10" xfId="741" xr:uid="{00000000-0005-0000-0000-0000DA020000}"/>
    <cellStyle name="Normal 2 38 11" xfId="742" xr:uid="{00000000-0005-0000-0000-0000DB020000}"/>
    <cellStyle name="Normal 2 38 12" xfId="743" xr:uid="{00000000-0005-0000-0000-0000DC020000}"/>
    <cellStyle name="Normal 2 38 13" xfId="744" xr:uid="{00000000-0005-0000-0000-0000DD020000}"/>
    <cellStyle name="Normal 2 38 14" xfId="745" xr:uid="{00000000-0005-0000-0000-0000DE020000}"/>
    <cellStyle name="Normal 2 38 15" xfId="746" xr:uid="{00000000-0005-0000-0000-0000DF020000}"/>
    <cellStyle name="Normal 2 38 16" xfId="747" xr:uid="{00000000-0005-0000-0000-0000E0020000}"/>
    <cellStyle name="Normal 2 38 17" xfId="748" xr:uid="{00000000-0005-0000-0000-0000E1020000}"/>
    <cellStyle name="Normal 2 38 18" xfId="749" xr:uid="{00000000-0005-0000-0000-0000E2020000}"/>
    <cellStyle name="Normal 2 38 19" xfId="750" xr:uid="{00000000-0005-0000-0000-0000E3020000}"/>
    <cellStyle name="Normal 2 38 2" xfId="751" xr:uid="{00000000-0005-0000-0000-0000E4020000}"/>
    <cellStyle name="Normal 2 38 20" xfId="752" xr:uid="{00000000-0005-0000-0000-0000E5020000}"/>
    <cellStyle name="Normal 2 38 21" xfId="753" xr:uid="{00000000-0005-0000-0000-0000E6020000}"/>
    <cellStyle name="Normal 2 38 22" xfId="754" xr:uid="{00000000-0005-0000-0000-0000E7020000}"/>
    <cellStyle name="Normal 2 38 23" xfId="755" xr:uid="{00000000-0005-0000-0000-0000E8020000}"/>
    <cellStyle name="Normal 2 38 3" xfId="756" xr:uid="{00000000-0005-0000-0000-0000E9020000}"/>
    <cellStyle name="Normal 2 38 4" xfId="757" xr:uid="{00000000-0005-0000-0000-0000EA020000}"/>
    <cellStyle name="Normal 2 38 5" xfId="758" xr:uid="{00000000-0005-0000-0000-0000EB020000}"/>
    <cellStyle name="Normal 2 38 6" xfId="759" xr:uid="{00000000-0005-0000-0000-0000EC020000}"/>
    <cellStyle name="Normal 2 38 7" xfId="760" xr:uid="{00000000-0005-0000-0000-0000ED020000}"/>
    <cellStyle name="Normal 2 38 8" xfId="761" xr:uid="{00000000-0005-0000-0000-0000EE020000}"/>
    <cellStyle name="Normal 2 38 9" xfId="762" xr:uid="{00000000-0005-0000-0000-0000EF020000}"/>
    <cellStyle name="Normal 2 39" xfId="763" xr:uid="{00000000-0005-0000-0000-0000F0020000}"/>
    <cellStyle name="Normal 2 39 10" xfId="764" xr:uid="{00000000-0005-0000-0000-0000F1020000}"/>
    <cellStyle name="Normal 2 39 11" xfId="765" xr:uid="{00000000-0005-0000-0000-0000F2020000}"/>
    <cellStyle name="Normal 2 39 12" xfId="766" xr:uid="{00000000-0005-0000-0000-0000F3020000}"/>
    <cellStyle name="Normal 2 39 13" xfId="767" xr:uid="{00000000-0005-0000-0000-0000F4020000}"/>
    <cellStyle name="Normal 2 39 14" xfId="768" xr:uid="{00000000-0005-0000-0000-0000F5020000}"/>
    <cellStyle name="Normal 2 39 15" xfId="769" xr:uid="{00000000-0005-0000-0000-0000F6020000}"/>
    <cellStyle name="Normal 2 39 16" xfId="770" xr:uid="{00000000-0005-0000-0000-0000F7020000}"/>
    <cellStyle name="Normal 2 39 17" xfId="771" xr:uid="{00000000-0005-0000-0000-0000F8020000}"/>
    <cellStyle name="Normal 2 39 18" xfId="772" xr:uid="{00000000-0005-0000-0000-0000F9020000}"/>
    <cellStyle name="Normal 2 39 19" xfId="773" xr:uid="{00000000-0005-0000-0000-0000FA020000}"/>
    <cellStyle name="Normal 2 39 2" xfId="774" xr:uid="{00000000-0005-0000-0000-0000FB020000}"/>
    <cellStyle name="Normal 2 39 20" xfId="775" xr:uid="{00000000-0005-0000-0000-0000FC020000}"/>
    <cellStyle name="Normal 2 39 21" xfId="776" xr:uid="{00000000-0005-0000-0000-0000FD020000}"/>
    <cellStyle name="Normal 2 39 22" xfId="777" xr:uid="{00000000-0005-0000-0000-0000FE020000}"/>
    <cellStyle name="Normal 2 39 23" xfId="778" xr:uid="{00000000-0005-0000-0000-0000FF020000}"/>
    <cellStyle name="Normal 2 39 3" xfId="779" xr:uid="{00000000-0005-0000-0000-000000030000}"/>
    <cellStyle name="Normal 2 39 4" xfId="780" xr:uid="{00000000-0005-0000-0000-000001030000}"/>
    <cellStyle name="Normal 2 39 5" xfId="781" xr:uid="{00000000-0005-0000-0000-000002030000}"/>
    <cellStyle name="Normal 2 39 6" xfId="782" xr:uid="{00000000-0005-0000-0000-000003030000}"/>
    <cellStyle name="Normal 2 39 7" xfId="783" xr:uid="{00000000-0005-0000-0000-000004030000}"/>
    <cellStyle name="Normal 2 39 8" xfId="784" xr:uid="{00000000-0005-0000-0000-000005030000}"/>
    <cellStyle name="Normal 2 39 9" xfId="785" xr:uid="{00000000-0005-0000-0000-000006030000}"/>
    <cellStyle name="Normal 2 4" xfId="786" xr:uid="{00000000-0005-0000-0000-000007030000}"/>
    <cellStyle name="Normal 2 4 2" xfId="2374" xr:uid="{00000000-0005-0000-0000-000011040000}"/>
    <cellStyle name="Normal 2 4 3" xfId="2375" xr:uid="{00000000-0005-0000-0000-000012040000}"/>
    <cellStyle name="Normal 2 40" xfId="787" xr:uid="{00000000-0005-0000-0000-000008030000}"/>
    <cellStyle name="Normal 2 41" xfId="788" xr:uid="{00000000-0005-0000-0000-000009030000}"/>
    <cellStyle name="Normal 2 42" xfId="789" xr:uid="{00000000-0005-0000-0000-00000A030000}"/>
    <cellStyle name="Normal 2 43" xfId="790" xr:uid="{00000000-0005-0000-0000-00000B030000}"/>
    <cellStyle name="Normal 2 44" xfId="791" xr:uid="{00000000-0005-0000-0000-00000C030000}"/>
    <cellStyle name="Normal 2 45" xfId="792" xr:uid="{00000000-0005-0000-0000-00000D030000}"/>
    <cellStyle name="Normal 2 46" xfId="793" xr:uid="{00000000-0005-0000-0000-00000E030000}"/>
    <cellStyle name="Normal 2 47" xfId="794" xr:uid="{00000000-0005-0000-0000-00000F030000}"/>
    <cellStyle name="Normal 2 48" xfId="795" xr:uid="{00000000-0005-0000-0000-000010030000}"/>
    <cellStyle name="Normal 2 49" xfId="796" xr:uid="{00000000-0005-0000-0000-000011030000}"/>
    <cellStyle name="Normal 2 5" xfId="797" xr:uid="{00000000-0005-0000-0000-000012030000}"/>
    <cellStyle name="Normal 2 5 10" xfId="798" xr:uid="{00000000-0005-0000-0000-000013030000}"/>
    <cellStyle name="Normal 2 5 11" xfId="799" xr:uid="{00000000-0005-0000-0000-000014030000}"/>
    <cellStyle name="Normal 2 5 12" xfId="800" xr:uid="{00000000-0005-0000-0000-000015030000}"/>
    <cellStyle name="Normal 2 5 13" xfId="801" xr:uid="{00000000-0005-0000-0000-000016030000}"/>
    <cellStyle name="Normal 2 5 14" xfId="802" xr:uid="{00000000-0005-0000-0000-000017030000}"/>
    <cellStyle name="Normal 2 5 15" xfId="803" xr:uid="{00000000-0005-0000-0000-000018030000}"/>
    <cellStyle name="Normal 2 5 16" xfId="804" xr:uid="{00000000-0005-0000-0000-000019030000}"/>
    <cellStyle name="Normal 2 5 17" xfId="805" xr:uid="{00000000-0005-0000-0000-00001A030000}"/>
    <cellStyle name="Normal 2 5 18" xfId="806" xr:uid="{00000000-0005-0000-0000-00001B030000}"/>
    <cellStyle name="Normal 2 5 19" xfId="807" xr:uid="{00000000-0005-0000-0000-00001C030000}"/>
    <cellStyle name="Normal 2 5 2" xfId="808" xr:uid="{00000000-0005-0000-0000-00001D030000}"/>
    <cellStyle name="Normal 2 5 2 10" xfId="809" xr:uid="{00000000-0005-0000-0000-00001E030000}"/>
    <cellStyle name="Normal 2 5 2 11" xfId="810" xr:uid="{00000000-0005-0000-0000-00001F030000}"/>
    <cellStyle name="Normal 2 5 2 12" xfId="811" xr:uid="{00000000-0005-0000-0000-000020030000}"/>
    <cellStyle name="Normal 2 5 2 13" xfId="812" xr:uid="{00000000-0005-0000-0000-000021030000}"/>
    <cellStyle name="Normal 2 5 2 14" xfId="813" xr:uid="{00000000-0005-0000-0000-000022030000}"/>
    <cellStyle name="Normal 2 5 2 15" xfId="814" xr:uid="{00000000-0005-0000-0000-000023030000}"/>
    <cellStyle name="Normal 2 5 2 16" xfId="815" xr:uid="{00000000-0005-0000-0000-000024030000}"/>
    <cellStyle name="Normal 2 5 2 17" xfId="816" xr:uid="{00000000-0005-0000-0000-000025030000}"/>
    <cellStyle name="Normal 2 5 2 18" xfId="817" xr:uid="{00000000-0005-0000-0000-000026030000}"/>
    <cellStyle name="Normal 2 5 2 19" xfId="818" xr:uid="{00000000-0005-0000-0000-000027030000}"/>
    <cellStyle name="Normal 2 5 2 2" xfId="819" xr:uid="{00000000-0005-0000-0000-000028030000}"/>
    <cellStyle name="Normal 2 5 2 2 10" xfId="820" xr:uid="{00000000-0005-0000-0000-000029030000}"/>
    <cellStyle name="Normal 2 5 2 2 11" xfId="821" xr:uid="{00000000-0005-0000-0000-00002A030000}"/>
    <cellStyle name="Normal 2 5 2 2 12" xfId="822" xr:uid="{00000000-0005-0000-0000-00002B030000}"/>
    <cellStyle name="Normal 2 5 2 2 13" xfId="823" xr:uid="{00000000-0005-0000-0000-00002C030000}"/>
    <cellStyle name="Normal 2 5 2 2 14" xfId="824" xr:uid="{00000000-0005-0000-0000-00002D030000}"/>
    <cellStyle name="Normal 2 5 2 2 15" xfId="825" xr:uid="{00000000-0005-0000-0000-00002E030000}"/>
    <cellStyle name="Normal 2 5 2 2 16" xfId="826" xr:uid="{00000000-0005-0000-0000-00002F030000}"/>
    <cellStyle name="Normal 2 5 2 2 17" xfId="827" xr:uid="{00000000-0005-0000-0000-000030030000}"/>
    <cellStyle name="Normal 2 5 2 2 18" xfId="828" xr:uid="{00000000-0005-0000-0000-000031030000}"/>
    <cellStyle name="Normal 2 5 2 2 19" xfId="829" xr:uid="{00000000-0005-0000-0000-000032030000}"/>
    <cellStyle name="Normal 2 5 2 2 2" xfId="830" xr:uid="{00000000-0005-0000-0000-000033030000}"/>
    <cellStyle name="Normal 2 5 2 2 20" xfId="831" xr:uid="{00000000-0005-0000-0000-000034030000}"/>
    <cellStyle name="Normal 2 5 2 2 21" xfId="832" xr:uid="{00000000-0005-0000-0000-000035030000}"/>
    <cellStyle name="Normal 2 5 2 2 22" xfId="833" xr:uid="{00000000-0005-0000-0000-000036030000}"/>
    <cellStyle name="Normal 2 5 2 2 23" xfId="834" xr:uid="{00000000-0005-0000-0000-000037030000}"/>
    <cellStyle name="Normal 2 5 2 2 24" xfId="835" xr:uid="{00000000-0005-0000-0000-000038030000}"/>
    <cellStyle name="Normal 2 5 2 2 25" xfId="836" xr:uid="{00000000-0005-0000-0000-000039030000}"/>
    <cellStyle name="Normal 2 5 2 2 26" xfId="837" xr:uid="{00000000-0005-0000-0000-00003A030000}"/>
    <cellStyle name="Normal 2 5 2 2 27" xfId="838" xr:uid="{00000000-0005-0000-0000-00003B030000}"/>
    <cellStyle name="Normal 2 5 2 2 28" xfId="839" xr:uid="{00000000-0005-0000-0000-00003C030000}"/>
    <cellStyle name="Normal 2 5 2 2 29" xfId="840" xr:uid="{00000000-0005-0000-0000-00003D030000}"/>
    <cellStyle name="Normal 2 5 2 2 3" xfId="841" xr:uid="{00000000-0005-0000-0000-00003E030000}"/>
    <cellStyle name="Normal 2 5 2 2 30" xfId="842" xr:uid="{00000000-0005-0000-0000-00003F030000}"/>
    <cellStyle name="Normal 2 5 2 2 31" xfId="843" xr:uid="{00000000-0005-0000-0000-000040030000}"/>
    <cellStyle name="Normal 2 5 2 2 32" xfId="844" xr:uid="{00000000-0005-0000-0000-000041030000}"/>
    <cellStyle name="Normal 2 5 2 2 33" xfId="845" xr:uid="{00000000-0005-0000-0000-000042030000}"/>
    <cellStyle name="Normal 2 5 2 2 34" xfId="846" xr:uid="{00000000-0005-0000-0000-000043030000}"/>
    <cellStyle name="Normal 2 5 2 2 35" xfId="847" xr:uid="{00000000-0005-0000-0000-000044030000}"/>
    <cellStyle name="Normal 2 5 2 2 36" xfId="848" xr:uid="{00000000-0005-0000-0000-000045030000}"/>
    <cellStyle name="Normal 2 5 2 2 37" xfId="849" xr:uid="{00000000-0005-0000-0000-000046030000}"/>
    <cellStyle name="Normal 2 5 2 2 38" xfId="850" xr:uid="{00000000-0005-0000-0000-000047030000}"/>
    <cellStyle name="Normal 2 5 2 2 39" xfId="851" xr:uid="{00000000-0005-0000-0000-000048030000}"/>
    <cellStyle name="Normal 2 5 2 2 4" xfId="852" xr:uid="{00000000-0005-0000-0000-000049030000}"/>
    <cellStyle name="Normal 2 5 2 2 40" xfId="853" xr:uid="{00000000-0005-0000-0000-00004A030000}"/>
    <cellStyle name="Normal 2 5 2 2 41" xfId="854" xr:uid="{00000000-0005-0000-0000-00004B030000}"/>
    <cellStyle name="Normal 2 5 2 2 42" xfId="855" xr:uid="{00000000-0005-0000-0000-00004C030000}"/>
    <cellStyle name="Normal 2 5 2 2 43" xfId="856" xr:uid="{00000000-0005-0000-0000-00004D030000}"/>
    <cellStyle name="Normal 2 5 2 2 44" xfId="857" xr:uid="{00000000-0005-0000-0000-00004E030000}"/>
    <cellStyle name="Normal 2 5 2 2 45" xfId="858" xr:uid="{00000000-0005-0000-0000-00004F030000}"/>
    <cellStyle name="Normal 2 5 2 2 46" xfId="859" xr:uid="{00000000-0005-0000-0000-000050030000}"/>
    <cellStyle name="Normal 2 5 2 2 47" xfId="860" xr:uid="{00000000-0005-0000-0000-000051030000}"/>
    <cellStyle name="Normal 2 5 2 2 48" xfId="861" xr:uid="{00000000-0005-0000-0000-000052030000}"/>
    <cellStyle name="Normal 2 5 2 2 49" xfId="862" xr:uid="{00000000-0005-0000-0000-000053030000}"/>
    <cellStyle name="Normal 2 5 2 2 5" xfId="863" xr:uid="{00000000-0005-0000-0000-000054030000}"/>
    <cellStyle name="Normal 2 5 2 2 50" xfId="864" xr:uid="{00000000-0005-0000-0000-000055030000}"/>
    <cellStyle name="Normal 2 5 2 2 51" xfId="865" xr:uid="{00000000-0005-0000-0000-000056030000}"/>
    <cellStyle name="Normal 2 5 2 2 52" xfId="866" xr:uid="{00000000-0005-0000-0000-000057030000}"/>
    <cellStyle name="Normal 2 5 2 2 53" xfId="867" xr:uid="{00000000-0005-0000-0000-000058030000}"/>
    <cellStyle name="Normal 2 5 2 2 54" xfId="868" xr:uid="{00000000-0005-0000-0000-000059030000}"/>
    <cellStyle name="Normal 2 5 2 2 55" xfId="869" xr:uid="{00000000-0005-0000-0000-00005A030000}"/>
    <cellStyle name="Normal 2 5 2 2 6" xfId="870" xr:uid="{00000000-0005-0000-0000-00005B030000}"/>
    <cellStyle name="Normal 2 5 2 2 7" xfId="871" xr:uid="{00000000-0005-0000-0000-00005C030000}"/>
    <cellStyle name="Normal 2 5 2 2 8" xfId="872" xr:uid="{00000000-0005-0000-0000-00005D030000}"/>
    <cellStyle name="Normal 2 5 2 2 9" xfId="873" xr:uid="{00000000-0005-0000-0000-00005E030000}"/>
    <cellStyle name="Normal 2 5 2 20" xfId="874" xr:uid="{00000000-0005-0000-0000-00005F030000}"/>
    <cellStyle name="Normal 2 5 2 21" xfId="875" xr:uid="{00000000-0005-0000-0000-000060030000}"/>
    <cellStyle name="Normal 2 5 2 22" xfId="876" xr:uid="{00000000-0005-0000-0000-000061030000}"/>
    <cellStyle name="Normal 2 5 2 23" xfId="877" xr:uid="{00000000-0005-0000-0000-000062030000}"/>
    <cellStyle name="Normal 2 5 2 24" xfId="878" xr:uid="{00000000-0005-0000-0000-000063030000}"/>
    <cellStyle name="Normal 2 5 2 25" xfId="879" xr:uid="{00000000-0005-0000-0000-000064030000}"/>
    <cellStyle name="Normal 2 5 2 26" xfId="880" xr:uid="{00000000-0005-0000-0000-000065030000}"/>
    <cellStyle name="Normal 2 5 2 27" xfId="881" xr:uid="{00000000-0005-0000-0000-000066030000}"/>
    <cellStyle name="Normal 2 5 2 28" xfId="882" xr:uid="{00000000-0005-0000-0000-000067030000}"/>
    <cellStyle name="Normal 2 5 2 29" xfId="883" xr:uid="{00000000-0005-0000-0000-000068030000}"/>
    <cellStyle name="Normal 2 5 2 3" xfId="884" xr:uid="{00000000-0005-0000-0000-000069030000}"/>
    <cellStyle name="Normal 2 5 2 30" xfId="885" xr:uid="{00000000-0005-0000-0000-00006A030000}"/>
    <cellStyle name="Normal 2 5 2 31" xfId="886" xr:uid="{00000000-0005-0000-0000-00006B030000}"/>
    <cellStyle name="Normal 2 5 2 32" xfId="887" xr:uid="{00000000-0005-0000-0000-00006C030000}"/>
    <cellStyle name="Normal 2 5 2 33" xfId="888" xr:uid="{00000000-0005-0000-0000-00006D030000}"/>
    <cellStyle name="Normal 2 5 2 4" xfId="889" xr:uid="{00000000-0005-0000-0000-00006E030000}"/>
    <cellStyle name="Normal 2 5 2 5" xfId="890" xr:uid="{00000000-0005-0000-0000-00006F030000}"/>
    <cellStyle name="Normal 2 5 2 6" xfId="891" xr:uid="{00000000-0005-0000-0000-000070030000}"/>
    <cellStyle name="Normal 2 5 2 7" xfId="892" xr:uid="{00000000-0005-0000-0000-000071030000}"/>
    <cellStyle name="Normal 2 5 2 8" xfId="893" xr:uid="{00000000-0005-0000-0000-000072030000}"/>
    <cellStyle name="Normal 2 5 2 9" xfId="894" xr:uid="{00000000-0005-0000-0000-000073030000}"/>
    <cellStyle name="Normal 2 5 20" xfId="895" xr:uid="{00000000-0005-0000-0000-000074030000}"/>
    <cellStyle name="Normal 2 5 21" xfId="896" xr:uid="{00000000-0005-0000-0000-000075030000}"/>
    <cellStyle name="Normal 2 5 22" xfId="897" xr:uid="{00000000-0005-0000-0000-000076030000}"/>
    <cellStyle name="Normal 2 5 23" xfId="898" xr:uid="{00000000-0005-0000-0000-000077030000}"/>
    <cellStyle name="Normal 2 5 24" xfId="899" xr:uid="{00000000-0005-0000-0000-000078030000}"/>
    <cellStyle name="Normal 2 5 25" xfId="900" xr:uid="{00000000-0005-0000-0000-000079030000}"/>
    <cellStyle name="Normal 2 5 26" xfId="901" xr:uid="{00000000-0005-0000-0000-00007A030000}"/>
    <cellStyle name="Normal 2 5 27" xfId="902" xr:uid="{00000000-0005-0000-0000-00007B030000}"/>
    <cellStyle name="Normal 2 5 28" xfId="903" xr:uid="{00000000-0005-0000-0000-00007C030000}"/>
    <cellStyle name="Normal 2 5 29" xfId="904" xr:uid="{00000000-0005-0000-0000-00007D030000}"/>
    <cellStyle name="Normal 2 5 3" xfId="905" xr:uid="{00000000-0005-0000-0000-00007E030000}"/>
    <cellStyle name="Normal 2 5 30" xfId="906" xr:uid="{00000000-0005-0000-0000-00007F030000}"/>
    <cellStyle name="Normal 2 5 31" xfId="907" xr:uid="{00000000-0005-0000-0000-000080030000}"/>
    <cellStyle name="Normal 2 5 32" xfId="908" xr:uid="{00000000-0005-0000-0000-000081030000}"/>
    <cellStyle name="Normal 2 5 33" xfId="909" xr:uid="{00000000-0005-0000-0000-000082030000}"/>
    <cellStyle name="Normal 2 5 34" xfId="910" xr:uid="{00000000-0005-0000-0000-000083030000}"/>
    <cellStyle name="Normal 2 5 35" xfId="911" xr:uid="{00000000-0005-0000-0000-000084030000}"/>
    <cellStyle name="Normal 2 5 36" xfId="912" xr:uid="{00000000-0005-0000-0000-000085030000}"/>
    <cellStyle name="Normal 2 5 37" xfId="913" xr:uid="{00000000-0005-0000-0000-000086030000}"/>
    <cellStyle name="Normal 2 5 38" xfId="914" xr:uid="{00000000-0005-0000-0000-000087030000}"/>
    <cellStyle name="Normal 2 5 39" xfId="915" xr:uid="{00000000-0005-0000-0000-000088030000}"/>
    <cellStyle name="Normal 2 5 4" xfId="916" xr:uid="{00000000-0005-0000-0000-000089030000}"/>
    <cellStyle name="Normal 2 5 40" xfId="917" xr:uid="{00000000-0005-0000-0000-00008A030000}"/>
    <cellStyle name="Normal 2 5 41" xfId="918" xr:uid="{00000000-0005-0000-0000-00008B030000}"/>
    <cellStyle name="Normal 2 5 42" xfId="919" xr:uid="{00000000-0005-0000-0000-00008C030000}"/>
    <cellStyle name="Normal 2 5 43" xfId="920" xr:uid="{00000000-0005-0000-0000-00008D030000}"/>
    <cellStyle name="Normal 2 5 44" xfId="921" xr:uid="{00000000-0005-0000-0000-00008E030000}"/>
    <cellStyle name="Normal 2 5 45" xfId="922" xr:uid="{00000000-0005-0000-0000-00008F030000}"/>
    <cellStyle name="Normal 2 5 46" xfId="923" xr:uid="{00000000-0005-0000-0000-000090030000}"/>
    <cellStyle name="Normal 2 5 47" xfId="924" xr:uid="{00000000-0005-0000-0000-000091030000}"/>
    <cellStyle name="Normal 2 5 48" xfId="925" xr:uid="{00000000-0005-0000-0000-000092030000}"/>
    <cellStyle name="Normal 2 5 49" xfId="926" xr:uid="{00000000-0005-0000-0000-000093030000}"/>
    <cellStyle name="Normal 2 5 5" xfId="927" xr:uid="{00000000-0005-0000-0000-000094030000}"/>
    <cellStyle name="Normal 2 5 50" xfId="928" xr:uid="{00000000-0005-0000-0000-000095030000}"/>
    <cellStyle name="Normal 2 5 51" xfId="929" xr:uid="{00000000-0005-0000-0000-000096030000}"/>
    <cellStyle name="Normal 2 5 52" xfId="930" xr:uid="{00000000-0005-0000-0000-000097030000}"/>
    <cellStyle name="Normal 2 5 53" xfId="931" xr:uid="{00000000-0005-0000-0000-000098030000}"/>
    <cellStyle name="Normal 2 5 54" xfId="932" xr:uid="{00000000-0005-0000-0000-000099030000}"/>
    <cellStyle name="Normal 2 5 55" xfId="933" xr:uid="{00000000-0005-0000-0000-00009A030000}"/>
    <cellStyle name="Normal 2 5 56" xfId="934" xr:uid="{00000000-0005-0000-0000-00009B030000}"/>
    <cellStyle name="Normal 2 5 57" xfId="935" xr:uid="{00000000-0005-0000-0000-00009C030000}"/>
    <cellStyle name="Normal 2 5 58" xfId="936" xr:uid="{00000000-0005-0000-0000-00009D030000}"/>
    <cellStyle name="Normal 2 5 59" xfId="937" xr:uid="{00000000-0005-0000-0000-00009E030000}"/>
    <cellStyle name="Normal 2 5 6" xfId="938" xr:uid="{00000000-0005-0000-0000-00009F030000}"/>
    <cellStyle name="Normal 2 5 60" xfId="939" xr:uid="{00000000-0005-0000-0000-0000A0030000}"/>
    <cellStyle name="Normal 2 5 61" xfId="940" xr:uid="{00000000-0005-0000-0000-0000A1030000}"/>
    <cellStyle name="Normal 2 5 62" xfId="941" xr:uid="{00000000-0005-0000-0000-0000A2030000}"/>
    <cellStyle name="Normal 2 5 63" xfId="942" xr:uid="{00000000-0005-0000-0000-0000A3030000}"/>
    <cellStyle name="Normal 2 5 64" xfId="943" xr:uid="{00000000-0005-0000-0000-0000A4030000}"/>
    <cellStyle name="Normal 2 5 65" xfId="944" xr:uid="{00000000-0005-0000-0000-0000A5030000}"/>
    <cellStyle name="Normal 2 5 66" xfId="945" xr:uid="{00000000-0005-0000-0000-0000A6030000}"/>
    <cellStyle name="Normal 2 5 67" xfId="946" xr:uid="{00000000-0005-0000-0000-0000A7030000}"/>
    <cellStyle name="Normal 2 5 68" xfId="947" xr:uid="{00000000-0005-0000-0000-0000A8030000}"/>
    <cellStyle name="Normal 2 5 69" xfId="948" xr:uid="{00000000-0005-0000-0000-0000A9030000}"/>
    <cellStyle name="Normal 2 5 7" xfId="949" xr:uid="{00000000-0005-0000-0000-0000AA030000}"/>
    <cellStyle name="Normal 2 5 70" xfId="950" xr:uid="{00000000-0005-0000-0000-0000AB030000}"/>
    <cellStyle name="Normal 2 5 71" xfId="951" xr:uid="{00000000-0005-0000-0000-0000AC030000}"/>
    <cellStyle name="Normal 2 5 72" xfId="952" xr:uid="{00000000-0005-0000-0000-0000AD030000}"/>
    <cellStyle name="Normal 2 5 73" xfId="953" xr:uid="{00000000-0005-0000-0000-0000AE030000}"/>
    <cellStyle name="Normal 2 5 74" xfId="954" xr:uid="{00000000-0005-0000-0000-0000AF030000}"/>
    <cellStyle name="Normal 2 5 75" xfId="955" xr:uid="{00000000-0005-0000-0000-0000B0030000}"/>
    <cellStyle name="Normal 2 5 76" xfId="956" xr:uid="{00000000-0005-0000-0000-0000B1030000}"/>
    <cellStyle name="Normal 2 5 77" xfId="957" xr:uid="{00000000-0005-0000-0000-0000B2030000}"/>
    <cellStyle name="Normal 2 5 78" xfId="958" xr:uid="{00000000-0005-0000-0000-0000B3030000}"/>
    <cellStyle name="Normal 2 5 79" xfId="959" xr:uid="{00000000-0005-0000-0000-0000B4030000}"/>
    <cellStyle name="Normal 2 5 8" xfId="960" xr:uid="{00000000-0005-0000-0000-0000B5030000}"/>
    <cellStyle name="Normal 2 5 80" xfId="961" xr:uid="{00000000-0005-0000-0000-0000B6030000}"/>
    <cellStyle name="Normal 2 5 81" xfId="962" xr:uid="{00000000-0005-0000-0000-0000B7030000}"/>
    <cellStyle name="Normal 2 5 82" xfId="963" xr:uid="{00000000-0005-0000-0000-0000B8030000}"/>
    <cellStyle name="Normal 2 5 83" xfId="964" xr:uid="{00000000-0005-0000-0000-0000B9030000}"/>
    <cellStyle name="Normal 2 5 84" xfId="965" xr:uid="{00000000-0005-0000-0000-0000BA030000}"/>
    <cellStyle name="Normal 2 5 85" xfId="966" xr:uid="{00000000-0005-0000-0000-0000BB030000}"/>
    <cellStyle name="Normal 2 5 86" xfId="967" xr:uid="{00000000-0005-0000-0000-0000BC030000}"/>
    <cellStyle name="Normal 2 5 87" xfId="968" xr:uid="{00000000-0005-0000-0000-0000BD030000}"/>
    <cellStyle name="Normal 2 5 88" xfId="2376" xr:uid="{00000000-0005-0000-0000-0000C9040000}"/>
    <cellStyle name="Normal 2 5 9" xfId="969" xr:uid="{00000000-0005-0000-0000-0000BE030000}"/>
    <cellStyle name="Normal 2 5_DEER 032008 Cost Summary Delivery - Rev 4 (2)" xfId="970" xr:uid="{00000000-0005-0000-0000-0000BF030000}"/>
    <cellStyle name="Normal 2 50" xfId="971" xr:uid="{00000000-0005-0000-0000-0000C0030000}"/>
    <cellStyle name="Normal 2 51" xfId="972" xr:uid="{00000000-0005-0000-0000-0000C1030000}"/>
    <cellStyle name="Normal 2 52" xfId="973" xr:uid="{00000000-0005-0000-0000-0000C2030000}"/>
    <cellStyle name="Normal 2 53" xfId="974" xr:uid="{00000000-0005-0000-0000-0000C3030000}"/>
    <cellStyle name="Normal 2 54" xfId="975" xr:uid="{00000000-0005-0000-0000-0000C4030000}"/>
    <cellStyle name="Normal 2 55" xfId="976" xr:uid="{00000000-0005-0000-0000-0000C5030000}"/>
    <cellStyle name="Normal 2 56" xfId="977" xr:uid="{00000000-0005-0000-0000-0000C6030000}"/>
    <cellStyle name="Normal 2 57" xfId="978" xr:uid="{00000000-0005-0000-0000-0000C7030000}"/>
    <cellStyle name="Normal 2 58" xfId="979" xr:uid="{00000000-0005-0000-0000-0000C8030000}"/>
    <cellStyle name="Normal 2 59" xfId="980" xr:uid="{00000000-0005-0000-0000-0000C9030000}"/>
    <cellStyle name="Normal 2 6" xfId="981" xr:uid="{00000000-0005-0000-0000-0000CA030000}"/>
    <cellStyle name="Normal 2 6 2" xfId="2377" xr:uid="{00000000-0005-0000-0000-0000D7040000}"/>
    <cellStyle name="Normal 2 60" xfId="982" xr:uid="{00000000-0005-0000-0000-0000CB030000}"/>
    <cellStyle name="Normal 2 61" xfId="983" xr:uid="{00000000-0005-0000-0000-0000CC030000}"/>
    <cellStyle name="Normal 2 62" xfId="984" xr:uid="{00000000-0005-0000-0000-0000CD030000}"/>
    <cellStyle name="Normal 2 63" xfId="985" xr:uid="{00000000-0005-0000-0000-0000CE030000}"/>
    <cellStyle name="Normal 2 64" xfId="986" xr:uid="{00000000-0005-0000-0000-0000CF030000}"/>
    <cellStyle name="Normal 2 65" xfId="987" xr:uid="{00000000-0005-0000-0000-0000D0030000}"/>
    <cellStyle name="Normal 2 66" xfId="988" xr:uid="{00000000-0005-0000-0000-0000D1030000}"/>
    <cellStyle name="Normal 2 67" xfId="989" xr:uid="{00000000-0005-0000-0000-0000D2030000}"/>
    <cellStyle name="Normal 2 68" xfId="990" xr:uid="{00000000-0005-0000-0000-0000D3030000}"/>
    <cellStyle name="Normal 2 69" xfId="991" xr:uid="{00000000-0005-0000-0000-0000D4030000}"/>
    <cellStyle name="Normal 2 7" xfId="992" xr:uid="{00000000-0005-0000-0000-0000D5030000}"/>
    <cellStyle name="Normal 2 70" xfId="993" xr:uid="{00000000-0005-0000-0000-0000D6030000}"/>
    <cellStyle name="Normal 2 71" xfId="994" xr:uid="{00000000-0005-0000-0000-0000D7030000}"/>
    <cellStyle name="Normal 2 72" xfId="995" xr:uid="{00000000-0005-0000-0000-0000D8030000}"/>
    <cellStyle name="Normal 2 73" xfId="996" xr:uid="{00000000-0005-0000-0000-0000D9030000}"/>
    <cellStyle name="Normal 2 74" xfId="997" xr:uid="{00000000-0005-0000-0000-0000DA030000}"/>
    <cellStyle name="Normal 2 75" xfId="998" xr:uid="{00000000-0005-0000-0000-0000DB030000}"/>
    <cellStyle name="Normal 2 76" xfId="999" xr:uid="{00000000-0005-0000-0000-0000DC030000}"/>
    <cellStyle name="Normal 2 77" xfId="1000" xr:uid="{00000000-0005-0000-0000-0000DD030000}"/>
    <cellStyle name="Normal 2 78" xfId="1001" xr:uid="{00000000-0005-0000-0000-0000DE030000}"/>
    <cellStyle name="Normal 2 79" xfId="1002" xr:uid="{00000000-0005-0000-0000-0000DF030000}"/>
    <cellStyle name="Normal 2 8" xfId="1003" xr:uid="{00000000-0005-0000-0000-0000E0030000}"/>
    <cellStyle name="Normal 2 8 10" xfId="1004" xr:uid="{00000000-0005-0000-0000-0000E1030000}"/>
    <cellStyle name="Normal 2 8 11" xfId="1005" xr:uid="{00000000-0005-0000-0000-0000E2030000}"/>
    <cellStyle name="Normal 2 8 12" xfId="1006" xr:uid="{00000000-0005-0000-0000-0000E3030000}"/>
    <cellStyle name="Normal 2 8 13" xfId="1007" xr:uid="{00000000-0005-0000-0000-0000E4030000}"/>
    <cellStyle name="Normal 2 8 14" xfId="1008" xr:uid="{00000000-0005-0000-0000-0000E5030000}"/>
    <cellStyle name="Normal 2 8 15" xfId="1009" xr:uid="{00000000-0005-0000-0000-0000E6030000}"/>
    <cellStyle name="Normal 2 8 16" xfId="1010" xr:uid="{00000000-0005-0000-0000-0000E7030000}"/>
    <cellStyle name="Normal 2 8 17" xfId="1011" xr:uid="{00000000-0005-0000-0000-0000E8030000}"/>
    <cellStyle name="Normal 2 8 18" xfId="1012" xr:uid="{00000000-0005-0000-0000-0000E9030000}"/>
    <cellStyle name="Normal 2 8 19" xfId="1013" xr:uid="{00000000-0005-0000-0000-0000EA030000}"/>
    <cellStyle name="Normal 2 8 2" xfId="1014" xr:uid="{00000000-0005-0000-0000-0000EB030000}"/>
    <cellStyle name="Normal 2 8 20" xfId="1015" xr:uid="{00000000-0005-0000-0000-0000EC030000}"/>
    <cellStyle name="Normal 2 8 21" xfId="1016" xr:uid="{00000000-0005-0000-0000-0000ED030000}"/>
    <cellStyle name="Normal 2 8 22" xfId="1017" xr:uid="{00000000-0005-0000-0000-0000EE030000}"/>
    <cellStyle name="Normal 2 8 23" xfId="1018" xr:uid="{00000000-0005-0000-0000-0000EF030000}"/>
    <cellStyle name="Normal 2 8 3" xfId="1019" xr:uid="{00000000-0005-0000-0000-0000F0030000}"/>
    <cellStyle name="Normal 2 8 4" xfId="1020" xr:uid="{00000000-0005-0000-0000-0000F1030000}"/>
    <cellStyle name="Normal 2 8 5" xfId="1021" xr:uid="{00000000-0005-0000-0000-0000F2030000}"/>
    <cellStyle name="Normal 2 8 6" xfId="1022" xr:uid="{00000000-0005-0000-0000-0000F3030000}"/>
    <cellStyle name="Normal 2 8 7" xfId="1023" xr:uid="{00000000-0005-0000-0000-0000F4030000}"/>
    <cellStyle name="Normal 2 8 8" xfId="1024" xr:uid="{00000000-0005-0000-0000-0000F5030000}"/>
    <cellStyle name="Normal 2 8 9" xfId="1025" xr:uid="{00000000-0005-0000-0000-0000F6030000}"/>
    <cellStyle name="Normal 2 80" xfId="1026" xr:uid="{00000000-0005-0000-0000-0000F7030000}"/>
    <cellStyle name="Normal 2 81" xfId="1027" xr:uid="{00000000-0005-0000-0000-0000F8030000}"/>
    <cellStyle name="Normal 2 82" xfId="1028" xr:uid="{00000000-0005-0000-0000-0000F9030000}"/>
    <cellStyle name="Normal 2 83" xfId="1029" xr:uid="{00000000-0005-0000-0000-0000FA030000}"/>
    <cellStyle name="Normal 2 84" xfId="1030" xr:uid="{00000000-0005-0000-0000-0000FB030000}"/>
    <cellStyle name="Normal 2 85" xfId="1031" xr:uid="{00000000-0005-0000-0000-0000FC030000}"/>
    <cellStyle name="Normal 2 86" xfId="1032" xr:uid="{00000000-0005-0000-0000-0000FD030000}"/>
    <cellStyle name="Normal 2 87" xfId="1033" xr:uid="{00000000-0005-0000-0000-0000FE030000}"/>
    <cellStyle name="Normal 2 88" xfId="1034" xr:uid="{00000000-0005-0000-0000-0000FF030000}"/>
    <cellStyle name="Normal 2 89" xfId="1035" xr:uid="{00000000-0005-0000-0000-000000040000}"/>
    <cellStyle name="Normal 2 9" xfId="1036" xr:uid="{00000000-0005-0000-0000-000001040000}"/>
    <cellStyle name="Normal 2 9 10" xfId="1037" xr:uid="{00000000-0005-0000-0000-000002040000}"/>
    <cellStyle name="Normal 2 9 11" xfId="1038" xr:uid="{00000000-0005-0000-0000-000003040000}"/>
    <cellStyle name="Normal 2 9 12" xfId="1039" xr:uid="{00000000-0005-0000-0000-000004040000}"/>
    <cellStyle name="Normal 2 9 13" xfId="1040" xr:uid="{00000000-0005-0000-0000-000005040000}"/>
    <cellStyle name="Normal 2 9 14" xfId="1041" xr:uid="{00000000-0005-0000-0000-000006040000}"/>
    <cellStyle name="Normal 2 9 15" xfId="1042" xr:uid="{00000000-0005-0000-0000-000007040000}"/>
    <cellStyle name="Normal 2 9 16" xfId="1043" xr:uid="{00000000-0005-0000-0000-000008040000}"/>
    <cellStyle name="Normal 2 9 17" xfId="1044" xr:uid="{00000000-0005-0000-0000-000009040000}"/>
    <cellStyle name="Normal 2 9 18" xfId="1045" xr:uid="{00000000-0005-0000-0000-00000A040000}"/>
    <cellStyle name="Normal 2 9 19" xfId="1046" xr:uid="{00000000-0005-0000-0000-00000B040000}"/>
    <cellStyle name="Normal 2 9 2" xfId="1047" xr:uid="{00000000-0005-0000-0000-00000C040000}"/>
    <cellStyle name="Normal 2 9 20" xfId="1048" xr:uid="{00000000-0005-0000-0000-00000D040000}"/>
    <cellStyle name="Normal 2 9 21" xfId="1049" xr:uid="{00000000-0005-0000-0000-00000E040000}"/>
    <cellStyle name="Normal 2 9 22" xfId="1050" xr:uid="{00000000-0005-0000-0000-00000F040000}"/>
    <cellStyle name="Normal 2 9 23" xfId="1051" xr:uid="{00000000-0005-0000-0000-000010040000}"/>
    <cellStyle name="Normal 2 9 3" xfId="1052" xr:uid="{00000000-0005-0000-0000-000011040000}"/>
    <cellStyle name="Normal 2 9 4" xfId="1053" xr:uid="{00000000-0005-0000-0000-000012040000}"/>
    <cellStyle name="Normal 2 9 5" xfId="1054" xr:uid="{00000000-0005-0000-0000-000013040000}"/>
    <cellStyle name="Normal 2 9 6" xfId="1055" xr:uid="{00000000-0005-0000-0000-000014040000}"/>
    <cellStyle name="Normal 2 9 7" xfId="1056" xr:uid="{00000000-0005-0000-0000-000015040000}"/>
    <cellStyle name="Normal 2 9 8" xfId="1057" xr:uid="{00000000-0005-0000-0000-000016040000}"/>
    <cellStyle name="Normal 2 9 9" xfId="1058" xr:uid="{00000000-0005-0000-0000-000017040000}"/>
    <cellStyle name="Normal 2 90" xfId="1059" xr:uid="{00000000-0005-0000-0000-000018040000}"/>
    <cellStyle name="Normal 2 91" xfId="1060" xr:uid="{00000000-0005-0000-0000-000019040000}"/>
    <cellStyle name="Normal 2 92" xfId="1061" xr:uid="{00000000-0005-0000-0000-00001A040000}"/>
    <cellStyle name="Normal 2 93" xfId="1062" xr:uid="{00000000-0005-0000-0000-00001B040000}"/>
    <cellStyle name="Normal 2 94" xfId="55" xr:uid="{00000000-0005-0000-0000-00001C040000}"/>
    <cellStyle name="Normal 2 95" xfId="2063" xr:uid="{00000000-0005-0000-0000-00004C010000}"/>
    <cellStyle name="Normal 2_DEER 032008 Cost Summary Delivery - Rev 4 (2)" xfId="1063" xr:uid="{00000000-0005-0000-0000-00001D040000}"/>
    <cellStyle name="Normal 20" xfId="2378" xr:uid="{00000000-0005-0000-0000-00002B050000}"/>
    <cellStyle name="Normal 21" xfId="2379" xr:uid="{00000000-0005-0000-0000-00002C050000}"/>
    <cellStyle name="Normal 22" xfId="2380" xr:uid="{00000000-0005-0000-0000-00002D050000}"/>
    <cellStyle name="Normal 23" xfId="2381" xr:uid="{00000000-0005-0000-0000-00002E050000}"/>
    <cellStyle name="Normal 24" xfId="2382" xr:uid="{00000000-0005-0000-0000-00002F050000}"/>
    <cellStyle name="Normal 3" xfId="51" xr:uid="{00000000-0005-0000-0000-00001E040000}"/>
    <cellStyle name="Normal 3 10" xfId="1065" xr:uid="{00000000-0005-0000-0000-00001F040000}"/>
    <cellStyle name="Normal 3 10 10" xfId="1066" xr:uid="{00000000-0005-0000-0000-000020040000}"/>
    <cellStyle name="Normal 3 10 11" xfId="1067" xr:uid="{00000000-0005-0000-0000-000021040000}"/>
    <cellStyle name="Normal 3 10 12" xfId="1068" xr:uid="{00000000-0005-0000-0000-000022040000}"/>
    <cellStyle name="Normal 3 10 13" xfId="1069" xr:uid="{00000000-0005-0000-0000-000023040000}"/>
    <cellStyle name="Normal 3 10 14" xfId="1070" xr:uid="{00000000-0005-0000-0000-000024040000}"/>
    <cellStyle name="Normal 3 10 15" xfId="1071" xr:uid="{00000000-0005-0000-0000-000025040000}"/>
    <cellStyle name="Normal 3 10 16" xfId="1072" xr:uid="{00000000-0005-0000-0000-000026040000}"/>
    <cellStyle name="Normal 3 10 17" xfId="1073" xr:uid="{00000000-0005-0000-0000-000027040000}"/>
    <cellStyle name="Normal 3 10 18" xfId="1074" xr:uid="{00000000-0005-0000-0000-000028040000}"/>
    <cellStyle name="Normal 3 10 19" xfId="1075" xr:uid="{00000000-0005-0000-0000-000029040000}"/>
    <cellStyle name="Normal 3 10 2" xfId="1076" xr:uid="{00000000-0005-0000-0000-00002A040000}"/>
    <cellStyle name="Normal 3 10 20" xfId="1077" xr:uid="{00000000-0005-0000-0000-00002B040000}"/>
    <cellStyle name="Normal 3 10 21" xfId="1078" xr:uid="{00000000-0005-0000-0000-00002C040000}"/>
    <cellStyle name="Normal 3 10 22" xfId="1079" xr:uid="{00000000-0005-0000-0000-00002D040000}"/>
    <cellStyle name="Normal 3 10 23" xfId="1080" xr:uid="{00000000-0005-0000-0000-00002E040000}"/>
    <cellStyle name="Normal 3 10 3" xfId="1081" xr:uid="{00000000-0005-0000-0000-00002F040000}"/>
    <cellStyle name="Normal 3 10 4" xfId="1082" xr:uid="{00000000-0005-0000-0000-000030040000}"/>
    <cellStyle name="Normal 3 10 5" xfId="1083" xr:uid="{00000000-0005-0000-0000-000031040000}"/>
    <cellStyle name="Normal 3 10 6" xfId="1084" xr:uid="{00000000-0005-0000-0000-000032040000}"/>
    <cellStyle name="Normal 3 10 7" xfId="1085" xr:uid="{00000000-0005-0000-0000-000033040000}"/>
    <cellStyle name="Normal 3 10 8" xfId="1086" xr:uid="{00000000-0005-0000-0000-000034040000}"/>
    <cellStyle name="Normal 3 10 9" xfId="1087" xr:uid="{00000000-0005-0000-0000-000035040000}"/>
    <cellStyle name="Normal 3 11" xfId="1088" xr:uid="{00000000-0005-0000-0000-000036040000}"/>
    <cellStyle name="Normal 3 11 10" xfId="1089" xr:uid="{00000000-0005-0000-0000-000037040000}"/>
    <cellStyle name="Normal 3 11 11" xfId="1090" xr:uid="{00000000-0005-0000-0000-000038040000}"/>
    <cellStyle name="Normal 3 11 12" xfId="1091" xr:uid="{00000000-0005-0000-0000-000039040000}"/>
    <cellStyle name="Normal 3 11 13" xfId="1092" xr:uid="{00000000-0005-0000-0000-00003A040000}"/>
    <cellStyle name="Normal 3 11 14" xfId="1093" xr:uid="{00000000-0005-0000-0000-00003B040000}"/>
    <cellStyle name="Normal 3 11 15" xfId="1094" xr:uid="{00000000-0005-0000-0000-00003C040000}"/>
    <cellStyle name="Normal 3 11 16" xfId="1095" xr:uid="{00000000-0005-0000-0000-00003D040000}"/>
    <cellStyle name="Normal 3 11 17" xfId="1096" xr:uid="{00000000-0005-0000-0000-00003E040000}"/>
    <cellStyle name="Normal 3 11 18" xfId="1097" xr:uid="{00000000-0005-0000-0000-00003F040000}"/>
    <cellStyle name="Normal 3 11 19" xfId="1098" xr:uid="{00000000-0005-0000-0000-000040040000}"/>
    <cellStyle name="Normal 3 11 2" xfId="1099" xr:uid="{00000000-0005-0000-0000-000041040000}"/>
    <cellStyle name="Normal 3 11 20" xfId="1100" xr:uid="{00000000-0005-0000-0000-000042040000}"/>
    <cellStyle name="Normal 3 11 21" xfId="1101" xr:uid="{00000000-0005-0000-0000-000043040000}"/>
    <cellStyle name="Normal 3 11 22" xfId="1102" xr:uid="{00000000-0005-0000-0000-000044040000}"/>
    <cellStyle name="Normal 3 11 23" xfId="1103" xr:uid="{00000000-0005-0000-0000-000045040000}"/>
    <cellStyle name="Normal 3 11 24" xfId="2383" xr:uid="{00000000-0005-0000-0000-000048050000}"/>
    <cellStyle name="Normal 3 11 3" xfId="1104" xr:uid="{00000000-0005-0000-0000-000046040000}"/>
    <cellStyle name="Normal 3 11 4" xfId="1105" xr:uid="{00000000-0005-0000-0000-000047040000}"/>
    <cellStyle name="Normal 3 11 5" xfId="1106" xr:uid="{00000000-0005-0000-0000-000048040000}"/>
    <cellStyle name="Normal 3 11 6" xfId="1107" xr:uid="{00000000-0005-0000-0000-000049040000}"/>
    <cellStyle name="Normal 3 11 7" xfId="1108" xr:uid="{00000000-0005-0000-0000-00004A040000}"/>
    <cellStyle name="Normal 3 11 8" xfId="1109" xr:uid="{00000000-0005-0000-0000-00004B040000}"/>
    <cellStyle name="Normal 3 11 9" xfId="1110" xr:uid="{00000000-0005-0000-0000-00004C040000}"/>
    <cellStyle name="Normal 3 12" xfId="1111" xr:uid="{00000000-0005-0000-0000-00004D040000}"/>
    <cellStyle name="Normal 3 12 10" xfId="1112" xr:uid="{00000000-0005-0000-0000-00004E040000}"/>
    <cellStyle name="Normal 3 12 11" xfId="1113" xr:uid="{00000000-0005-0000-0000-00004F040000}"/>
    <cellStyle name="Normal 3 12 12" xfId="1114" xr:uid="{00000000-0005-0000-0000-000050040000}"/>
    <cellStyle name="Normal 3 12 13" xfId="1115" xr:uid="{00000000-0005-0000-0000-000051040000}"/>
    <cellStyle name="Normal 3 12 14" xfId="1116" xr:uid="{00000000-0005-0000-0000-000052040000}"/>
    <cellStyle name="Normal 3 12 15" xfId="1117" xr:uid="{00000000-0005-0000-0000-000053040000}"/>
    <cellStyle name="Normal 3 12 16" xfId="1118" xr:uid="{00000000-0005-0000-0000-000054040000}"/>
    <cellStyle name="Normal 3 12 17" xfId="1119" xr:uid="{00000000-0005-0000-0000-000055040000}"/>
    <cellStyle name="Normal 3 12 18" xfId="1120" xr:uid="{00000000-0005-0000-0000-000056040000}"/>
    <cellStyle name="Normal 3 12 19" xfId="1121" xr:uid="{00000000-0005-0000-0000-000057040000}"/>
    <cellStyle name="Normal 3 12 2" xfId="1122" xr:uid="{00000000-0005-0000-0000-000058040000}"/>
    <cellStyle name="Normal 3 12 20" xfId="1123" xr:uid="{00000000-0005-0000-0000-000059040000}"/>
    <cellStyle name="Normal 3 12 21" xfId="1124" xr:uid="{00000000-0005-0000-0000-00005A040000}"/>
    <cellStyle name="Normal 3 12 22" xfId="1125" xr:uid="{00000000-0005-0000-0000-00005B040000}"/>
    <cellStyle name="Normal 3 12 23" xfId="1126" xr:uid="{00000000-0005-0000-0000-00005C040000}"/>
    <cellStyle name="Normal 3 12 3" xfId="1127" xr:uid="{00000000-0005-0000-0000-00005D040000}"/>
    <cellStyle name="Normal 3 12 4" xfId="1128" xr:uid="{00000000-0005-0000-0000-00005E040000}"/>
    <cellStyle name="Normal 3 12 5" xfId="1129" xr:uid="{00000000-0005-0000-0000-00005F040000}"/>
    <cellStyle name="Normal 3 12 6" xfId="1130" xr:uid="{00000000-0005-0000-0000-000060040000}"/>
    <cellStyle name="Normal 3 12 7" xfId="1131" xr:uid="{00000000-0005-0000-0000-000061040000}"/>
    <cellStyle name="Normal 3 12 8" xfId="1132" xr:uid="{00000000-0005-0000-0000-000062040000}"/>
    <cellStyle name="Normal 3 12 9" xfId="1133" xr:uid="{00000000-0005-0000-0000-000063040000}"/>
    <cellStyle name="Normal 3 13" xfId="1134" xr:uid="{00000000-0005-0000-0000-000064040000}"/>
    <cellStyle name="Normal 3 13 10" xfId="1135" xr:uid="{00000000-0005-0000-0000-000065040000}"/>
    <cellStyle name="Normal 3 13 11" xfId="1136" xr:uid="{00000000-0005-0000-0000-000066040000}"/>
    <cellStyle name="Normal 3 13 12" xfId="1137" xr:uid="{00000000-0005-0000-0000-000067040000}"/>
    <cellStyle name="Normal 3 13 13" xfId="1138" xr:uid="{00000000-0005-0000-0000-000068040000}"/>
    <cellStyle name="Normal 3 13 14" xfId="1139" xr:uid="{00000000-0005-0000-0000-000069040000}"/>
    <cellStyle name="Normal 3 13 15" xfId="1140" xr:uid="{00000000-0005-0000-0000-00006A040000}"/>
    <cellStyle name="Normal 3 13 16" xfId="1141" xr:uid="{00000000-0005-0000-0000-00006B040000}"/>
    <cellStyle name="Normal 3 13 17" xfId="1142" xr:uid="{00000000-0005-0000-0000-00006C040000}"/>
    <cellStyle name="Normal 3 13 18" xfId="1143" xr:uid="{00000000-0005-0000-0000-00006D040000}"/>
    <cellStyle name="Normal 3 13 19" xfId="1144" xr:uid="{00000000-0005-0000-0000-00006E040000}"/>
    <cellStyle name="Normal 3 13 2" xfId="1145" xr:uid="{00000000-0005-0000-0000-00006F040000}"/>
    <cellStyle name="Normal 3 13 20" xfId="1146" xr:uid="{00000000-0005-0000-0000-000070040000}"/>
    <cellStyle name="Normal 3 13 21" xfId="1147" xr:uid="{00000000-0005-0000-0000-000071040000}"/>
    <cellStyle name="Normal 3 13 22" xfId="1148" xr:uid="{00000000-0005-0000-0000-000072040000}"/>
    <cellStyle name="Normal 3 13 23" xfId="1149" xr:uid="{00000000-0005-0000-0000-000073040000}"/>
    <cellStyle name="Normal 3 13 3" xfId="1150" xr:uid="{00000000-0005-0000-0000-000074040000}"/>
    <cellStyle name="Normal 3 13 4" xfId="1151" xr:uid="{00000000-0005-0000-0000-000075040000}"/>
    <cellStyle name="Normal 3 13 5" xfId="1152" xr:uid="{00000000-0005-0000-0000-000076040000}"/>
    <cellStyle name="Normal 3 13 6" xfId="1153" xr:uid="{00000000-0005-0000-0000-000077040000}"/>
    <cellStyle name="Normal 3 13 7" xfId="1154" xr:uid="{00000000-0005-0000-0000-000078040000}"/>
    <cellStyle name="Normal 3 13 8" xfId="1155" xr:uid="{00000000-0005-0000-0000-000079040000}"/>
    <cellStyle name="Normal 3 13 9" xfId="1156" xr:uid="{00000000-0005-0000-0000-00007A040000}"/>
    <cellStyle name="Normal 3 14" xfId="1157" xr:uid="{00000000-0005-0000-0000-00007B040000}"/>
    <cellStyle name="Normal 3 14 10" xfId="1158" xr:uid="{00000000-0005-0000-0000-00007C040000}"/>
    <cellStyle name="Normal 3 14 11" xfId="1159" xr:uid="{00000000-0005-0000-0000-00007D040000}"/>
    <cellStyle name="Normal 3 14 12" xfId="1160" xr:uid="{00000000-0005-0000-0000-00007E040000}"/>
    <cellStyle name="Normal 3 14 13" xfId="1161" xr:uid="{00000000-0005-0000-0000-00007F040000}"/>
    <cellStyle name="Normal 3 14 14" xfId="1162" xr:uid="{00000000-0005-0000-0000-000080040000}"/>
    <cellStyle name="Normal 3 14 15" xfId="1163" xr:uid="{00000000-0005-0000-0000-000081040000}"/>
    <cellStyle name="Normal 3 14 16" xfId="1164" xr:uid="{00000000-0005-0000-0000-000082040000}"/>
    <cellStyle name="Normal 3 14 17" xfId="1165" xr:uid="{00000000-0005-0000-0000-000083040000}"/>
    <cellStyle name="Normal 3 14 18" xfId="1166" xr:uid="{00000000-0005-0000-0000-000084040000}"/>
    <cellStyle name="Normal 3 14 19" xfId="1167" xr:uid="{00000000-0005-0000-0000-000085040000}"/>
    <cellStyle name="Normal 3 14 2" xfId="1168" xr:uid="{00000000-0005-0000-0000-000086040000}"/>
    <cellStyle name="Normal 3 14 20" xfId="1169" xr:uid="{00000000-0005-0000-0000-000087040000}"/>
    <cellStyle name="Normal 3 14 21" xfId="1170" xr:uid="{00000000-0005-0000-0000-000088040000}"/>
    <cellStyle name="Normal 3 14 22" xfId="1171" xr:uid="{00000000-0005-0000-0000-000089040000}"/>
    <cellStyle name="Normal 3 14 23" xfId="1172" xr:uid="{00000000-0005-0000-0000-00008A040000}"/>
    <cellStyle name="Normal 3 14 24" xfId="2384" xr:uid="{00000000-0005-0000-0000-00008D050000}"/>
    <cellStyle name="Normal 3 14 3" xfId="1173" xr:uid="{00000000-0005-0000-0000-00008B040000}"/>
    <cellStyle name="Normal 3 14 4" xfId="1174" xr:uid="{00000000-0005-0000-0000-00008C040000}"/>
    <cellStyle name="Normal 3 14 5" xfId="1175" xr:uid="{00000000-0005-0000-0000-00008D040000}"/>
    <cellStyle name="Normal 3 14 6" xfId="1176" xr:uid="{00000000-0005-0000-0000-00008E040000}"/>
    <cellStyle name="Normal 3 14 7" xfId="1177" xr:uid="{00000000-0005-0000-0000-00008F040000}"/>
    <cellStyle name="Normal 3 14 8" xfId="1178" xr:uid="{00000000-0005-0000-0000-000090040000}"/>
    <cellStyle name="Normal 3 14 9" xfId="1179" xr:uid="{00000000-0005-0000-0000-000091040000}"/>
    <cellStyle name="Normal 3 15" xfId="1180" xr:uid="{00000000-0005-0000-0000-000092040000}"/>
    <cellStyle name="Normal 3 15 10" xfId="1181" xr:uid="{00000000-0005-0000-0000-000093040000}"/>
    <cellStyle name="Normal 3 15 11" xfId="1182" xr:uid="{00000000-0005-0000-0000-000094040000}"/>
    <cellStyle name="Normal 3 15 12" xfId="1183" xr:uid="{00000000-0005-0000-0000-000095040000}"/>
    <cellStyle name="Normal 3 15 13" xfId="1184" xr:uid="{00000000-0005-0000-0000-000096040000}"/>
    <cellStyle name="Normal 3 15 14" xfId="1185" xr:uid="{00000000-0005-0000-0000-000097040000}"/>
    <cellStyle name="Normal 3 15 15" xfId="1186" xr:uid="{00000000-0005-0000-0000-000098040000}"/>
    <cellStyle name="Normal 3 15 16" xfId="1187" xr:uid="{00000000-0005-0000-0000-000099040000}"/>
    <cellStyle name="Normal 3 15 17" xfId="1188" xr:uid="{00000000-0005-0000-0000-00009A040000}"/>
    <cellStyle name="Normal 3 15 18" xfId="1189" xr:uid="{00000000-0005-0000-0000-00009B040000}"/>
    <cellStyle name="Normal 3 15 19" xfId="1190" xr:uid="{00000000-0005-0000-0000-00009C040000}"/>
    <cellStyle name="Normal 3 15 2" xfId="1191" xr:uid="{00000000-0005-0000-0000-00009D040000}"/>
    <cellStyle name="Normal 3 15 20" xfId="1192" xr:uid="{00000000-0005-0000-0000-00009E040000}"/>
    <cellStyle name="Normal 3 15 21" xfId="1193" xr:uid="{00000000-0005-0000-0000-00009F040000}"/>
    <cellStyle name="Normal 3 15 22" xfId="1194" xr:uid="{00000000-0005-0000-0000-0000A0040000}"/>
    <cellStyle name="Normal 3 15 23" xfId="1195" xr:uid="{00000000-0005-0000-0000-0000A1040000}"/>
    <cellStyle name="Normal 3 15 3" xfId="1196" xr:uid="{00000000-0005-0000-0000-0000A2040000}"/>
    <cellStyle name="Normal 3 15 4" xfId="1197" xr:uid="{00000000-0005-0000-0000-0000A3040000}"/>
    <cellStyle name="Normal 3 15 5" xfId="1198" xr:uid="{00000000-0005-0000-0000-0000A4040000}"/>
    <cellStyle name="Normal 3 15 6" xfId="1199" xr:uid="{00000000-0005-0000-0000-0000A5040000}"/>
    <cellStyle name="Normal 3 15 7" xfId="1200" xr:uid="{00000000-0005-0000-0000-0000A6040000}"/>
    <cellStyle name="Normal 3 15 8" xfId="1201" xr:uid="{00000000-0005-0000-0000-0000A7040000}"/>
    <cellStyle name="Normal 3 15 9" xfId="1202" xr:uid="{00000000-0005-0000-0000-0000A8040000}"/>
    <cellStyle name="Normal 3 16" xfId="1203" xr:uid="{00000000-0005-0000-0000-0000A9040000}"/>
    <cellStyle name="Normal 3 16 10" xfId="1204" xr:uid="{00000000-0005-0000-0000-0000AA040000}"/>
    <cellStyle name="Normal 3 16 11" xfId="1205" xr:uid="{00000000-0005-0000-0000-0000AB040000}"/>
    <cellStyle name="Normal 3 16 12" xfId="1206" xr:uid="{00000000-0005-0000-0000-0000AC040000}"/>
    <cellStyle name="Normal 3 16 13" xfId="1207" xr:uid="{00000000-0005-0000-0000-0000AD040000}"/>
    <cellStyle name="Normal 3 16 14" xfId="1208" xr:uid="{00000000-0005-0000-0000-0000AE040000}"/>
    <cellStyle name="Normal 3 16 15" xfId="1209" xr:uid="{00000000-0005-0000-0000-0000AF040000}"/>
    <cellStyle name="Normal 3 16 16" xfId="1210" xr:uid="{00000000-0005-0000-0000-0000B0040000}"/>
    <cellStyle name="Normal 3 16 17" xfId="1211" xr:uid="{00000000-0005-0000-0000-0000B1040000}"/>
    <cellStyle name="Normal 3 16 18" xfId="1212" xr:uid="{00000000-0005-0000-0000-0000B2040000}"/>
    <cellStyle name="Normal 3 16 19" xfId="1213" xr:uid="{00000000-0005-0000-0000-0000B3040000}"/>
    <cellStyle name="Normal 3 16 2" xfId="1214" xr:uid="{00000000-0005-0000-0000-0000B4040000}"/>
    <cellStyle name="Normal 3 16 20" xfId="1215" xr:uid="{00000000-0005-0000-0000-0000B5040000}"/>
    <cellStyle name="Normal 3 16 21" xfId="1216" xr:uid="{00000000-0005-0000-0000-0000B6040000}"/>
    <cellStyle name="Normal 3 16 22" xfId="1217" xr:uid="{00000000-0005-0000-0000-0000B7040000}"/>
    <cellStyle name="Normal 3 16 23" xfId="1218" xr:uid="{00000000-0005-0000-0000-0000B8040000}"/>
    <cellStyle name="Normal 3 16 3" xfId="1219" xr:uid="{00000000-0005-0000-0000-0000B9040000}"/>
    <cellStyle name="Normal 3 16 4" xfId="1220" xr:uid="{00000000-0005-0000-0000-0000BA040000}"/>
    <cellStyle name="Normal 3 16 5" xfId="1221" xr:uid="{00000000-0005-0000-0000-0000BB040000}"/>
    <cellStyle name="Normal 3 16 6" xfId="1222" xr:uid="{00000000-0005-0000-0000-0000BC040000}"/>
    <cellStyle name="Normal 3 16 7" xfId="1223" xr:uid="{00000000-0005-0000-0000-0000BD040000}"/>
    <cellStyle name="Normal 3 16 8" xfId="1224" xr:uid="{00000000-0005-0000-0000-0000BE040000}"/>
    <cellStyle name="Normal 3 16 9" xfId="1225" xr:uid="{00000000-0005-0000-0000-0000BF040000}"/>
    <cellStyle name="Normal 3 17" xfId="1226" xr:uid="{00000000-0005-0000-0000-0000C0040000}"/>
    <cellStyle name="Normal 3 17 10" xfId="1227" xr:uid="{00000000-0005-0000-0000-0000C1040000}"/>
    <cellStyle name="Normal 3 17 11" xfId="1228" xr:uid="{00000000-0005-0000-0000-0000C2040000}"/>
    <cellStyle name="Normal 3 17 12" xfId="1229" xr:uid="{00000000-0005-0000-0000-0000C3040000}"/>
    <cellStyle name="Normal 3 17 13" xfId="1230" xr:uid="{00000000-0005-0000-0000-0000C4040000}"/>
    <cellStyle name="Normal 3 17 14" xfId="1231" xr:uid="{00000000-0005-0000-0000-0000C5040000}"/>
    <cellStyle name="Normal 3 17 15" xfId="1232" xr:uid="{00000000-0005-0000-0000-0000C6040000}"/>
    <cellStyle name="Normal 3 17 16" xfId="1233" xr:uid="{00000000-0005-0000-0000-0000C7040000}"/>
    <cellStyle name="Normal 3 17 17" xfId="1234" xr:uid="{00000000-0005-0000-0000-0000C8040000}"/>
    <cellStyle name="Normal 3 17 18" xfId="1235" xr:uid="{00000000-0005-0000-0000-0000C9040000}"/>
    <cellStyle name="Normal 3 17 19" xfId="1236" xr:uid="{00000000-0005-0000-0000-0000CA040000}"/>
    <cellStyle name="Normal 3 17 2" xfId="1237" xr:uid="{00000000-0005-0000-0000-0000CB040000}"/>
    <cellStyle name="Normal 3 17 20" xfId="1238" xr:uid="{00000000-0005-0000-0000-0000CC040000}"/>
    <cellStyle name="Normal 3 17 21" xfId="1239" xr:uid="{00000000-0005-0000-0000-0000CD040000}"/>
    <cellStyle name="Normal 3 17 22" xfId="1240" xr:uid="{00000000-0005-0000-0000-0000CE040000}"/>
    <cellStyle name="Normal 3 17 23" xfId="1241" xr:uid="{00000000-0005-0000-0000-0000CF040000}"/>
    <cellStyle name="Normal 3 17 3" xfId="1242" xr:uid="{00000000-0005-0000-0000-0000D0040000}"/>
    <cellStyle name="Normal 3 17 4" xfId="1243" xr:uid="{00000000-0005-0000-0000-0000D1040000}"/>
    <cellStyle name="Normal 3 17 5" xfId="1244" xr:uid="{00000000-0005-0000-0000-0000D2040000}"/>
    <cellStyle name="Normal 3 17 6" xfId="1245" xr:uid="{00000000-0005-0000-0000-0000D3040000}"/>
    <cellStyle name="Normal 3 17 7" xfId="1246" xr:uid="{00000000-0005-0000-0000-0000D4040000}"/>
    <cellStyle name="Normal 3 17 8" xfId="1247" xr:uid="{00000000-0005-0000-0000-0000D5040000}"/>
    <cellStyle name="Normal 3 17 9" xfId="1248" xr:uid="{00000000-0005-0000-0000-0000D6040000}"/>
    <cellStyle name="Normal 3 18" xfId="1249" xr:uid="{00000000-0005-0000-0000-0000D7040000}"/>
    <cellStyle name="Normal 3 18 10" xfId="1250" xr:uid="{00000000-0005-0000-0000-0000D8040000}"/>
    <cellStyle name="Normal 3 18 11" xfId="1251" xr:uid="{00000000-0005-0000-0000-0000D9040000}"/>
    <cellStyle name="Normal 3 18 12" xfId="1252" xr:uid="{00000000-0005-0000-0000-0000DA040000}"/>
    <cellStyle name="Normal 3 18 13" xfId="1253" xr:uid="{00000000-0005-0000-0000-0000DB040000}"/>
    <cellStyle name="Normal 3 18 14" xfId="1254" xr:uid="{00000000-0005-0000-0000-0000DC040000}"/>
    <cellStyle name="Normal 3 18 15" xfId="1255" xr:uid="{00000000-0005-0000-0000-0000DD040000}"/>
    <cellStyle name="Normal 3 18 16" xfId="1256" xr:uid="{00000000-0005-0000-0000-0000DE040000}"/>
    <cellStyle name="Normal 3 18 17" xfId="1257" xr:uid="{00000000-0005-0000-0000-0000DF040000}"/>
    <cellStyle name="Normal 3 18 18" xfId="1258" xr:uid="{00000000-0005-0000-0000-0000E0040000}"/>
    <cellStyle name="Normal 3 18 19" xfId="1259" xr:uid="{00000000-0005-0000-0000-0000E1040000}"/>
    <cellStyle name="Normal 3 18 2" xfId="1260" xr:uid="{00000000-0005-0000-0000-0000E2040000}"/>
    <cellStyle name="Normal 3 18 20" xfId="1261" xr:uid="{00000000-0005-0000-0000-0000E3040000}"/>
    <cellStyle name="Normal 3 18 21" xfId="1262" xr:uid="{00000000-0005-0000-0000-0000E4040000}"/>
    <cellStyle name="Normal 3 18 22" xfId="1263" xr:uid="{00000000-0005-0000-0000-0000E5040000}"/>
    <cellStyle name="Normal 3 18 23" xfId="1264" xr:uid="{00000000-0005-0000-0000-0000E6040000}"/>
    <cellStyle name="Normal 3 18 3" xfId="1265" xr:uid="{00000000-0005-0000-0000-0000E7040000}"/>
    <cellStyle name="Normal 3 18 4" xfId="1266" xr:uid="{00000000-0005-0000-0000-0000E8040000}"/>
    <cellStyle name="Normal 3 18 5" xfId="1267" xr:uid="{00000000-0005-0000-0000-0000E9040000}"/>
    <cellStyle name="Normal 3 18 6" xfId="1268" xr:uid="{00000000-0005-0000-0000-0000EA040000}"/>
    <cellStyle name="Normal 3 18 7" xfId="1269" xr:uid="{00000000-0005-0000-0000-0000EB040000}"/>
    <cellStyle name="Normal 3 18 8" xfId="1270" xr:uid="{00000000-0005-0000-0000-0000EC040000}"/>
    <cellStyle name="Normal 3 18 9" xfId="1271" xr:uid="{00000000-0005-0000-0000-0000ED040000}"/>
    <cellStyle name="Normal 3 19" xfId="1272" xr:uid="{00000000-0005-0000-0000-0000EE040000}"/>
    <cellStyle name="Normal 3 19 10" xfId="1273" xr:uid="{00000000-0005-0000-0000-0000EF040000}"/>
    <cellStyle name="Normal 3 19 11" xfId="1274" xr:uid="{00000000-0005-0000-0000-0000F0040000}"/>
    <cellStyle name="Normal 3 19 12" xfId="1275" xr:uid="{00000000-0005-0000-0000-0000F1040000}"/>
    <cellStyle name="Normal 3 19 13" xfId="1276" xr:uid="{00000000-0005-0000-0000-0000F2040000}"/>
    <cellStyle name="Normal 3 19 14" xfId="1277" xr:uid="{00000000-0005-0000-0000-0000F3040000}"/>
    <cellStyle name="Normal 3 19 15" xfId="1278" xr:uid="{00000000-0005-0000-0000-0000F4040000}"/>
    <cellStyle name="Normal 3 19 16" xfId="1279" xr:uid="{00000000-0005-0000-0000-0000F5040000}"/>
    <cellStyle name="Normal 3 19 17" xfId="1280" xr:uid="{00000000-0005-0000-0000-0000F6040000}"/>
    <cellStyle name="Normal 3 19 18" xfId="1281" xr:uid="{00000000-0005-0000-0000-0000F7040000}"/>
    <cellStyle name="Normal 3 19 19" xfId="1282" xr:uid="{00000000-0005-0000-0000-0000F8040000}"/>
    <cellStyle name="Normal 3 19 2" xfId="1283" xr:uid="{00000000-0005-0000-0000-0000F9040000}"/>
    <cellStyle name="Normal 3 19 20" xfId="1284" xr:uid="{00000000-0005-0000-0000-0000FA040000}"/>
    <cellStyle name="Normal 3 19 21" xfId="1285" xr:uid="{00000000-0005-0000-0000-0000FB040000}"/>
    <cellStyle name="Normal 3 19 22" xfId="1286" xr:uid="{00000000-0005-0000-0000-0000FC040000}"/>
    <cellStyle name="Normal 3 19 23" xfId="1287" xr:uid="{00000000-0005-0000-0000-0000FD040000}"/>
    <cellStyle name="Normal 3 19 3" xfId="1288" xr:uid="{00000000-0005-0000-0000-0000FE040000}"/>
    <cellStyle name="Normal 3 19 4" xfId="1289" xr:uid="{00000000-0005-0000-0000-0000FF040000}"/>
    <cellStyle name="Normal 3 19 5" xfId="1290" xr:uid="{00000000-0005-0000-0000-000000050000}"/>
    <cellStyle name="Normal 3 19 6" xfId="1291" xr:uid="{00000000-0005-0000-0000-000001050000}"/>
    <cellStyle name="Normal 3 19 7" xfId="1292" xr:uid="{00000000-0005-0000-0000-000002050000}"/>
    <cellStyle name="Normal 3 19 8" xfId="1293" xr:uid="{00000000-0005-0000-0000-000003050000}"/>
    <cellStyle name="Normal 3 19 9" xfId="1294" xr:uid="{00000000-0005-0000-0000-000004050000}"/>
    <cellStyle name="Normal 3 2" xfId="1295" xr:uid="{00000000-0005-0000-0000-000005050000}"/>
    <cellStyle name="Normal 3 2 10" xfId="1296" xr:uid="{00000000-0005-0000-0000-000006050000}"/>
    <cellStyle name="Normal 3 2 11" xfId="1297" xr:uid="{00000000-0005-0000-0000-000007050000}"/>
    <cellStyle name="Normal 3 2 12" xfId="1298" xr:uid="{00000000-0005-0000-0000-000008050000}"/>
    <cellStyle name="Normal 3 2 13" xfId="1299" xr:uid="{00000000-0005-0000-0000-000009050000}"/>
    <cellStyle name="Normal 3 2 14" xfId="1300" xr:uid="{00000000-0005-0000-0000-00000A050000}"/>
    <cellStyle name="Normal 3 2 15" xfId="1301" xr:uid="{00000000-0005-0000-0000-00000B050000}"/>
    <cellStyle name="Normal 3 2 16" xfId="1302" xr:uid="{00000000-0005-0000-0000-00000C050000}"/>
    <cellStyle name="Normal 3 2 17" xfId="1303" xr:uid="{00000000-0005-0000-0000-00000D050000}"/>
    <cellStyle name="Normal 3 2 18" xfId="1304" xr:uid="{00000000-0005-0000-0000-00000E050000}"/>
    <cellStyle name="Normal 3 2 19" xfId="1305" xr:uid="{00000000-0005-0000-0000-00000F050000}"/>
    <cellStyle name="Normal 3 2 2" xfId="1306" xr:uid="{00000000-0005-0000-0000-000010050000}"/>
    <cellStyle name="Normal 3 2 2 10" xfId="1307" xr:uid="{00000000-0005-0000-0000-000011050000}"/>
    <cellStyle name="Normal 3 2 2 11" xfId="1308" xr:uid="{00000000-0005-0000-0000-000012050000}"/>
    <cellStyle name="Normal 3 2 2 12" xfId="1309" xr:uid="{00000000-0005-0000-0000-000013050000}"/>
    <cellStyle name="Normal 3 2 2 13" xfId="1310" xr:uid="{00000000-0005-0000-0000-000014050000}"/>
    <cellStyle name="Normal 3 2 2 14" xfId="1311" xr:uid="{00000000-0005-0000-0000-000015050000}"/>
    <cellStyle name="Normal 3 2 2 15" xfId="1312" xr:uid="{00000000-0005-0000-0000-000016050000}"/>
    <cellStyle name="Normal 3 2 2 16" xfId="1313" xr:uid="{00000000-0005-0000-0000-000017050000}"/>
    <cellStyle name="Normal 3 2 2 17" xfId="1314" xr:uid="{00000000-0005-0000-0000-000018050000}"/>
    <cellStyle name="Normal 3 2 2 18" xfId="1315" xr:uid="{00000000-0005-0000-0000-000019050000}"/>
    <cellStyle name="Normal 3 2 2 19" xfId="1316" xr:uid="{00000000-0005-0000-0000-00001A050000}"/>
    <cellStyle name="Normal 3 2 2 2" xfId="1317" xr:uid="{00000000-0005-0000-0000-00001B050000}"/>
    <cellStyle name="Normal 3 2 2 20" xfId="1318" xr:uid="{00000000-0005-0000-0000-00001C050000}"/>
    <cellStyle name="Normal 3 2 2 21" xfId="1319" xr:uid="{00000000-0005-0000-0000-00001D050000}"/>
    <cellStyle name="Normal 3 2 2 22" xfId="1320" xr:uid="{00000000-0005-0000-0000-00001E050000}"/>
    <cellStyle name="Normal 3 2 2 23" xfId="1321" xr:uid="{00000000-0005-0000-0000-00001F050000}"/>
    <cellStyle name="Normal 3 2 2 24" xfId="1322" xr:uid="{00000000-0005-0000-0000-000020050000}"/>
    <cellStyle name="Normal 3 2 2 25" xfId="1323" xr:uid="{00000000-0005-0000-0000-000021050000}"/>
    <cellStyle name="Normal 3 2 2 26" xfId="1324" xr:uid="{00000000-0005-0000-0000-000022050000}"/>
    <cellStyle name="Normal 3 2 2 27" xfId="1325" xr:uid="{00000000-0005-0000-0000-000023050000}"/>
    <cellStyle name="Normal 3 2 2 28" xfId="1326" xr:uid="{00000000-0005-0000-0000-000024050000}"/>
    <cellStyle name="Normal 3 2 2 29" xfId="1327" xr:uid="{00000000-0005-0000-0000-000025050000}"/>
    <cellStyle name="Normal 3 2 2 3" xfId="1328" xr:uid="{00000000-0005-0000-0000-000026050000}"/>
    <cellStyle name="Normal 3 2 2 30" xfId="1329" xr:uid="{00000000-0005-0000-0000-000027050000}"/>
    <cellStyle name="Normal 3 2 2 31" xfId="1330" xr:uid="{00000000-0005-0000-0000-000028050000}"/>
    <cellStyle name="Normal 3 2 2 32" xfId="1331" xr:uid="{00000000-0005-0000-0000-000029050000}"/>
    <cellStyle name="Normal 3 2 2 33" xfId="1332" xr:uid="{00000000-0005-0000-0000-00002A050000}"/>
    <cellStyle name="Normal 3 2 2 4" xfId="1333" xr:uid="{00000000-0005-0000-0000-00002B050000}"/>
    <cellStyle name="Normal 3 2 2 5" xfId="1334" xr:uid="{00000000-0005-0000-0000-00002C050000}"/>
    <cellStyle name="Normal 3 2 2 6" xfId="1335" xr:uid="{00000000-0005-0000-0000-00002D050000}"/>
    <cellStyle name="Normal 3 2 2 7" xfId="1336" xr:uid="{00000000-0005-0000-0000-00002E050000}"/>
    <cellStyle name="Normal 3 2 2 8" xfId="1337" xr:uid="{00000000-0005-0000-0000-00002F050000}"/>
    <cellStyle name="Normal 3 2 2 9" xfId="1338" xr:uid="{00000000-0005-0000-0000-000030050000}"/>
    <cellStyle name="Normal 3 2 20" xfId="1339" xr:uid="{00000000-0005-0000-0000-000031050000}"/>
    <cellStyle name="Normal 3 2 21" xfId="1340" xr:uid="{00000000-0005-0000-0000-000032050000}"/>
    <cellStyle name="Normal 3 2 22" xfId="1341" xr:uid="{00000000-0005-0000-0000-000033050000}"/>
    <cellStyle name="Normal 3 2 23" xfId="1342" xr:uid="{00000000-0005-0000-0000-000034050000}"/>
    <cellStyle name="Normal 3 2 24" xfId="1343" xr:uid="{00000000-0005-0000-0000-000035050000}"/>
    <cellStyle name="Normal 3 2 25" xfId="1344" xr:uid="{00000000-0005-0000-0000-000036050000}"/>
    <cellStyle name="Normal 3 2 26" xfId="1345" xr:uid="{00000000-0005-0000-0000-000037050000}"/>
    <cellStyle name="Normal 3 2 27" xfId="1346" xr:uid="{00000000-0005-0000-0000-000038050000}"/>
    <cellStyle name="Normal 3 2 28" xfId="1347" xr:uid="{00000000-0005-0000-0000-000039050000}"/>
    <cellStyle name="Normal 3 2 29" xfId="1348" xr:uid="{00000000-0005-0000-0000-00003A050000}"/>
    <cellStyle name="Normal 3 2 3" xfId="1349" xr:uid="{00000000-0005-0000-0000-00003B050000}"/>
    <cellStyle name="Normal 3 2 30" xfId="1350" xr:uid="{00000000-0005-0000-0000-00003C050000}"/>
    <cellStyle name="Normal 3 2 31" xfId="1351" xr:uid="{00000000-0005-0000-0000-00003D050000}"/>
    <cellStyle name="Normal 3 2 32" xfId="1352" xr:uid="{00000000-0005-0000-0000-00003E050000}"/>
    <cellStyle name="Normal 3 2 33" xfId="1353" xr:uid="{00000000-0005-0000-0000-00003F050000}"/>
    <cellStyle name="Normal 3 2 34" xfId="1354" xr:uid="{00000000-0005-0000-0000-000040050000}"/>
    <cellStyle name="Normal 3 2 35" xfId="1355" xr:uid="{00000000-0005-0000-0000-000041050000}"/>
    <cellStyle name="Normal 3 2 36" xfId="1356" xr:uid="{00000000-0005-0000-0000-000042050000}"/>
    <cellStyle name="Normal 3 2 37" xfId="1357" xr:uid="{00000000-0005-0000-0000-000043050000}"/>
    <cellStyle name="Normal 3 2 38" xfId="1358" xr:uid="{00000000-0005-0000-0000-000044050000}"/>
    <cellStyle name="Normal 3 2 39" xfId="1359" xr:uid="{00000000-0005-0000-0000-000045050000}"/>
    <cellStyle name="Normal 3 2 4" xfId="1360" xr:uid="{00000000-0005-0000-0000-000046050000}"/>
    <cellStyle name="Normal 3 2 40" xfId="1361" xr:uid="{00000000-0005-0000-0000-000047050000}"/>
    <cellStyle name="Normal 3 2 41" xfId="1362" xr:uid="{00000000-0005-0000-0000-000048050000}"/>
    <cellStyle name="Normal 3 2 42" xfId="1363" xr:uid="{00000000-0005-0000-0000-000049050000}"/>
    <cellStyle name="Normal 3 2 43" xfId="1364" xr:uid="{00000000-0005-0000-0000-00004A050000}"/>
    <cellStyle name="Normal 3 2 44" xfId="1365" xr:uid="{00000000-0005-0000-0000-00004B050000}"/>
    <cellStyle name="Normal 3 2 45" xfId="1366" xr:uid="{00000000-0005-0000-0000-00004C050000}"/>
    <cellStyle name="Normal 3 2 46" xfId="1367" xr:uid="{00000000-0005-0000-0000-00004D050000}"/>
    <cellStyle name="Normal 3 2 47" xfId="1368" xr:uid="{00000000-0005-0000-0000-00004E050000}"/>
    <cellStyle name="Normal 3 2 48" xfId="1369" xr:uid="{00000000-0005-0000-0000-00004F050000}"/>
    <cellStyle name="Normal 3 2 49" xfId="1370" xr:uid="{00000000-0005-0000-0000-000050050000}"/>
    <cellStyle name="Normal 3 2 5" xfId="1371" xr:uid="{00000000-0005-0000-0000-000051050000}"/>
    <cellStyle name="Normal 3 2 50" xfId="1372" xr:uid="{00000000-0005-0000-0000-000052050000}"/>
    <cellStyle name="Normal 3 2 51" xfId="1373" xr:uid="{00000000-0005-0000-0000-000053050000}"/>
    <cellStyle name="Normal 3 2 52" xfId="1374" xr:uid="{00000000-0005-0000-0000-000054050000}"/>
    <cellStyle name="Normal 3 2 53" xfId="1375" xr:uid="{00000000-0005-0000-0000-000055050000}"/>
    <cellStyle name="Normal 3 2 54" xfId="1376" xr:uid="{00000000-0005-0000-0000-000056050000}"/>
    <cellStyle name="Normal 3 2 55" xfId="1377" xr:uid="{00000000-0005-0000-0000-000057050000}"/>
    <cellStyle name="Normal 3 2 56" xfId="2385" xr:uid="{00000000-0005-0000-0000-00006A060000}"/>
    <cellStyle name="Normal 3 2 6" xfId="1378" xr:uid="{00000000-0005-0000-0000-000058050000}"/>
    <cellStyle name="Normal 3 2 7" xfId="1379" xr:uid="{00000000-0005-0000-0000-000059050000}"/>
    <cellStyle name="Normal 3 2 8" xfId="1380" xr:uid="{00000000-0005-0000-0000-00005A050000}"/>
    <cellStyle name="Normal 3 2 9" xfId="1381" xr:uid="{00000000-0005-0000-0000-00005B050000}"/>
    <cellStyle name="Normal 3 20" xfId="1382" xr:uid="{00000000-0005-0000-0000-00005C050000}"/>
    <cellStyle name="Normal 3 20 10" xfId="1383" xr:uid="{00000000-0005-0000-0000-00005D050000}"/>
    <cellStyle name="Normal 3 20 11" xfId="1384" xr:uid="{00000000-0005-0000-0000-00005E050000}"/>
    <cellStyle name="Normal 3 20 12" xfId="1385" xr:uid="{00000000-0005-0000-0000-00005F050000}"/>
    <cellStyle name="Normal 3 20 13" xfId="1386" xr:uid="{00000000-0005-0000-0000-000060050000}"/>
    <cellStyle name="Normal 3 20 14" xfId="1387" xr:uid="{00000000-0005-0000-0000-000061050000}"/>
    <cellStyle name="Normal 3 20 15" xfId="1388" xr:uid="{00000000-0005-0000-0000-000062050000}"/>
    <cellStyle name="Normal 3 20 16" xfId="1389" xr:uid="{00000000-0005-0000-0000-000063050000}"/>
    <cellStyle name="Normal 3 20 17" xfId="1390" xr:uid="{00000000-0005-0000-0000-000064050000}"/>
    <cellStyle name="Normal 3 20 18" xfId="1391" xr:uid="{00000000-0005-0000-0000-000065050000}"/>
    <cellStyle name="Normal 3 20 19" xfId="1392" xr:uid="{00000000-0005-0000-0000-000066050000}"/>
    <cellStyle name="Normal 3 20 2" xfId="1393" xr:uid="{00000000-0005-0000-0000-000067050000}"/>
    <cellStyle name="Normal 3 20 20" xfId="1394" xr:uid="{00000000-0005-0000-0000-000068050000}"/>
    <cellStyle name="Normal 3 20 21" xfId="1395" xr:uid="{00000000-0005-0000-0000-000069050000}"/>
    <cellStyle name="Normal 3 20 22" xfId="1396" xr:uid="{00000000-0005-0000-0000-00006A050000}"/>
    <cellStyle name="Normal 3 20 23" xfId="1397" xr:uid="{00000000-0005-0000-0000-00006B050000}"/>
    <cellStyle name="Normal 3 20 3" xfId="1398" xr:uid="{00000000-0005-0000-0000-00006C050000}"/>
    <cellStyle name="Normal 3 20 4" xfId="1399" xr:uid="{00000000-0005-0000-0000-00006D050000}"/>
    <cellStyle name="Normal 3 20 5" xfId="1400" xr:uid="{00000000-0005-0000-0000-00006E050000}"/>
    <cellStyle name="Normal 3 20 6" xfId="1401" xr:uid="{00000000-0005-0000-0000-00006F050000}"/>
    <cellStyle name="Normal 3 20 7" xfId="1402" xr:uid="{00000000-0005-0000-0000-000070050000}"/>
    <cellStyle name="Normal 3 20 8" xfId="1403" xr:uid="{00000000-0005-0000-0000-000071050000}"/>
    <cellStyle name="Normal 3 20 9" xfId="1404" xr:uid="{00000000-0005-0000-0000-000072050000}"/>
    <cellStyle name="Normal 3 21" xfId="1405" xr:uid="{00000000-0005-0000-0000-000073050000}"/>
    <cellStyle name="Normal 3 21 10" xfId="1406" xr:uid="{00000000-0005-0000-0000-000074050000}"/>
    <cellStyle name="Normal 3 21 11" xfId="1407" xr:uid="{00000000-0005-0000-0000-000075050000}"/>
    <cellStyle name="Normal 3 21 12" xfId="1408" xr:uid="{00000000-0005-0000-0000-000076050000}"/>
    <cellStyle name="Normal 3 21 13" xfId="1409" xr:uid="{00000000-0005-0000-0000-000077050000}"/>
    <cellStyle name="Normal 3 21 14" xfId="1410" xr:uid="{00000000-0005-0000-0000-000078050000}"/>
    <cellStyle name="Normal 3 21 15" xfId="1411" xr:uid="{00000000-0005-0000-0000-000079050000}"/>
    <cellStyle name="Normal 3 21 16" xfId="1412" xr:uid="{00000000-0005-0000-0000-00007A050000}"/>
    <cellStyle name="Normal 3 21 17" xfId="1413" xr:uid="{00000000-0005-0000-0000-00007B050000}"/>
    <cellStyle name="Normal 3 21 18" xfId="1414" xr:uid="{00000000-0005-0000-0000-00007C050000}"/>
    <cellStyle name="Normal 3 21 19" xfId="1415" xr:uid="{00000000-0005-0000-0000-00007D050000}"/>
    <cellStyle name="Normal 3 21 2" xfId="1416" xr:uid="{00000000-0005-0000-0000-00007E050000}"/>
    <cellStyle name="Normal 3 21 20" xfId="1417" xr:uid="{00000000-0005-0000-0000-00007F050000}"/>
    <cellStyle name="Normal 3 21 21" xfId="1418" xr:uid="{00000000-0005-0000-0000-000080050000}"/>
    <cellStyle name="Normal 3 21 22" xfId="1419" xr:uid="{00000000-0005-0000-0000-000081050000}"/>
    <cellStyle name="Normal 3 21 23" xfId="1420" xr:uid="{00000000-0005-0000-0000-000082050000}"/>
    <cellStyle name="Normal 3 21 3" xfId="1421" xr:uid="{00000000-0005-0000-0000-000083050000}"/>
    <cellStyle name="Normal 3 21 4" xfId="1422" xr:uid="{00000000-0005-0000-0000-000084050000}"/>
    <cellStyle name="Normal 3 21 5" xfId="1423" xr:uid="{00000000-0005-0000-0000-000085050000}"/>
    <cellStyle name="Normal 3 21 6" xfId="1424" xr:uid="{00000000-0005-0000-0000-000086050000}"/>
    <cellStyle name="Normal 3 21 7" xfId="1425" xr:uid="{00000000-0005-0000-0000-000087050000}"/>
    <cellStyle name="Normal 3 21 8" xfId="1426" xr:uid="{00000000-0005-0000-0000-000088050000}"/>
    <cellStyle name="Normal 3 21 9" xfId="1427" xr:uid="{00000000-0005-0000-0000-000089050000}"/>
    <cellStyle name="Normal 3 22" xfId="1428" xr:uid="{00000000-0005-0000-0000-00008A050000}"/>
    <cellStyle name="Normal 3 22 10" xfId="1429" xr:uid="{00000000-0005-0000-0000-00008B050000}"/>
    <cellStyle name="Normal 3 22 11" xfId="1430" xr:uid="{00000000-0005-0000-0000-00008C050000}"/>
    <cellStyle name="Normal 3 22 12" xfId="1431" xr:uid="{00000000-0005-0000-0000-00008D050000}"/>
    <cellStyle name="Normal 3 22 13" xfId="1432" xr:uid="{00000000-0005-0000-0000-00008E050000}"/>
    <cellStyle name="Normal 3 22 14" xfId="1433" xr:uid="{00000000-0005-0000-0000-00008F050000}"/>
    <cellStyle name="Normal 3 22 15" xfId="1434" xr:uid="{00000000-0005-0000-0000-000090050000}"/>
    <cellStyle name="Normal 3 22 16" xfId="1435" xr:uid="{00000000-0005-0000-0000-000091050000}"/>
    <cellStyle name="Normal 3 22 17" xfId="1436" xr:uid="{00000000-0005-0000-0000-000092050000}"/>
    <cellStyle name="Normal 3 22 18" xfId="1437" xr:uid="{00000000-0005-0000-0000-000093050000}"/>
    <cellStyle name="Normal 3 22 19" xfId="1438" xr:uid="{00000000-0005-0000-0000-000094050000}"/>
    <cellStyle name="Normal 3 22 2" xfId="1439" xr:uid="{00000000-0005-0000-0000-000095050000}"/>
    <cellStyle name="Normal 3 22 20" xfId="1440" xr:uid="{00000000-0005-0000-0000-000096050000}"/>
    <cellStyle name="Normal 3 22 21" xfId="1441" xr:uid="{00000000-0005-0000-0000-000097050000}"/>
    <cellStyle name="Normal 3 22 22" xfId="1442" xr:uid="{00000000-0005-0000-0000-000098050000}"/>
    <cellStyle name="Normal 3 22 23" xfId="1443" xr:uid="{00000000-0005-0000-0000-000099050000}"/>
    <cellStyle name="Normal 3 22 3" xfId="1444" xr:uid="{00000000-0005-0000-0000-00009A050000}"/>
    <cellStyle name="Normal 3 22 4" xfId="1445" xr:uid="{00000000-0005-0000-0000-00009B050000}"/>
    <cellStyle name="Normal 3 22 5" xfId="1446" xr:uid="{00000000-0005-0000-0000-00009C050000}"/>
    <cellStyle name="Normal 3 22 6" xfId="1447" xr:uid="{00000000-0005-0000-0000-00009D050000}"/>
    <cellStyle name="Normal 3 22 7" xfId="1448" xr:uid="{00000000-0005-0000-0000-00009E050000}"/>
    <cellStyle name="Normal 3 22 8" xfId="1449" xr:uid="{00000000-0005-0000-0000-00009F050000}"/>
    <cellStyle name="Normal 3 22 9" xfId="1450" xr:uid="{00000000-0005-0000-0000-0000A0050000}"/>
    <cellStyle name="Normal 3 23" xfId="1451" xr:uid="{00000000-0005-0000-0000-0000A1050000}"/>
    <cellStyle name="Normal 3 23 10" xfId="1452" xr:uid="{00000000-0005-0000-0000-0000A2050000}"/>
    <cellStyle name="Normal 3 23 11" xfId="1453" xr:uid="{00000000-0005-0000-0000-0000A3050000}"/>
    <cellStyle name="Normal 3 23 12" xfId="1454" xr:uid="{00000000-0005-0000-0000-0000A4050000}"/>
    <cellStyle name="Normal 3 23 13" xfId="1455" xr:uid="{00000000-0005-0000-0000-0000A5050000}"/>
    <cellStyle name="Normal 3 23 14" xfId="1456" xr:uid="{00000000-0005-0000-0000-0000A6050000}"/>
    <cellStyle name="Normal 3 23 15" xfId="1457" xr:uid="{00000000-0005-0000-0000-0000A7050000}"/>
    <cellStyle name="Normal 3 23 16" xfId="1458" xr:uid="{00000000-0005-0000-0000-0000A8050000}"/>
    <cellStyle name="Normal 3 23 17" xfId="1459" xr:uid="{00000000-0005-0000-0000-0000A9050000}"/>
    <cellStyle name="Normal 3 23 18" xfId="1460" xr:uid="{00000000-0005-0000-0000-0000AA050000}"/>
    <cellStyle name="Normal 3 23 19" xfId="1461" xr:uid="{00000000-0005-0000-0000-0000AB050000}"/>
    <cellStyle name="Normal 3 23 2" xfId="1462" xr:uid="{00000000-0005-0000-0000-0000AC050000}"/>
    <cellStyle name="Normal 3 23 20" xfId="1463" xr:uid="{00000000-0005-0000-0000-0000AD050000}"/>
    <cellStyle name="Normal 3 23 21" xfId="1464" xr:uid="{00000000-0005-0000-0000-0000AE050000}"/>
    <cellStyle name="Normal 3 23 22" xfId="1465" xr:uid="{00000000-0005-0000-0000-0000AF050000}"/>
    <cellStyle name="Normal 3 23 23" xfId="1466" xr:uid="{00000000-0005-0000-0000-0000B0050000}"/>
    <cellStyle name="Normal 3 23 3" xfId="1467" xr:uid="{00000000-0005-0000-0000-0000B1050000}"/>
    <cellStyle name="Normal 3 23 4" xfId="1468" xr:uid="{00000000-0005-0000-0000-0000B2050000}"/>
    <cellStyle name="Normal 3 23 5" xfId="1469" xr:uid="{00000000-0005-0000-0000-0000B3050000}"/>
    <cellStyle name="Normal 3 23 6" xfId="1470" xr:uid="{00000000-0005-0000-0000-0000B4050000}"/>
    <cellStyle name="Normal 3 23 7" xfId="1471" xr:uid="{00000000-0005-0000-0000-0000B5050000}"/>
    <cellStyle name="Normal 3 23 8" xfId="1472" xr:uid="{00000000-0005-0000-0000-0000B6050000}"/>
    <cellStyle name="Normal 3 23 9" xfId="1473" xr:uid="{00000000-0005-0000-0000-0000B7050000}"/>
    <cellStyle name="Normal 3 24" xfId="1474" xr:uid="{00000000-0005-0000-0000-0000B8050000}"/>
    <cellStyle name="Normal 3 24 10" xfId="1475" xr:uid="{00000000-0005-0000-0000-0000B9050000}"/>
    <cellStyle name="Normal 3 24 11" xfId="1476" xr:uid="{00000000-0005-0000-0000-0000BA050000}"/>
    <cellStyle name="Normal 3 24 12" xfId="1477" xr:uid="{00000000-0005-0000-0000-0000BB050000}"/>
    <cellStyle name="Normal 3 24 13" xfId="1478" xr:uid="{00000000-0005-0000-0000-0000BC050000}"/>
    <cellStyle name="Normal 3 24 14" xfId="1479" xr:uid="{00000000-0005-0000-0000-0000BD050000}"/>
    <cellStyle name="Normal 3 24 15" xfId="1480" xr:uid="{00000000-0005-0000-0000-0000BE050000}"/>
    <cellStyle name="Normal 3 24 16" xfId="1481" xr:uid="{00000000-0005-0000-0000-0000BF050000}"/>
    <cellStyle name="Normal 3 24 17" xfId="1482" xr:uid="{00000000-0005-0000-0000-0000C0050000}"/>
    <cellStyle name="Normal 3 24 18" xfId="1483" xr:uid="{00000000-0005-0000-0000-0000C1050000}"/>
    <cellStyle name="Normal 3 24 19" xfId="1484" xr:uid="{00000000-0005-0000-0000-0000C2050000}"/>
    <cellStyle name="Normal 3 24 2" xfId="1485" xr:uid="{00000000-0005-0000-0000-0000C3050000}"/>
    <cellStyle name="Normal 3 24 20" xfId="1486" xr:uid="{00000000-0005-0000-0000-0000C4050000}"/>
    <cellStyle name="Normal 3 24 21" xfId="1487" xr:uid="{00000000-0005-0000-0000-0000C5050000}"/>
    <cellStyle name="Normal 3 24 22" xfId="1488" xr:uid="{00000000-0005-0000-0000-0000C6050000}"/>
    <cellStyle name="Normal 3 24 23" xfId="1489" xr:uid="{00000000-0005-0000-0000-0000C7050000}"/>
    <cellStyle name="Normal 3 24 3" xfId="1490" xr:uid="{00000000-0005-0000-0000-0000C8050000}"/>
    <cellStyle name="Normal 3 24 4" xfId="1491" xr:uid="{00000000-0005-0000-0000-0000C9050000}"/>
    <cellStyle name="Normal 3 24 5" xfId="1492" xr:uid="{00000000-0005-0000-0000-0000CA050000}"/>
    <cellStyle name="Normal 3 24 6" xfId="1493" xr:uid="{00000000-0005-0000-0000-0000CB050000}"/>
    <cellStyle name="Normal 3 24 7" xfId="1494" xr:uid="{00000000-0005-0000-0000-0000CC050000}"/>
    <cellStyle name="Normal 3 24 8" xfId="1495" xr:uid="{00000000-0005-0000-0000-0000CD050000}"/>
    <cellStyle name="Normal 3 24 9" xfId="1496" xr:uid="{00000000-0005-0000-0000-0000CE050000}"/>
    <cellStyle name="Normal 3 25" xfId="1497" xr:uid="{00000000-0005-0000-0000-0000CF050000}"/>
    <cellStyle name="Normal 3 25 10" xfId="1498" xr:uid="{00000000-0005-0000-0000-0000D0050000}"/>
    <cellStyle name="Normal 3 25 11" xfId="1499" xr:uid="{00000000-0005-0000-0000-0000D1050000}"/>
    <cellStyle name="Normal 3 25 12" xfId="1500" xr:uid="{00000000-0005-0000-0000-0000D2050000}"/>
    <cellStyle name="Normal 3 25 13" xfId="1501" xr:uid="{00000000-0005-0000-0000-0000D3050000}"/>
    <cellStyle name="Normal 3 25 14" xfId="1502" xr:uid="{00000000-0005-0000-0000-0000D4050000}"/>
    <cellStyle name="Normal 3 25 15" xfId="1503" xr:uid="{00000000-0005-0000-0000-0000D5050000}"/>
    <cellStyle name="Normal 3 25 16" xfId="1504" xr:uid="{00000000-0005-0000-0000-0000D6050000}"/>
    <cellStyle name="Normal 3 25 17" xfId="1505" xr:uid="{00000000-0005-0000-0000-0000D7050000}"/>
    <cellStyle name="Normal 3 25 18" xfId="1506" xr:uid="{00000000-0005-0000-0000-0000D8050000}"/>
    <cellStyle name="Normal 3 25 19" xfId="1507" xr:uid="{00000000-0005-0000-0000-0000D9050000}"/>
    <cellStyle name="Normal 3 25 2" xfId="1508" xr:uid="{00000000-0005-0000-0000-0000DA050000}"/>
    <cellStyle name="Normal 3 25 20" xfId="1509" xr:uid="{00000000-0005-0000-0000-0000DB050000}"/>
    <cellStyle name="Normal 3 25 21" xfId="1510" xr:uid="{00000000-0005-0000-0000-0000DC050000}"/>
    <cellStyle name="Normal 3 25 22" xfId="1511" xr:uid="{00000000-0005-0000-0000-0000DD050000}"/>
    <cellStyle name="Normal 3 25 23" xfId="1512" xr:uid="{00000000-0005-0000-0000-0000DE050000}"/>
    <cellStyle name="Normal 3 25 3" xfId="1513" xr:uid="{00000000-0005-0000-0000-0000DF050000}"/>
    <cellStyle name="Normal 3 25 4" xfId="1514" xr:uid="{00000000-0005-0000-0000-0000E0050000}"/>
    <cellStyle name="Normal 3 25 5" xfId="1515" xr:uid="{00000000-0005-0000-0000-0000E1050000}"/>
    <cellStyle name="Normal 3 25 6" xfId="1516" xr:uid="{00000000-0005-0000-0000-0000E2050000}"/>
    <cellStyle name="Normal 3 25 7" xfId="1517" xr:uid="{00000000-0005-0000-0000-0000E3050000}"/>
    <cellStyle name="Normal 3 25 8" xfId="1518" xr:uid="{00000000-0005-0000-0000-0000E4050000}"/>
    <cellStyle name="Normal 3 25 9" xfId="1519" xr:uid="{00000000-0005-0000-0000-0000E5050000}"/>
    <cellStyle name="Normal 3 26" xfId="1520" xr:uid="{00000000-0005-0000-0000-0000E6050000}"/>
    <cellStyle name="Normal 3 26 10" xfId="1521" xr:uid="{00000000-0005-0000-0000-0000E7050000}"/>
    <cellStyle name="Normal 3 26 11" xfId="1522" xr:uid="{00000000-0005-0000-0000-0000E8050000}"/>
    <cellStyle name="Normal 3 26 12" xfId="1523" xr:uid="{00000000-0005-0000-0000-0000E9050000}"/>
    <cellStyle name="Normal 3 26 13" xfId="1524" xr:uid="{00000000-0005-0000-0000-0000EA050000}"/>
    <cellStyle name="Normal 3 26 14" xfId="1525" xr:uid="{00000000-0005-0000-0000-0000EB050000}"/>
    <cellStyle name="Normal 3 26 15" xfId="1526" xr:uid="{00000000-0005-0000-0000-0000EC050000}"/>
    <cellStyle name="Normal 3 26 16" xfId="1527" xr:uid="{00000000-0005-0000-0000-0000ED050000}"/>
    <cellStyle name="Normal 3 26 17" xfId="1528" xr:uid="{00000000-0005-0000-0000-0000EE050000}"/>
    <cellStyle name="Normal 3 26 18" xfId="1529" xr:uid="{00000000-0005-0000-0000-0000EF050000}"/>
    <cellStyle name="Normal 3 26 19" xfId="1530" xr:uid="{00000000-0005-0000-0000-0000F0050000}"/>
    <cellStyle name="Normal 3 26 2" xfId="1531" xr:uid="{00000000-0005-0000-0000-0000F1050000}"/>
    <cellStyle name="Normal 3 26 20" xfId="1532" xr:uid="{00000000-0005-0000-0000-0000F2050000}"/>
    <cellStyle name="Normal 3 26 21" xfId="1533" xr:uid="{00000000-0005-0000-0000-0000F3050000}"/>
    <cellStyle name="Normal 3 26 22" xfId="1534" xr:uid="{00000000-0005-0000-0000-0000F4050000}"/>
    <cellStyle name="Normal 3 26 23" xfId="1535" xr:uid="{00000000-0005-0000-0000-0000F5050000}"/>
    <cellStyle name="Normal 3 26 3" xfId="1536" xr:uid="{00000000-0005-0000-0000-0000F6050000}"/>
    <cellStyle name="Normal 3 26 4" xfId="1537" xr:uid="{00000000-0005-0000-0000-0000F7050000}"/>
    <cellStyle name="Normal 3 26 5" xfId="1538" xr:uid="{00000000-0005-0000-0000-0000F8050000}"/>
    <cellStyle name="Normal 3 26 6" xfId="1539" xr:uid="{00000000-0005-0000-0000-0000F9050000}"/>
    <cellStyle name="Normal 3 26 7" xfId="1540" xr:uid="{00000000-0005-0000-0000-0000FA050000}"/>
    <cellStyle name="Normal 3 26 8" xfId="1541" xr:uid="{00000000-0005-0000-0000-0000FB050000}"/>
    <cellStyle name="Normal 3 26 9" xfId="1542" xr:uid="{00000000-0005-0000-0000-0000FC050000}"/>
    <cellStyle name="Normal 3 27" xfId="1543" xr:uid="{00000000-0005-0000-0000-0000FD050000}"/>
    <cellStyle name="Normal 3 27 10" xfId="1544" xr:uid="{00000000-0005-0000-0000-0000FE050000}"/>
    <cellStyle name="Normal 3 27 11" xfId="1545" xr:uid="{00000000-0005-0000-0000-0000FF050000}"/>
    <cellStyle name="Normal 3 27 12" xfId="1546" xr:uid="{00000000-0005-0000-0000-000000060000}"/>
    <cellStyle name="Normal 3 27 13" xfId="1547" xr:uid="{00000000-0005-0000-0000-000001060000}"/>
    <cellStyle name="Normal 3 27 14" xfId="1548" xr:uid="{00000000-0005-0000-0000-000002060000}"/>
    <cellStyle name="Normal 3 27 15" xfId="1549" xr:uid="{00000000-0005-0000-0000-000003060000}"/>
    <cellStyle name="Normal 3 27 16" xfId="1550" xr:uid="{00000000-0005-0000-0000-000004060000}"/>
    <cellStyle name="Normal 3 27 17" xfId="1551" xr:uid="{00000000-0005-0000-0000-000005060000}"/>
    <cellStyle name="Normal 3 27 18" xfId="1552" xr:uid="{00000000-0005-0000-0000-000006060000}"/>
    <cellStyle name="Normal 3 27 19" xfId="1553" xr:uid="{00000000-0005-0000-0000-000007060000}"/>
    <cellStyle name="Normal 3 27 2" xfId="1554" xr:uid="{00000000-0005-0000-0000-000008060000}"/>
    <cellStyle name="Normal 3 27 20" xfId="1555" xr:uid="{00000000-0005-0000-0000-000009060000}"/>
    <cellStyle name="Normal 3 27 21" xfId="1556" xr:uid="{00000000-0005-0000-0000-00000A060000}"/>
    <cellStyle name="Normal 3 27 22" xfId="1557" xr:uid="{00000000-0005-0000-0000-00000B060000}"/>
    <cellStyle name="Normal 3 27 23" xfId="1558" xr:uid="{00000000-0005-0000-0000-00000C060000}"/>
    <cellStyle name="Normal 3 27 3" xfId="1559" xr:uid="{00000000-0005-0000-0000-00000D060000}"/>
    <cellStyle name="Normal 3 27 4" xfId="1560" xr:uid="{00000000-0005-0000-0000-00000E060000}"/>
    <cellStyle name="Normal 3 27 5" xfId="1561" xr:uid="{00000000-0005-0000-0000-00000F060000}"/>
    <cellStyle name="Normal 3 27 6" xfId="1562" xr:uid="{00000000-0005-0000-0000-000010060000}"/>
    <cellStyle name="Normal 3 27 7" xfId="1563" xr:uid="{00000000-0005-0000-0000-000011060000}"/>
    <cellStyle name="Normal 3 27 8" xfId="1564" xr:uid="{00000000-0005-0000-0000-000012060000}"/>
    <cellStyle name="Normal 3 27 9" xfId="1565" xr:uid="{00000000-0005-0000-0000-000013060000}"/>
    <cellStyle name="Normal 3 28" xfId="1566" xr:uid="{00000000-0005-0000-0000-000014060000}"/>
    <cellStyle name="Normal 3 28 10" xfId="1567" xr:uid="{00000000-0005-0000-0000-000015060000}"/>
    <cellStyle name="Normal 3 28 11" xfId="1568" xr:uid="{00000000-0005-0000-0000-000016060000}"/>
    <cellStyle name="Normal 3 28 12" xfId="1569" xr:uid="{00000000-0005-0000-0000-000017060000}"/>
    <cellStyle name="Normal 3 28 13" xfId="1570" xr:uid="{00000000-0005-0000-0000-000018060000}"/>
    <cellStyle name="Normal 3 28 14" xfId="1571" xr:uid="{00000000-0005-0000-0000-000019060000}"/>
    <cellStyle name="Normal 3 28 15" xfId="1572" xr:uid="{00000000-0005-0000-0000-00001A060000}"/>
    <cellStyle name="Normal 3 28 16" xfId="1573" xr:uid="{00000000-0005-0000-0000-00001B060000}"/>
    <cellStyle name="Normal 3 28 17" xfId="1574" xr:uid="{00000000-0005-0000-0000-00001C060000}"/>
    <cellStyle name="Normal 3 28 18" xfId="1575" xr:uid="{00000000-0005-0000-0000-00001D060000}"/>
    <cellStyle name="Normal 3 28 19" xfId="1576" xr:uid="{00000000-0005-0000-0000-00001E060000}"/>
    <cellStyle name="Normal 3 28 2" xfId="1577" xr:uid="{00000000-0005-0000-0000-00001F060000}"/>
    <cellStyle name="Normal 3 28 20" xfId="1578" xr:uid="{00000000-0005-0000-0000-000020060000}"/>
    <cellStyle name="Normal 3 28 21" xfId="1579" xr:uid="{00000000-0005-0000-0000-000021060000}"/>
    <cellStyle name="Normal 3 28 22" xfId="1580" xr:uid="{00000000-0005-0000-0000-000022060000}"/>
    <cellStyle name="Normal 3 28 23" xfId="1581" xr:uid="{00000000-0005-0000-0000-000023060000}"/>
    <cellStyle name="Normal 3 28 3" xfId="1582" xr:uid="{00000000-0005-0000-0000-000024060000}"/>
    <cellStyle name="Normal 3 28 4" xfId="1583" xr:uid="{00000000-0005-0000-0000-000025060000}"/>
    <cellStyle name="Normal 3 28 5" xfId="1584" xr:uid="{00000000-0005-0000-0000-000026060000}"/>
    <cellStyle name="Normal 3 28 6" xfId="1585" xr:uid="{00000000-0005-0000-0000-000027060000}"/>
    <cellStyle name="Normal 3 28 7" xfId="1586" xr:uid="{00000000-0005-0000-0000-000028060000}"/>
    <cellStyle name="Normal 3 28 8" xfId="1587" xr:uid="{00000000-0005-0000-0000-000029060000}"/>
    <cellStyle name="Normal 3 28 9" xfId="1588" xr:uid="{00000000-0005-0000-0000-00002A060000}"/>
    <cellStyle name="Normal 3 29" xfId="1589" xr:uid="{00000000-0005-0000-0000-00002B060000}"/>
    <cellStyle name="Normal 3 29 10" xfId="1590" xr:uid="{00000000-0005-0000-0000-00002C060000}"/>
    <cellStyle name="Normal 3 29 11" xfId="1591" xr:uid="{00000000-0005-0000-0000-00002D060000}"/>
    <cellStyle name="Normal 3 29 12" xfId="1592" xr:uid="{00000000-0005-0000-0000-00002E060000}"/>
    <cellStyle name="Normal 3 29 13" xfId="1593" xr:uid="{00000000-0005-0000-0000-00002F060000}"/>
    <cellStyle name="Normal 3 29 14" xfId="1594" xr:uid="{00000000-0005-0000-0000-000030060000}"/>
    <cellStyle name="Normal 3 29 15" xfId="1595" xr:uid="{00000000-0005-0000-0000-000031060000}"/>
    <cellStyle name="Normal 3 29 16" xfId="1596" xr:uid="{00000000-0005-0000-0000-000032060000}"/>
    <cellStyle name="Normal 3 29 17" xfId="1597" xr:uid="{00000000-0005-0000-0000-000033060000}"/>
    <cellStyle name="Normal 3 29 18" xfId="1598" xr:uid="{00000000-0005-0000-0000-000034060000}"/>
    <cellStyle name="Normal 3 29 19" xfId="1599" xr:uid="{00000000-0005-0000-0000-000035060000}"/>
    <cellStyle name="Normal 3 29 2" xfId="1600" xr:uid="{00000000-0005-0000-0000-000036060000}"/>
    <cellStyle name="Normal 3 29 20" xfId="1601" xr:uid="{00000000-0005-0000-0000-000037060000}"/>
    <cellStyle name="Normal 3 29 21" xfId="1602" xr:uid="{00000000-0005-0000-0000-000038060000}"/>
    <cellStyle name="Normal 3 29 22" xfId="1603" xr:uid="{00000000-0005-0000-0000-000039060000}"/>
    <cellStyle name="Normal 3 29 23" xfId="1604" xr:uid="{00000000-0005-0000-0000-00003A060000}"/>
    <cellStyle name="Normal 3 29 3" xfId="1605" xr:uid="{00000000-0005-0000-0000-00003B060000}"/>
    <cellStyle name="Normal 3 29 4" xfId="1606" xr:uid="{00000000-0005-0000-0000-00003C060000}"/>
    <cellStyle name="Normal 3 29 5" xfId="1607" xr:uid="{00000000-0005-0000-0000-00003D060000}"/>
    <cellStyle name="Normal 3 29 6" xfId="1608" xr:uid="{00000000-0005-0000-0000-00003E060000}"/>
    <cellStyle name="Normal 3 29 7" xfId="1609" xr:uid="{00000000-0005-0000-0000-00003F060000}"/>
    <cellStyle name="Normal 3 29 8" xfId="1610" xr:uid="{00000000-0005-0000-0000-000040060000}"/>
    <cellStyle name="Normal 3 29 9" xfId="1611" xr:uid="{00000000-0005-0000-0000-000041060000}"/>
    <cellStyle name="Normal 3 3" xfId="1612" xr:uid="{00000000-0005-0000-0000-000042060000}"/>
    <cellStyle name="Normal 3 3 10" xfId="1613" xr:uid="{00000000-0005-0000-0000-000043060000}"/>
    <cellStyle name="Normal 3 3 11" xfId="1614" xr:uid="{00000000-0005-0000-0000-000044060000}"/>
    <cellStyle name="Normal 3 3 12" xfId="1615" xr:uid="{00000000-0005-0000-0000-000045060000}"/>
    <cellStyle name="Normal 3 3 13" xfId="1616" xr:uid="{00000000-0005-0000-0000-000046060000}"/>
    <cellStyle name="Normal 3 3 14" xfId="1617" xr:uid="{00000000-0005-0000-0000-000047060000}"/>
    <cellStyle name="Normal 3 3 15" xfId="1618" xr:uid="{00000000-0005-0000-0000-000048060000}"/>
    <cellStyle name="Normal 3 3 16" xfId="1619" xr:uid="{00000000-0005-0000-0000-000049060000}"/>
    <cellStyle name="Normal 3 3 17" xfId="1620" xr:uid="{00000000-0005-0000-0000-00004A060000}"/>
    <cellStyle name="Normal 3 3 18" xfId="1621" xr:uid="{00000000-0005-0000-0000-00004B060000}"/>
    <cellStyle name="Normal 3 3 19" xfId="1622" xr:uid="{00000000-0005-0000-0000-00004C060000}"/>
    <cellStyle name="Normal 3 3 2" xfId="1623" xr:uid="{00000000-0005-0000-0000-00004D060000}"/>
    <cellStyle name="Normal 3 3 20" xfId="1624" xr:uid="{00000000-0005-0000-0000-00004E060000}"/>
    <cellStyle name="Normal 3 3 21" xfId="1625" xr:uid="{00000000-0005-0000-0000-00004F060000}"/>
    <cellStyle name="Normal 3 3 22" xfId="1626" xr:uid="{00000000-0005-0000-0000-000050060000}"/>
    <cellStyle name="Normal 3 3 23" xfId="1627" xr:uid="{00000000-0005-0000-0000-000051060000}"/>
    <cellStyle name="Normal 3 3 3" xfId="1628" xr:uid="{00000000-0005-0000-0000-000052060000}"/>
    <cellStyle name="Normal 3 3 4" xfId="1629" xr:uid="{00000000-0005-0000-0000-000053060000}"/>
    <cellStyle name="Normal 3 3 5" xfId="1630" xr:uid="{00000000-0005-0000-0000-000054060000}"/>
    <cellStyle name="Normal 3 3 6" xfId="1631" xr:uid="{00000000-0005-0000-0000-000055060000}"/>
    <cellStyle name="Normal 3 3 7" xfId="1632" xr:uid="{00000000-0005-0000-0000-000056060000}"/>
    <cellStyle name="Normal 3 3 8" xfId="1633" xr:uid="{00000000-0005-0000-0000-000057060000}"/>
    <cellStyle name="Normal 3 3 9" xfId="1634" xr:uid="{00000000-0005-0000-0000-000058060000}"/>
    <cellStyle name="Normal 3 30" xfId="1635" xr:uid="{00000000-0005-0000-0000-000059060000}"/>
    <cellStyle name="Normal 3 30 10" xfId="1636" xr:uid="{00000000-0005-0000-0000-00005A060000}"/>
    <cellStyle name="Normal 3 30 11" xfId="1637" xr:uid="{00000000-0005-0000-0000-00005B060000}"/>
    <cellStyle name="Normal 3 30 12" xfId="1638" xr:uid="{00000000-0005-0000-0000-00005C060000}"/>
    <cellStyle name="Normal 3 30 13" xfId="1639" xr:uid="{00000000-0005-0000-0000-00005D060000}"/>
    <cellStyle name="Normal 3 30 14" xfId="1640" xr:uid="{00000000-0005-0000-0000-00005E060000}"/>
    <cellStyle name="Normal 3 30 15" xfId="1641" xr:uid="{00000000-0005-0000-0000-00005F060000}"/>
    <cellStyle name="Normal 3 30 16" xfId="1642" xr:uid="{00000000-0005-0000-0000-000060060000}"/>
    <cellStyle name="Normal 3 30 17" xfId="1643" xr:uid="{00000000-0005-0000-0000-000061060000}"/>
    <cellStyle name="Normal 3 30 18" xfId="1644" xr:uid="{00000000-0005-0000-0000-000062060000}"/>
    <cellStyle name="Normal 3 30 19" xfId="1645" xr:uid="{00000000-0005-0000-0000-000063060000}"/>
    <cellStyle name="Normal 3 30 2" xfId="1646" xr:uid="{00000000-0005-0000-0000-000064060000}"/>
    <cellStyle name="Normal 3 30 20" xfId="1647" xr:uid="{00000000-0005-0000-0000-000065060000}"/>
    <cellStyle name="Normal 3 30 21" xfId="1648" xr:uid="{00000000-0005-0000-0000-000066060000}"/>
    <cellStyle name="Normal 3 30 22" xfId="1649" xr:uid="{00000000-0005-0000-0000-000067060000}"/>
    <cellStyle name="Normal 3 30 23" xfId="1650" xr:uid="{00000000-0005-0000-0000-000068060000}"/>
    <cellStyle name="Normal 3 30 3" xfId="1651" xr:uid="{00000000-0005-0000-0000-000069060000}"/>
    <cellStyle name="Normal 3 30 4" xfId="1652" xr:uid="{00000000-0005-0000-0000-00006A060000}"/>
    <cellStyle name="Normal 3 30 5" xfId="1653" xr:uid="{00000000-0005-0000-0000-00006B060000}"/>
    <cellStyle name="Normal 3 30 6" xfId="1654" xr:uid="{00000000-0005-0000-0000-00006C060000}"/>
    <cellStyle name="Normal 3 30 7" xfId="1655" xr:uid="{00000000-0005-0000-0000-00006D060000}"/>
    <cellStyle name="Normal 3 30 8" xfId="1656" xr:uid="{00000000-0005-0000-0000-00006E060000}"/>
    <cellStyle name="Normal 3 30 9" xfId="1657" xr:uid="{00000000-0005-0000-0000-00006F060000}"/>
    <cellStyle name="Normal 3 31" xfId="1658" xr:uid="{00000000-0005-0000-0000-000070060000}"/>
    <cellStyle name="Normal 3 31 10" xfId="1659" xr:uid="{00000000-0005-0000-0000-000071060000}"/>
    <cellStyle name="Normal 3 31 11" xfId="1660" xr:uid="{00000000-0005-0000-0000-000072060000}"/>
    <cellStyle name="Normal 3 31 12" xfId="1661" xr:uid="{00000000-0005-0000-0000-000073060000}"/>
    <cellStyle name="Normal 3 31 13" xfId="1662" xr:uid="{00000000-0005-0000-0000-000074060000}"/>
    <cellStyle name="Normal 3 31 14" xfId="1663" xr:uid="{00000000-0005-0000-0000-000075060000}"/>
    <cellStyle name="Normal 3 31 15" xfId="1664" xr:uid="{00000000-0005-0000-0000-000076060000}"/>
    <cellStyle name="Normal 3 31 16" xfId="1665" xr:uid="{00000000-0005-0000-0000-000077060000}"/>
    <cellStyle name="Normal 3 31 17" xfId="1666" xr:uid="{00000000-0005-0000-0000-000078060000}"/>
    <cellStyle name="Normal 3 31 18" xfId="1667" xr:uid="{00000000-0005-0000-0000-000079060000}"/>
    <cellStyle name="Normal 3 31 19" xfId="1668" xr:uid="{00000000-0005-0000-0000-00007A060000}"/>
    <cellStyle name="Normal 3 31 2" xfId="1669" xr:uid="{00000000-0005-0000-0000-00007B060000}"/>
    <cellStyle name="Normal 3 31 20" xfId="1670" xr:uid="{00000000-0005-0000-0000-00007C060000}"/>
    <cellStyle name="Normal 3 31 21" xfId="1671" xr:uid="{00000000-0005-0000-0000-00007D060000}"/>
    <cellStyle name="Normal 3 31 22" xfId="1672" xr:uid="{00000000-0005-0000-0000-00007E060000}"/>
    <cellStyle name="Normal 3 31 23" xfId="1673" xr:uid="{00000000-0005-0000-0000-00007F060000}"/>
    <cellStyle name="Normal 3 31 3" xfId="1674" xr:uid="{00000000-0005-0000-0000-000080060000}"/>
    <cellStyle name="Normal 3 31 4" xfId="1675" xr:uid="{00000000-0005-0000-0000-000081060000}"/>
    <cellStyle name="Normal 3 31 5" xfId="1676" xr:uid="{00000000-0005-0000-0000-000082060000}"/>
    <cellStyle name="Normal 3 31 6" xfId="1677" xr:uid="{00000000-0005-0000-0000-000083060000}"/>
    <cellStyle name="Normal 3 31 7" xfId="1678" xr:uid="{00000000-0005-0000-0000-000084060000}"/>
    <cellStyle name="Normal 3 31 8" xfId="1679" xr:uid="{00000000-0005-0000-0000-000085060000}"/>
    <cellStyle name="Normal 3 31 9" xfId="1680" xr:uid="{00000000-0005-0000-0000-000086060000}"/>
    <cellStyle name="Normal 3 32" xfId="1681" xr:uid="{00000000-0005-0000-0000-000087060000}"/>
    <cellStyle name="Normal 3 32 10" xfId="1682" xr:uid="{00000000-0005-0000-0000-000088060000}"/>
    <cellStyle name="Normal 3 32 11" xfId="1683" xr:uid="{00000000-0005-0000-0000-000089060000}"/>
    <cellStyle name="Normal 3 32 12" xfId="1684" xr:uid="{00000000-0005-0000-0000-00008A060000}"/>
    <cellStyle name="Normal 3 32 13" xfId="1685" xr:uid="{00000000-0005-0000-0000-00008B060000}"/>
    <cellStyle name="Normal 3 32 14" xfId="1686" xr:uid="{00000000-0005-0000-0000-00008C060000}"/>
    <cellStyle name="Normal 3 32 15" xfId="1687" xr:uid="{00000000-0005-0000-0000-00008D060000}"/>
    <cellStyle name="Normal 3 32 16" xfId="1688" xr:uid="{00000000-0005-0000-0000-00008E060000}"/>
    <cellStyle name="Normal 3 32 17" xfId="1689" xr:uid="{00000000-0005-0000-0000-00008F060000}"/>
    <cellStyle name="Normal 3 32 18" xfId="1690" xr:uid="{00000000-0005-0000-0000-000090060000}"/>
    <cellStyle name="Normal 3 32 19" xfId="1691" xr:uid="{00000000-0005-0000-0000-000091060000}"/>
    <cellStyle name="Normal 3 32 2" xfId="1692" xr:uid="{00000000-0005-0000-0000-000092060000}"/>
    <cellStyle name="Normal 3 32 20" xfId="1693" xr:uid="{00000000-0005-0000-0000-000093060000}"/>
    <cellStyle name="Normal 3 32 21" xfId="1694" xr:uid="{00000000-0005-0000-0000-000094060000}"/>
    <cellStyle name="Normal 3 32 22" xfId="1695" xr:uid="{00000000-0005-0000-0000-000095060000}"/>
    <cellStyle name="Normal 3 32 23" xfId="1696" xr:uid="{00000000-0005-0000-0000-000096060000}"/>
    <cellStyle name="Normal 3 32 3" xfId="1697" xr:uid="{00000000-0005-0000-0000-000097060000}"/>
    <cellStyle name="Normal 3 32 4" xfId="1698" xr:uid="{00000000-0005-0000-0000-000098060000}"/>
    <cellStyle name="Normal 3 32 5" xfId="1699" xr:uid="{00000000-0005-0000-0000-000099060000}"/>
    <cellStyle name="Normal 3 32 6" xfId="1700" xr:uid="{00000000-0005-0000-0000-00009A060000}"/>
    <cellStyle name="Normal 3 32 7" xfId="1701" xr:uid="{00000000-0005-0000-0000-00009B060000}"/>
    <cellStyle name="Normal 3 32 8" xfId="1702" xr:uid="{00000000-0005-0000-0000-00009C060000}"/>
    <cellStyle name="Normal 3 32 9" xfId="1703" xr:uid="{00000000-0005-0000-0000-00009D060000}"/>
    <cellStyle name="Normal 3 33" xfId="1704" xr:uid="{00000000-0005-0000-0000-00009E060000}"/>
    <cellStyle name="Normal 3 33 10" xfId="1705" xr:uid="{00000000-0005-0000-0000-00009F060000}"/>
    <cellStyle name="Normal 3 33 11" xfId="1706" xr:uid="{00000000-0005-0000-0000-0000A0060000}"/>
    <cellStyle name="Normal 3 33 12" xfId="1707" xr:uid="{00000000-0005-0000-0000-0000A1060000}"/>
    <cellStyle name="Normal 3 33 13" xfId="1708" xr:uid="{00000000-0005-0000-0000-0000A2060000}"/>
    <cellStyle name="Normal 3 33 14" xfId="1709" xr:uid="{00000000-0005-0000-0000-0000A3060000}"/>
    <cellStyle name="Normal 3 33 15" xfId="1710" xr:uid="{00000000-0005-0000-0000-0000A4060000}"/>
    <cellStyle name="Normal 3 33 16" xfId="1711" xr:uid="{00000000-0005-0000-0000-0000A5060000}"/>
    <cellStyle name="Normal 3 33 17" xfId="1712" xr:uid="{00000000-0005-0000-0000-0000A6060000}"/>
    <cellStyle name="Normal 3 33 18" xfId="1713" xr:uid="{00000000-0005-0000-0000-0000A7060000}"/>
    <cellStyle name="Normal 3 33 19" xfId="1714" xr:uid="{00000000-0005-0000-0000-0000A8060000}"/>
    <cellStyle name="Normal 3 33 2" xfId="1715" xr:uid="{00000000-0005-0000-0000-0000A9060000}"/>
    <cellStyle name="Normal 3 33 20" xfId="1716" xr:uid="{00000000-0005-0000-0000-0000AA060000}"/>
    <cellStyle name="Normal 3 33 21" xfId="1717" xr:uid="{00000000-0005-0000-0000-0000AB060000}"/>
    <cellStyle name="Normal 3 33 22" xfId="1718" xr:uid="{00000000-0005-0000-0000-0000AC060000}"/>
    <cellStyle name="Normal 3 33 23" xfId="1719" xr:uid="{00000000-0005-0000-0000-0000AD060000}"/>
    <cellStyle name="Normal 3 33 3" xfId="1720" xr:uid="{00000000-0005-0000-0000-0000AE060000}"/>
    <cellStyle name="Normal 3 33 4" xfId="1721" xr:uid="{00000000-0005-0000-0000-0000AF060000}"/>
    <cellStyle name="Normal 3 33 5" xfId="1722" xr:uid="{00000000-0005-0000-0000-0000B0060000}"/>
    <cellStyle name="Normal 3 33 6" xfId="1723" xr:uid="{00000000-0005-0000-0000-0000B1060000}"/>
    <cellStyle name="Normal 3 33 7" xfId="1724" xr:uid="{00000000-0005-0000-0000-0000B2060000}"/>
    <cellStyle name="Normal 3 33 8" xfId="1725" xr:uid="{00000000-0005-0000-0000-0000B3060000}"/>
    <cellStyle name="Normal 3 33 9" xfId="1726" xr:uid="{00000000-0005-0000-0000-0000B4060000}"/>
    <cellStyle name="Normal 3 34" xfId="1727" xr:uid="{00000000-0005-0000-0000-0000B5060000}"/>
    <cellStyle name="Normal 3 35" xfId="1728" xr:uid="{00000000-0005-0000-0000-0000B6060000}"/>
    <cellStyle name="Normal 3 36" xfId="1729" xr:uid="{00000000-0005-0000-0000-0000B7060000}"/>
    <cellStyle name="Normal 3 37" xfId="1730" xr:uid="{00000000-0005-0000-0000-0000B8060000}"/>
    <cellStyle name="Normal 3 38" xfId="1731" xr:uid="{00000000-0005-0000-0000-0000B9060000}"/>
    <cellStyle name="Normal 3 39" xfId="1732" xr:uid="{00000000-0005-0000-0000-0000BA060000}"/>
    <cellStyle name="Normal 3 4" xfId="1733" xr:uid="{00000000-0005-0000-0000-0000BB060000}"/>
    <cellStyle name="Normal 3 4 10" xfId="1734" xr:uid="{00000000-0005-0000-0000-0000BC060000}"/>
    <cellStyle name="Normal 3 4 11" xfId="1735" xr:uid="{00000000-0005-0000-0000-0000BD060000}"/>
    <cellStyle name="Normal 3 4 12" xfId="1736" xr:uid="{00000000-0005-0000-0000-0000BE060000}"/>
    <cellStyle name="Normal 3 4 13" xfId="1737" xr:uid="{00000000-0005-0000-0000-0000BF060000}"/>
    <cellStyle name="Normal 3 4 14" xfId="1738" xr:uid="{00000000-0005-0000-0000-0000C0060000}"/>
    <cellStyle name="Normal 3 4 15" xfId="1739" xr:uid="{00000000-0005-0000-0000-0000C1060000}"/>
    <cellStyle name="Normal 3 4 16" xfId="1740" xr:uid="{00000000-0005-0000-0000-0000C2060000}"/>
    <cellStyle name="Normal 3 4 17" xfId="1741" xr:uid="{00000000-0005-0000-0000-0000C3060000}"/>
    <cellStyle name="Normal 3 4 18" xfId="1742" xr:uid="{00000000-0005-0000-0000-0000C4060000}"/>
    <cellStyle name="Normal 3 4 19" xfId="1743" xr:uid="{00000000-0005-0000-0000-0000C5060000}"/>
    <cellStyle name="Normal 3 4 2" xfId="1744" xr:uid="{00000000-0005-0000-0000-0000C6060000}"/>
    <cellStyle name="Normal 3 4 20" xfId="1745" xr:uid="{00000000-0005-0000-0000-0000C7060000}"/>
    <cellStyle name="Normal 3 4 21" xfId="1746" xr:uid="{00000000-0005-0000-0000-0000C8060000}"/>
    <cellStyle name="Normal 3 4 22" xfId="1747" xr:uid="{00000000-0005-0000-0000-0000C9060000}"/>
    <cellStyle name="Normal 3 4 23" xfId="1748" xr:uid="{00000000-0005-0000-0000-0000CA060000}"/>
    <cellStyle name="Normal 3 4 3" xfId="1749" xr:uid="{00000000-0005-0000-0000-0000CB060000}"/>
    <cellStyle name="Normal 3 4 4" xfId="1750" xr:uid="{00000000-0005-0000-0000-0000CC060000}"/>
    <cellStyle name="Normal 3 4 5" xfId="1751" xr:uid="{00000000-0005-0000-0000-0000CD060000}"/>
    <cellStyle name="Normal 3 4 6" xfId="1752" xr:uid="{00000000-0005-0000-0000-0000CE060000}"/>
    <cellStyle name="Normal 3 4 7" xfId="1753" xr:uid="{00000000-0005-0000-0000-0000CF060000}"/>
    <cellStyle name="Normal 3 4 8" xfId="1754" xr:uid="{00000000-0005-0000-0000-0000D0060000}"/>
    <cellStyle name="Normal 3 4 9" xfId="1755" xr:uid="{00000000-0005-0000-0000-0000D1060000}"/>
    <cellStyle name="Normal 3 40" xfId="1756" xr:uid="{00000000-0005-0000-0000-0000D2060000}"/>
    <cellStyle name="Normal 3 41" xfId="1757" xr:uid="{00000000-0005-0000-0000-0000D3060000}"/>
    <cellStyle name="Normal 3 42" xfId="1758" xr:uid="{00000000-0005-0000-0000-0000D4060000}"/>
    <cellStyle name="Normal 3 43" xfId="1759" xr:uid="{00000000-0005-0000-0000-0000D5060000}"/>
    <cellStyle name="Normal 3 44" xfId="1760" xr:uid="{00000000-0005-0000-0000-0000D6060000}"/>
    <cellStyle name="Normal 3 45" xfId="1761" xr:uid="{00000000-0005-0000-0000-0000D7060000}"/>
    <cellStyle name="Normal 3 46" xfId="1762" xr:uid="{00000000-0005-0000-0000-0000D8060000}"/>
    <cellStyle name="Normal 3 47" xfId="1763" xr:uid="{00000000-0005-0000-0000-0000D9060000}"/>
    <cellStyle name="Normal 3 48" xfId="1764" xr:uid="{00000000-0005-0000-0000-0000DA060000}"/>
    <cellStyle name="Normal 3 49" xfId="1765" xr:uid="{00000000-0005-0000-0000-0000DB060000}"/>
    <cellStyle name="Normal 3 5" xfId="1766" xr:uid="{00000000-0005-0000-0000-0000DC060000}"/>
    <cellStyle name="Normal 3 5 10" xfId="1767" xr:uid="{00000000-0005-0000-0000-0000DD060000}"/>
    <cellStyle name="Normal 3 5 11" xfId="1768" xr:uid="{00000000-0005-0000-0000-0000DE060000}"/>
    <cellStyle name="Normal 3 5 12" xfId="1769" xr:uid="{00000000-0005-0000-0000-0000DF060000}"/>
    <cellStyle name="Normal 3 5 13" xfId="1770" xr:uid="{00000000-0005-0000-0000-0000E0060000}"/>
    <cellStyle name="Normal 3 5 14" xfId="1771" xr:uid="{00000000-0005-0000-0000-0000E1060000}"/>
    <cellStyle name="Normal 3 5 15" xfId="1772" xr:uid="{00000000-0005-0000-0000-0000E2060000}"/>
    <cellStyle name="Normal 3 5 16" xfId="1773" xr:uid="{00000000-0005-0000-0000-0000E3060000}"/>
    <cellStyle name="Normal 3 5 17" xfId="1774" xr:uid="{00000000-0005-0000-0000-0000E4060000}"/>
    <cellStyle name="Normal 3 5 18" xfId="1775" xr:uid="{00000000-0005-0000-0000-0000E5060000}"/>
    <cellStyle name="Normal 3 5 19" xfId="1776" xr:uid="{00000000-0005-0000-0000-0000E6060000}"/>
    <cellStyle name="Normal 3 5 2" xfId="1777" xr:uid="{00000000-0005-0000-0000-0000E7060000}"/>
    <cellStyle name="Normal 3 5 20" xfId="1778" xr:uid="{00000000-0005-0000-0000-0000E8060000}"/>
    <cellStyle name="Normal 3 5 21" xfId="1779" xr:uid="{00000000-0005-0000-0000-0000E9060000}"/>
    <cellStyle name="Normal 3 5 22" xfId="1780" xr:uid="{00000000-0005-0000-0000-0000EA060000}"/>
    <cellStyle name="Normal 3 5 23" xfId="1781" xr:uid="{00000000-0005-0000-0000-0000EB060000}"/>
    <cellStyle name="Normal 3 5 3" xfId="1782" xr:uid="{00000000-0005-0000-0000-0000EC060000}"/>
    <cellStyle name="Normal 3 5 4" xfId="1783" xr:uid="{00000000-0005-0000-0000-0000ED060000}"/>
    <cellStyle name="Normal 3 5 5" xfId="1784" xr:uid="{00000000-0005-0000-0000-0000EE060000}"/>
    <cellStyle name="Normal 3 5 6" xfId="1785" xr:uid="{00000000-0005-0000-0000-0000EF060000}"/>
    <cellStyle name="Normal 3 5 7" xfId="1786" xr:uid="{00000000-0005-0000-0000-0000F0060000}"/>
    <cellStyle name="Normal 3 5 8" xfId="1787" xr:uid="{00000000-0005-0000-0000-0000F1060000}"/>
    <cellStyle name="Normal 3 5 9" xfId="1788" xr:uid="{00000000-0005-0000-0000-0000F2060000}"/>
    <cellStyle name="Normal 3 50" xfId="1789" xr:uid="{00000000-0005-0000-0000-0000F3060000}"/>
    <cellStyle name="Normal 3 51" xfId="1790" xr:uid="{00000000-0005-0000-0000-0000F4060000}"/>
    <cellStyle name="Normal 3 52" xfId="1791" xr:uid="{00000000-0005-0000-0000-0000F5060000}"/>
    <cellStyle name="Normal 3 53" xfId="1792" xr:uid="{00000000-0005-0000-0000-0000F6060000}"/>
    <cellStyle name="Normal 3 54" xfId="1793" xr:uid="{00000000-0005-0000-0000-0000F7060000}"/>
    <cellStyle name="Normal 3 55" xfId="1794" xr:uid="{00000000-0005-0000-0000-0000F8060000}"/>
    <cellStyle name="Normal 3 56" xfId="1795" xr:uid="{00000000-0005-0000-0000-0000F9060000}"/>
    <cellStyle name="Normal 3 57" xfId="1796" xr:uid="{00000000-0005-0000-0000-0000FA060000}"/>
    <cellStyle name="Normal 3 58" xfId="1797" xr:uid="{00000000-0005-0000-0000-0000FB060000}"/>
    <cellStyle name="Normal 3 59" xfId="1798" xr:uid="{00000000-0005-0000-0000-0000FC060000}"/>
    <cellStyle name="Normal 3 6" xfId="1799" xr:uid="{00000000-0005-0000-0000-0000FD060000}"/>
    <cellStyle name="Normal 3 6 10" xfId="1800" xr:uid="{00000000-0005-0000-0000-0000FE060000}"/>
    <cellStyle name="Normal 3 6 11" xfId="1801" xr:uid="{00000000-0005-0000-0000-0000FF060000}"/>
    <cellStyle name="Normal 3 6 12" xfId="1802" xr:uid="{00000000-0005-0000-0000-000000070000}"/>
    <cellStyle name="Normal 3 6 13" xfId="1803" xr:uid="{00000000-0005-0000-0000-000001070000}"/>
    <cellStyle name="Normal 3 6 14" xfId="1804" xr:uid="{00000000-0005-0000-0000-000002070000}"/>
    <cellStyle name="Normal 3 6 15" xfId="1805" xr:uid="{00000000-0005-0000-0000-000003070000}"/>
    <cellStyle name="Normal 3 6 16" xfId="1806" xr:uid="{00000000-0005-0000-0000-000004070000}"/>
    <cellStyle name="Normal 3 6 17" xfId="1807" xr:uid="{00000000-0005-0000-0000-000005070000}"/>
    <cellStyle name="Normal 3 6 18" xfId="1808" xr:uid="{00000000-0005-0000-0000-000006070000}"/>
    <cellStyle name="Normal 3 6 19" xfId="1809" xr:uid="{00000000-0005-0000-0000-000007070000}"/>
    <cellStyle name="Normal 3 6 2" xfId="1810" xr:uid="{00000000-0005-0000-0000-000008070000}"/>
    <cellStyle name="Normal 3 6 20" xfId="1811" xr:uid="{00000000-0005-0000-0000-000009070000}"/>
    <cellStyle name="Normal 3 6 21" xfId="1812" xr:uid="{00000000-0005-0000-0000-00000A070000}"/>
    <cellStyle name="Normal 3 6 22" xfId="1813" xr:uid="{00000000-0005-0000-0000-00000B070000}"/>
    <cellStyle name="Normal 3 6 23" xfId="1814" xr:uid="{00000000-0005-0000-0000-00000C070000}"/>
    <cellStyle name="Normal 3 6 3" xfId="1815" xr:uid="{00000000-0005-0000-0000-00000D070000}"/>
    <cellStyle name="Normal 3 6 4" xfId="1816" xr:uid="{00000000-0005-0000-0000-00000E070000}"/>
    <cellStyle name="Normal 3 6 5" xfId="1817" xr:uid="{00000000-0005-0000-0000-00000F070000}"/>
    <cellStyle name="Normal 3 6 6" xfId="1818" xr:uid="{00000000-0005-0000-0000-000010070000}"/>
    <cellStyle name="Normal 3 6 7" xfId="1819" xr:uid="{00000000-0005-0000-0000-000011070000}"/>
    <cellStyle name="Normal 3 6 8" xfId="1820" xr:uid="{00000000-0005-0000-0000-000012070000}"/>
    <cellStyle name="Normal 3 6 9" xfId="1821" xr:uid="{00000000-0005-0000-0000-000013070000}"/>
    <cellStyle name="Normal 3 60" xfId="1822" xr:uid="{00000000-0005-0000-0000-000014070000}"/>
    <cellStyle name="Normal 3 61" xfId="1823" xr:uid="{00000000-0005-0000-0000-000015070000}"/>
    <cellStyle name="Normal 3 62" xfId="1824" xr:uid="{00000000-0005-0000-0000-000016070000}"/>
    <cellStyle name="Normal 3 63" xfId="1825" xr:uid="{00000000-0005-0000-0000-000017070000}"/>
    <cellStyle name="Normal 3 64" xfId="1826" xr:uid="{00000000-0005-0000-0000-000018070000}"/>
    <cellStyle name="Normal 3 65" xfId="1827" xr:uid="{00000000-0005-0000-0000-000019070000}"/>
    <cellStyle name="Normal 3 66" xfId="1064" xr:uid="{00000000-0005-0000-0000-00001A070000}"/>
    <cellStyle name="Normal 3 67" xfId="2065" xr:uid="{00000000-0005-0000-0000-000030050000}"/>
    <cellStyle name="Normal 3 7" xfId="1828" xr:uid="{00000000-0005-0000-0000-00001B070000}"/>
    <cellStyle name="Normal 3 7 10" xfId="1829" xr:uid="{00000000-0005-0000-0000-00001C070000}"/>
    <cellStyle name="Normal 3 7 11" xfId="1830" xr:uid="{00000000-0005-0000-0000-00001D070000}"/>
    <cellStyle name="Normal 3 7 12" xfId="1831" xr:uid="{00000000-0005-0000-0000-00001E070000}"/>
    <cellStyle name="Normal 3 7 13" xfId="1832" xr:uid="{00000000-0005-0000-0000-00001F070000}"/>
    <cellStyle name="Normal 3 7 14" xfId="1833" xr:uid="{00000000-0005-0000-0000-000020070000}"/>
    <cellStyle name="Normal 3 7 15" xfId="1834" xr:uid="{00000000-0005-0000-0000-000021070000}"/>
    <cellStyle name="Normal 3 7 16" xfId="1835" xr:uid="{00000000-0005-0000-0000-000022070000}"/>
    <cellStyle name="Normal 3 7 17" xfId="1836" xr:uid="{00000000-0005-0000-0000-000023070000}"/>
    <cellStyle name="Normal 3 7 18" xfId="1837" xr:uid="{00000000-0005-0000-0000-000024070000}"/>
    <cellStyle name="Normal 3 7 19" xfId="1838" xr:uid="{00000000-0005-0000-0000-000025070000}"/>
    <cellStyle name="Normal 3 7 2" xfId="1839" xr:uid="{00000000-0005-0000-0000-000026070000}"/>
    <cellStyle name="Normal 3 7 20" xfId="1840" xr:uid="{00000000-0005-0000-0000-000027070000}"/>
    <cellStyle name="Normal 3 7 21" xfId="1841" xr:uid="{00000000-0005-0000-0000-000028070000}"/>
    <cellStyle name="Normal 3 7 22" xfId="1842" xr:uid="{00000000-0005-0000-0000-000029070000}"/>
    <cellStyle name="Normal 3 7 23" xfId="1843" xr:uid="{00000000-0005-0000-0000-00002A070000}"/>
    <cellStyle name="Normal 3 7 3" xfId="1844" xr:uid="{00000000-0005-0000-0000-00002B070000}"/>
    <cellStyle name="Normal 3 7 4" xfId="1845" xr:uid="{00000000-0005-0000-0000-00002C070000}"/>
    <cellStyle name="Normal 3 7 5" xfId="1846" xr:uid="{00000000-0005-0000-0000-00002D070000}"/>
    <cellStyle name="Normal 3 7 6" xfId="1847" xr:uid="{00000000-0005-0000-0000-00002E070000}"/>
    <cellStyle name="Normal 3 7 7" xfId="1848" xr:uid="{00000000-0005-0000-0000-00002F070000}"/>
    <cellStyle name="Normal 3 7 8" xfId="1849" xr:uid="{00000000-0005-0000-0000-000030070000}"/>
    <cellStyle name="Normal 3 7 9" xfId="1850" xr:uid="{00000000-0005-0000-0000-000031070000}"/>
    <cellStyle name="Normal 3 7_Summary" xfId="2400" xr:uid="{00000000-0005-0000-0000-000045080000}"/>
    <cellStyle name="Normal 3 8" xfId="1851" xr:uid="{00000000-0005-0000-0000-000032070000}"/>
    <cellStyle name="Normal 3 8 10" xfId="1852" xr:uid="{00000000-0005-0000-0000-000033070000}"/>
    <cellStyle name="Normal 3 8 11" xfId="1853" xr:uid="{00000000-0005-0000-0000-000034070000}"/>
    <cellStyle name="Normal 3 8 12" xfId="1854" xr:uid="{00000000-0005-0000-0000-000035070000}"/>
    <cellStyle name="Normal 3 8 13" xfId="1855" xr:uid="{00000000-0005-0000-0000-000036070000}"/>
    <cellStyle name="Normal 3 8 14" xfId="1856" xr:uid="{00000000-0005-0000-0000-000037070000}"/>
    <cellStyle name="Normal 3 8 15" xfId="1857" xr:uid="{00000000-0005-0000-0000-000038070000}"/>
    <cellStyle name="Normal 3 8 16" xfId="1858" xr:uid="{00000000-0005-0000-0000-000039070000}"/>
    <cellStyle name="Normal 3 8 17" xfId="1859" xr:uid="{00000000-0005-0000-0000-00003A070000}"/>
    <cellStyle name="Normal 3 8 18" xfId="1860" xr:uid="{00000000-0005-0000-0000-00003B070000}"/>
    <cellStyle name="Normal 3 8 19" xfId="1861" xr:uid="{00000000-0005-0000-0000-00003C070000}"/>
    <cellStyle name="Normal 3 8 2" xfId="1862" xr:uid="{00000000-0005-0000-0000-00003D070000}"/>
    <cellStyle name="Normal 3 8 20" xfId="1863" xr:uid="{00000000-0005-0000-0000-00003E070000}"/>
    <cellStyle name="Normal 3 8 21" xfId="1864" xr:uid="{00000000-0005-0000-0000-00003F070000}"/>
    <cellStyle name="Normal 3 8 22" xfId="1865" xr:uid="{00000000-0005-0000-0000-000040070000}"/>
    <cellStyle name="Normal 3 8 23" xfId="1866" xr:uid="{00000000-0005-0000-0000-000041070000}"/>
    <cellStyle name="Normal 3 8 3" xfId="1867" xr:uid="{00000000-0005-0000-0000-000042070000}"/>
    <cellStyle name="Normal 3 8 4" xfId="1868" xr:uid="{00000000-0005-0000-0000-000043070000}"/>
    <cellStyle name="Normal 3 8 5" xfId="1869" xr:uid="{00000000-0005-0000-0000-000044070000}"/>
    <cellStyle name="Normal 3 8 6" xfId="1870" xr:uid="{00000000-0005-0000-0000-000045070000}"/>
    <cellStyle name="Normal 3 8 7" xfId="1871" xr:uid="{00000000-0005-0000-0000-000046070000}"/>
    <cellStyle name="Normal 3 8 8" xfId="1872" xr:uid="{00000000-0005-0000-0000-000047070000}"/>
    <cellStyle name="Normal 3 8 9" xfId="1873" xr:uid="{00000000-0005-0000-0000-000048070000}"/>
    <cellStyle name="Normal 3 9" xfId="1874" xr:uid="{00000000-0005-0000-0000-000049070000}"/>
    <cellStyle name="Normal 3 9 10" xfId="1875" xr:uid="{00000000-0005-0000-0000-00004A070000}"/>
    <cellStyle name="Normal 3 9 11" xfId="1876" xr:uid="{00000000-0005-0000-0000-00004B070000}"/>
    <cellStyle name="Normal 3 9 12" xfId="1877" xr:uid="{00000000-0005-0000-0000-00004C070000}"/>
    <cellStyle name="Normal 3 9 13" xfId="1878" xr:uid="{00000000-0005-0000-0000-00004D070000}"/>
    <cellStyle name="Normal 3 9 14" xfId="1879" xr:uid="{00000000-0005-0000-0000-00004E070000}"/>
    <cellStyle name="Normal 3 9 15" xfId="1880" xr:uid="{00000000-0005-0000-0000-00004F070000}"/>
    <cellStyle name="Normal 3 9 16" xfId="1881" xr:uid="{00000000-0005-0000-0000-000050070000}"/>
    <cellStyle name="Normal 3 9 17" xfId="1882" xr:uid="{00000000-0005-0000-0000-000051070000}"/>
    <cellStyle name="Normal 3 9 18" xfId="1883" xr:uid="{00000000-0005-0000-0000-000052070000}"/>
    <cellStyle name="Normal 3 9 19" xfId="1884" xr:uid="{00000000-0005-0000-0000-000053070000}"/>
    <cellStyle name="Normal 3 9 2" xfId="1885" xr:uid="{00000000-0005-0000-0000-000054070000}"/>
    <cellStyle name="Normal 3 9 20" xfId="1886" xr:uid="{00000000-0005-0000-0000-000055070000}"/>
    <cellStyle name="Normal 3 9 21" xfId="1887" xr:uid="{00000000-0005-0000-0000-000056070000}"/>
    <cellStyle name="Normal 3 9 22" xfId="1888" xr:uid="{00000000-0005-0000-0000-000057070000}"/>
    <cellStyle name="Normal 3 9 23" xfId="1889" xr:uid="{00000000-0005-0000-0000-000058070000}"/>
    <cellStyle name="Normal 3 9 3" xfId="1890" xr:uid="{00000000-0005-0000-0000-000059070000}"/>
    <cellStyle name="Normal 3 9 4" xfId="1891" xr:uid="{00000000-0005-0000-0000-00005A070000}"/>
    <cellStyle name="Normal 3 9 5" xfId="1892" xr:uid="{00000000-0005-0000-0000-00005B070000}"/>
    <cellStyle name="Normal 3 9 6" xfId="1893" xr:uid="{00000000-0005-0000-0000-00005C070000}"/>
    <cellStyle name="Normal 3 9 7" xfId="1894" xr:uid="{00000000-0005-0000-0000-00005D070000}"/>
    <cellStyle name="Normal 3 9 8" xfId="1895" xr:uid="{00000000-0005-0000-0000-00005E070000}"/>
    <cellStyle name="Normal 3 9 9" xfId="1896" xr:uid="{00000000-0005-0000-0000-00005F070000}"/>
    <cellStyle name="Normal 3 9_Summary" xfId="2403" xr:uid="{00000000-0005-0000-0000-000074080000}"/>
    <cellStyle name="Normal 3_Rates" xfId="2404" xr:uid="{00000000-0005-0000-0000-000075080000}"/>
    <cellStyle name="Normal 31" xfId="1999" xr:uid="{00000000-0005-0000-0000-000076080000}"/>
    <cellStyle name="Normal 4" xfId="52" xr:uid="{00000000-0005-0000-0000-000060070000}"/>
    <cellStyle name="Normal 4 2" xfId="1898" xr:uid="{00000000-0005-0000-0000-000061070000}"/>
    <cellStyle name="Normal 4 2 2" xfId="2068" xr:uid="{00000000-0005-0000-0000-000079080000}"/>
    <cellStyle name="Normal 4 2 3" xfId="2405" xr:uid="{00000000-0005-0000-0000-00007A080000}"/>
    <cellStyle name="Normal 4 2 4" xfId="2406" xr:uid="{00000000-0005-0000-0000-00007B080000}"/>
    <cellStyle name="Normal 4 2 5" xfId="2067" xr:uid="{00000000-0005-0000-0000-000078080000}"/>
    <cellStyle name="Normal 4 26" xfId="2407" xr:uid="{00000000-0005-0000-0000-00007C080000}"/>
    <cellStyle name="Normal 4 26 2" xfId="2408" xr:uid="{00000000-0005-0000-0000-00007D080000}"/>
    <cellStyle name="Normal 4 3" xfId="1897" xr:uid="{00000000-0005-0000-0000-000062070000}"/>
    <cellStyle name="Normal 4 3 2" xfId="2000" xr:uid="{00000000-0005-0000-0000-00007E080000}"/>
    <cellStyle name="Normal 4 4" xfId="2066" xr:uid="{00000000-0005-0000-0000-000077080000}"/>
    <cellStyle name="Normal 5" xfId="43" xr:uid="{00000000-0005-0000-0000-000063070000}"/>
    <cellStyle name="Normal 5 10" xfId="1899" xr:uid="{00000000-0005-0000-0000-000064070000}"/>
    <cellStyle name="Normal 5 11" xfId="1900" xr:uid="{00000000-0005-0000-0000-000065070000}"/>
    <cellStyle name="Normal 5 12" xfId="1901" xr:uid="{00000000-0005-0000-0000-000066070000}"/>
    <cellStyle name="Normal 5 13" xfId="1902" xr:uid="{00000000-0005-0000-0000-000067070000}"/>
    <cellStyle name="Normal 5 14" xfId="1903" xr:uid="{00000000-0005-0000-0000-000068070000}"/>
    <cellStyle name="Normal 5 15" xfId="1904" xr:uid="{00000000-0005-0000-0000-000069070000}"/>
    <cellStyle name="Normal 5 16" xfId="1905" xr:uid="{00000000-0005-0000-0000-00006A070000}"/>
    <cellStyle name="Normal 5 17" xfId="1906" xr:uid="{00000000-0005-0000-0000-00006B070000}"/>
    <cellStyle name="Normal 5 18" xfId="1907" xr:uid="{00000000-0005-0000-0000-00006C070000}"/>
    <cellStyle name="Normal 5 19" xfId="1908" xr:uid="{00000000-0005-0000-0000-00006D070000}"/>
    <cellStyle name="Normal 5 2" xfId="1909" xr:uid="{00000000-0005-0000-0000-00006E070000}"/>
    <cellStyle name="Normal 5 2 10" xfId="1910" xr:uid="{00000000-0005-0000-0000-00006F070000}"/>
    <cellStyle name="Normal 5 2 11" xfId="1911" xr:uid="{00000000-0005-0000-0000-000070070000}"/>
    <cellStyle name="Normal 5 2 12" xfId="1912" xr:uid="{00000000-0005-0000-0000-000071070000}"/>
    <cellStyle name="Normal 5 2 13" xfId="1913" xr:uid="{00000000-0005-0000-0000-000072070000}"/>
    <cellStyle name="Normal 5 2 14" xfId="1914" xr:uid="{00000000-0005-0000-0000-000073070000}"/>
    <cellStyle name="Normal 5 2 15" xfId="1915" xr:uid="{00000000-0005-0000-0000-000074070000}"/>
    <cellStyle name="Normal 5 2 16" xfId="1916" xr:uid="{00000000-0005-0000-0000-000075070000}"/>
    <cellStyle name="Normal 5 2 17" xfId="1917" xr:uid="{00000000-0005-0000-0000-000076070000}"/>
    <cellStyle name="Normal 5 2 18" xfId="1918" xr:uid="{00000000-0005-0000-0000-000077070000}"/>
    <cellStyle name="Normal 5 2 19" xfId="1919" xr:uid="{00000000-0005-0000-0000-000078070000}"/>
    <cellStyle name="Normal 5 2 2" xfId="1920" xr:uid="{00000000-0005-0000-0000-000079070000}"/>
    <cellStyle name="Normal 5 2 20" xfId="1921" xr:uid="{00000000-0005-0000-0000-00007A070000}"/>
    <cellStyle name="Normal 5 2 21" xfId="1922" xr:uid="{00000000-0005-0000-0000-00007B070000}"/>
    <cellStyle name="Normal 5 2 22" xfId="1923" xr:uid="{00000000-0005-0000-0000-00007C070000}"/>
    <cellStyle name="Normal 5 2 23" xfId="1924" xr:uid="{00000000-0005-0000-0000-00007D070000}"/>
    <cellStyle name="Normal 5 2 3" xfId="1925" xr:uid="{00000000-0005-0000-0000-00007E070000}"/>
    <cellStyle name="Normal 5 2 4" xfId="1926" xr:uid="{00000000-0005-0000-0000-00007F070000}"/>
    <cellStyle name="Normal 5 2 5" xfId="1927" xr:uid="{00000000-0005-0000-0000-000080070000}"/>
    <cellStyle name="Normal 5 2 6" xfId="1928" xr:uid="{00000000-0005-0000-0000-000081070000}"/>
    <cellStyle name="Normal 5 2 7" xfId="1929" xr:uid="{00000000-0005-0000-0000-000082070000}"/>
    <cellStyle name="Normal 5 2 8" xfId="1930" xr:uid="{00000000-0005-0000-0000-000083070000}"/>
    <cellStyle name="Normal 5 2 9" xfId="1931" xr:uid="{00000000-0005-0000-0000-000084070000}"/>
    <cellStyle name="Normal 5 20" xfId="1932" xr:uid="{00000000-0005-0000-0000-000085070000}"/>
    <cellStyle name="Normal 5 21" xfId="1933" xr:uid="{00000000-0005-0000-0000-000086070000}"/>
    <cellStyle name="Normal 5 22" xfId="1934" xr:uid="{00000000-0005-0000-0000-000087070000}"/>
    <cellStyle name="Normal 5 23" xfId="1935" xr:uid="{00000000-0005-0000-0000-000088070000}"/>
    <cellStyle name="Normal 5 24" xfId="1936" xr:uid="{00000000-0005-0000-0000-000089070000}"/>
    <cellStyle name="Normal 5 25" xfId="2069" xr:uid="{00000000-0005-0000-0000-00007F080000}"/>
    <cellStyle name="Normal 5 3" xfId="1937" xr:uid="{00000000-0005-0000-0000-00008A070000}"/>
    <cellStyle name="Normal 5 4" xfId="1938" xr:uid="{00000000-0005-0000-0000-00008B070000}"/>
    <cellStyle name="Normal 5 5" xfId="1939" xr:uid="{00000000-0005-0000-0000-00008C070000}"/>
    <cellStyle name="Normal 5 6" xfId="1940" xr:uid="{00000000-0005-0000-0000-00008D070000}"/>
    <cellStyle name="Normal 5 7" xfId="1941" xr:uid="{00000000-0005-0000-0000-00008E070000}"/>
    <cellStyle name="Normal 5 8" xfId="1942" xr:uid="{00000000-0005-0000-0000-00008F070000}"/>
    <cellStyle name="Normal 5 9" xfId="1943" xr:uid="{00000000-0005-0000-0000-000090070000}"/>
    <cellStyle name="Normal 5_Summary" xfId="2410" xr:uid="{00000000-0005-0000-0000-0000AD080000}"/>
    <cellStyle name="Normal 6" xfId="1944" xr:uid="{00000000-0005-0000-0000-000091070000}"/>
    <cellStyle name="Normal 6 2" xfId="2071" xr:uid="{00000000-0005-0000-0000-0000AF080000}"/>
    <cellStyle name="Normal 6 2 2" xfId="2072" xr:uid="{00000000-0005-0000-0000-0000B0080000}"/>
    <cellStyle name="Normal 6 2 2 2" xfId="2073" xr:uid="{00000000-0005-0000-0000-0000B1080000}"/>
    <cellStyle name="Normal 6 2 3" xfId="2074" xr:uid="{00000000-0005-0000-0000-0000B2080000}"/>
    <cellStyle name="Normal 6 3" xfId="2075" xr:uid="{00000000-0005-0000-0000-0000B3080000}"/>
    <cellStyle name="Normal 6 3 2" xfId="2076" xr:uid="{00000000-0005-0000-0000-0000B4080000}"/>
    <cellStyle name="Normal 6 4" xfId="2077" xr:uid="{00000000-0005-0000-0000-0000B5080000}"/>
    <cellStyle name="Normal 6 5" xfId="2070" xr:uid="{00000000-0005-0000-0000-0000AE080000}"/>
    <cellStyle name="Normal 7" xfId="1945" xr:uid="{00000000-0005-0000-0000-000092070000}"/>
    <cellStyle name="Normal 7 10" xfId="1946" xr:uid="{00000000-0005-0000-0000-000093070000}"/>
    <cellStyle name="Normal 7 11" xfId="1947" xr:uid="{00000000-0005-0000-0000-000094070000}"/>
    <cellStyle name="Normal 7 12" xfId="1948" xr:uid="{00000000-0005-0000-0000-000095070000}"/>
    <cellStyle name="Normal 7 13" xfId="1949" xr:uid="{00000000-0005-0000-0000-000096070000}"/>
    <cellStyle name="Normal 7 14" xfId="1950" xr:uid="{00000000-0005-0000-0000-000097070000}"/>
    <cellStyle name="Normal 7 15" xfId="1951" xr:uid="{00000000-0005-0000-0000-000098070000}"/>
    <cellStyle name="Normal 7 16" xfId="1952" xr:uid="{00000000-0005-0000-0000-000099070000}"/>
    <cellStyle name="Normal 7 17" xfId="1953" xr:uid="{00000000-0005-0000-0000-00009A070000}"/>
    <cellStyle name="Normal 7 18" xfId="1954" xr:uid="{00000000-0005-0000-0000-00009B070000}"/>
    <cellStyle name="Normal 7 19" xfId="1955" xr:uid="{00000000-0005-0000-0000-00009C070000}"/>
    <cellStyle name="Normal 7 2" xfId="1956" xr:uid="{00000000-0005-0000-0000-00009D070000}"/>
    <cellStyle name="Normal 7 2 10" xfId="1957" xr:uid="{00000000-0005-0000-0000-00009E070000}"/>
    <cellStyle name="Normal 7 2 11" xfId="1958" xr:uid="{00000000-0005-0000-0000-00009F070000}"/>
    <cellStyle name="Normal 7 2 12" xfId="1959" xr:uid="{00000000-0005-0000-0000-0000A0070000}"/>
    <cellStyle name="Normal 7 2 13" xfId="1960" xr:uid="{00000000-0005-0000-0000-0000A1070000}"/>
    <cellStyle name="Normal 7 2 14" xfId="1961" xr:uid="{00000000-0005-0000-0000-0000A2070000}"/>
    <cellStyle name="Normal 7 2 15" xfId="1962" xr:uid="{00000000-0005-0000-0000-0000A3070000}"/>
    <cellStyle name="Normal 7 2 16" xfId="1963" xr:uid="{00000000-0005-0000-0000-0000A4070000}"/>
    <cellStyle name="Normal 7 2 17" xfId="1964" xr:uid="{00000000-0005-0000-0000-0000A5070000}"/>
    <cellStyle name="Normal 7 2 18" xfId="1965" xr:uid="{00000000-0005-0000-0000-0000A6070000}"/>
    <cellStyle name="Normal 7 2 19" xfId="1966" xr:uid="{00000000-0005-0000-0000-0000A7070000}"/>
    <cellStyle name="Normal 7 2 2" xfId="1967" xr:uid="{00000000-0005-0000-0000-0000A8070000}"/>
    <cellStyle name="Normal 7 2 20" xfId="1968" xr:uid="{00000000-0005-0000-0000-0000A9070000}"/>
    <cellStyle name="Normal 7 2 21" xfId="1969" xr:uid="{00000000-0005-0000-0000-0000AA070000}"/>
    <cellStyle name="Normal 7 2 22" xfId="1970" xr:uid="{00000000-0005-0000-0000-0000AB070000}"/>
    <cellStyle name="Normal 7 2 23" xfId="1971" xr:uid="{00000000-0005-0000-0000-0000AC070000}"/>
    <cellStyle name="Normal 7 2 24" xfId="2079" xr:uid="{00000000-0005-0000-0000-0000C1080000}"/>
    <cellStyle name="Normal 7 2 3" xfId="1972" xr:uid="{00000000-0005-0000-0000-0000AD070000}"/>
    <cellStyle name="Normal 7 2 4" xfId="1973" xr:uid="{00000000-0005-0000-0000-0000AE070000}"/>
    <cellStyle name="Normal 7 2 5" xfId="1974" xr:uid="{00000000-0005-0000-0000-0000AF070000}"/>
    <cellStyle name="Normal 7 2 6" xfId="1975" xr:uid="{00000000-0005-0000-0000-0000B0070000}"/>
    <cellStyle name="Normal 7 2 7" xfId="1976" xr:uid="{00000000-0005-0000-0000-0000B1070000}"/>
    <cellStyle name="Normal 7 2 8" xfId="1977" xr:uid="{00000000-0005-0000-0000-0000B2070000}"/>
    <cellStyle name="Normal 7 2 9" xfId="1978" xr:uid="{00000000-0005-0000-0000-0000B3070000}"/>
    <cellStyle name="Normal 7 20" xfId="1979" xr:uid="{00000000-0005-0000-0000-0000B4070000}"/>
    <cellStyle name="Normal 7 21" xfId="1980" xr:uid="{00000000-0005-0000-0000-0000B5070000}"/>
    <cellStyle name="Normal 7 22" xfId="1981" xr:uid="{00000000-0005-0000-0000-0000B6070000}"/>
    <cellStyle name="Normal 7 23" xfId="1982" xr:uid="{00000000-0005-0000-0000-0000B7070000}"/>
    <cellStyle name="Normal 7 24" xfId="1983" xr:uid="{00000000-0005-0000-0000-0000B8070000}"/>
    <cellStyle name="Normal 7 25" xfId="2078" xr:uid="{00000000-0005-0000-0000-0000B6080000}"/>
    <cellStyle name="Normal 7 3" xfId="1984" xr:uid="{00000000-0005-0000-0000-0000B9070000}"/>
    <cellStyle name="Normal 7 4" xfId="1985" xr:uid="{00000000-0005-0000-0000-0000BA070000}"/>
    <cellStyle name="Normal 7 5" xfId="1986" xr:uid="{00000000-0005-0000-0000-0000BB070000}"/>
    <cellStyle name="Normal 7 6" xfId="1987" xr:uid="{00000000-0005-0000-0000-0000BC070000}"/>
    <cellStyle name="Normal 7 7" xfId="1988" xr:uid="{00000000-0005-0000-0000-0000BD070000}"/>
    <cellStyle name="Normal 7 8" xfId="1989" xr:uid="{00000000-0005-0000-0000-0000BE070000}"/>
    <cellStyle name="Normal 7 9" xfId="1990" xr:uid="{00000000-0005-0000-0000-0000BF070000}"/>
    <cellStyle name="Normal 8" xfId="1991" xr:uid="{00000000-0005-0000-0000-0000C0070000}"/>
    <cellStyle name="Normal 8 2" xfId="2081" xr:uid="{00000000-0005-0000-0000-0000E5080000}"/>
    <cellStyle name="Normal 8 2 2" xfId="2082" xr:uid="{00000000-0005-0000-0000-0000E6080000}"/>
    <cellStyle name="Normal 8 3" xfId="2083" xr:uid="{00000000-0005-0000-0000-0000E7080000}"/>
    <cellStyle name="Normal 8 4" xfId="2080" xr:uid="{00000000-0005-0000-0000-0000E4080000}"/>
    <cellStyle name="Normal 9" xfId="2084" xr:uid="{00000000-0005-0000-0000-0000E8080000}"/>
    <cellStyle name="Normal 9 2" xfId="2085" xr:uid="{00000000-0005-0000-0000-0000E9080000}"/>
    <cellStyle name="Normal 9 3" xfId="2413" xr:uid="{00000000-0005-0000-0000-0000EA080000}"/>
    <cellStyle name="Note" xfId="16" builtinId="10" customBuiltin="1"/>
    <cellStyle name="Note 2" xfId="1992" xr:uid="{00000000-0005-0000-0000-0000C2070000}"/>
    <cellStyle name="Note 2 2" xfId="2415" xr:uid="{00000000-0005-0000-0000-0000F0080000}"/>
    <cellStyle name="Note 2 2 2" xfId="2499" xr:uid="{00000000-0005-0000-0000-0000F1080000}"/>
    <cellStyle name="Note 2 2 2 2" xfId="2552" xr:uid="{00000000-0005-0000-0000-0000F1080000}"/>
    <cellStyle name="Note 2 2 2 3" xfId="2557" xr:uid="{00000000-0005-0000-0000-0000F1080000}"/>
    <cellStyle name="Note 2 2 2 4" xfId="2565" xr:uid="{00000000-0005-0000-0000-0000F1080000}"/>
    <cellStyle name="Note 2 2 2 5" xfId="2575" xr:uid="{00000000-0005-0000-0000-0000F1080000}"/>
    <cellStyle name="Note 2 2 2 6" xfId="2586" xr:uid="{00000000-0005-0000-0000-0000F1080000}"/>
    <cellStyle name="Note 2 2 2 7" xfId="2594" xr:uid="{00000000-0005-0000-0000-0000F1080000}"/>
    <cellStyle name="Note 2 2 3" xfId="2502" xr:uid="{00000000-0005-0000-0000-0000F2080000}"/>
    <cellStyle name="Note 2 2 3 2" xfId="2554" xr:uid="{00000000-0005-0000-0000-0000F2080000}"/>
    <cellStyle name="Note 2 2 3 3" xfId="2559" xr:uid="{00000000-0005-0000-0000-0000F2080000}"/>
    <cellStyle name="Note 2 2 3 4" xfId="2567" xr:uid="{00000000-0005-0000-0000-0000F2080000}"/>
    <cellStyle name="Note 2 2 3 5" xfId="2577" xr:uid="{00000000-0005-0000-0000-0000F2080000}"/>
    <cellStyle name="Note 2 2 3 6" xfId="2588" xr:uid="{00000000-0005-0000-0000-0000F2080000}"/>
    <cellStyle name="Note 2 2 3 7" xfId="2596" xr:uid="{00000000-0005-0000-0000-0000F2080000}"/>
    <cellStyle name="Note 2 2 4" xfId="2535" xr:uid="{00000000-0005-0000-0000-0000F0080000}"/>
    <cellStyle name="Note 2 2 5" xfId="2396" xr:uid="{00000000-0005-0000-0000-0000F0080000}"/>
    <cellStyle name="Note 2 2 6" xfId="2399" xr:uid="{00000000-0005-0000-0000-0000F0080000}"/>
    <cellStyle name="Note 2 2 7" xfId="2538" xr:uid="{00000000-0005-0000-0000-0000F0080000}"/>
    <cellStyle name="Note 2 2 8" xfId="2537" xr:uid="{00000000-0005-0000-0000-0000F0080000}"/>
    <cellStyle name="Note 2 2 9" xfId="2393" xr:uid="{00000000-0005-0000-0000-0000F0080000}"/>
    <cellStyle name="Note 2 3" xfId="2414" xr:uid="{00000000-0005-0000-0000-0000EF080000}"/>
    <cellStyle name="Note 2 4" xfId="2409" xr:uid="{00000000-0005-0000-0000-0000C3070000}"/>
    <cellStyle name="Note 3" xfId="2416" xr:uid="{00000000-0005-0000-0000-0000F3080000}"/>
    <cellStyle name="NumColmHd" xfId="2417" xr:uid="{00000000-0005-0000-0000-0000F4080000}"/>
    <cellStyle name="NumColmHd 2" xfId="2500" xr:uid="{00000000-0005-0000-0000-0000F5080000}"/>
    <cellStyle name="NumColmHd 3" xfId="2503" xr:uid="{00000000-0005-0000-0000-0000F6080000}"/>
    <cellStyle name="Output" xfId="11" builtinId="21" customBuiltin="1"/>
    <cellStyle name="Output 2" xfId="1993" xr:uid="{00000000-0005-0000-0000-0000C4070000}"/>
    <cellStyle name="Output 2 2" xfId="2501" xr:uid="{00000000-0005-0000-0000-0000F8080000}"/>
    <cellStyle name="Output 2 2 2" xfId="2553" xr:uid="{00000000-0005-0000-0000-0000F8080000}"/>
    <cellStyle name="Output 2 2 3" xfId="2558" xr:uid="{00000000-0005-0000-0000-0000F8080000}"/>
    <cellStyle name="Output 2 2 4" xfId="2566" xr:uid="{00000000-0005-0000-0000-0000F8080000}"/>
    <cellStyle name="Output 2 2 5" xfId="2576" xr:uid="{00000000-0005-0000-0000-0000F8080000}"/>
    <cellStyle name="Output 2 2 6" xfId="2587" xr:uid="{00000000-0005-0000-0000-0000F8080000}"/>
    <cellStyle name="Output 2 2 7" xfId="2595" xr:uid="{00000000-0005-0000-0000-0000F8080000}"/>
    <cellStyle name="Output 2 3" xfId="2504" xr:uid="{00000000-0005-0000-0000-0000F9080000}"/>
    <cellStyle name="Output 2 3 2" xfId="2555" xr:uid="{00000000-0005-0000-0000-0000F9080000}"/>
    <cellStyle name="Output 2 3 3" xfId="2560" xr:uid="{00000000-0005-0000-0000-0000F9080000}"/>
    <cellStyle name="Output 2 3 4" xfId="2568" xr:uid="{00000000-0005-0000-0000-0000F9080000}"/>
    <cellStyle name="Output 2 3 5" xfId="2578" xr:uid="{00000000-0005-0000-0000-0000F9080000}"/>
    <cellStyle name="Output 2 3 6" xfId="2589" xr:uid="{00000000-0005-0000-0000-0000F9080000}"/>
    <cellStyle name="Output 2 3 7" xfId="2597" xr:uid="{00000000-0005-0000-0000-0000F9080000}"/>
    <cellStyle name="Output 2 4" xfId="2536" xr:uid="{00000000-0005-0000-0000-0000F7080000}"/>
    <cellStyle name="Output 2 5" xfId="2397" xr:uid="{00000000-0005-0000-0000-0000F7080000}"/>
    <cellStyle name="Output 2 6" xfId="2394" xr:uid="{00000000-0005-0000-0000-0000F7080000}"/>
    <cellStyle name="Output 2 7" xfId="2402" xr:uid="{00000000-0005-0000-0000-0000F7080000}"/>
    <cellStyle name="Output 2 8" xfId="2392" xr:uid="{00000000-0005-0000-0000-0000F7080000}"/>
    <cellStyle name="Output 2 9" xfId="2391" xr:uid="{00000000-0005-0000-0000-0000C5070000}"/>
    <cellStyle name="Percent" xfId="2601" builtinId="5"/>
    <cellStyle name="Percent [0]" xfId="2418" xr:uid="{00000000-0005-0000-0000-0000FA080000}"/>
    <cellStyle name="Percent [00]" xfId="2419" xr:uid="{00000000-0005-0000-0000-0000FB080000}"/>
    <cellStyle name="Percent [2]" xfId="2420" xr:uid="{00000000-0005-0000-0000-0000FC080000}"/>
    <cellStyle name="Percent 10" xfId="2086" xr:uid="{00000000-0005-0000-0000-0000FD080000}"/>
    <cellStyle name="Percent 10 2" xfId="2087" xr:uid="{00000000-0005-0000-0000-0000FE080000}"/>
    <cellStyle name="Percent 10 2 2" xfId="2421" xr:uid="{00000000-0005-0000-0000-0000FF080000}"/>
    <cellStyle name="Percent 10 3" xfId="2422" xr:uid="{00000000-0005-0000-0000-000000090000}"/>
    <cellStyle name="Percent 11" xfId="2088" xr:uid="{00000000-0005-0000-0000-000001090000}"/>
    <cellStyle name="Percent 11 2" xfId="2089" xr:uid="{00000000-0005-0000-0000-000002090000}"/>
    <cellStyle name="Percent 12" xfId="2090" xr:uid="{00000000-0005-0000-0000-000003090000}"/>
    <cellStyle name="Percent 12 2" xfId="2423" xr:uid="{00000000-0005-0000-0000-000004090000}"/>
    <cellStyle name="Percent 13" xfId="2126" xr:uid="{00000000-0005-0000-0000-000005090000}"/>
    <cellStyle name="Percent 14" xfId="2424" xr:uid="{00000000-0005-0000-0000-000006090000}"/>
    <cellStyle name="Percent 15" xfId="2425" xr:uid="{00000000-0005-0000-0000-000007090000}"/>
    <cellStyle name="Percent 15 2" xfId="2426" xr:uid="{00000000-0005-0000-0000-000008090000}"/>
    <cellStyle name="Percent 16" xfId="2427" xr:uid="{00000000-0005-0000-0000-000009090000}"/>
    <cellStyle name="Percent 16 2" xfId="2428" xr:uid="{00000000-0005-0000-0000-00000A090000}"/>
    <cellStyle name="Percent 17" xfId="2429" xr:uid="{00000000-0005-0000-0000-00000B090000}"/>
    <cellStyle name="Percent 17 2" xfId="2430" xr:uid="{00000000-0005-0000-0000-00000C090000}"/>
    <cellStyle name="Percent 18" xfId="2431" xr:uid="{00000000-0005-0000-0000-00000D090000}"/>
    <cellStyle name="Percent 19" xfId="2432" xr:uid="{00000000-0005-0000-0000-00000E090000}"/>
    <cellStyle name="Percent 19 2" xfId="2433" xr:uid="{00000000-0005-0000-0000-00000F090000}"/>
    <cellStyle name="Percent 2" xfId="54" xr:uid="{00000000-0005-0000-0000-0000C5070000}"/>
    <cellStyle name="Percent 2 10" xfId="2517" xr:uid="{00000000-0005-0000-0000-0000C7070000}"/>
    <cellStyle name="Percent 2 11" xfId="2511" xr:uid="{00000000-0005-0000-0000-0000C7070000}"/>
    <cellStyle name="Percent 2 2" xfId="2092" xr:uid="{00000000-0005-0000-0000-000011090000}"/>
    <cellStyle name="Percent 2 2 10" xfId="2434" xr:uid="{00000000-0005-0000-0000-000012090000}"/>
    <cellStyle name="Percent 2 2 10 2" xfId="2435" xr:uid="{00000000-0005-0000-0000-000013090000}"/>
    <cellStyle name="Percent 2 2 11" xfId="2436" xr:uid="{00000000-0005-0000-0000-000014090000}"/>
    <cellStyle name="Percent 2 2 12" xfId="2437" xr:uid="{00000000-0005-0000-0000-000015090000}"/>
    <cellStyle name="Percent 2 2 13" xfId="2438" xr:uid="{00000000-0005-0000-0000-000016090000}"/>
    <cellStyle name="Percent 2 2 2" xfId="2439" xr:uid="{00000000-0005-0000-0000-000017090000}"/>
    <cellStyle name="Percent 2 2 2 2" xfId="2440" xr:uid="{00000000-0005-0000-0000-000018090000}"/>
    <cellStyle name="Percent 2 2 2 3" xfId="2441" xr:uid="{00000000-0005-0000-0000-000019090000}"/>
    <cellStyle name="Percent 2 2 2 4" xfId="2442" xr:uid="{00000000-0005-0000-0000-00001A090000}"/>
    <cellStyle name="Percent 2 2 3" xfId="2443" xr:uid="{00000000-0005-0000-0000-00001B090000}"/>
    <cellStyle name="Percent 2 2 4" xfId="2444" xr:uid="{00000000-0005-0000-0000-00001C090000}"/>
    <cellStyle name="Percent 2 2 5" xfId="2445" xr:uid="{00000000-0005-0000-0000-00001D090000}"/>
    <cellStyle name="Percent 2 2 6" xfId="2446" xr:uid="{00000000-0005-0000-0000-00001E090000}"/>
    <cellStyle name="Percent 2 2 6 2" xfId="2447" xr:uid="{00000000-0005-0000-0000-00001F090000}"/>
    <cellStyle name="Percent 2 2 7" xfId="2448" xr:uid="{00000000-0005-0000-0000-000020090000}"/>
    <cellStyle name="Percent 2 2 7 2" xfId="2449" xr:uid="{00000000-0005-0000-0000-000021090000}"/>
    <cellStyle name="Percent 2 2 8" xfId="2450" xr:uid="{00000000-0005-0000-0000-000022090000}"/>
    <cellStyle name="Percent 2 2 8 2" xfId="2451" xr:uid="{00000000-0005-0000-0000-000023090000}"/>
    <cellStyle name="Percent 2 2 9" xfId="2452" xr:uid="{00000000-0005-0000-0000-000024090000}"/>
    <cellStyle name="Percent 2 2 9 2" xfId="2453" xr:uid="{00000000-0005-0000-0000-000025090000}"/>
    <cellStyle name="Percent 2 3" xfId="2093" xr:uid="{00000000-0005-0000-0000-000026090000}"/>
    <cellStyle name="Percent 2 3 2" xfId="2454" xr:uid="{00000000-0005-0000-0000-000027090000}"/>
    <cellStyle name="Percent 2 3 3" xfId="2455" xr:uid="{00000000-0005-0000-0000-000028090000}"/>
    <cellStyle name="Percent 2 3 4" xfId="2456" xr:uid="{00000000-0005-0000-0000-000029090000}"/>
    <cellStyle name="Percent 2 3 5" xfId="2457" xr:uid="{00000000-0005-0000-0000-00002A090000}"/>
    <cellStyle name="Percent 2 4" xfId="2094" xr:uid="{00000000-0005-0000-0000-00002B090000}"/>
    <cellStyle name="Percent 2 4 2" xfId="2458" xr:uid="{00000000-0005-0000-0000-00002C090000}"/>
    <cellStyle name="Percent 2 5" xfId="2459" xr:uid="{00000000-0005-0000-0000-00002D090000}"/>
    <cellStyle name="Percent 2 6" xfId="2460" xr:uid="{00000000-0005-0000-0000-00002E090000}"/>
    <cellStyle name="Percent 2 6 2" xfId="2461" xr:uid="{00000000-0005-0000-0000-00002F090000}"/>
    <cellStyle name="Percent 2 6 3" xfId="2462" xr:uid="{00000000-0005-0000-0000-000030090000}"/>
    <cellStyle name="Percent 2 6 4" xfId="2463" xr:uid="{00000000-0005-0000-0000-000031090000}"/>
    <cellStyle name="Percent 2 7" xfId="2464" xr:uid="{00000000-0005-0000-0000-000032090000}"/>
    <cellStyle name="Percent 2 8" xfId="2465" xr:uid="{00000000-0005-0000-0000-000033090000}"/>
    <cellStyle name="Percent 2 9" xfId="2091" xr:uid="{00000000-0005-0000-0000-000010090000}"/>
    <cellStyle name="Percent 20" xfId="2466" xr:uid="{00000000-0005-0000-0000-000034090000}"/>
    <cellStyle name="Percent 21" xfId="2467" xr:uid="{00000000-0005-0000-0000-000035090000}"/>
    <cellStyle name="Percent 22" xfId="2468" xr:uid="{00000000-0005-0000-0000-000036090000}"/>
    <cellStyle name="Percent 3" xfId="53" xr:uid="{00000000-0005-0000-0000-0000C6070000}"/>
    <cellStyle name="Percent 3 10" xfId="2095" xr:uid="{00000000-0005-0000-0000-000037090000}"/>
    <cellStyle name="Percent 3 11" xfId="2516" xr:uid="{00000000-0005-0000-0000-0000C8070000}"/>
    <cellStyle name="Percent 3 12" xfId="2510" xr:uid="{00000000-0005-0000-0000-0000C8070000}"/>
    <cellStyle name="Percent 3 2" xfId="2096" xr:uid="{00000000-0005-0000-0000-000038090000}"/>
    <cellStyle name="Percent 3 2 2" xfId="2097" xr:uid="{00000000-0005-0000-0000-000039090000}"/>
    <cellStyle name="Percent 3 2 2 2" xfId="2098" xr:uid="{00000000-0005-0000-0000-00003A090000}"/>
    <cellStyle name="Percent 3 2 3" xfId="2099" xr:uid="{00000000-0005-0000-0000-00003B090000}"/>
    <cellStyle name="Percent 3 3" xfId="2100" xr:uid="{00000000-0005-0000-0000-00003C090000}"/>
    <cellStyle name="Percent 3 3 2" xfId="2101" xr:uid="{00000000-0005-0000-0000-00003D090000}"/>
    <cellStyle name="Percent 3 4" xfId="2102" xr:uid="{00000000-0005-0000-0000-00003E090000}"/>
    <cellStyle name="Percent 3 5" xfId="2469" xr:uid="{00000000-0005-0000-0000-00003F090000}"/>
    <cellStyle name="Percent 3 6" xfId="2470" xr:uid="{00000000-0005-0000-0000-000040090000}"/>
    <cellStyle name="Percent 3 7" xfId="2471" xr:uid="{00000000-0005-0000-0000-000041090000}"/>
    <cellStyle name="Percent 3 8" xfId="2472" xr:uid="{00000000-0005-0000-0000-000042090000}"/>
    <cellStyle name="Percent 3 9" xfId="2473" xr:uid="{00000000-0005-0000-0000-000043090000}"/>
    <cellStyle name="Percent 4" xfId="1994" xr:uid="{00000000-0005-0000-0000-0000C7070000}"/>
    <cellStyle name="Percent 4 2" xfId="2104" xr:uid="{00000000-0005-0000-0000-000045090000}"/>
    <cellStyle name="Percent 4 2 2" xfId="2105" xr:uid="{00000000-0005-0000-0000-000046090000}"/>
    <cellStyle name="Percent 4 3" xfId="2106" xr:uid="{00000000-0005-0000-0000-000047090000}"/>
    <cellStyle name="Percent 4 4" xfId="2107" xr:uid="{00000000-0005-0000-0000-000048090000}"/>
    <cellStyle name="Percent 4 5" xfId="2474" xr:uid="{00000000-0005-0000-0000-000049090000}"/>
    <cellStyle name="Percent 4 6" xfId="2103" xr:uid="{00000000-0005-0000-0000-000044090000}"/>
    <cellStyle name="Percent 5" xfId="2108" xr:uid="{00000000-0005-0000-0000-00004A090000}"/>
    <cellStyle name="Percent 5 2" xfId="2109" xr:uid="{00000000-0005-0000-0000-00004B090000}"/>
    <cellStyle name="Percent 5 2 2" xfId="2110" xr:uid="{00000000-0005-0000-0000-00004C090000}"/>
    <cellStyle name="Percent 5 2 2 2" xfId="2111" xr:uid="{00000000-0005-0000-0000-00004D090000}"/>
    <cellStyle name="Percent 5 2 3" xfId="2112" xr:uid="{00000000-0005-0000-0000-00004E090000}"/>
    <cellStyle name="Percent 5 3" xfId="2113" xr:uid="{00000000-0005-0000-0000-00004F090000}"/>
    <cellStyle name="Percent 5 3 2" xfId="2114" xr:uid="{00000000-0005-0000-0000-000050090000}"/>
    <cellStyle name="Percent 5 4" xfId="2115" xr:uid="{00000000-0005-0000-0000-000051090000}"/>
    <cellStyle name="Percent 6" xfId="2116" xr:uid="{00000000-0005-0000-0000-000052090000}"/>
    <cellStyle name="Percent 6 2" xfId="2117" xr:uid="{00000000-0005-0000-0000-000053090000}"/>
    <cellStyle name="Percent 6 2 2" xfId="2118" xr:uid="{00000000-0005-0000-0000-000054090000}"/>
    <cellStyle name="Percent 6 3" xfId="2119" xr:uid="{00000000-0005-0000-0000-000055090000}"/>
    <cellStyle name="Percent 7" xfId="2120" xr:uid="{00000000-0005-0000-0000-000056090000}"/>
    <cellStyle name="Percent 7 2" xfId="2121" xr:uid="{00000000-0005-0000-0000-000057090000}"/>
    <cellStyle name="Percent 8" xfId="2122" xr:uid="{00000000-0005-0000-0000-000058090000}"/>
    <cellStyle name="Percent 8 2" xfId="2475" xr:uid="{00000000-0005-0000-0000-000059090000}"/>
    <cellStyle name="Percent 9" xfId="2123" xr:uid="{00000000-0005-0000-0000-00005A090000}"/>
    <cellStyle name="Percent 9 2" xfId="2476" xr:uid="{00000000-0005-0000-0000-00005B090000}"/>
    <cellStyle name="Percent 9 3" xfId="2477" xr:uid="{00000000-0005-0000-0000-00005C090000}"/>
    <cellStyle name="PrePop Currency (0)" xfId="2478" xr:uid="{00000000-0005-0000-0000-00005D090000}"/>
    <cellStyle name="PrePop Currency (2)" xfId="2479" xr:uid="{00000000-0005-0000-0000-00005E090000}"/>
    <cellStyle name="PrePop Units (0)" xfId="2480" xr:uid="{00000000-0005-0000-0000-00005F090000}"/>
    <cellStyle name="PrePop Units (1)" xfId="2481" xr:uid="{00000000-0005-0000-0000-000060090000}"/>
    <cellStyle name="PrePop Units (2)" xfId="2482" xr:uid="{00000000-0005-0000-0000-000061090000}"/>
    <cellStyle name="RowLabel" xfId="2483" xr:uid="{00000000-0005-0000-0000-000062090000}"/>
    <cellStyle name="Text Indent A" xfId="2484" xr:uid="{00000000-0005-0000-0000-000063090000}"/>
    <cellStyle name="Text Indent B" xfId="2485" xr:uid="{00000000-0005-0000-0000-000064090000}"/>
    <cellStyle name="Text Indent C" xfId="2486" xr:uid="{00000000-0005-0000-0000-000065090000}"/>
    <cellStyle name="Title" xfId="2" builtinId="15" customBuiltin="1"/>
    <cellStyle name="Title 2" xfId="1995" xr:uid="{00000000-0005-0000-0000-0000C9070000}"/>
    <cellStyle name="Total" xfId="18" builtinId="25" customBuiltin="1"/>
    <cellStyle name="Total 2" xfId="1996" xr:uid="{00000000-0005-0000-0000-0000CB070000}"/>
    <cellStyle name="Total 2 2" xfId="2487" xr:uid="{00000000-0005-0000-0000-000067090000}"/>
    <cellStyle name="Total 2 3" xfId="2505" xr:uid="{00000000-0005-0000-0000-0000CC070000}"/>
    <cellStyle name="Total 2 4" xfId="2401" xr:uid="{00000000-0005-0000-0000-0000CC070000}"/>
    <cellStyle name="Unprot" xfId="2488" xr:uid="{00000000-0005-0000-0000-000068090000}"/>
    <cellStyle name="Unprot 2" xfId="2489" xr:uid="{00000000-0005-0000-0000-000069090000}"/>
    <cellStyle name="Unprot$" xfId="2490" xr:uid="{00000000-0005-0000-0000-00006A090000}"/>
    <cellStyle name="Unprotect" xfId="2491" xr:uid="{00000000-0005-0000-0000-00006B090000}"/>
    <cellStyle name="Warning Text" xfId="15" builtinId="11" customBuiltin="1"/>
    <cellStyle name="Warning Text 2" xfId="1997" xr:uid="{00000000-0005-0000-0000-0000CD070000}"/>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0" tint="-0.24994659260841701"/>
        </patternFill>
      </fill>
    </dxf>
    <dxf>
      <fill>
        <patternFill>
          <bgColor theme="3" tint="0.59996337778862885"/>
        </patternFill>
      </fill>
    </dxf>
  </dxfs>
  <tableStyles count="0" defaultTableStyle="TableStyleMedium2" defaultPivotStyle="PivotStyleLight16"/>
  <colors>
    <mruColors>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107066</xdr:rowOff>
    </xdr:from>
    <xdr:to>
      <xdr:col>1</xdr:col>
      <xdr:colOff>933450</xdr:colOff>
      <xdr:row>4</xdr:row>
      <xdr:rowOff>114300</xdr:rowOff>
    </xdr:to>
    <xdr:pic>
      <xdr:nvPicPr>
        <xdr:cNvPr id="4" name="Picture 3">
          <a:extLst>
            <a:ext uri="{FF2B5EF4-FFF2-40B4-BE49-F238E27FC236}">
              <a16:creationId xmlns:a16="http://schemas.microsoft.com/office/drawing/2014/main" id="{B79FFECA-5D20-481C-B293-65839E137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7066"/>
          <a:ext cx="3609975" cy="731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4504762</xdr:colOff>
      <xdr:row>41</xdr:row>
      <xdr:rowOff>65843</xdr:rowOff>
    </xdr:to>
    <xdr:pic>
      <xdr:nvPicPr>
        <xdr:cNvPr id="34" name="Picture 33">
          <a:extLst>
            <a:ext uri="{FF2B5EF4-FFF2-40B4-BE49-F238E27FC236}">
              <a16:creationId xmlns:a16="http://schemas.microsoft.com/office/drawing/2014/main" id="{8DC5B635-72F0-441B-B24C-375E6C764D21}"/>
            </a:ext>
          </a:extLst>
        </xdr:cNvPr>
        <xdr:cNvPicPr>
          <a:picLocks noChangeAspect="1"/>
        </xdr:cNvPicPr>
      </xdr:nvPicPr>
      <xdr:blipFill>
        <a:blip xmlns:r="http://schemas.openxmlformats.org/officeDocument/2006/relationships" r:embed="rId1"/>
        <a:stretch>
          <a:fillRect/>
        </a:stretch>
      </xdr:blipFill>
      <xdr:spPr>
        <a:xfrm>
          <a:off x="14601825" y="1400175"/>
          <a:ext cx="4504762" cy="6657143"/>
        </a:xfrm>
        <a:prstGeom prst="rect">
          <a:avLst/>
        </a:prstGeom>
      </xdr:spPr>
    </xdr:pic>
    <xdr:clientData/>
  </xdr:twoCellAnchor>
  <xdr:twoCellAnchor editAs="oneCell">
    <xdr:from>
      <xdr:col>7</xdr:col>
      <xdr:colOff>0</xdr:colOff>
      <xdr:row>42</xdr:row>
      <xdr:rowOff>0</xdr:rowOff>
    </xdr:from>
    <xdr:to>
      <xdr:col>7</xdr:col>
      <xdr:colOff>4504762</xdr:colOff>
      <xdr:row>78</xdr:row>
      <xdr:rowOff>151567</xdr:rowOff>
    </xdr:to>
    <xdr:pic>
      <xdr:nvPicPr>
        <xdr:cNvPr id="35" name="Picture 34">
          <a:extLst>
            <a:ext uri="{FF2B5EF4-FFF2-40B4-BE49-F238E27FC236}">
              <a16:creationId xmlns:a16="http://schemas.microsoft.com/office/drawing/2014/main" id="{5D7603E7-7B17-4D1D-99E1-09F7DC74C2D3}"/>
            </a:ext>
          </a:extLst>
        </xdr:cNvPr>
        <xdr:cNvPicPr>
          <a:picLocks noChangeAspect="1"/>
        </xdr:cNvPicPr>
      </xdr:nvPicPr>
      <xdr:blipFill>
        <a:blip xmlns:r="http://schemas.openxmlformats.org/officeDocument/2006/relationships" r:embed="rId2"/>
        <a:stretch>
          <a:fillRect/>
        </a:stretch>
      </xdr:blipFill>
      <xdr:spPr>
        <a:xfrm>
          <a:off x="14601825" y="8096250"/>
          <a:ext cx="4504762" cy="6666667"/>
        </a:xfrm>
        <a:prstGeom prst="rect">
          <a:avLst/>
        </a:prstGeom>
      </xdr:spPr>
    </xdr:pic>
    <xdr:clientData/>
  </xdr:twoCellAnchor>
  <xdr:twoCellAnchor editAs="oneCell">
    <xdr:from>
      <xdr:col>7</xdr:col>
      <xdr:colOff>0</xdr:colOff>
      <xdr:row>79</xdr:row>
      <xdr:rowOff>0</xdr:rowOff>
    </xdr:from>
    <xdr:to>
      <xdr:col>7</xdr:col>
      <xdr:colOff>4514286</xdr:colOff>
      <xdr:row>116</xdr:row>
      <xdr:rowOff>37258</xdr:rowOff>
    </xdr:to>
    <xdr:pic>
      <xdr:nvPicPr>
        <xdr:cNvPr id="36" name="Picture 35">
          <a:extLst>
            <a:ext uri="{FF2B5EF4-FFF2-40B4-BE49-F238E27FC236}">
              <a16:creationId xmlns:a16="http://schemas.microsoft.com/office/drawing/2014/main" id="{72F0199F-136A-42DA-B750-F007FA92FF65}"/>
            </a:ext>
          </a:extLst>
        </xdr:cNvPr>
        <xdr:cNvPicPr>
          <a:picLocks noChangeAspect="1"/>
        </xdr:cNvPicPr>
      </xdr:nvPicPr>
      <xdr:blipFill>
        <a:blip xmlns:r="http://schemas.openxmlformats.org/officeDocument/2006/relationships" r:embed="rId3"/>
        <a:stretch>
          <a:fillRect/>
        </a:stretch>
      </xdr:blipFill>
      <xdr:spPr>
        <a:xfrm>
          <a:off x="14601825" y="14792325"/>
          <a:ext cx="4514286" cy="6733333"/>
        </a:xfrm>
        <a:prstGeom prst="rect">
          <a:avLst/>
        </a:prstGeom>
      </xdr:spPr>
    </xdr:pic>
    <xdr:clientData/>
  </xdr:twoCellAnchor>
  <xdr:twoCellAnchor editAs="oneCell">
    <xdr:from>
      <xdr:col>7</xdr:col>
      <xdr:colOff>0</xdr:colOff>
      <xdr:row>116</xdr:row>
      <xdr:rowOff>0</xdr:rowOff>
    </xdr:from>
    <xdr:to>
      <xdr:col>7</xdr:col>
      <xdr:colOff>4523809</xdr:colOff>
      <xdr:row>146</xdr:row>
      <xdr:rowOff>151702</xdr:rowOff>
    </xdr:to>
    <xdr:pic>
      <xdr:nvPicPr>
        <xdr:cNvPr id="37" name="Picture 36">
          <a:extLst>
            <a:ext uri="{FF2B5EF4-FFF2-40B4-BE49-F238E27FC236}">
              <a16:creationId xmlns:a16="http://schemas.microsoft.com/office/drawing/2014/main" id="{E2D99DD5-1BCD-40AE-AB44-EB1E6703DE68}"/>
            </a:ext>
          </a:extLst>
        </xdr:cNvPr>
        <xdr:cNvPicPr>
          <a:picLocks noChangeAspect="1"/>
        </xdr:cNvPicPr>
      </xdr:nvPicPr>
      <xdr:blipFill>
        <a:blip xmlns:r="http://schemas.openxmlformats.org/officeDocument/2006/relationships" r:embed="rId4"/>
        <a:stretch>
          <a:fillRect/>
        </a:stretch>
      </xdr:blipFill>
      <xdr:spPr>
        <a:xfrm>
          <a:off x="14601825" y="21488400"/>
          <a:ext cx="4523809" cy="5580952"/>
        </a:xfrm>
        <a:prstGeom prst="rect">
          <a:avLst/>
        </a:prstGeom>
      </xdr:spPr>
    </xdr:pic>
    <xdr:clientData/>
  </xdr:twoCellAnchor>
  <xdr:twoCellAnchor editAs="oneCell">
    <xdr:from>
      <xdr:col>7</xdr:col>
      <xdr:colOff>0</xdr:colOff>
      <xdr:row>147</xdr:row>
      <xdr:rowOff>0</xdr:rowOff>
    </xdr:from>
    <xdr:to>
      <xdr:col>7</xdr:col>
      <xdr:colOff>4523809</xdr:colOff>
      <xdr:row>183</xdr:row>
      <xdr:rowOff>142043</xdr:rowOff>
    </xdr:to>
    <xdr:pic>
      <xdr:nvPicPr>
        <xdr:cNvPr id="38" name="Picture 37">
          <a:extLst>
            <a:ext uri="{FF2B5EF4-FFF2-40B4-BE49-F238E27FC236}">
              <a16:creationId xmlns:a16="http://schemas.microsoft.com/office/drawing/2014/main" id="{8E28802D-42BB-4775-BE31-82CE2EECE25E}"/>
            </a:ext>
          </a:extLst>
        </xdr:cNvPr>
        <xdr:cNvPicPr>
          <a:picLocks noChangeAspect="1"/>
        </xdr:cNvPicPr>
      </xdr:nvPicPr>
      <xdr:blipFill>
        <a:blip xmlns:r="http://schemas.openxmlformats.org/officeDocument/2006/relationships" r:embed="rId5"/>
        <a:stretch>
          <a:fillRect/>
        </a:stretch>
      </xdr:blipFill>
      <xdr:spPr>
        <a:xfrm>
          <a:off x="14601825" y="27098625"/>
          <a:ext cx="4523809" cy="6657143"/>
        </a:xfrm>
        <a:prstGeom prst="rect">
          <a:avLst/>
        </a:prstGeom>
      </xdr:spPr>
    </xdr:pic>
    <xdr:clientData/>
  </xdr:twoCellAnchor>
  <xdr:twoCellAnchor editAs="oneCell">
    <xdr:from>
      <xdr:col>7</xdr:col>
      <xdr:colOff>0</xdr:colOff>
      <xdr:row>184</xdr:row>
      <xdr:rowOff>0</xdr:rowOff>
    </xdr:from>
    <xdr:to>
      <xdr:col>8</xdr:col>
      <xdr:colOff>18470</xdr:colOff>
      <xdr:row>219</xdr:row>
      <xdr:rowOff>151589</xdr:rowOff>
    </xdr:to>
    <xdr:pic>
      <xdr:nvPicPr>
        <xdr:cNvPr id="39" name="Picture 38">
          <a:extLst>
            <a:ext uri="{FF2B5EF4-FFF2-40B4-BE49-F238E27FC236}">
              <a16:creationId xmlns:a16="http://schemas.microsoft.com/office/drawing/2014/main" id="{ADC7197E-5A31-44A5-B9AF-DE474CA67484}"/>
            </a:ext>
          </a:extLst>
        </xdr:cNvPr>
        <xdr:cNvPicPr>
          <a:picLocks noChangeAspect="1"/>
        </xdr:cNvPicPr>
      </xdr:nvPicPr>
      <xdr:blipFill>
        <a:blip xmlns:r="http://schemas.openxmlformats.org/officeDocument/2006/relationships" r:embed="rId6"/>
        <a:stretch>
          <a:fillRect/>
        </a:stretch>
      </xdr:blipFill>
      <xdr:spPr>
        <a:xfrm>
          <a:off x="14601825" y="33794700"/>
          <a:ext cx="4638095" cy="6485714"/>
        </a:xfrm>
        <a:prstGeom prst="rect">
          <a:avLst/>
        </a:prstGeom>
      </xdr:spPr>
    </xdr:pic>
    <xdr:clientData/>
  </xdr:twoCellAnchor>
  <xdr:twoCellAnchor editAs="oneCell">
    <xdr:from>
      <xdr:col>7</xdr:col>
      <xdr:colOff>0</xdr:colOff>
      <xdr:row>220</xdr:row>
      <xdr:rowOff>0</xdr:rowOff>
    </xdr:from>
    <xdr:to>
      <xdr:col>7</xdr:col>
      <xdr:colOff>4485714</xdr:colOff>
      <xdr:row>255</xdr:row>
      <xdr:rowOff>132542</xdr:rowOff>
    </xdr:to>
    <xdr:pic>
      <xdr:nvPicPr>
        <xdr:cNvPr id="40" name="Picture 39">
          <a:extLst>
            <a:ext uri="{FF2B5EF4-FFF2-40B4-BE49-F238E27FC236}">
              <a16:creationId xmlns:a16="http://schemas.microsoft.com/office/drawing/2014/main" id="{E1A9BB04-0599-4CCC-854C-12B171FFD46B}"/>
            </a:ext>
          </a:extLst>
        </xdr:cNvPr>
        <xdr:cNvPicPr>
          <a:picLocks noChangeAspect="1"/>
        </xdr:cNvPicPr>
      </xdr:nvPicPr>
      <xdr:blipFill>
        <a:blip xmlns:r="http://schemas.openxmlformats.org/officeDocument/2006/relationships" r:embed="rId7"/>
        <a:stretch>
          <a:fillRect/>
        </a:stretch>
      </xdr:blipFill>
      <xdr:spPr>
        <a:xfrm>
          <a:off x="14601825" y="40309800"/>
          <a:ext cx="4485714" cy="6466667"/>
        </a:xfrm>
        <a:prstGeom prst="rect">
          <a:avLst/>
        </a:prstGeom>
      </xdr:spPr>
    </xdr:pic>
    <xdr:clientData/>
  </xdr:twoCellAnchor>
  <xdr:twoCellAnchor editAs="oneCell">
    <xdr:from>
      <xdr:col>7</xdr:col>
      <xdr:colOff>0</xdr:colOff>
      <xdr:row>256</xdr:row>
      <xdr:rowOff>0</xdr:rowOff>
    </xdr:from>
    <xdr:to>
      <xdr:col>7</xdr:col>
      <xdr:colOff>4514286</xdr:colOff>
      <xdr:row>292</xdr:row>
      <xdr:rowOff>46805</xdr:rowOff>
    </xdr:to>
    <xdr:pic>
      <xdr:nvPicPr>
        <xdr:cNvPr id="41" name="Picture 40">
          <a:extLst>
            <a:ext uri="{FF2B5EF4-FFF2-40B4-BE49-F238E27FC236}">
              <a16:creationId xmlns:a16="http://schemas.microsoft.com/office/drawing/2014/main" id="{D3E59175-25B6-4DA6-80B3-2D44FB9CFE34}"/>
            </a:ext>
          </a:extLst>
        </xdr:cNvPr>
        <xdr:cNvPicPr>
          <a:picLocks noChangeAspect="1"/>
        </xdr:cNvPicPr>
      </xdr:nvPicPr>
      <xdr:blipFill>
        <a:blip xmlns:r="http://schemas.openxmlformats.org/officeDocument/2006/relationships" r:embed="rId8"/>
        <a:stretch>
          <a:fillRect/>
        </a:stretch>
      </xdr:blipFill>
      <xdr:spPr>
        <a:xfrm>
          <a:off x="14601825" y="46824900"/>
          <a:ext cx="4514286" cy="6561905"/>
        </a:xfrm>
        <a:prstGeom prst="rect">
          <a:avLst/>
        </a:prstGeom>
      </xdr:spPr>
    </xdr:pic>
    <xdr:clientData/>
  </xdr:twoCellAnchor>
  <xdr:twoCellAnchor editAs="oneCell">
    <xdr:from>
      <xdr:col>7</xdr:col>
      <xdr:colOff>0</xdr:colOff>
      <xdr:row>292</xdr:row>
      <xdr:rowOff>0</xdr:rowOff>
    </xdr:from>
    <xdr:to>
      <xdr:col>7</xdr:col>
      <xdr:colOff>4542857</xdr:colOff>
      <xdr:row>319</xdr:row>
      <xdr:rowOff>56532</xdr:rowOff>
    </xdr:to>
    <xdr:pic>
      <xdr:nvPicPr>
        <xdr:cNvPr id="42" name="Picture 41">
          <a:extLst>
            <a:ext uri="{FF2B5EF4-FFF2-40B4-BE49-F238E27FC236}">
              <a16:creationId xmlns:a16="http://schemas.microsoft.com/office/drawing/2014/main" id="{539CD921-89DC-439D-8047-64C6B0D29FEA}"/>
            </a:ext>
          </a:extLst>
        </xdr:cNvPr>
        <xdr:cNvPicPr>
          <a:picLocks noChangeAspect="1"/>
        </xdr:cNvPicPr>
      </xdr:nvPicPr>
      <xdr:blipFill>
        <a:blip xmlns:r="http://schemas.openxmlformats.org/officeDocument/2006/relationships" r:embed="rId9"/>
        <a:stretch>
          <a:fillRect/>
        </a:stretch>
      </xdr:blipFill>
      <xdr:spPr>
        <a:xfrm>
          <a:off x="14601825" y="53340000"/>
          <a:ext cx="4542857" cy="4942857"/>
        </a:xfrm>
        <a:prstGeom prst="rect">
          <a:avLst/>
        </a:prstGeom>
      </xdr:spPr>
    </xdr:pic>
    <xdr:clientData/>
  </xdr:twoCellAnchor>
  <xdr:twoCellAnchor editAs="oneCell">
    <xdr:from>
      <xdr:col>21</xdr:col>
      <xdr:colOff>0</xdr:colOff>
      <xdr:row>5</xdr:row>
      <xdr:rowOff>1</xdr:rowOff>
    </xdr:from>
    <xdr:to>
      <xdr:col>21</xdr:col>
      <xdr:colOff>4581062</xdr:colOff>
      <xdr:row>39</xdr:row>
      <xdr:rowOff>95251</xdr:rowOff>
    </xdr:to>
    <xdr:pic>
      <xdr:nvPicPr>
        <xdr:cNvPr id="60" name="Picture 59">
          <a:extLst>
            <a:ext uri="{FF2B5EF4-FFF2-40B4-BE49-F238E27FC236}">
              <a16:creationId xmlns:a16="http://schemas.microsoft.com/office/drawing/2014/main" id="{22326CE9-39B0-4C8C-8C58-E270D44DF111}"/>
            </a:ext>
          </a:extLst>
        </xdr:cNvPr>
        <xdr:cNvPicPr>
          <a:picLocks noChangeAspect="1"/>
        </xdr:cNvPicPr>
      </xdr:nvPicPr>
      <xdr:blipFill>
        <a:blip xmlns:r="http://schemas.openxmlformats.org/officeDocument/2006/relationships" r:embed="rId10"/>
        <a:stretch>
          <a:fillRect/>
        </a:stretch>
      </xdr:blipFill>
      <xdr:spPr>
        <a:xfrm>
          <a:off x="49406175" y="1400176"/>
          <a:ext cx="4581062" cy="6324600"/>
        </a:xfrm>
        <a:prstGeom prst="rect">
          <a:avLst/>
        </a:prstGeom>
      </xdr:spPr>
    </xdr:pic>
    <xdr:clientData/>
  </xdr:twoCellAnchor>
  <xdr:twoCellAnchor editAs="oneCell">
    <xdr:from>
      <xdr:col>21</xdr:col>
      <xdr:colOff>1</xdr:colOff>
      <xdr:row>39</xdr:row>
      <xdr:rowOff>38101</xdr:rowOff>
    </xdr:from>
    <xdr:to>
      <xdr:col>21</xdr:col>
      <xdr:colOff>4492481</xdr:colOff>
      <xdr:row>69</xdr:row>
      <xdr:rowOff>152401</xdr:rowOff>
    </xdr:to>
    <xdr:pic>
      <xdr:nvPicPr>
        <xdr:cNvPr id="61" name="Picture 60">
          <a:extLst>
            <a:ext uri="{FF2B5EF4-FFF2-40B4-BE49-F238E27FC236}">
              <a16:creationId xmlns:a16="http://schemas.microsoft.com/office/drawing/2014/main" id="{113BF0F5-8822-45B0-8184-81B2CAB43D4D}"/>
            </a:ext>
          </a:extLst>
        </xdr:cNvPr>
        <xdr:cNvPicPr>
          <a:picLocks noChangeAspect="1"/>
        </xdr:cNvPicPr>
      </xdr:nvPicPr>
      <xdr:blipFill>
        <a:blip xmlns:r="http://schemas.openxmlformats.org/officeDocument/2006/relationships" r:embed="rId11"/>
        <a:stretch>
          <a:fillRect/>
        </a:stretch>
      </xdr:blipFill>
      <xdr:spPr>
        <a:xfrm>
          <a:off x="49406176" y="7667626"/>
          <a:ext cx="4492480" cy="5543550"/>
        </a:xfrm>
        <a:prstGeom prst="rect">
          <a:avLst/>
        </a:prstGeom>
      </xdr:spPr>
    </xdr:pic>
    <xdr:clientData/>
  </xdr:twoCellAnchor>
  <xdr:twoCellAnchor editAs="oneCell">
    <xdr:from>
      <xdr:col>21</xdr:col>
      <xdr:colOff>0</xdr:colOff>
      <xdr:row>70</xdr:row>
      <xdr:rowOff>0</xdr:rowOff>
    </xdr:from>
    <xdr:to>
      <xdr:col>21</xdr:col>
      <xdr:colOff>4524375</xdr:colOff>
      <xdr:row>83</xdr:row>
      <xdr:rowOff>178923</xdr:rowOff>
    </xdr:to>
    <xdr:pic>
      <xdr:nvPicPr>
        <xdr:cNvPr id="62" name="Picture 61">
          <a:extLst>
            <a:ext uri="{FF2B5EF4-FFF2-40B4-BE49-F238E27FC236}">
              <a16:creationId xmlns:a16="http://schemas.microsoft.com/office/drawing/2014/main" id="{BCAFA47C-E63D-4AF2-89E6-EFD4265A4700}"/>
            </a:ext>
          </a:extLst>
        </xdr:cNvPr>
        <xdr:cNvPicPr>
          <a:picLocks noChangeAspect="1"/>
        </xdr:cNvPicPr>
      </xdr:nvPicPr>
      <xdr:blipFill>
        <a:blip xmlns:r="http://schemas.openxmlformats.org/officeDocument/2006/relationships" r:embed="rId12"/>
        <a:stretch>
          <a:fillRect/>
        </a:stretch>
      </xdr:blipFill>
      <xdr:spPr>
        <a:xfrm>
          <a:off x="49406175" y="13239750"/>
          <a:ext cx="4524375" cy="2531598"/>
        </a:xfrm>
        <a:prstGeom prst="rect">
          <a:avLst/>
        </a:prstGeom>
      </xdr:spPr>
    </xdr:pic>
    <xdr:clientData/>
  </xdr:twoCellAnchor>
  <xdr:twoCellAnchor editAs="oneCell">
    <xdr:from>
      <xdr:col>3</xdr:col>
      <xdr:colOff>0</xdr:colOff>
      <xdr:row>2</xdr:row>
      <xdr:rowOff>0</xdr:rowOff>
    </xdr:from>
    <xdr:to>
      <xdr:col>3</xdr:col>
      <xdr:colOff>4605124</xdr:colOff>
      <xdr:row>35</xdr:row>
      <xdr:rowOff>47625</xdr:rowOff>
    </xdr:to>
    <xdr:pic>
      <xdr:nvPicPr>
        <xdr:cNvPr id="32" name="Picture 31">
          <a:extLst>
            <a:ext uri="{FF2B5EF4-FFF2-40B4-BE49-F238E27FC236}">
              <a16:creationId xmlns:a16="http://schemas.microsoft.com/office/drawing/2014/main" id="{93BA3AAD-5E39-40FE-A3BB-DD896D2008D8}"/>
            </a:ext>
          </a:extLst>
        </xdr:cNvPr>
        <xdr:cNvPicPr>
          <a:picLocks noChangeAspect="1"/>
        </xdr:cNvPicPr>
      </xdr:nvPicPr>
      <xdr:blipFill>
        <a:blip xmlns:r="http://schemas.openxmlformats.org/officeDocument/2006/relationships" r:embed="rId13"/>
        <a:stretch>
          <a:fillRect/>
        </a:stretch>
      </xdr:blipFill>
      <xdr:spPr>
        <a:xfrm>
          <a:off x="4657725" y="619125"/>
          <a:ext cx="4605124" cy="6334125"/>
        </a:xfrm>
        <a:prstGeom prst="rect">
          <a:avLst/>
        </a:prstGeom>
      </xdr:spPr>
    </xdr:pic>
    <xdr:clientData/>
  </xdr:twoCellAnchor>
  <xdr:twoCellAnchor editAs="oneCell">
    <xdr:from>
      <xdr:col>3</xdr:col>
      <xdr:colOff>28575</xdr:colOff>
      <xdr:row>35</xdr:row>
      <xdr:rowOff>76201</xdr:rowOff>
    </xdr:from>
    <xdr:to>
      <xdr:col>3</xdr:col>
      <xdr:colOff>4526358</xdr:colOff>
      <xdr:row>68</xdr:row>
      <xdr:rowOff>161926</xdr:rowOff>
    </xdr:to>
    <xdr:pic>
      <xdr:nvPicPr>
        <xdr:cNvPr id="33" name="Picture 32">
          <a:extLst>
            <a:ext uri="{FF2B5EF4-FFF2-40B4-BE49-F238E27FC236}">
              <a16:creationId xmlns:a16="http://schemas.microsoft.com/office/drawing/2014/main" id="{FCAD690E-FA4A-410E-B3DA-FA5B5ACB3A3C}"/>
            </a:ext>
          </a:extLst>
        </xdr:cNvPr>
        <xdr:cNvPicPr>
          <a:picLocks noChangeAspect="1"/>
        </xdr:cNvPicPr>
      </xdr:nvPicPr>
      <xdr:blipFill>
        <a:blip xmlns:r="http://schemas.openxmlformats.org/officeDocument/2006/relationships" r:embed="rId14"/>
        <a:stretch>
          <a:fillRect/>
        </a:stretch>
      </xdr:blipFill>
      <xdr:spPr>
        <a:xfrm>
          <a:off x="4686300" y="6981826"/>
          <a:ext cx="4497783" cy="6057900"/>
        </a:xfrm>
        <a:prstGeom prst="rect">
          <a:avLst/>
        </a:prstGeom>
      </xdr:spPr>
    </xdr:pic>
    <xdr:clientData/>
  </xdr:twoCellAnchor>
  <xdr:twoCellAnchor editAs="oneCell">
    <xdr:from>
      <xdr:col>5</xdr:col>
      <xdr:colOff>57150</xdr:colOff>
      <xdr:row>4</xdr:row>
      <xdr:rowOff>9525</xdr:rowOff>
    </xdr:from>
    <xdr:to>
      <xdr:col>5</xdr:col>
      <xdr:colOff>4222615</xdr:colOff>
      <xdr:row>39</xdr:row>
      <xdr:rowOff>9525</xdr:rowOff>
    </xdr:to>
    <xdr:pic>
      <xdr:nvPicPr>
        <xdr:cNvPr id="2" name="Picture 1">
          <a:extLst>
            <a:ext uri="{FF2B5EF4-FFF2-40B4-BE49-F238E27FC236}">
              <a16:creationId xmlns:a16="http://schemas.microsoft.com/office/drawing/2014/main" id="{C2F6977F-F20A-43D8-A1DE-34498C2285E6}"/>
            </a:ext>
          </a:extLst>
        </xdr:cNvPr>
        <xdr:cNvPicPr>
          <a:picLocks noChangeAspect="1"/>
        </xdr:cNvPicPr>
      </xdr:nvPicPr>
      <xdr:blipFill>
        <a:blip xmlns:r="http://schemas.openxmlformats.org/officeDocument/2006/relationships" r:embed="rId15"/>
        <a:stretch>
          <a:fillRect/>
        </a:stretch>
      </xdr:blipFill>
      <xdr:spPr>
        <a:xfrm>
          <a:off x="9686925" y="1228725"/>
          <a:ext cx="4165465" cy="6410325"/>
        </a:xfrm>
        <a:prstGeom prst="rect">
          <a:avLst/>
        </a:prstGeom>
      </xdr:spPr>
    </xdr:pic>
    <xdr:clientData/>
  </xdr:twoCellAnchor>
  <xdr:twoCellAnchor editAs="oneCell">
    <xdr:from>
      <xdr:col>5</xdr:col>
      <xdr:colOff>47626</xdr:colOff>
      <xdr:row>38</xdr:row>
      <xdr:rowOff>133350</xdr:rowOff>
    </xdr:from>
    <xdr:to>
      <xdr:col>5</xdr:col>
      <xdr:colOff>4450962</xdr:colOff>
      <xdr:row>72</xdr:row>
      <xdr:rowOff>113418</xdr:rowOff>
    </xdr:to>
    <xdr:pic>
      <xdr:nvPicPr>
        <xdr:cNvPr id="3" name="Picture 2">
          <a:extLst>
            <a:ext uri="{FF2B5EF4-FFF2-40B4-BE49-F238E27FC236}">
              <a16:creationId xmlns:a16="http://schemas.microsoft.com/office/drawing/2014/main" id="{0A669481-491C-4B80-A4EF-FC10D66D98FD}"/>
            </a:ext>
          </a:extLst>
        </xdr:cNvPr>
        <xdr:cNvPicPr>
          <a:picLocks noChangeAspect="1"/>
        </xdr:cNvPicPr>
      </xdr:nvPicPr>
      <xdr:blipFill>
        <a:blip xmlns:r="http://schemas.openxmlformats.org/officeDocument/2006/relationships" r:embed="rId16"/>
        <a:stretch>
          <a:fillRect/>
        </a:stretch>
      </xdr:blipFill>
      <xdr:spPr>
        <a:xfrm>
          <a:off x="9677401" y="7581900"/>
          <a:ext cx="4403336" cy="6133218"/>
        </a:xfrm>
        <a:prstGeom prst="rect">
          <a:avLst/>
        </a:prstGeom>
      </xdr:spPr>
    </xdr:pic>
    <xdr:clientData/>
  </xdr:twoCellAnchor>
  <xdr:twoCellAnchor editAs="oneCell">
    <xdr:from>
      <xdr:col>9</xdr:col>
      <xdr:colOff>1</xdr:colOff>
      <xdr:row>4</xdr:row>
      <xdr:rowOff>0</xdr:rowOff>
    </xdr:from>
    <xdr:to>
      <xdr:col>9</xdr:col>
      <xdr:colOff>4420699</xdr:colOff>
      <xdr:row>39</xdr:row>
      <xdr:rowOff>76200</xdr:rowOff>
    </xdr:to>
    <xdr:pic>
      <xdr:nvPicPr>
        <xdr:cNvPr id="4" name="Picture 3">
          <a:extLst>
            <a:ext uri="{FF2B5EF4-FFF2-40B4-BE49-F238E27FC236}">
              <a16:creationId xmlns:a16="http://schemas.microsoft.com/office/drawing/2014/main" id="{A4425848-89A1-4F8F-B317-C64ED623F77E}"/>
            </a:ext>
          </a:extLst>
        </xdr:cNvPr>
        <xdr:cNvPicPr>
          <a:picLocks noChangeAspect="1"/>
        </xdr:cNvPicPr>
      </xdr:nvPicPr>
      <xdr:blipFill>
        <a:blip xmlns:r="http://schemas.openxmlformats.org/officeDocument/2006/relationships" r:embed="rId17"/>
        <a:stretch>
          <a:fillRect/>
        </a:stretch>
      </xdr:blipFill>
      <xdr:spPr>
        <a:xfrm>
          <a:off x="19573876" y="1219200"/>
          <a:ext cx="4420698" cy="6486525"/>
        </a:xfrm>
        <a:prstGeom prst="rect">
          <a:avLst/>
        </a:prstGeom>
      </xdr:spPr>
    </xdr:pic>
    <xdr:clientData/>
  </xdr:twoCellAnchor>
  <xdr:twoCellAnchor editAs="oneCell">
    <xdr:from>
      <xdr:col>9</xdr:col>
      <xdr:colOff>0</xdr:colOff>
      <xdr:row>40</xdr:row>
      <xdr:rowOff>0</xdr:rowOff>
    </xdr:from>
    <xdr:to>
      <xdr:col>9</xdr:col>
      <xdr:colOff>4519544</xdr:colOff>
      <xdr:row>75</xdr:row>
      <xdr:rowOff>38100</xdr:rowOff>
    </xdr:to>
    <xdr:pic>
      <xdr:nvPicPr>
        <xdr:cNvPr id="63" name="Picture 62">
          <a:extLst>
            <a:ext uri="{FF2B5EF4-FFF2-40B4-BE49-F238E27FC236}">
              <a16:creationId xmlns:a16="http://schemas.microsoft.com/office/drawing/2014/main" id="{49D8190F-972C-4CD4-9D6F-7DFC386864A6}"/>
            </a:ext>
          </a:extLst>
        </xdr:cNvPr>
        <xdr:cNvPicPr>
          <a:picLocks noChangeAspect="1"/>
        </xdr:cNvPicPr>
      </xdr:nvPicPr>
      <xdr:blipFill>
        <a:blip xmlns:r="http://schemas.openxmlformats.org/officeDocument/2006/relationships" r:embed="rId18"/>
        <a:stretch>
          <a:fillRect/>
        </a:stretch>
      </xdr:blipFill>
      <xdr:spPr>
        <a:xfrm>
          <a:off x="19573875" y="7810500"/>
          <a:ext cx="4519544" cy="6372225"/>
        </a:xfrm>
        <a:prstGeom prst="rect">
          <a:avLst/>
        </a:prstGeom>
      </xdr:spPr>
    </xdr:pic>
    <xdr:clientData/>
  </xdr:twoCellAnchor>
  <xdr:twoCellAnchor editAs="oneCell">
    <xdr:from>
      <xdr:col>9</xdr:col>
      <xdr:colOff>0</xdr:colOff>
      <xdr:row>76</xdr:row>
      <xdr:rowOff>0</xdr:rowOff>
    </xdr:from>
    <xdr:to>
      <xdr:col>9</xdr:col>
      <xdr:colOff>4450229</xdr:colOff>
      <xdr:row>112</xdr:row>
      <xdr:rowOff>57150</xdr:rowOff>
    </xdr:to>
    <xdr:pic>
      <xdr:nvPicPr>
        <xdr:cNvPr id="64" name="Picture 63">
          <a:extLst>
            <a:ext uri="{FF2B5EF4-FFF2-40B4-BE49-F238E27FC236}">
              <a16:creationId xmlns:a16="http://schemas.microsoft.com/office/drawing/2014/main" id="{FF62534E-97E8-4539-AC95-AFFA0C5F5225}"/>
            </a:ext>
          </a:extLst>
        </xdr:cNvPr>
        <xdr:cNvPicPr>
          <a:picLocks noChangeAspect="1"/>
        </xdr:cNvPicPr>
      </xdr:nvPicPr>
      <xdr:blipFill>
        <a:blip xmlns:r="http://schemas.openxmlformats.org/officeDocument/2006/relationships" r:embed="rId19"/>
        <a:stretch>
          <a:fillRect/>
        </a:stretch>
      </xdr:blipFill>
      <xdr:spPr>
        <a:xfrm>
          <a:off x="19573875" y="14325600"/>
          <a:ext cx="4450229" cy="6572250"/>
        </a:xfrm>
        <a:prstGeom prst="rect">
          <a:avLst/>
        </a:prstGeom>
      </xdr:spPr>
    </xdr:pic>
    <xdr:clientData/>
  </xdr:twoCellAnchor>
  <xdr:twoCellAnchor editAs="oneCell">
    <xdr:from>
      <xdr:col>11</xdr:col>
      <xdr:colOff>0</xdr:colOff>
      <xdr:row>4</xdr:row>
      <xdr:rowOff>0</xdr:rowOff>
    </xdr:from>
    <xdr:to>
      <xdr:col>11</xdr:col>
      <xdr:colOff>4130060</xdr:colOff>
      <xdr:row>37</xdr:row>
      <xdr:rowOff>66675</xdr:rowOff>
    </xdr:to>
    <xdr:pic>
      <xdr:nvPicPr>
        <xdr:cNvPr id="65" name="Picture 64">
          <a:extLst>
            <a:ext uri="{FF2B5EF4-FFF2-40B4-BE49-F238E27FC236}">
              <a16:creationId xmlns:a16="http://schemas.microsoft.com/office/drawing/2014/main" id="{9AF1C1EF-29E9-49C6-B518-2E3E62B55374}"/>
            </a:ext>
          </a:extLst>
        </xdr:cNvPr>
        <xdr:cNvPicPr>
          <a:picLocks noChangeAspect="1"/>
        </xdr:cNvPicPr>
      </xdr:nvPicPr>
      <xdr:blipFill>
        <a:blip xmlns:r="http://schemas.openxmlformats.org/officeDocument/2006/relationships" r:embed="rId20"/>
        <a:stretch>
          <a:fillRect/>
        </a:stretch>
      </xdr:blipFill>
      <xdr:spPr>
        <a:xfrm>
          <a:off x="24545925" y="1219200"/>
          <a:ext cx="4130060" cy="6115050"/>
        </a:xfrm>
        <a:prstGeom prst="rect">
          <a:avLst/>
        </a:prstGeom>
      </xdr:spPr>
    </xdr:pic>
    <xdr:clientData/>
  </xdr:twoCellAnchor>
  <xdr:twoCellAnchor editAs="oneCell">
    <xdr:from>
      <xdr:col>11</xdr:col>
      <xdr:colOff>57151</xdr:colOff>
      <xdr:row>37</xdr:row>
      <xdr:rowOff>85726</xdr:rowOff>
    </xdr:from>
    <xdr:to>
      <xdr:col>11</xdr:col>
      <xdr:colOff>4220937</xdr:colOff>
      <xdr:row>71</xdr:row>
      <xdr:rowOff>161926</xdr:rowOff>
    </xdr:to>
    <xdr:pic>
      <xdr:nvPicPr>
        <xdr:cNvPr id="66" name="Picture 65">
          <a:extLst>
            <a:ext uri="{FF2B5EF4-FFF2-40B4-BE49-F238E27FC236}">
              <a16:creationId xmlns:a16="http://schemas.microsoft.com/office/drawing/2014/main" id="{57994AC2-67B7-472F-A0C2-8AB34505317D}"/>
            </a:ext>
          </a:extLst>
        </xdr:cNvPr>
        <xdr:cNvPicPr>
          <a:picLocks noChangeAspect="1"/>
        </xdr:cNvPicPr>
      </xdr:nvPicPr>
      <xdr:blipFill>
        <a:blip xmlns:r="http://schemas.openxmlformats.org/officeDocument/2006/relationships" r:embed="rId21"/>
        <a:stretch>
          <a:fillRect/>
        </a:stretch>
      </xdr:blipFill>
      <xdr:spPr>
        <a:xfrm>
          <a:off x="24603076" y="7353301"/>
          <a:ext cx="4163786" cy="6229350"/>
        </a:xfrm>
        <a:prstGeom prst="rect">
          <a:avLst/>
        </a:prstGeom>
      </xdr:spPr>
    </xdr:pic>
    <xdr:clientData/>
  </xdr:twoCellAnchor>
  <xdr:twoCellAnchor editAs="oneCell">
    <xdr:from>
      <xdr:col>11</xdr:col>
      <xdr:colOff>0</xdr:colOff>
      <xdr:row>73</xdr:row>
      <xdr:rowOff>0</xdr:rowOff>
    </xdr:from>
    <xdr:to>
      <xdr:col>11</xdr:col>
      <xdr:colOff>4593167</xdr:colOff>
      <xdr:row>109</xdr:row>
      <xdr:rowOff>152400</xdr:rowOff>
    </xdr:to>
    <xdr:pic>
      <xdr:nvPicPr>
        <xdr:cNvPr id="67" name="Picture 66">
          <a:extLst>
            <a:ext uri="{FF2B5EF4-FFF2-40B4-BE49-F238E27FC236}">
              <a16:creationId xmlns:a16="http://schemas.microsoft.com/office/drawing/2014/main" id="{786F19C7-8F7C-439C-800C-6FC6472C0271}"/>
            </a:ext>
          </a:extLst>
        </xdr:cNvPr>
        <xdr:cNvPicPr>
          <a:picLocks noChangeAspect="1"/>
        </xdr:cNvPicPr>
      </xdr:nvPicPr>
      <xdr:blipFill>
        <a:blip xmlns:r="http://schemas.openxmlformats.org/officeDocument/2006/relationships" r:embed="rId22"/>
        <a:stretch>
          <a:fillRect/>
        </a:stretch>
      </xdr:blipFill>
      <xdr:spPr>
        <a:xfrm>
          <a:off x="24545925" y="13782675"/>
          <a:ext cx="4593167" cy="6667500"/>
        </a:xfrm>
        <a:prstGeom prst="rect">
          <a:avLst/>
        </a:prstGeom>
      </xdr:spPr>
    </xdr:pic>
    <xdr:clientData/>
  </xdr:twoCellAnchor>
  <xdr:twoCellAnchor editAs="oneCell">
    <xdr:from>
      <xdr:col>15</xdr:col>
      <xdr:colOff>0</xdr:colOff>
      <xdr:row>4</xdr:row>
      <xdr:rowOff>0</xdr:rowOff>
    </xdr:from>
    <xdr:to>
      <xdr:col>15</xdr:col>
      <xdr:colOff>4305300</xdr:colOff>
      <xdr:row>38</xdr:row>
      <xdr:rowOff>132462</xdr:rowOff>
    </xdr:to>
    <xdr:pic>
      <xdr:nvPicPr>
        <xdr:cNvPr id="68" name="Picture 67">
          <a:extLst>
            <a:ext uri="{FF2B5EF4-FFF2-40B4-BE49-F238E27FC236}">
              <a16:creationId xmlns:a16="http://schemas.microsoft.com/office/drawing/2014/main" id="{B824451D-A68E-48D9-B132-C5E3374E7E13}"/>
            </a:ext>
          </a:extLst>
        </xdr:cNvPr>
        <xdr:cNvPicPr>
          <a:picLocks noChangeAspect="1"/>
        </xdr:cNvPicPr>
      </xdr:nvPicPr>
      <xdr:blipFill>
        <a:blip xmlns:r="http://schemas.openxmlformats.org/officeDocument/2006/relationships" r:embed="rId23"/>
        <a:stretch>
          <a:fillRect/>
        </a:stretch>
      </xdr:blipFill>
      <xdr:spPr>
        <a:xfrm>
          <a:off x="34490025" y="1219200"/>
          <a:ext cx="4305300" cy="6361812"/>
        </a:xfrm>
        <a:prstGeom prst="rect">
          <a:avLst/>
        </a:prstGeom>
      </xdr:spPr>
    </xdr:pic>
    <xdr:clientData/>
  </xdr:twoCellAnchor>
  <xdr:twoCellAnchor editAs="oneCell">
    <xdr:from>
      <xdr:col>15</xdr:col>
      <xdr:colOff>0</xdr:colOff>
      <xdr:row>39</xdr:row>
      <xdr:rowOff>0</xdr:rowOff>
    </xdr:from>
    <xdr:to>
      <xdr:col>15</xdr:col>
      <xdr:colOff>4496932</xdr:colOff>
      <xdr:row>72</xdr:row>
      <xdr:rowOff>95250</xdr:rowOff>
    </xdr:to>
    <xdr:pic>
      <xdr:nvPicPr>
        <xdr:cNvPr id="69" name="Picture 68">
          <a:extLst>
            <a:ext uri="{FF2B5EF4-FFF2-40B4-BE49-F238E27FC236}">
              <a16:creationId xmlns:a16="http://schemas.microsoft.com/office/drawing/2014/main" id="{37FD63B2-63D7-42DE-8C30-BFCEDAB33D34}"/>
            </a:ext>
          </a:extLst>
        </xdr:cNvPr>
        <xdr:cNvPicPr>
          <a:picLocks noChangeAspect="1"/>
        </xdr:cNvPicPr>
      </xdr:nvPicPr>
      <xdr:blipFill>
        <a:blip xmlns:r="http://schemas.openxmlformats.org/officeDocument/2006/relationships" r:embed="rId24"/>
        <a:stretch>
          <a:fillRect/>
        </a:stretch>
      </xdr:blipFill>
      <xdr:spPr>
        <a:xfrm>
          <a:off x="34490025" y="7629525"/>
          <a:ext cx="4496932" cy="6067425"/>
        </a:xfrm>
        <a:prstGeom prst="rect">
          <a:avLst/>
        </a:prstGeom>
      </xdr:spPr>
    </xdr:pic>
    <xdr:clientData/>
  </xdr:twoCellAnchor>
  <xdr:twoCellAnchor editAs="oneCell">
    <xdr:from>
      <xdr:col>15</xdr:col>
      <xdr:colOff>1</xdr:colOff>
      <xdr:row>73</xdr:row>
      <xdr:rowOff>1</xdr:rowOff>
    </xdr:from>
    <xdr:to>
      <xdr:col>15</xdr:col>
      <xdr:colOff>4471251</xdr:colOff>
      <xdr:row>109</xdr:row>
      <xdr:rowOff>152401</xdr:rowOff>
    </xdr:to>
    <xdr:pic>
      <xdr:nvPicPr>
        <xdr:cNvPr id="70" name="Picture 69">
          <a:extLst>
            <a:ext uri="{FF2B5EF4-FFF2-40B4-BE49-F238E27FC236}">
              <a16:creationId xmlns:a16="http://schemas.microsoft.com/office/drawing/2014/main" id="{1E68D042-7902-45DC-AE20-8A64B0E6CFAD}"/>
            </a:ext>
          </a:extLst>
        </xdr:cNvPr>
        <xdr:cNvPicPr>
          <a:picLocks noChangeAspect="1"/>
        </xdr:cNvPicPr>
      </xdr:nvPicPr>
      <xdr:blipFill>
        <a:blip xmlns:r="http://schemas.openxmlformats.org/officeDocument/2006/relationships" r:embed="rId25"/>
        <a:stretch>
          <a:fillRect/>
        </a:stretch>
      </xdr:blipFill>
      <xdr:spPr>
        <a:xfrm>
          <a:off x="34490026" y="13782676"/>
          <a:ext cx="4471250" cy="6667500"/>
        </a:xfrm>
        <a:prstGeom prst="rect">
          <a:avLst/>
        </a:prstGeom>
      </xdr:spPr>
    </xdr:pic>
    <xdr:clientData/>
  </xdr:twoCellAnchor>
  <xdr:twoCellAnchor editAs="oneCell">
    <xdr:from>
      <xdr:col>15</xdr:col>
      <xdr:colOff>1</xdr:colOff>
      <xdr:row>110</xdr:row>
      <xdr:rowOff>1</xdr:rowOff>
    </xdr:from>
    <xdr:to>
      <xdr:col>15</xdr:col>
      <xdr:colOff>4463919</xdr:colOff>
      <xdr:row>145</xdr:row>
      <xdr:rowOff>47626</xdr:rowOff>
    </xdr:to>
    <xdr:pic>
      <xdr:nvPicPr>
        <xdr:cNvPr id="71" name="Picture 70">
          <a:extLst>
            <a:ext uri="{FF2B5EF4-FFF2-40B4-BE49-F238E27FC236}">
              <a16:creationId xmlns:a16="http://schemas.microsoft.com/office/drawing/2014/main" id="{760F8DD5-2247-4FC9-8BE7-EC67534DF741}"/>
            </a:ext>
          </a:extLst>
        </xdr:cNvPr>
        <xdr:cNvPicPr>
          <a:picLocks noChangeAspect="1"/>
        </xdr:cNvPicPr>
      </xdr:nvPicPr>
      <xdr:blipFill>
        <a:blip xmlns:r="http://schemas.openxmlformats.org/officeDocument/2006/relationships" r:embed="rId26"/>
        <a:stretch>
          <a:fillRect/>
        </a:stretch>
      </xdr:blipFill>
      <xdr:spPr>
        <a:xfrm>
          <a:off x="34490026" y="20478751"/>
          <a:ext cx="4463918" cy="6381750"/>
        </a:xfrm>
        <a:prstGeom prst="rect">
          <a:avLst/>
        </a:prstGeom>
      </xdr:spPr>
    </xdr:pic>
    <xdr:clientData/>
  </xdr:twoCellAnchor>
  <xdr:twoCellAnchor editAs="oneCell">
    <xdr:from>
      <xdr:col>17</xdr:col>
      <xdr:colOff>0</xdr:colOff>
      <xdr:row>4</xdr:row>
      <xdr:rowOff>0</xdr:rowOff>
    </xdr:from>
    <xdr:to>
      <xdr:col>17</xdr:col>
      <xdr:colOff>4539322</xdr:colOff>
      <xdr:row>40</xdr:row>
      <xdr:rowOff>85725</xdr:rowOff>
    </xdr:to>
    <xdr:pic>
      <xdr:nvPicPr>
        <xdr:cNvPr id="5" name="Picture 4">
          <a:extLst>
            <a:ext uri="{FF2B5EF4-FFF2-40B4-BE49-F238E27FC236}">
              <a16:creationId xmlns:a16="http://schemas.microsoft.com/office/drawing/2014/main" id="{49E76592-6982-42D3-AFCE-3DAE0C16F691}"/>
            </a:ext>
          </a:extLst>
        </xdr:cNvPr>
        <xdr:cNvPicPr>
          <a:picLocks noChangeAspect="1"/>
        </xdr:cNvPicPr>
      </xdr:nvPicPr>
      <xdr:blipFill>
        <a:blip xmlns:r="http://schemas.openxmlformats.org/officeDocument/2006/relationships" r:embed="rId27"/>
        <a:stretch>
          <a:fillRect/>
        </a:stretch>
      </xdr:blipFill>
      <xdr:spPr>
        <a:xfrm>
          <a:off x="39462075" y="1219200"/>
          <a:ext cx="4539322" cy="6677025"/>
        </a:xfrm>
        <a:prstGeom prst="rect">
          <a:avLst/>
        </a:prstGeom>
      </xdr:spPr>
    </xdr:pic>
    <xdr:clientData/>
  </xdr:twoCellAnchor>
  <xdr:twoCellAnchor editAs="oneCell">
    <xdr:from>
      <xdr:col>17</xdr:col>
      <xdr:colOff>0</xdr:colOff>
      <xdr:row>41</xdr:row>
      <xdr:rowOff>1</xdr:rowOff>
    </xdr:from>
    <xdr:to>
      <xdr:col>17</xdr:col>
      <xdr:colOff>4568235</xdr:colOff>
      <xdr:row>78</xdr:row>
      <xdr:rowOff>85726</xdr:rowOff>
    </xdr:to>
    <xdr:pic>
      <xdr:nvPicPr>
        <xdr:cNvPr id="6" name="Picture 5">
          <a:extLst>
            <a:ext uri="{FF2B5EF4-FFF2-40B4-BE49-F238E27FC236}">
              <a16:creationId xmlns:a16="http://schemas.microsoft.com/office/drawing/2014/main" id="{7C350612-6DD8-4BB2-B74A-8C8E26B61D48}"/>
            </a:ext>
          </a:extLst>
        </xdr:cNvPr>
        <xdr:cNvPicPr>
          <a:picLocks noChangeAspect="1"/>
        </xdr:cNvPicPr>
      </xdr:nvPicPr>
      <xdr:blipFill>
        <a:blip xmlns:r="http://schemas.openxmlformats.org/officeDocument/2006/relationships" r:embed="rId28"/>
        <a:stretch>
          <a:fillRect/>
        </a:stretch>
      </xdr:blipFill>
      <xdr:spPr>
        <a:xfrm>
          <a:off x="39462075" y="7991476"/>
          <a:ext cx="4568235" cy="6781800"/>
        </a:xfrm>
        <a:prstGeom prst="rect">
          <a:avLst/>
        </a:prstGeom>
      </xdr:spPr>
    </xdr:pic>
    <xdr:clientData/>
  </xdr:twoCellAnchor>
  <xdr:twoCellAnchor editAs="oneCell">
    <xdr:from>
      <xdr:col>17</xdr:col>
      <xdr:colOff>0</xdr:colOff>
      <xdr:row>79</xdr:row>
      <xdr:rowOff>0</xdr:rowOff>
    </xdr:from>
    <xdr:to>
      <xdr:col>17</xdr:col>
      <xdr:colOff>4499062</xdr:colOff>
      <xdr:row>116</xdr:row>
      <xdr:rowOff>0</xdr:rowOff>
    </xdr:to>
    <xdr:pic>
      <xdr:nvPicPr>
        <xdr:cNvPr id="7" name="Picture 6">
          <a:extLst>
            <a:ext uri="{FF2B5EF4-FFF2-40B4-BE49-F238E27FC236}">
              <a16:creationId xmlns:a16="http://schemas.microsoft.com/office/drawing/2014/main" id="{549A68B2-4302-4CA9-A6A0-99A7FD7F85A5}"/>
            </a:ext>
          </a:extLst>
        </xdr:cNvPr>
        <xdr:cNvPicPr>
          <a:picLocks noChangeAspect="1"/>
        </xdr:cNvPicPr>
      </xdr:nvPicPr>
      <xdr:blipFill>
        <a:blip xmlns:r="http://schemas.openxmlformats.org/officeDocument/2006/relationships" r:embed="rId29"/>
        <a:stretch>
          <a:fillRect/>
        </a:stretch>
      </xdr:blipFill>
      <xdr:spPr>
        <a:xfrm>
          <a:off x="39462075" y="14868525"/>
          <a:ext cx="4499062" cy="6696075"/>
        </a:xfrm>
        <a:prstGeom prst="rect">
          <a:avLst/>
        </a:prstGeom>
      </xdr:spPr>
    </xdr:pic>
    <xdr:clientData/>
  </xdr:twoCellAnchor>
  <xdr:twoCellAnchor editAs="oneCell">
    <xdr:from>
      <xdr:col>16</xdr:col>
      <xdr:colOff>342900</xdr:colOff>
      <xdr:row>116</xdr:row>
      <xdr:rowOff>85726</xdr:rowOff>
    </xdr:from>
    <xdr:to>
      <xdr:col>17</xdr:col>
      <xdr:colOff>4524375</xdr:colOff>
      <xdr:row>151</xdr:row>
      <xdr:rowOff>82423</xdr:rowOff>
    </xdr:to>
    <xdr:pic>
      <xdr:nvPicPr>
        <xdr:cNvPr id="8" name="Picture 7">
          <a:extLst>
            <a:ext uri="{FF2B5EF4-FFF2-40B4-BE49-F238E27FC236}">
              <a16:creationId xmlns:a16="http://schemas.microsoft.com/office/drawing/2014/main" id="{1BEC850D-F7D6-4EBB-A0EF-E0B540DA9040}"/>
            </a:ext>
          </a:extLst>
        </xdr:cNvPr>
        <xdr:cNvPicPr>
          <a:picLocks noChangeAspect="1"/>
        </xdr:cNvPicPr>
      </xdr:nvPicPr>
      <xdr:blipFill>
        <a:blip xmlns:r="http://schemas.openxmlformats.org/officeDocument/2006/relationships" r:embed="rId30"/>
        <a:stretch>
          <a:fillRect/>
        </a:stretch>
      </xdr:blipFill>
      <xdr:spPr>
        <a:xfrm>
          <a:off x="39452550" y="21650326"/>
          <a:ext cx="4533900" cy="6330822"/>
        </a:xfrm>
        <a:prstGeom prst="rect">
          <a:avLst/>
        </a:prstGeom>
      </xdr:spPr>
    </xdr:pic>
    <xdr:clientData/>
  </xdr:twoCellAnchor>
  <xdr:twoCellAnchor editAs="oneCell">
    <xdr:from>
      <xdr:col>19</xdr:col>
      <xdr:colOff>1</xdr:colOff>
      <xdr:row>4</xdr:row>
      <xdr:rowOff>0</xdr:rowOff>
    </xdr:from>
    <xdr:to>
      <xdr:col>19</xdr:col>
      <xdr:colOff>4536429</xdr:colOff>
      <xdr:row>41</xdr:row>
      <xdr:rowOff>19050</xdr:rowOff>
    </xdr:to>
    <xdr:pic>
      <xdr:nvPicPr>
        <xdr:cNvPr id="9" name="Picture 8">
          <a:extLst>
            <a:ext uri="{FF2B5EF4-FFF2-40B4-BE49-F238E27FC236}">
              <a16:creationId xmlns:a16="http://schemas.microsoft.com/office/drawing/2014/main" id="{5AC80B2F-8355-4EA9-8C94-2FF2DB6A02BB}"/>
            </a:ext>
          </a:extLst>
        </xdr:cNvPr>
        <xdr:cNvPicPr>
          <a:picLocks noChangeAspect="1"/>
        </xdr:cNvPicPr>
      </xdr:nvPicPr>
      <xdr:blipFill>
        <a:blip xmlns:r="http://schemas.openxmlformats.org/officeDocument/2006/relationships" r:embed="rId31"/>
        <a:stretch>
          <a:fillRect/>
        </a:stretch>
      </xdr:blipFill>
      <xdr:spPr>
        <a:xfrm>
          <a:off x="44434126" y="1219200"/>
          <a:ext cx="4536428" cy="6791325"/>
        </a:xfrm>
        <a:prstGeom prst="rect">
          <a:avLst/>
        </a:prstGeom>
      </xdr:spPr>
    </xdr:pic>
    <xdr:clientData/>
  </xdr:twoCellAnchor>
  <xdr:twoCellAnchor editAs="oneCell">
    <xdr:from>
      <xdr:col>19</xdr:col>
      <xdr:colOff>0</xdr:colOff>
      <xdr:row>42</xdr:row>
      <xdr:rowOff>0</xdr:rowOff>
    </xdr:from>
    <xdr:to>
      <xdr:col>19</xdr:col>
      <xdr:colOff>4556419</xdr:colOff>
      <xdr:row>80</xdr:row>
      <xdr:rowOff>47625</xdr:rowOff>
    </xdr:to>
    <xdr:pic>
      <xdr:nvPicPr>
        <xdr:cNvPr id="10" name="Picture 9">
          <a:extLst>
            <a:ext uri="{FF2B5EF4-FFF2-40B4-BE49-F238E27FC236}">
              <a16:creationId xmlns:a16="http://schemas.microsoft.com/office/drawing/2014/main" id="{F7708C00-1CAA-4B5C-BD5A-5DE460677C6C}"/>
            </a:ext>
          </a:extLst>
        </xdr:cNvPr>
        <xdr:cNvPicPr>
          <a:picLocks noChangeAspect="1"/>
        </xdr:cNvPicPr>
      </xdr:nvPicPr>
      <xdr:blipFill>
        <a:blip xmlns:r="http://schemas.openxmlformats.org/officeDocument/2006/relationships" r:embed="rId32"/>
        <a:stretch>
          <a:fillRect/>
        </a:stretch>
      </xdr:blipFill>
      <xdr:spPr>
        <a:xfrm>
          <a:off x="44434125" y="8172450"/>
          <a:ext cx="4556419" cy="6924675"/>
        </a:xfrm>
        <a:prstGeom prst="rect">
          <a:avLst/>
        </a:prstGeom>
      </xdr:spPr>
    </xdr:pic>
    <xdr:clientData/>
  </xdr:twoCellAnchor>
  <xdr:twoCellAnchor editAs="oneCell">
    <xdr:from>
      <xdr:col>19</xdr:col>
      <xdr:colOff>1</xdr:colOff>
      <xdr:row>81</xdr:row>
      <xdr:rowOff>0</xdr:rowOff>
    </xdr:from>
    <xdr:to>
      <xdr:col>19</xdr:col>
      <xdr:colOff>4551111</xdr:colOff>
      <xdr:row>119</xdr:row>
      <xdr:rowOff>95250</xdr:rowOff>
    </xdr:to>
    <xdr:pic>
      <xdr:nvPicPr>
        <xdr:cNvPr id="11" name="Picture 10">
          <a:extLst>
            <a:ext uri="{FF2B5EF4-FFF2-40B4-BE49-F238E27FC236}">
              <a16:creationId xmlns:a16="http://schemas.microsoft.com/office/drawing/2014/main" id="{C2832801-5B5A-4DC7-A3B1-614DB1334673}"/>
            </a:ext>
          </a:extLst>
        </xdr:cNvPr>
        <xdr:cNvPicPr>
          <a:picLocks noChangeAspect="1"/>
        </xdr:cNvPicPr>
      </xdr:nvPicPr>
      <xdr:blipFill>
        <a:blip xmlns:r="http://schemas.openxmlformats.org/officeDocument/2006/relationships" r:embed="rId33"/>
        <a:stretch>
          <a:fillRect/>
        </a:stretch>
      </xdr:blipFill>
      <xdr:spPr>
        <a:xfrm>
          <a:off x="44434126" y="15230475"/>
          <a:ext cx="4551110" cy="6972300"/>
        </a:xfrm>
        <a:prstGeom prst="rect">
          <a:avLst/>
        </a:prstGeom>
      </xdr:spPr>
    </xdr:pic>
    <xdr:clientData/>
  </xdr:twoCellAnchor>
  <xdr:twoCellAnchor editAs="oneCell">
    <xdr:from>
      <xdr:col>19</xdr:col>
      <xdr:colOff>0</xdr:colOff>
      <xdr:row>120</xdr:row>
      <xdr:rowOff>1</xdr:rowOff>
    </xdr:from>
    <xdr:to>
      <xdr:col>19</xdr:col>
      <xdr:colOff>4482324</xdr:colOff>
      <xdr:row>154</xdr:row>
      <xdr:rowOff>171451</xdr:rowOff>
    </xdr:to>
    <xdr:pic>
      <xdr:nvPicPr>
        <xdr:cNvPr id="12" name="Picture 11">
          <a:extLst>
            <a:ext uri="{FF2B5EF4-FFF2-40B4-BE49-F238E27FC236}">
              <a16:creationId xmlns:a16="http://schemas.microsoft.com/office/drawing/2014/main" id="{FDF167C5-1508-49CA-B681-CF031BE91300}"/>
            </a:ext>
          </a:extLst>
        </xdr:cNvPr>
        <xdr:cNvPicPr>
          <a:picLocks noChangeAspect="1"/>
        </xdr:cNvPicPr>
      </xdr:nvPicPr>
      <xdr:blipFill>
        <a:blip xmlns:r="http://schemas.openxmlformats.org/officeDocument/2006/relationships" r:embed="rId34"/>
        <a:stretch>
          <a:fillRect/>
        </a:stretch>
      </xdr:blipFill>
      <xdr:spPr>
        <a:xfrm>
          <a:off x="44434125" y="22288501"/>
          <a:ext cx="4482324" cy="6324600"/>
        </a:xfrm>
        <a:prstGeom prst="rect">
          <a:avLst/>
        </a:prstGeom>
      </xdr:spPr>
    </xdr:pic>
    <xdr:clientData/>
  </xdr:twoCellAnchor>
  <xdr:twoCellAnchor editAs="oneCell">
    <xdr:from>
      <xdr:col>29</xdr:col>
      <xdr:colOff>0</xdr:colOff>
      <xdr:row>4</xdr:row>
      <xdr:rowOff>1</xdr:rowOff>
    </xdr:from>
    <xdr:to>
      <xdr:col>29</xdr:col>
      <xdr:colOff>4497500</xdr:colOff>
      <xdr:row>40</xdr:row>
      <xdr:rowOff>76201</xdr:rowOff>
    </xdr:to>
    <xdr:pic>
      <xdr:nvPicPr>
        <xdr:cNvPr id="13" name="Picture 12">
          <a:extLst>
            <a:ext uri="{FF2B5EF4-FFF2-40B4-BE49-F238E27FC236}">
              <a16:creationId xmlns:a16="http://schemas.microsoft.com/office/drawing/2014/main" id="{2DB29E8D-396C-42E1-B49A-F78300D8A2B5}"/>
            </a:ext>
          </a:extLst>
        </xdr:cNvPr>
        <xdr:cNvPicPr>
          <a:picLocks noChangeAspect="1"/>
        </xdr:cNvPicPr>
      </xdr:nvPicPr>
      <xdr:blipFill>
        <a:blip xmlns:r="http://schemas.openxmlformats.org/officeDocument/2006/relationships" r:embed="rId35"/>
        <a:stretch>
          <a:fillRect/>
        </a:stretch>
      </xdr:blipFill>
      <xdr:spPr>
        <a:xfrm>
          <a:off x="69294375" y="1219201"/>
          <a:ext cx="4497500" cy="6667500"/>
        </a:xfrm>
        <a:prstGeom prst="rect">
          <a:avLst/>
        </a:prstGeom>
      </xdr:spPr>
    </xdr:pic>
    <xdr:clientData/>
  </xdr:twoCellAnchor>
  <xdr:twoCellAnchor editAs="oneCell">
    <xdr:from>
      <xdr:col>29</xdr:col>
      <xdr:colOff>0</xdr:colOff>
      <xdr:row>41</xdr:row>
      <xdr:rowOff>1</xdr:rowOff>
    </xdr:from>
    <xdr:to>
      <xdr:col>29</xdr:col>
      <xdr:colOff>4448175</xdr:colOff>
      <xdr:row>77</xdr:row>
      <xdr:rowOff>105037</xdr:rowOff>
    </xdr:to>
    <xdr:pic>
      <xdr:nvPicPr>
        <xdr:cNvPr id="14" name="Picture 13">
          <a:extLst>
            <a:ext uri="{FF2B5EF4-FFF2-40B4-BE49-F238E27FC236}">
              <a16:creationId xmlns:a16="http://schemas.microsoft.com/office/drawing/2014/main" id="{07FFE330-752F-480C-94CB-FAC778AC3620}"/>
            </a:ext>
          </a:extLst>
        </xdr:cNvPr>
        <xdr:cNvPicPr>
          <a:picLocks noChangeAspect="1"/>
        </xdr:cNvPicPr>
      </xdr:nvPicPr>
      <xdr:blipFill>
        <a:blip xmlns:r="http://schemas.openxmlformats.org/officeDocument/2006/relationships" r:embed="rId36"/>
        <a:stretch>
          <a:fillRect/>
        </a:stretch>
      </xdr:blipFill>
      <xdr:spPr>
        <a:xfrm>
          <a:off x="69294375" y="7991476"/>
          <a:ext cx="4448175" cy="6620136"/>
        </a:xfrm>
        <a:prstGeom prst="rect">
          <a:avLst/>
        </a:prstGeom>
      </xdr:spPr>
    </xdr:pic>
    <xdr:clientData/>
  </xdr:twoCellAnchor>
  <xdr:twoCellAnchor editAs="oneCell">
    <xdr:from>
      <xdr:col>13</xdr:col>
      <xdr:colOff>0</xdr:colOff>
      <xdr:row>4</xdr:row>
      <xdr:rowOff>0</xdr:rowOff>
    </xdr:from>
    <xdr:to>
      <xdr:col>13</xdr:col>
      <xdr:colOff>4429125</xdr:colOff>
      <xdr:row>40</xdr:row>
      <xdr:rowOff>149440</xdr:rowOff>
    </xdr:to>
    <xdr:pic>
      <xdr:nvPicPr>
        <xdr:cNvPr id="15" name="Picture 14">
          <a:extLst>
            <a:ext uri="{FF2B5EF4-FFF2-40B4-BE49-F238E27FC236}">
              <a16:creationId xmlns:a16="http://schemas.microsoft.com/office/drawing/2014/main" id="{148873D2-499B-4B30-A660-C82B9FBFC25F}"/>
            </a:ext>
          </a:extLst>
        </xdr:cNvPr>
        <xdr:cNvPicPr>
          <a:picLocks noChangeAspect="1"/>
        </xdr:cNvPicPr>
      </xdr:nvPicPr>
      <xdr:blipFill>
        <a:blip xmlns:r="http://schemas.openxmlformats.org/officeDocument/2006/relationships" r:embed="rId37"/>
        <a:stretch>
          <a:fillRect/>
        </a:stretch>
      </xdr:blipFill>
      <xdr:spPr>
        <a:xfrm>
          <a:off x="29517975" y="1219200"/>
          <a:ext cx="4429125" cy="6740740"/>
        </a:xfrm>
        <a:prstGeom prst="rect">
          <a:avLst/>
        </a:prstGeom>
      </xdr:spPr>
    </xdr:pic>
    <xdr:clientData/>
  </xdr:twoCellAnchor>
  <xdr:twoCellAnchor editAs="oneCell">
    <xdr:from>
      <xdr:col>13</xdr:col>
      <xdr:colOff>0</xdr:colOff>
      <xdr:row>41</xdr:row>
      <xdr:rowOff>0</xdr:rowOff>
    </xdr:from>
    <xdr:to>
      <xdr:col>13</xdr:col>
      <xdr:colOff>4580649</xdr:colOff>
      <xdr:row>78</xdr:row>
      <xdr:rowOff>152400</xdr:rowOff>
    </xdr:to>
    <xdr:pic>
      <xdr:nvPicPr>
        <xdr:cNvPr id="16" name="Picture 15">
          <a:extLst>
            <a:ext uri="{FF2B5EF4-FFF2-40B4-BE49-F238E27FC236}">
              <a16:creationId xmlns:a16="http://schemas.microsoft.com/office/drawing/2014/main" id="{9B7F9FC1-3A60-403E-BFBB-E7A52AF7FB01}"/>
            </a:ext>
          </a:extLst>
        </xdr:cNvPr>
        <xdr:cNvPicPr>
          <a:picLocks noChangeAspect="1"/>
        </xdr:cNvPicPr>
      </xdr:nvPicPr>
      <xdr:blipFill>
        <a:blip xmlns:r="http://schemas.openxmlformats.org/officeDocument/2006/relationships" r:embed="rId38"/>
        <a:stretch>
          <a:fillRect/>
        </a:stretch>
      </xdr:blipFill>
      <xdr:spPr>
        <a:xfrm>
          <a:off x="29517975" y="7991475"/>
          <a:ext cx="4580649" cy="6848475"/>
        </a:xfrm>
        <a:prstGeom prst="rect">
          <a:avLst/>
        </a:prstGeom>
      </xdr:spPr>
    </xdr:pic>
    <xdr:clientData/>
  </xdr:twoCellAnchor>
  <xdr:twoCellAnchor editAs="oneCell">
    <xdr:from>
      <xdr:col>13</xdr:col>
      <xdr:colOff>0</xdr:colOff>
      <xdr:row>79</xdr:row>
      <xdr:rowOff>0</xdr:rowOff>
    </xdr:from>
    <xdr:to>
      <xdr:col>13</xdr:col>
      <xdr:colOff>4538975</xdr:colOff>
      <xdr:row>115</xdr:row>
      <xdr:rowOff>161925</xdr:rowOff>
    </xdr:to>
    <xdr:pic>
      <xdr:nvPicPr>
        <xdr:cNvPr id="17" name="Picture 16">
          <a:extLst>
            <a:ext uri="{FF2B5EF4-FFF2-40B4-BE49-F238E27FC236}">
              <a16:creationId xmlns:a16="http://schemas.microsoft.com/office/drawing/2014/main" id="{A60E83A2-FEC0-4C48-A688-2A0D6B056FB2}"/>
            </a:ext>
          </a:extLst>
        </xdr:cNvPr>
        <xdr:cNvPicPr>
          <a:picLocks noChangeAspect="1"/>
        </xdr:cNvPicPr>
      </xdr:nvPicPr>
      <xdr:blipFill>
        <a:blip xmlns:r="http://schemas.openxmlformats.org/officeDocument/2006/relationships" r:embed="rId39"/>
        <a:stretch>
          <a:fillRect/>
        </a:stretch>
      </xdr:blipFill>
      <xdr:spPr>
        <a:xfrm>
          <a:off x="29517975" y="14868525"/>
          <a:ext cx="4538975" cy="6677025"/>
        </a:xfrm>
        <a:prstGeom prst="rect">
          <a:avLst/>
        </a:prstGeom>
      </xdr:spPr>
    </xdr:pic>
    <xdr:clientData/>
  </xdr:twoCellAnchor>
  <xdr:twoCellAnchor editAs="oneCell">
    <xdr:from>
      <xdr:col>13</xdr:col>
      <xdr:colOff>1</xdr:colOff>
      <xdr:row>116</xdr:row>
      <xdr:rowOff>0</xdr:rowOff>
    </xdr:from>
    <xdr:to>
      <xdr:col>13</xdr:col>
      <xdr:colOff>4444461</xdr:colOff>
      <xdr:row>152</xdr:row>
      <xdr:rowOff>142875</xdr:rowOff>
    </xdr:to>
    <xdr:pic>
      <xdr:nvPicPr>
        <xdr:cNvPr id="18" name="Picture 17">
          <a:extLst>
            <a:ext uri="{FF2B5EF4-FFF2-40B4-BE49-F238E27FC236}">
              <a16:creationId xmlns:a16="http://schemas.microsoft.com/office/drawing/2014/main" id="{D223030E-628D-4F4F-B0B8-DE5B6FF92579}"/>
            </a:ext>
          </a:extLst>
        </xdr:cNvPr>
        <xdr:cNvPicPr>
          <a:picLocks noChangeAspect="1"/>
        </xdr:cNvPicPr>
      </xdr:nvPicPr>
      <xdr:blipFill>
        <a:blip xmlns:r="http://schemas.openxmlformats.org/officeDocument/2006/relationships" r:embed="rId40"/>
        <a:stretch>
          <a:fillRect/>
        </a:stretch>
      </xdr:blipFill>
      <xdr:spPr>
        <a:xfrm>
          <a:off x="29517976" y="21564600"/>
          <a:ext cx="4444460" cy="6657975"/>
        </a:xfrm>
        <a:prstGeom prst="rect">
          <a:avLst/>
        </a:prstGeom>
      </xdr:spPr>
    </xdr:pic>
    <xdr:clientData/>
  </xdr:twoCellAnchor>
  <xdr:twoCellAnchor editAs="oneCell">
    <xdr:from>
      <xdr:col>13</xdr:col>
      <xdr:colOff>0</xdr:colOff>
      <xdr:row>156</xdr:row>
      <xdr:rowOff>0</xdr:rowOff>
    </xdr:from>
    <xdr:to>
      <xdr:col>13</xdr:col>
      <xdr:colOff>4546217</xdr:colOff>
      <xdr:row>181</xdr:row>
      <xdr:rowOff>104775</xdr:rowOff>
    </xdr:to>
    <xdr:pic>
      <xdr:nvPicPr>
        <xdr:cNvPr id="72" name="Picture 71">
          <a:extLst>
            <a:ext uri="{FF2B5EF4-FFF2-40B4-BE49-F238E27FC236}">
              <a16:creationId xmlns:a16="http://schemas.microsoft.com/office/drawing/2014/main" id="{A0F0E5A8-E557-4958-B3F5-38408310F825}"/>
            </a:ext>
          </a:extLst>
        </xdr:cNvPr>
        <xdr:cNvPicPr>
          <a:picLocks noChangeAspect="1"/>
        </xdr:cNvPicPr>
      </xdr:nvPicPr>
      <xdr:blipFill>
        <a:blip xmlns:r="http://schemas.openxmlformats.org/officeDocument/2006/relationships" r:embed="rId41"/>
        <a:stretch>
          <a:fillRect/>
        </a:stretch>
      </xdr:blipFill>
      <xdr:spPr>
        <a:xfrm>
          <a:off x="29517975" y="28803600"/>
          <a:ext cx="4546217" cy="4629150"/>
        </a:xfrm>
        <a:prstGeom prst="rect">
          <a:avLst/>
        </a:prstGeom>
      </xdr:spPr>
    </xdr:pic>
    <xdr:clientData/>
  </xdr:twoCellAnchor>
  <xdr:twoCellAnchor editAs="oneCell">
    <xdr:from>
      <xdr:col>23</xdr:col>
      <xdr:colOff>0</xdr:colOff>
      <xdr:row>5</xdr:row>
      <xdr:rowOff>1</xdr:rowOff>
    </xdr:from>
    <xdr:to>
      <xdr:col>23</xdr:col>
      <xdr:colOff>4381500</xdr:colOff>
      <xdr:row>43</xdr:row>
      <xdr:rowOff>144057</xdr:rowOff>
    </xdr:to>
    <xdr:pic>
      <xdr:nvPicPr>
        <xdr:cNvPr id="19" name="Picture 18">
          <a:extLst>
            <a:ext uri="{FF2B5EF4-FFF2-40B4-BE49-F238E27FC236}">
              <a16:creationId xmlns:a16="http://schemas.microsoft.com/office/drawing/2014/main" id="{93ADB774-8848-4F88-AFC7-E59817619586}"/>
            </a:ext>
          </a:extLst>
        </xdr:cNvPr>
        <xdr:cNvPicPr>
          <a:picLocks noChangeAspect="1"/>
        </xdr:cNvPicPr>
      </xdr:nvPicPr>
      <xdr:blipFill>
        <a:blip xmlns:r="http://schemas.openxmlformats.org/officeDocument/2006/relationships" r:embed="rId42"/>
        <a:stretch>
          <a:fillRect/>
        </a:stretch>
      </xdr:blipFill>
      <xdr:spPr>
        <a:xfrm>
          <a:off x="54378225" y="1400176"/>
          <a:ext cx="4381500" cy="7097306"/>
        </a:xfrm>
        <a:prstGeom prst="rect">
          <a:avLst/>
        </a:prstGeom>
      </xdr:spPr>
    </xdr:pic>
    <xdr:clientData/>
  </xdr:twoCellAnchor>
  <xdr:twoCellAnchor editAs="oneCell">
    <xdr:from>
      <xdr:col>23</xdr:col>
      <xdr:colOff>1</xdr:colOff>
      <xdr:row>44</xdr:row>
      <xdr:rowOff>0</xdr:rowOff>
    </xdr:from>
    <xdr:to>
      <xdr:col>23</xdr:col>
      <xdr:colOff>4362451</xdr:colOff>
      <xdr:row>81</xdr:row>
      <xdr:rowOff>152971</xdr:rowOff>
    </xdr:to>
    <xdr:pic>
      <xdr:nvPicPr>
        <xdr:cNvPr id="20" name="Picture 19">
          <a:extLst>
            <a:ext uri="{FF2B5EF4-FFF2-40B4-BE49-F238E27FC236}">
              <a16:creationId xmlns:a16="http://schemas.microsoft.com/office/drawing/2014/main" id="{9AFACD21-4661-4E94-9A31-D9FCA5B2D69C}"/>
            </a:ext>
          </a:extLst>
        </xdr:cNvPr>
        <xdr:cNvPicPr>
          <a:picLocks noChangeAspect="1"/>
        </xdr:cNvPicPr>
      </xdr:nvPicPr>
      <xdr:blipFill>
        <a:blip xmlns:r="http://schemas.openxmlformats.org/officeDocument/2006/relationships" r:embed="rId43"/>
        <a:stretch>
          <a:fillRect/>
        </a:stretch>
      </xdr:blipFill>
      <xdr:spPr>
        <a:xfrm>
          <a:off x="54378226" y="8534400"/>
          <a:ext cx="4362450" cy="6849046"/>
        </a:xfrm>
        <a:prstGeom prst="rect">
          <a:avLst/>
        </a:prstGeom>
      </xdr:spPr>
    </xdr:pic>
    <xdr:clientData/>
  </xdr:twoCellAnchor>
  <xdr:twoCellAnchor editAs="oneCell">
    <xdr:from>
      <xdr:col>23</xdr:col>
      <xdr:colOff>0</xdr:colOff>
      <xdr:row>82</xdr:row>
      <xdr:rowOff>0</xdr:rowOff>
    </xdr:from>
    <xdr:to>
      <xdr:col>23</xdr:col>
      <xdr:colOff>4371975</xdr:colOff>
      <xdr:row>90</xdr:row>
      <xdr:rowOff>50660</xdr:rowOff>
    </xdr:to>
    <xdr:pic>
      <xdr:nvPicPr>
        <xdr:cNvPr id="21" name="Picture 20">
          <a:extLst>
            <a:ext uri="{FF2B5EF4-FFF2-40B4-BE49-F238E27FC236}">
              <a16:creationId xmlns:a16="http://schemas.microsoft.com/office/drawing/2014/main" id="{6EA8F6AF-1A8D-4AE0-A928-0C1F66458FC8}"/>
            </a:ext>
          </a:extLst>
        </xdr:cNvPr>
        <xdr:cNvPicPr>
          <a:picLocks noChangeAspect="1"/>
        </xdr:cNvPicPr>
      </xdr:nvPicPr>
      <xdr:blipFill>
        <a:blip xmlns:r="http://schemas.openxmlformats.org/officeDocument/2006/relationships" r:embed="rId44"/>
        <a:stretch>
          <a:fillRect/>
        </a:stretch>
      </xdr:blipFill>
      <xdr:spPr>
        <a:xfrm>
          <a:off x="54378225" y="15411450"/>
          <a:ext cx="4371975" cy="1498460"/>
        </a:xfrm>
        <a:prstGeom prst="rect">
          <a:avLst/>
        </a:prstGeom>
      </xdr:spPr>
    </xdr:pic>
    <xdr:clientData/>
  </xdr:twoCellAnchor>
  <xdr:twoCellAnchor editAs="oneCell">
    <xdr:from>
      <xdr:col>25</xdr:col>
      <xdr:colOff>0</xdr:colOff>
      <xdr:row>6</xdr:row>
      <xdr:rowOff>0</xdr:rowOff>
    </xdr:from>
    <xdr:to>
      <xdr:col>25</xdr:col>
      <xdr:colOff>4119423</xdr:colOff>
      <xdr:row>41</xdr:row>
      <xdr:rowOff>152400</xdr:rowOff>
    </xdr:to>
    <xdr:pic>
      <xdr:nvPicPr>
        <xdr:cNvPr id="23" name="Picture 22">
          <a:extLst>
            <a:ext uri="{FF2B5EF4-FFF2-40B4-BE49-F238E27FC236}">
              <a16:creationId xmlns:a16="http://schemas.microsoft.com/office/drawing/2014/main" id="{66BB2507-3687-4E67-8E45-4F3DB0FE645B}"/>
            </a:ext>
          </a:extLst>
        </xdr:cNvPr>
        <xdr:cNvPicPr>
          <a:picLocks noChangeAspect="1"/>
        </xdr:cNvPicPr>
      </xdr:nvPicPr>
      <xdr:blipFill>
        <a:blip xmlns:r="http://schemas.openxmlformats.org/officeDocument/2006/relationships" r:embed="rId45"/>
        <a:stretch>
          <a:fillRect/>
        </a:stretch>
      </xdr:blipFill>
      <xdr:spPr>
        <a:xfrm>
          <a:off x="59350275" y="1581150"/>
          <a:ext cx="4119423" cy="6562725"/>
        </a:xfrm>
        <a:prstGeom prst="rect">
          <a:avLst/>
        </a:prstGeom>
      </xdr:spPr>
    </xdr:pic>
    <xdr:clientData/>
  </xdr:twoCellAnchor>
  <xdr:twoCellAnchor editAs="oneCell">
    <xdr:from>
      <xdr:col>25</xdr:col>
      <xdr:colOff>1</xdr:colOff>
      <xdr:row>42</xdr:row>
      <xdr:rowOff>0</xdr:rowOff>
    </xdr:from>
    <xdr:to>
      <xdr:col>25</xdr:col>
      <xdr:colOff>4381501</xdr:colOff>
      <xdr:row>50</xdr:row>
      <xdr:rowOff>96499</xdr:rowOff>
    </xdr:to>
    <xdr:pic>
      <xdr:nvPicPr>
        <xdr:cNvPr id="24" name="Picture 23">
          <a:extLst>
            <a:ext uri="{FF2B5EF4-FFF2-40B4-BE49-F238E27FC236}">
              <a16:creationId xmlns:a16="http://schemas.microsoft.com/office/drawing/2014/main" id="{3DACD07F-2FD4-4EEE-BB43-1F1E2E715781}"/>
            </a:ext>
          </a:extLst>
        </xdr:cNvPr>
        <xdr:cNvPicPr>
          <a:picLocks noChangeAspect="1"/>
        </xdr:cNvPicPr>
      </xdr:nvPicPr>
      <xdr:blipFill>
        <a:blip xmlns:r="http://schemas.openxmlformats.org/officeDocument/2006/relationships" r:embed="rId46"/>
        <a:stretch>
          <a:fillRect/>
        </a:stretch>
      </xdr:blipFill>
      <xdr:spPr>
        <a:xfrm>
          <a:off x="59350276" y="8172450"/>
          <a:ext cx="4381500" cy="1544299"/>
        </a:xfrm>
        <a:prstGeom prst="rect">
          <a:avLst/>
        </a:prstGeom>
      </xdr:spPr>
    </xdr:pic>
    <xdr:clientData/>
  </xdr:twoCellAnchor>
  <xdr:twoCellAnchor editAs="oneCell">
    <xdr:from>
      <xdr:col>31</xdr:col>
      <xdr:colOff>0</xdr:colOff>
      <xdr:row>4</xdr:row>
      <xdr:rowOff>1</xdr:rowOff>
    </xdr:from>
    <xdr:to>
      <xdr:col>31</xdr:col>
      <xdr:colOff>4548032</xdr:colOff>
      <xdr:row>41</xdr:row>
      <xdr:rowOff>85726</xdr:rowOff>
    </xdr:to>
    <xdr:pic>
      <xdr:nvPicPr>
        <xdr:cNvPr id="25" name="Picture 24">
          <a:extLst>
            <a:ext uri="{FF2B5EF4-FFF2-40B4-BE49-F238E27FC236}">
              <a16:creationId xmlns:a16="http://schemas.microsoft.com/office/drawing/2014/main" id="{BFC5542A-66E0-4B79-A9DD-5ED3A5AB0A34}"/>
            </a:ext>
          </a:extLst>
        </xdr:cNvPr>
        <xdr:cNvPicPr>
          <a:picLocks noChangeAspect="1"/>
        </xdr:cNvPicPr>
      </xdr:nvPicPr>
      <xdr:blipFill>
        <a:blip xmlns:r="http://schemas.openxmlformats.org/officeDocument/2006/relationships" r:embed="rId47"/>
        <a:stretch>
          <a:fillRect/>
        </a:stretch>
      </xdr:blipFill>
      <xdr:spPr>
        <a:xfrm>
          <a:off x="74266425" y="1219201"/>
          <a:ext cx="4548032" cy="6858000"/>
        </a:xfrm>
        <a:prstGeom prst="rect">
          <a:avLst/>
        </a:prstGeom>
      </xdr:spPr>
    </xdr:pic>
    <xdr:clientData/>
  </xdr:twoCellAnchor>
  <xdr:twoCellAnchor editAs="oneCell">
    <xdr:from>
      <xdr:col>31</xdr:col>
      <xdr:colOff>0</xdr:colOff>
      <xdr:row>43</xdr:row>
      <xdr:rowOff>0</xdr:rowOff>
    </xdr:from>
    <xdr:to>
      <xdr:col>31</xdr:col>
      <xdr:colOff>4524375</xdr:colOff>
      <xdr:row>80</xdr:row>
      <xdr:rowOff>81546</xdr:rowOff>
    </xdr:to>
    <xdr:pic>
      <xdr:nvPicPr>
        <xdr:cNvPr id="26" name="Picture 25">
          <a:extLst>
            <a:ext uri="{FF2B5EF4-FFF2-40B4-BE49-F238E27FC236}">
              <a16:creationId xmlns:a16="http://schemas.microsoft.com/office/drawing/2014/main" id="{88A57543-A6C1-4AF1-AFF6-C5EDD5D97EB8}"/>
            </a:ext>
          </a:extLst>
        </xdr:cNvPr>
        <xdr:cNvPicPr>
          <a:picLocks noChangeAspect="1"/>
        </xdr:cNvPicPr>
      </xdr:nvPicPr>
      <xdr:blipFill>
        <a:blip xmlns:r="http://schemas.openxmlformats.org/officeDocument/2006/relationships" r:embed="rId48"/>
        <a:stretch>
          <a:fillRect/>
        </a:stretch>
      </xdr:blipFill>
      <xdr:spPr>
        <a:xfrm>
          <a:off x="74266425" y="8353425"/>
          <a:ext cx="4524375" cy="6777621"/>
        </a:xfrm>
        <a:prstGeom prst="rect">
          <a:avLst/>
        </a:prstGeom>
      </xdr:spPr>
    </xdr:pic>
    <xdr:clientData/>
  </xdr:twoCellAnchor>
  <xdr:twoCellAnchor editAs="oneCell">
    <xdr:from>
      <xdr:col>31</xdr:col>
      <xdr:colOff>0</xdr:colOff>
      <xdr:row>83</xdr:row>
      <xdr:rowOff>0</xdr:rowOff>
    </xdr:from>
    <xdr:to>
      <xdr:col>31</xdr:col>
      <xdr:colOff>4508910</xdr:colOff>
      <xdr:row>120</xdr:row>
      <xdr:rowOff>76200</xdr:rowOff>
    </xdr:to>
    <xdr:pic>
      <xdr:nvPicPr>
        <xdr:cNvPr id="27" name="Picture 26">
          <a:extLst>
            <a:ext uri="{FF2B5EF4-FFF2-40B4-BE49-F238E27FC236}">
              <a16:creationId xmlns:a16="http://schemas.microsoft.com/office/drawing/2014/main" id="{DCF8EAEE-6BC0-41EF-9E48-73B21A1C8AE8}"/>
            </a:ext>
          </a:extLst>
        </xdr:cNvPr>
        <xdr:cNvPicPr>
          <a:picLocks noChangeAspect="1"/>
        </xdr:cNvPicPr>
      </xdr:nvPicPr>
      <xdr:blipFill>
        <a:blip xmlns:r="http://schemas.openxmlformats.org/officeDocument/2006/relationships" r:embed="rId49"/>
        <a:stretch>
          <a:fillRect/>
        </a:stretch>
      </xdr:blipFill>
      <xdr:spPr>
        <a:xfrm>
          <a:off x="74266425" y="15592425"/>
          <a:ext cx="4508910" cy="6772275"/>
        </a:xfrm>
        <a:prstGeom prst="rect">
          <a:avLst/>
        </a:prstGeom>
      </xdr:spPr>
    </xdr:pic>
    <xdr:clientData/>
  </xdr:twoCellAnchor>
  <xdr:twoCellAnchor editAs="oneCell">
    <xdr:from>
      <xdr:col>31</xdr:col>
      <xdr:colOff>0</xdr:colOff>
      <xdr:row>121</xdr:row>
      <xdr:rowOff>0</xdr:rowOff>
    </xdr:from>
    <xdr:to>
      <xdr:col>31</xdr:col>
      <xdr:colOff>4513064</xdr:colOff>
      <xdr:row>159</xdr:row>
      <xdr:rowOff>0</xdr:rowOff>
    </xdr:to>
    <xdr:pic>
      <xdr:nvPicPr>
        <xdr:cNvPr id="28" name="Picture 27">
          <a:extLst>
            <a:ext uri="{FF2B5EF4-FFF2-40B4-BE49-F238E27FC236}">
              <a16:creationId xmlns:a16="http://schemas.microsoft.com/office/drawing/2014/main" id="{9C8D4919-05AE-4B0E-A821-3C3F8AB3B44C}"/>
            </a:ext>
          </a:extLst>
        </xdr:cNvPr>
        <xdr:cNvPicPr>
          <a:picLocks noChangeAspect="1"/>
        </xdr:cNvPicPr>
      </xdr:nvPicPr>
      <xdr:blipFill>
        <a:blip xmlns:r="http://schemas.openxmlformats.org/officeDocument/2006/relationships" r:embed="rId50"/>
        <a:stretch>
          <a:fillRect/>
        </a:stretch>
      </xdr:blipFill>
      <xdr:spPr>
        <a:xfrm>
          <a:off x="74266425" y="22469475"/>
          <a:ext cx="4513064" cy="6877050"/>
        </a:xfrm>
        <a:prstGeom prst="rect">
          <a:avLst/>
        </a:prstGeom>
      </xdr:spPr>
    </xdr:pic>
    <xdr:clientData/>
  </xdr:twoCellAnchor>
  <xdr:twoCellAnchor editAs="oneCell">
    <xdr:from>
      <xdr:col>31</xdr:col>
      <xdr:colOff>0</xdr:colOff>
      <xdr:row>159</xdr:row>
      <xdr:rowOff>0</xdr:rowOff>
    </xdr:from>
    <xdr:to>
      <xdr:col>31</xdr:col>
      <xdr:colOff>4586801</xdr:colOff>
      <xdr:row>194</xdr:row>
      <xdr:rowOff>133350</xdr:rowOff>
    </xdr:to>
    <xdr:pic>
      <xdr:nvPicPr>
        <xdr:cNvPr id="29" name="Picture 28">
          <a:extLst>
            <a:ext uri="{FF2B5EF4-FFF2-40B4-BE49-F238E27FC236}">
              <a16:creationId xmlns:a16="http://schemas.microsoft.com/office/drawing/2014/main" id="{B314A186-2C6C-40A4-90B6-E7B61A1CD854}"/>
            </a:ext>
          </a:extLst>
        </xdr:cNvPr>
        <xdr:cNvPicPr>
          <a:picLocks noChangeAspect="1"/>
        </xdr:cNvPicPr>
      </xdr:nvPicPr>
      <xdr:blipFill>
        <a:blip xmlns:r="http://schemas.openxmlformats.org/officeDocument/2006/relationships" r:embed="rId51"/>
        <a:stretch>
          <a:fillRect/>
        </a:stretch>
      </xdr:blipFill>
      <xdr:spPr>
        <a:xfrm>
          <a:off x="74266425" y="29346525"/>
          <a:ext cx="4586801" cy="6467475"/>
        </a:xfrm>
        <a:prstGeom prst="rect">
          <a:avLst/>
        </a:prstGeom>
      </xdr:spPr>
    </xdr:pic>
    <xdr:clientData/>
  </xdr:twoCellAnchor>
  <xdr:twoCellAnchor editAs="oneCell">
    <xdr:from>
      <xdr:col>33</xdr:col>
      <xdr:colOff>0</xdr:colOff>
      <xdr:row>4</xdr:row>
      <xdr:rowOff>0</xdr:rowOff>
    </xdr:from>
    <xdr:to>
      <xdr:col>33</xdr:col>
      <xdr:colOff>4467225</xdr:colOff>
      <xdr:row>40</xdr:row>
      <xdr:rowOff>100778</xdr:rowOff>
    </xdr:to>
    <xdr:pic>
      <xdr:nvPicPr>
        <xdr:cNvPr id="30" name="Picture 29">
          <a:extLst>
            <a:ext uri="{FF2B5EF4-FFF2-40B4-BE49-F238E27FC236}">
              <a16:creationId xmlns:a16="http://schemas.microsoft.com/office/drawing/2014/main" id="{3AFEB938-19E9-41F3-B104-E7130AE16BA6}"/>
            </a:ext>
          </a:extLst>
        </xdr:cNvPr>
        <xdr:cNvPicPr>
          <a:picLocks noChangeAspect="1"/>
        </xdr:cNvPicPr>
      </xdr:nvPicPr>
      <xdr:blipFill>
        <a:blip xmlns:r="http://schemas.openxmlformats.org/officeDocument/2006/relationships" r:embed="rId52"/>
        <a:stretch>
          <a:fillRect/>
        </a:stretch>
      </xdr:blipFill>
      <xdr:spPr>
        <a:xfrm>
          <a:off x="79552800" y="1219200"/>
          <a:ext cx="4467225" cy="6692078"/>
        </a:xfrm>
        <a:prstGeom prst="rect">
          <a:avLst/>
        </a:prstGeom>
      </xdr:spPr>
    </xdr:pic>
    <xdr:clientData/>
  </xdr:twoCellAnchor>
  <xdr:twoCellAnchor editAs="oneCell">
    <xdr:from>
      <xdr:col>33</xdr:col>
      <xdr:colOff>0</xdr:colOff>
      <xdr:row>41</xdr:row>
      <xdr:rowOff>1</xdr:rowOff>
    </xdr:from>
    <xdr:to>
      <xdr:col>33</xdr:col>
      <xdr:colOff>4473329</xdr:colOff>
      <xdr:row>78</xdr:row>
      <xdr:rowOff>9526</xdr:rowOff>
    </xdr:to>
    <xdr:pic>
      <xdr:nvPicPr>
        <xdr:cNvPr id="31" name="Picture 30">
          <a:extLst>
            <a:ext uri="{FF2B5EF4-FFF2-40B4-BE49-F238E27FC236}">
              <a16:creationId xmlns:a16="http://schemas.microsoft.com/office/drawing/2014/main" id="{C67C412C-2F36-45A1-AF53-F2723DFCAE95}"/>
            </a:ext>
          </a:extLst>
        </xdr:cNvPr>
        <xdr:cNvPicPr>
          <a:picLocks noChangeAspect="1"/>
        </xdr:cNvPicPr>
      </xdr:nvPicPr>
      <xdr:blipFill>
        <a:blip xmlns:r="http://schemas.openxmlformats.org/officeDocument/2006/relationships" r:embed="rId53"/>
        <a:stretch>
          <a:fillRect/>
        </a:stretch>
      </xdr:blipFill>
      <xdr:spPr>
        <a:xfrm>
          <a:off x="79552800" y="7991476"/>
          <a:ext cx="4473329" cy="6705600"/>
        </a:xfrm>
        <a:prstGeom prst="rect">
          <a:avLst/>
        </a:prstGeom>
      </xdr:spPr>
    </xdr:pic>
    <xdr:clientData/>
  </xdr:twoCellAnchor>
  <xdr:twoCellAnchor editAs="oneCell">
    <xdr:from>
      <xdr:col>27</xdr:col>
      <xdr:colOff>0</xdr:colOff>
      <xdr:row>4</xdr:row>
      <xdr:rowOff>0</xdr:rowOff>
    </xdr:from>
    <xdr:to>
      <xdr:col>27</xdr:col>
      <xdr:colOff>4591470</xdr:colOff>
      <xdr:row>42</xdr:row>
      <xdr:rowOff>152400</xdr:rowOff>
    </xdr:to>
    <xdr:pic>
      <xdr:nvPicPr>
        <xdr:cNvPr id="43" name="Picture 42">
          <a:extLst>
            <a:ext uri="{FF2B5EF4-FFF2-40B4-BE49-F238E27FC236}">
              <a16:creationId xmlns:a16="http://schemas.microsoft.com/office/drawing/2014/main" id="{FE8B8053-5724-42F8-A286-199471E5475C}"/>
            </a:ext>
          </a:extLst>
        </xdr:cNvPr>
        <xdr:cNvPicPr>
          <a:picLocks noChangeAspect="1"/>
        </xdr:cNvPicPr>
      </xdr:nvPicPr>
      <xdr:blipFill>
        <a:blip xmlns:r="http://schemas.openxmlformats.org/officeDocument/2006/relationships" r:embed="rId54"/>
        <a:stretch>
          <a:fillRect/>
        </a:stretch>
      </xdr:blipFill>
      <xdr:spPr>
        <a:xfrm>
          <a:off x="64322325" y="1219200"/>
          <a:ext cx="4591470" cy="7105650"/>
        </a:xfrm>
        <a:prstGeom prst="rect">
          <a:avLst/>
        </a:prstGeom>
      </xdr:spPr>
    </xdr:pic>
    <xdr:clientData/>
  </xdr:twoCellAnchor>
  <xdr:twoCellAnchor editAs="oneCell">
    <xdr:from>
      <xdr:col>27</xdr:col>
      <xdr:colOff>0</xdr:colOff>
      <xdr:row>43</xdr:row>
      <xdr:rowOff>0</xdr:rowOff>
    </xdr:from>
    <xdr:to>
      <xdr:col>27</xdr:col>
      <xdr:colOff>4593981</xdr:colOff>
      <xdr:row>81</xdr:row>
      <xdr:rowOff>38100</xdr:rowOff>
    </xdr:to>
    <xdr:pic>
      <xdr:nvPicPr>
        <xdr:cNvPr id="44" name="Picture 43">
          <a:extLst>
            <a:ext uri="{FF2B5EF4-FFF2-40B4-BE49-F238E27FC236}">
              <a16:creationId xmlns:a16="http://schemas.microsoft.com/office/drawing/2014/main" id="{65E6FEFC-7AB0-422E-87BC-6C80EF4C0A24}"/>
            </a:ext>
          </a:extLst>
        </xdr:cNvPr>
        <xdr:cNvPicPr>
          <a:picLocks noChangeAspect="1"/>
        </xdr:cNvPicPr>
      </xdr:nvPicPr>
      <xdr:blipFill>
        <a:blip xmlns:r="http://schemas.openxmlformats.org/officeDocument/2006/relationships" r:embed="rId55"/>
        <a:stretch>
          <a:fillRect/>
        </a:stretch>
      </xdr:blipFill>
      <xdr:spPr>
        <a:xfrm>
          <a:off x="64322325" y="8353425"/>
          <a:ext cx="4593981" cy="6915150"/>
        </a:xfrm>
        <a:prstGeom prst="rect">
          <a:avLst/>
        </a:prstGeom>
      </xdr:spPr>
    </xdr:pic>
    <xdr:clientData/>
  </xdr:twoCellAnchor>
  <xdr:twoCellAnchor editAs="oneCell">
    <xdr:from>
      <xdr:col>27</xdr:col>
      <xdr:colOff>1</xdr:colOff>
      <xdr:row>81</xdr:row>
      <xdr:rowOff>0</xdr:rowOff>
    </xdr:from>
    <xdr:to>
      <xdr:col>27</xdr:col>
      <xdr:colOff>4451227</xdr:colOff>
      <xdr:row>119</xdr:row>
      <xdr:rowOff>123825</xdr:rowOff>
    </xdr:to>
    <xdr:pic>
      <xdr:nvPicPr>
        <xdr:cNvPr id="45" name="Picture 44">
          <a:extLst>
            <a:ext uri="{FF2B5EF4-FFF2-40B4-BE49-F238E27FC236}">
              <a16:creationId xmlns:a16="http://schemas.microsoft.com/office/drawing/2014/main" id="{993646E6-61F2-4174-B04A-1E62DBB22914}"/>
            </a:ext>
          </a:extLst>
        </xdr:cNvPr>
        <xdr:cNvPicPr>
          <a:picLocks noChangeAspect="1"/>
        </xdr:cNvPicPr>
      </xdr:nvPicPr>
      <xdr:blipFill>
        <a:blip xmlns:r="http://schemas.openxmlformats.org/officeDocument/2006/relationships" r:embed="rId56"/>
        <a:stretch>
          <a:fillRect/>
        </a:stretch>
      </xdr:blipFill>
      <xdr:spPr>
        <a:xfrm>
          <a:off x="64322326" y="15230475"/>
          <a:ext cx="4451226" cy="7000875"/>
        </a:xfrm>
        <a:prstGeom prst="rect">
          <a:avLst/>
        </a:prstGeom>
      </xdr:spPr>
    </xdr:pic>
    <xdr:clientData/>
  </xdr:twoCellAnchor>
  <xdr:twoCellAnchor editAs="oneCell">
    <xdr:from>
      <xdr:col>27</xdr:col>
      <xdr:colOff>1</xdr:colOff>
      <xdr:row>120</xdr:row>
      <xdr:rowOff>0</xdr:rowOff>
    </xdr:from>
    <xdr:to>
      <xdr:col>27</xdr:col>
      <xdr:colOff>4533901</xdr:colOff>
      <xdr:row>137</xdr:row>
      <xdr:rowOff>124341</xdr:rowOff>
    </xdr:to>
    <xdr:pic>
      <xdr:nvPicPr>
        <xdr:cNvPr id="46" name="Picture 45">
          <a:extLst>
            <a:ext uri="{FF2B5EF4-FFF2-40B4-BE49-F238E27FC236}">
              <a16:creationId xmlns:a16="http://schemas.microsoft.com/office/drawing/2014/main" id="{E58FE897-D81C-42AC-B948-45590512F1C3}"/>
            </a:ext>
          </a:extLst>
        </xdr:cNvPr>
        <xdr:cNvPicPr>
          <a:picLocks noChangeAspect="1"/>
        </xdr:cNvPicPr>
      </xdr:nvPicPr>
      <xdr:blipFill>
        <a:blip xmlns:r="http://schemas.openxmlformats.org/officeDocument/2006/relationships" r:embed="rId57"/>
        <a:stretch>
          <a:fillRect/>
        </a:stretch>
      </xdr:blipFill>
      <xdr:spPr>
        <a:xfrm>
          <a:off x="64322326" y="22288500"/>
          <a:ext cx="4533900" cy="3200916"/>
        </a:xfrm>
        <a:prstGeom prst="rect">
          <a:avLst/>
        </a:prstGeom>
      </xdr:spPr>
    </xdr:pic>
    <xdr:clientData/>
  </xdr:twoCellAnchor>
  <xdr:twoCellAnchor editAs="oneCell">
    <xdr:from>
      <xdr:col>27</xdr:col>
      <xdr:colOff>0</xdr:colOff>
      <xdr:row>138</xdr:row>
      <xdr:rowOff>0</xdr:rowOff>
    </xdr:from>
    <xdr:to>
      <xdr:col>27</xdr:col>
      <xdr:colOff>4561447</xdr:colOff>
      <xdr:row>175</xdr:row>
      <xdr:rowOff>0</xdr:rowOff>
    </xdr:to>
    <xdr:pic>
      <xdr:nvPicPr>
        <xdr:cNvPr id="47" name="Picture 46">
          <a:extLst>
            <a:ext uri="{FF2B5EF4-FFF2-40B4-BE49-F238E27FC236}">
              <a16:creationId xmlns:a16="http://schemas.microsoft.com/office/drawing/2014/main" id="{A943573C-220D-4EB8-B373-322DC4138F0B}"/>
            </a:ext>
          </a:extLst>
        </xdr:cNvPr>
        <xdr:cNvPicPr>
          <a:picLocks noChangeAspect="1"/>
        </xdr:cNvPicPr>
      </xdr:nvPicPr>
      <xdr:blipFill>
        <a:blip xmlns:r="http://schemas.openxmlformats.org/officeDocument/2006/relationships" r:embed="rId58"/>
        <a:stretch>
          <a:fillRect/>
        </a:stretch>
      </xdr:blipFill>
      <xdr:spPr>
        <a:xfrm>
          <a:off x="64322325" y="25546050"/>
          <a:ext cx="4561447" cy="6696075"/>
        </a:xfrm>
        <a:prstGeom prst="rect">
          <a:avLst/>
        </a:prstGeom>
      </xdr:spPr>
    </xdr:pic>
    <xdr:clientData/>
  </xdr:twoCellAnchor>
  <xdr:twoCellAnchor editAs="oneCell">
    <xdr:from>
      <xdr:col>27</xdr:col>
      <xdr:colOff>1</xdr:colOff>
      <xdr:row>175</xdr:row>
      <xdr:rowOff>0</xdr:rowOff>
    </xdr:from>
    <xdr:to>
      <xdr:col>27</xdr:col>
      <xdr:colOff>4476751</xdr:colOff>
      <xdr:row>212</xdr:row>
      <xdr:rowOff>127225</xdr:rowOff>
    </xdr:to>
    <xdr:pic>
      <xdr:nvPicPr>
        <xdr:cNvPr id="48" name="Picture 47">
          <a:extLst>
            <a:ext uri="{FF2B5EF4-FFF2-40B4-BE49-F238E27FC236}">
              <a16:creationId xmlns:a16="http://schemas.microsoft.com/office/drawing/2014/main" id="{2ED3E4E3-1267-46D6-AF46-662D88B98465}"/>
            </a:ext>
          </a:extLst>
        </xdr:cNvPr>
        <xdr:cNvPicPr>
          <a:picLocks noChangeAspect="1"/>
        </xdr:cNvPicPr>
      </xdr:nvPicPr>
      <xdr:blipFill>
        <a:blip xmlns:r="http://schemas.openxmlformats.org/officeDocument/2006/relationships" r:embed="rId59"/>
        <a:stretch>
          <a:fillRect/>
        </a:stretch>
      </xdr:blipFill>
      <xdr:spPr>
        <a:xfrm>
          <a:off x="64322326" y="32242125"/>
          <a:ext cx="4476750" cy="6823300"/>
        </a:xfrm>
        <a:prstGeom prst="rect">
          <a:avLst/>
        </a:prstGeom>
      </xdr:spPr>
    </xdr:pic>
    <xdr:clientData/>
  </xdr:twoCellAnchor>
  <xdr:twoCellAnchor editAs="oneCell">
    <xdr:from>
      <xdr:col>27</xdr:col>
      <xdr:colOff>0</xdr:colOff>
      <xdr:row>213</xdr:row>
      <xdr:rowOff>0</xdr:rowOff>
    </xdr:from>
    <xdr:to>
      <xdr:col>27</xdr:col>
      <xdr:colOff>4472919</xdr:colOff>
      <xdr:row>252</xdr:row>
      <xdr:rowOff>19050</xdr:rowOff>
    </xdr:to>
    <xdr:pic>
      <xdr:nvPicPr>
        <xdr:cNvPr id="49" name="Picture 48">
          <a:extLst>
            <a:ext uri="{FF2B5EF4-FFF2-40B4-BE49-F238E27FC236}">
              <a16:creationId xmlns:a16="http://schemas.microsoft.com/office/drawing/2014/main" id="{611F271A-F3BF-44E4-91D9-31B75933A74F}"/>
            </a:ext>
          </a:extLst>
        </xdr:cNvPr>
        <xdr:cNvPicPr>
          <a:picLocks noChangeAspect="1"/>
        </xdr:cNvPicPr>
      </xdr:nvPicPr>
      <xdr:blipFill>
        <a:blip xmlns:r="http://schemas.openxmlformats.org/officeDocument/2006/relationships" r:embed="rId60"/>
        <a:stretch>
          <a:fillRect/>
        </a:stretch>
      </xdr:blipFill>
      <xdr:spPr>
        <a:xfrm>
          <a:off x="64322325" y="39119175"/>
          <a:ext cx="4472919" cy="7077075"/>
        </a:xfrm>
        <a:prstGeom prst="rect">
          <a:avLst/>
        </a:prstGeom>
      </xdr:spPr>
    </xdr:pic>
    <xdr:clientData/>
  </xdr:twoCellAnchor>
  <xdr:twoCellAnchor editAs="oneCell">
    <xdr:from>
      <xdr:col>27</xdr:col>
      <xdr:colOff>0</xdr:colOff>
      <xdr:row>253</xdr:row>
      <xdr:rowOff>0</xdr:rowOff>
    </xdr:from>
    <xdr:to>
      <xdr:col>27</xdr:col>
      <xdr:colOff>4524375</xdr:colOff>
      <xdr:row>269</xdr:row>
      <xdr:rowOff>140273</xdr:rowOff>
    </xdr:to>
    <xdr:pic>
      <xdr:nvPicPr>
        <xdr:cNvPr id="50" name="Picture 49">
          <a:extLst>
            <a:ext uri="{FF2B5EF4-FFF2-40B4-BE49-F238E27FC236}">
              <a16:creationId xmlns:a16="http://schemas.microsoft.com/office/drawing/2014/main" id="{31F40AD5-68DD-4ECC-A828-76DFC04D025E}"/>
            </a:ext>
          </a:extLst>
        </xdr:cNvPr>
        <xdr:cNvPicPr>
          <a:picLocks noChangeAspect="1"/>
        </xdr:cNvPicPr>
      </xdr:nvPicPr>
      <xdr:blipFill>
        <a:blip xmlns:r="http://schemas.openxmlformats.org/officeDocument/2006/relationships" r:embed="rId61"/>
        <a:stretch>
          <a:fillRect/>
        </a:stretch>
      </xdr:blipFill>
      <xdr:spPr>
        <a:xfrm>
          <a:off x="64322325" y="46358175"/>
          <a:ext cx="4524375" cy="3035873"/>
        </a:xfrm>
        <a:prstGeom prst="rect">
          <a:avLst/>
        </a:prstGeom>
      </xdr:spPr>
    </xdr:pic>
    <xdr:clientData/>
  </xdr:twoCellAnchor>
  <xdr:twoCellAnchor editAs="oneCell">
    <xdr:from>
      <xdr:col>35</xdr:col>
      <xdr:colOff>0</xdr:colOff>
      <xdr:row>4</xdr:row>
      <xdr:rowOff>1</xdr:rowOff>
    </xdr:from>
    <xdr:to>
      <xdr:col>35</xdr:col>
      <xdr:colOff>4391025</xdr:colOff>
      <xdr:row>40</xdr:row>
      <xdr:rowOff>29677</xdr:rowOff>
    </xdr:to>
    <xdr:pic>
      <xdr:nvPicPr>
        <xdr:cNvPr id="22" name="Picture 21">
          <a:extLst>
            <a:ext uri="{FF2B5EF4-FFF2-40B4-BE49-F238E27FC236}">
              <a16:creationId xmlns:a16="http://schemas.microsoft.com/office/drawing/2014/main" id="{1D4DA7EE-1973-4756-B774-A8CBA902E9FD}"/>
            </a:ext>
          </a:extLst>
        </xdr:cNvPr>
        <xdr:cNvPicPr>
          <a:picLocks noChangeAspect="1"/>
        </xdr:cNvPicPr>
      </xdr:nvPicPr>
      <xdr:blipFill>
        <a:blip xmlns:r="http://schemas.openxmlformats.org/officeDocument/2006/relationships" r:embed="rId62"/>
        <a:stretch>
          <a:fillRect/>
        </a:stretch>
      </xdr:blipFill>
      <xdr:spPr>
        <a:xfrm>
          <a:off x="84839175" y="1219201"/>
          <a:ext cx="4391025" cy="6620976"/>
        </a:xfrm>
        <a:prstGeom prst="rect">
          <a:avLst/>
        </a:prstGeom>
      </xdr:spPr>
    </xdr:pic>
    <xdr:clientData/>
  </xdr:twoCellAnchor>
  <xdr:twoCellAnchor editAs="oneCell">
    <xdr:from>
      <xdr:col>35</xdr:col>
      <xdr:colOff>28575</xdr:colOff>
      <xdr:row>39</xdr:row>
      <xdr:rowOff>171450</xdr:rowOff>
    </xdr:from>
    <xdr:to>
      <xdr:col>35</xdr:col>
      <xdr:colOff>4439560</xdr:colOff>
      <xdr:row>76</xdr:row>
      <xdr:rowOff>19050</xdr:rowOff>
    </xdr:to>
    <xdr:pic>
      <xdr:nvPicPr>
        <xdr:cNvPr id="51" name="Picture 50">
          <a:extLst>
            <a:ext uri="{FF2B5EF4-FFF2-40B4-BE49-F238E27FC236}">
              <a16:creationId xmlns:a16="http://schemas.microsoft.com/office/drawing/2014/main" id="{7EA12ACA-838F-4C45-8238-AEBBB4F66643}"/>
            </a:ext>
          </a:extLst>
        </xdr:cNvPr>
        <xdr:cNvPicPr>
          <a:picLocks noChangeAspect="1"/>
        </xdr:cNvPicPr>
      </xdr:nvPicPr>
      <xdr:blipFill>
        <a:blip xmlns:r="http://schemas.openxmlformats.org/officeDocument/2006/relationships" r:embed="rId63"/>
        <a:stretch>
          <a:fillRect/>
        </a:stretch>
      </xdr:blipFill>
      <xdr:spPr>
        <a:xfrm>
          <a:off x="84867750" y="7800975"/>
          <a:ext cx="4410985" cy="6543675"/>
        </a:xfrm>
        <a:prstGeom prst="rect">
          <a:avLst/>
        </a:prstGeom>
      </xdr:spPr>
    </xdr:pic>
    <xdr:clientData/>
  </xdr:twoCellAnchor>
  <xdr:twoCellAnchor editAs="oneCell">
    <xdr:from>
      <xdr:col>37</xdr:col>
      <xdr:colOff>0</xdr:colOff>
      <xdr:row>4</xdr:row>
      <xdr:rowOff>1</xdr:rowOff>
    </xdr:from>
    <xdr:to>
      <xdr:col>37</xdr:col>
      <xdr:colOff>4495173</xdr:colOff>
      <xdr:row>33</xdr:row>
      <xdr:rowOff>47626</xdr:rowOff>
    </xdr:to>
    <xdr:pic>
      <xdr:nvPicPr>
        <xdr:cNvPr id="52" name="Picture 51">
          <a:extLst>
            <a:ext uri="{FF2B5EF4-FFF2-40B4-BE49-F238E27FC236}">
              <a16:creationId xmlns:a16="http://schemas.microsoft.com/office/drawing/2014/main" id="{69F0CAC0-7459-4973-8649-11F5C4E855D5}"/>
            </a:ext>
          </a:extLst>
        </xdr:cNvPr>
        <xdr:cNvPicPr>
          <a:picLocks noChangeAspect="1"/>
        </xdr:cNvPicPr>
      </xdr:nvPicPr>
      <xdr:blipFill>
        <a:blip xmlns:r="http://schemas.openxmlformats.org/officeDocument/2006/relationships" r:embed="rId64"/>
        <a:stretch>
          <a:fillRect/>
        </a:stretch>
      </xdr:blipFill>
      <xdr:spPr>
        <a:xfrm>
          <a:off x="90125550" y="1219201"/>
          <a:ext cx="4495173" cy="5372100"/>
        </a:xfrm>
        <a:prstGeom prst="rect">
          <a:avLst/>
        </a:prstGeom>
      </xdr:spPr>
    </xdr:pic>
    <xdr:clientData/>
  </xdr:twoCellAnchor>
  <xdr:twoCellAnchor editAs="oneCell">
    <xdr:from>
      <xdr:col>37</xdr:col>
      <xdr:colOff>0</xdr:colOff>
      <xdr:row>34</xdr:row>
      <xdr:rowOff>0</xdr:rowOff>
    </xdr:from>
    <xdr:to>
      <xdr:col>37</xdr:col>
      <xdr:colOff>4600000</xdr:colOff>
      <xdr:row>75</xdr:row>
      <xdr:rowOff>56215</xdr:rowOff>
    </xdr:to>
    <xdr:pic>
      <xdr:nvPicPr>
        <xdr:cNvPr id="53" name="Picture 52">
          <a:extLst>
            <a:ext uri="{FF2B5EF4-FFF2-40B4-BE49-F238E27FC236}">
              <a16:creationId xmlns:a16="http://schemas.microsoft.com/office/drawing/2014/main" id="{4F5662F7-EDC5-4BC0-B22D-A317AD3827B8}"/>
            </a:ext>
          </a:extLst>
        </xdr:cNvPr>
        <xdr:cNvPicPr>
          <a:picLocks noChangeAspect="1"/>
        </xdr:cNvPicPr>
      </xdr:nvPicPr>
      <xdr:blipFill>
        <a:blip xmlns:r="http://schemas.openxmlformats.org/officeDocument/2006/relationships" r:embed="rId65"/>
        <a:stretch>
          <a:fillRect/>
        </a:stretch>
      </xdr:blipFill>
      <xdr:spPr>
        <a:xfrm>
          <a:off x="90125550" y="6724650"/>
          <a:ext cx="4600000" cy="7476190"/>
        </a:xfrm>
        <a:prstGeom prst="rect">
          <a:avLst/>
        </a:prstGeom>
      </xdr:spPr>
    </xdr:pic>
    <xdr:clientData/>
  </xdr:twoCellAnchor>
  <xdr:twoCellAnchor editAs="oneCell">
    <xdr:from>
      <xdr:col>37</xdr:col>
      <xdr:colOff>0</xdr:colOff>
      <xdr:row>76</xdr:row>
      <xdr:rowOff>0</xdr:rowOff>
    </xdr:from>
    <xdr:to>
      <xdr:col>37</xdr:col>
      <xdr:colOff>4600575</xdr:colOff>
      <xdr:row>83</xdr:row>
      <xdr:rowOff>46276</xdr:rowOff>
    </xdr:to>
    <xdr:pic>
      <xdr:nvPicPr>
        <xdr:cNvPr id="54" name="Picture 53">
          <a:extLst>
            <a:ext uri="{FF2B5EF4-FFF2-40B4-BE49-F238E27FC236}">
              <a16:creationId xmlns:a16="http://schemas.microsoft.com/office/drawing/2014/main" id="{716B8D30-7596-4BEF-ACC5-4B57909734AC}"/>
            </a:ext>
          </a:extLst>
        </xdr:cNvPr>
        <xdr:cNvPicPr>
          <a:picLocks noChangeAspect="1"/>
        </xdr:cNvPicPr>
      </xdr:nvPicPr>
      <xdr:blipFill>
        <a:blip xmlns:r="http://schemas.openxmlformats.org/officeDocument/2006/relationships" r:embed="rId66"/>
        <a:stretch>
          <a:fillRect/>
        </a:stretch>
      </xdr:blipFill>
      <xdr:spPr>
        <a:xfrm>
          <a:off x="90125550" y="14325600"/>
          <a:ext cx="4600575" cy="1313101"/>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J66"/>
  <sheetViews>
    <sheetView showGridLines="0" tabSelected="1" zoomScaleNormal="100" workbookViewId="0">
      <selection activeCell="C13" sqref="C13"/>
    </sheetView>
  </sheetViews>
  <sheetFormatPr defaultColWidth="0" defaultRowHeight="14.25" zeroHeight="1"/>
  <cols>
    <col min="1" max="1" width="35.125" style="1" customWidth="1"/>
    <col min="2" max="2" width="35.625" style="1" customWidth="1"/>
    <col min="3" max="3" width="57.75" style="1" customWidth="1"/>
    <col min="4" max="4" width="8.75" style="1" hidden="1" customWidth="1"/>
    <col min="5" max="5" width="17.75" style="1" hidden="1" customWidth="1"/>
    <col min="6" max="6" width="11.375" style="1" hidden="1" customWidth="1"/>
    <col min="7" max="7" width="9.375" style="1" hidden="1" customWidth="1"/>
    <col min="8" max="9" width="8.75" style="1" hidden="1" customWidth="1"/>
    <col min="10" max="10" width="17.25" style="1" hidden="1" customWidth="1"/>
    <col min="11" max="16384" width="8.75" style="1" hidden="1"/>
  </cols>
  <sheetData>
    <row r="1" spans="1:7">
      <c r="A1" s="141"/>
      <c r="B1" s="346" t="s">
        <v>274</v>
      </c>
      <c r="C1" s="346"/>
      <c r="D1" s="141"/>
      <c r="E1" s="141"/>
      <c r="F1" s="141"/>
      <c r="G1" s="141"/>
    </row>
    <row r="2" spans="1:7">
      <c r="A2" s="141"/>
      <c r="B2" s="346"/>
      <c r="C2" s="346"/>
      <c r="D2" s="141"/>
      <c r="E2" s="141"/>
      <c r="F2" s="141"/>
      <c r="G2" s="141"/>
    </row>
    <row r="3" spans="1:7">
      <c r="A3" s="141"/>
      <c r="B3" s="346"/>
      <c r="C3" s="346"/>
      <c r="D3" s="141"/>
      <c r="E3" s="141"/>
      <c r="F3" s="141"/>
      <c r="G3" s="141"/>
    </row>
    <row r="4" spans="1:7">
      <c r="A4" s="141"/>
      <c r="B4" s="346"/>
      <c r="C4" s="346"/>
      <c r="D4" s="141"/>
      <c r="E4" s="141"/>
      <c r="F4" s="141"/>
      <c r="G4" s="141"/>
    </row>
    <row r="5" spans="1:7">
      <c r="A5" s="141"/>
      <c r="B5" s="346"/>
      <c r="C5" s="346"/>
      <c r="D5" s="141"/>
      <c r="E5" s="141"/>
      <c r="F5" s="141"/>
      <c r="G5" s="141"/>
    </row>
    <row r="6" spans="1:7">
      <c r="A6" s="345"/>
      <c r="B6" s="345"/>
      <c r="C6" s="345"/>
      <c r="D6" s="141"/>
      <c r="E6" s="141"/>
      <c r="F6" s="141"/>
      <c r="G6" s="141"/>
    </row>
    <row r="7" spans="1:7" ht="42.6" customHeight="1">
      <c r="A7" s="350" t="s">
        <v>253</v>
      </c>
      <c r="B7" s="350"/>
      <c r="C7" s="350"/>
    </row>
    <row r="8" spans="1:7">
      <c r="A8" s="111"/>
      <c r="B8" s="111"/>
      <c r="C8" s="111"/>
    </row>
    <row r="9" spans="1:7" ht="20.25">
      <c r="A9" s="140" t="s">
        <v>273</v>
      </c>
      <c r="B9" s="138"/>
      <c r="C9" s="5"/>
    </row>
    <row r="10" spans="1:7">
      <c r="A10" s="347" t="s">
        <v>275</v>
      </c>
      <c r="B10" s="347"/>
      <c r="C10" s="6"/>
    </row>
    <row r="11" spans="1:7">
      <c r="A11" s="351" t="s">
        <v>0</v>
      </c>
      <c r="B11" s="351"/>
      <c r="C11" s="6"/>
    </row>
    <row r="12" spans="1:7" ht="15">
      <c r="A12" s="4"/>
      <c r="B12" s="4"/>
      <c r="C12" s="4"/>
    </row>
    <row r="13" spans="1:7" ht="20.25">
      <c r="A13" s="142" t="s">
        <v>1</v>
      </c>
      <c r="B13" s="139"/>
      <c r="C13" s="4"/>
    </row>
    <row r="14" spans="1:7" s="133" customFormat="1" ht="18" hidden="1">
      <c r="A14" s="145" t="s">
        <v>2</v>
      </c>
      <c r="B14" s="131"/>
      <c r="C14" s="132"/>
    </row>
    <row r="15" spans="1:7" hidden="1">
      <c r="A15" s="352" t="s">
        <v>276</v>
      </c>
      <c r="B15" s="352"/>
      <c r="C15" s="352"/>
    </row>
    <row r="17" spans="1:3" s="133" customFormat="1" ht="18">
      <c r="A17" s="145" t="s">
        <v>226</v>
      </c>
      <c r="B17" s="131"/>
      <c r="C17" s="132"/>
    </row>
    <row r="18" spans="1:3">
      <c r="A18" s="352" t="s">
        <v>227</v>
      </c>
      <c r="B18" s="352"/>
      <c r="C18" s="352"/>
    </row>
    <row r="19" spans="1:3">
      <c r="A19" s="112"/>
      <c r="B19" s="112"/>
      <c r="C19" s="112"/>
    </row>
    <row r="20" spans="1:3" s="133" customFormat="1" ht="18">
      <c r="A20" s="145" t="s">
        <v>3</v>
      </c>
      <c r="B20" s="131"/>
      <c r="C20" s="132"/>
    </row>
    <row r="21" spans="1:3">
      <c r="A21" s="352" t="s">
        <v>4</v>
      </c>
      <c r="B21" s="352"/>
      <c r="C21" s="352"/>
    </row>
    <row r="22" spans="1:3">
      <c r="A22" s="112"/>
      <c r="B22" s="274"/>
      <c r="C22" s="112"/>
    </row>
    <row r="23" spans="1:3" ht="15" hidden="1">
      <c r="A23" s="145" t="s">
        <v>5</v>
      </c>
      <c r="B23" s="3"/>
      <c r="C23" s="112"/>
    </row>
    <row r="24" spans="1:3" hidden="1">
      <c r="A24" s="352" t="s">
        <v>6</v>
      </c>
      <c r="B24" s="352"/>
      <c r="C24" s="352"/>
    </row>
    <row r="25" spans="1:3" hidden="1">
      <c r="A25" s="112"/>
      <c r="B25" s="112"/>
      <c r="C25" s="112"/>
    </row>
    <row r="26" spans="1:3" ht="15" hidden="1">
      <c r="A26" s="145" t="s">
        <v>7</v>
      </c>
      <c r="B26" s="3"/>
      <c r="C26" s="112"/>
    </row>
    <row r="27" spans="1:3" hidden="1">
      <c r="A27" s="352" t="s">
        <v>8</v>
      </c>
      <c r="B27" s="352"/>
      <c r="C27" s="352"/>
    </row>
    <row r="28" spans="1:3" ht="15" hidden="1">
      <c r="A28" s="4"/>
      <c r="B28" s="4"/>
      <c r="C28" s="4"/>
    </row>
    <row r="29" spans="1:3" ht="20.25">
      <c r="A29" s="143" t="s">
        <v>9</v>
      </c>
      <c r="B29" s="139"/>
      <c r="C29" s="4"/>
    </row>
    <row r="30" spans="1:3">
      <c r="A30" s="113" t="s">
        <v>44</v>
      </c>
      <c r="B30" s="353" t="s">
        <v>234</v>
      </c>
      <c r="C30" s="353"/>
    </row>
    <row r="31" spans="1:3">
      <c r="A31" s="113" t="s">
        <v>124</v>
      </c>
      <c r="B31" s="348" t="s">
        <v>235</v>
      </c>
      <c r="C31" s="349"/>
    </row>
    <row r="32" spans="1:3">
      <c r="A32" s="113" t="s">
        <v>73</v>
      </c>
      <c r="B32" s="353" t="s">
        <v>240</v>
      </c>
      <c r="C32" s="353"/>
    </row>
    <row r="33" spans="1:3">
      <c r="A33" s="113" t="s">
        <v>111</v>
      </c>
      <c r="B33" s="348" t="s">
        <v>255</v>
      </c>
      <c r="C33" s="349"/>
    </row>
    <row r="34" spans="1:3">
      <c r="A34" s="113" t="s">
        <v>144</v>
      </c>
      <c r="B34" s="348" t="s">
        <v>256</v>
      </c>
      <c r="C34" s="349"/>
    </row>
    <row r="35" spans="1:3">
      <c r="A35" s="113" t="s">
        <v>139</v>
      </c>
      <c r="B35" s="348" t="s">
        <v>257</v>
      </c>
      <c r="C35" s="349"/>
    </row>
    <row r="36" spans="1:3">
      <c r="A36" s="134" t="s">
        <v>365</v>
      </c>
      <c r="B36" s="348" t="s">
        <v>448</v>
      </c>
      <c r="C36" s="349"/>
    </row>
    <row r="37" spans="1:3">
      <c r="A37" s="113" t="s">
        <v>116</v>
      </c>
      <c r="B37" s="348" t="s">
        <v>258</v>
      </c>
      <c r="C37" s="349"/>
    </row>
    <row r="38" spans="1:3">
      <c r="A38" s="113" t="s">
        <v>146</v>
      </c>
      <c r="B38" s="348" t="s">
        <v>259</v>
      </c>
      <c r="C38" s="349"/>
    </row>
    <row r="39" spans="1:3">
      <c r="A39" s="134" t="s">
        <v>248</v>
      </c>
      <c r="B39" s="348" t="s">
        <v>277</v>
      </c>
      <c r="C39" s="349"/>
    </row>
    <row r="40" spans="1:3">
      <c r="A40" s="113" t="s">
        <v>40</v>
      </c>
      <c r="B40" s="348" t="s">
        <v>260</v>
      </c>
      <c r="C40" s="349"/>
    </row>
    <row r="41" spans="1:3">
      <c r="A41" s="134" t="s">
        <v>383</v>
      </c>
      <c r="B41" s="258" t="s">
        <v>449</v>
      </c>
      <c r="C41" s="259"/>
    </row>
    <row r="42" spans="1:3">
      <c r="A42" s="113" t="s">
        <v>103</v>
      </c>
      <c r="B42" s="348" t="s">
        <v>261</v>
      </c>
      <c r="C42" s="349"/>
    </row>
    <row r="43" spans="1:3">
      <c r="A43" s="113" t="s">
        <v>100</v>
      </c>
      <c r="B43" s="348" t="s">
        <v>262</v>
      </c>
      <c r="C43" s="349"/>
    </row>
    <row r="44" spans="1:3">
      <c r="A44" s="113" t="s">
        <v>208</v>
      </c>
      <c r="B44" s="348" t="s">
        <v>263</v>
      </c>
      <c r="C44" s="349"/>
    </row>
    <row r="45" spans="1:3">
      <c r="A45" s="134" t="s">
        <v>446</v>
      </c>
      <c r="B45" s="348" t="s">
        <v>447</v>
      </c>
      <c r="C45" s="349"/>
    </row>
    <row r="46" spans="1:3">
      <c r="A46" s="134" t="s">
        <v>410</v>
      </c>
      <c r="B46" s="348" t="s">
        <v>451</v>
      </c>
      <c r="C46" s="349"/>
    </row>
    <row r="47" spans="1:3">
      <c r="A47" s="113" t="s">
        <v>224</v>
      </c>
      <c r="B47" s="348" t="s">
        <v>264</v>
      </c>
      <c r="C47" s="349"/>
    </row>
    <row r="48" spans="1:3">
      <c r="A48" s="113" t="s">
        <v>209</v>
      </c>
      <c r="B48" s="348" t="s">
        <v>265</v>
      </c>
      <c r="C48" s="349"/>
    </row>
    <row r="49" spans="1:3">
      <c r="A49" s="113" t="s">
        <v>210</v>
      </c>
      <c r="B49" s="348" t="s">
        <v>266</v>
      </c>
      <c r="C49" s="349"/>
    </row>
    <row r="50" spans="1:3">
      <c r="A50" s="113" t="s">
        <v>143</v>
      </c>
      <c r="B50" s="348" t="s">
        <v>267</v>
      </c>
      <c r="C50" s="349"/>
    </row>
    <row r="51" spans="1:3">
      <c r="A51" s="113" t="s">
        <v>117</v>
      </c>
      <c r="B51" s="348" t="s">
        <v>268</v>
      </c>
      <c r="C51" s="349"/>
    </row>
    <row r="52" spans="1:3">
      <c r="A52" s="113" t="s">
        <v>155</v>
      </c>
      <c r="B52" s="348" t="s">
        <v>269</v>
      </c>
      <c r="C52" s="349"/>
    </row>
    <row r="53" spans="1:3">
      <c r="A53" s="134" t="s">
        <v>393</v>
      </c>
      <c r="B53" s="258" t="s">
        <v>450</v>
      </c>
      <c r="C53" s="259"/>
    </row>
    <row r="54" spans="1:3">
      <c r="A54" s="113" t="s">
        <v>52</v>
      </c>
      <c r="B54" s="348" t="s">
        <v>270</v>
      </c>
      <c r="C54" s="349"/>
    </row>
    <row r="55" spans="1:3">
      <c r="A55" s="134" t="s">
        <v>326</v>
      </c>
      <c r="B55" s="348" t="s">
        <v>445</v>
      </c>
      <c r="C55" s="349"/>
    </row>
    <row r="56" spans="1:3">
      <c r="A56" s="113" t="s">
        <v>230</v>
      </c>
      <c r="B56" s="348" t="s">
        <v>271</v>
      </c>
      <c r="C56" s="349"/>
    </row>
    <row r="57" spans="1:3">
      <c r="A57" s="113" t="s">
        <v>232</v>
      </c>
      <c r="B57" s="348" t="s">
        <v>254</v>
      </c>
      <c r="C57" s="349"/>
    </row>
    <row r="58" spans="1:3">
      <c r="A58" s="113" t="s">
        <v>233</v>
      </c>
      <c r="B58" s="353" t="s">
        <v>236</v>
      </c>
      <c r="C58" s="353"/>
    </row>
    <row r="59" spans="1:3" ht="15">
      <c r="A59" s="4"/>
      <c r="B59" s="4"/>
      <c r="C59" s="4"/>
    </row>
    <row r="60" spans="1:3" ht="20.25">
      <c r="A60" s="144" t="s">
        <v>10</v>
      </c>
      <c r="B60" s="139"/>
      <c r="C60" s="4"/>
    </row>
    <row r="61" spans="1:3">
      <c r="A61" s="18" t="s">
        <v>45</v>
      </c>
      <c r="B61" s="354" t="s">
        <v>228</v>
      </c>
      <c r="C61" s="354" t="s">
        <v>11</v>
      </c>
    </row>
    <row r="62" spans="1:3">
      <c r="A62" s="18" t="s">
        <v>11</v>
      </c>
      <c r="B62" s="354" t="s">
        <v>229</v>
      </c>
      <c r="C62" s="354" t="s">
        <v>12</v>
      </c>
    </row>
    <row r="63" spans="1:3">
      <c r="A63" s="18" t="s">
        <v>96</v>
      </c>
      <c r="B63" s="354" t="s">
        <v>241</v>
      </c>
      <c r="C63" s="354" t="s">
        <v>11</v>
      </c>
    </row>
    <row r="64" spans="1:3"/>
    <row r="65"/>
    <row r="66"/>
  </sheetData>
  <sheetProtection algorithmName="SHA-512" hashValue="6rETAUYIqNZOr+n1gKi6YQ0d3xqDqUuHpnPlyl5HM0VA1nty0W7Guwc4GTL48sgtJiDLQghLKTdq0hiSURNS7A==" saltValue="ejMOvAruo7vPiUQ63PN0Rw==" spinCount="100000" sheet="1" objects="1" scenarios="1"/>
  <mergeCells count="40">
    <mergeCell ref="B61:C61"/>
    <mergeCell ref="B62:C62"/>
    <mergeCell ref="B63:C63"/>
    <mergeCell ref="B58:C58"/>
    <mergeCell ref="B34:C34"/>
    <mergeCell ref="B35:C35"/>
    <mergeCell ref="B46:C46"/>
    <mergeCell ref="B47:C47"/>
    <mergeCell ref="B37:C37"/>
    <mergeCell ref="B38:C38"/>
    <mergeCell ref="B40:C40"/>
    <mergeCell ref="B42:C42"/>
    <mergeCell ref="B39:C39"/>
    <mergeCell ref="B43:C43"/>
    <mergeCell ref="B57:C57"/>
    <mergeCell ref="B44:C44"/>
    <mergeCell ref="B55:C55"/>
    <mergeCell ref="B45:C45"/>
    <mergeCell ref="B56:C56"/>
    <mergeCell ref="A15:C15"/>
    <mergeCell ref="B31:C31"/>
    <mergeCell ref="B33:C33"/>
    <mergeCell ref="B30:C30"/>
    <mergeCell ref="B32:C32"/>
    <mergeCell ref="A18:C18"/>
    <mergeCell ref="A27:C27"/>
    <mergeCell ref="A21:C21"/>
    <mergeCell ref="A24:C24"/>
    <mergeCell ref="B36:C36"/>
    <mergeCell ref="B48:C48"/>
    <mergeCell ref="B49:C49"/>
    <mergeCell ref="B50:C50"/>
    <mergeCell ref="A6:C6"/>
    <mergeCell ref="B1:C5"/>
    <mergeCell ref="A10:B10"/>
    <mergeCell ref="B54:C54"/>
    <mergeCell ref="A7:C7"/>
    <mergeCell ref="A11:B11"/>
    <mergeCell ref="B51:C51"/>
    <mergeCell ref="B52:C5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B2:AZ27"/>
  <sheetViews>
    <sheetView zoomScaleNormal="100" workbookViewId="0">
      <pane xSplit="2" ySplit="4" topLeftCell="F5" activePane="bottomRight" state="frozen"/>
      <selection pane="topRight" activeCell="C1" sqref="C1"/>
      <selection pane="bottomLeft" activeCell="A5" sqref="A5"/>
      <selection pane="bottomRight" activeCell="B22" sqref="B22"/>
    </sheetView>
  </sheetViews>
  <sheetFormatPr defaultColWidth="8.75" defaultRowHeight="14.25"/>
  <cols>
    <col min="1" max="1" width="2.875" style="1" customWidth="1"/>
    <col min="2" max="2" width="53.625" style="1" bestFit="1" customWidth="1"/>
    <col min="3" max="3" width="4.625" style="118" customWidth="1"/>
    <col min="4" max="4" width="60.625" style="1" customWidth="1"/>
    <col min="5" max="5" width="4.625" style="118" customWidth="1"/>
    <col min="6" max="6" width="60.625" style="1" customWidth="1"/>
    <col min="7" max="7" width="4.625" style="118" customWidth="1"/>
    <col min="8" max="8" width="60.625" style="1" customWidth="1"/>
    <col min="9" max="9" width="4.625" style="118" customWidth="1"/>
    <col min="10" max="10" width="60.625" style="1" customWidth="1"/>
    <col min="11" max="11" width="4.625" style="118" customWidth="1"/>
    <col min="12" max="12" width="60.625" style="1" customWidth="1"/>
    <col min="13" max="13" width="4.625" style="118" customWidth="1"/>
    <col min="14" max="14" width="60.625" style="1" customWidth="1"/>
    <col min="15" max="15" width="4.625" style="118" customWidth="1"/>
    <col min="16" max="16" width="60.625" style="1" customWidth="1"/>
    <col min="17" max="17" width="4.625" style="118" customWidth="1"/>
    <col min="18" max="18" width="60.625" style="1" customWidth="1"/>
    <col min="19" max="19" width="4.625" style="118" customWidth="1"/>
    <col min="20" max="20" width="60.625" style="1" customWidth="1"/>
    <col min="21" max="21" width="4.625" style="118" customWidth="1"/>
    <col min="22" max="22" width="60.625" style="1" customWidth="1"/>
    <col min="23" max="23" width="4.625" style="118" customWidth="1"/>
    <col min="24" max="24" width="60.625" style="1" customWidth="1"/>
    <col min="25" max="25" width="4.625" style="118" customWidth="1"/>
    <col min="26" max="26" width="60.625" style="1" customWidth="1"/>
    <col min="27" max="27" width="4.625" style="118" customWidth="1"/>
    <col min="28" max="28" width="60.625" style="1" customWidth="1"/>
    <col min="29" max="29" width="4.625" style="118" customWidth="1"/>
    <col min="30" max="30" width="60.625" style="1" customWidth="1"/>
    <col min="31" max="31" width="4.625" style="118" customWidth="1"/>
    <col min="32" max="32" width="60.625" style="1" customWidth="1"/>
    <col min="33" max="33" width="8.75" style="118"/>
    <col min="34" max="34" width="60.625" style="1" customWidth="1"/>
    <col min="35" max="35" width="8.75" style="118"/>
    <col min="36" max="36" width="60.625" style="1" customWidth="1"/>
    <col min="37" max="37" width="8.75" style="118"/>
    <col min="38" max="38" width="60.625" style="1" customWidth="1"/>
    <col min="39" max="52" width="8.75" style="118"/>
    <col min="53" max="16384" width="8.75" style="1"/>
  </cols>
  <sheetData>
    <row r="2" spans="2:52" ht="34.5">
      <c r="B2" s="9" t="s">
        <v>13</v>
      </c>
      <c r="D2" s="114" t="s">
        <v>284</v>
      </c>
      <c r="E2" s="120"/>
      <c r="F2" s="114" t="s">
        <v>284</v>
      </c>
      <c r="H2" s="114" t="s">
        <v>323</v>
      </c>
      <c r="J2" s="114" t="s">
        <v>284</v>
      </c>
      <c r="L2" s="114" t="s">
        <v>284</v>
      </c>
      <c r="N2" s="114" t="s">
        <v>284</v>
      </c>
      <c r="P2" s="114" t="s">
        <v>284</v>
      </c>
      <c r="R2" s="114" t="s">
        <v>284</v>
      </c>
      <c r="T2" s="114" t="s">
        <v>284</v>
      </c>
      <c r="V2" s="114" t="s">
        <v>225</v>
      </c>
      <c r="X2" s="114" t="s">
        <v>323</v>
      </c>
      <c r="Z2" s="114" t="s">
        <v>323</v>
      </c>
      <c r="AB2" s="114" t="s">
        <v>284</v>
      </c>
      <c r="AD2" s="114" t="s">
        <v>284</v>
      </c>
      <c r="AF2" s="114" t="s">
        <v>284</v>
      </c>
      <c r="AH2" s="114" t="s">
        <v>284</v>
      </c>
      <c r="AJ2" s="114" t="s">
        <v>284</v>
      </c>
      <c r="AL2" s="114" t="s">
        <v>323</v>
      </c>
    </row>
    <row r="4" spans="2:52" s="117" customFormat="1" ht="33" customHeight="1">
      <c r="B4" s="116" t="s">
        <v>237</v>
      </c>
      <c r="C4" s="119"/>
      <c r="D4" s="115" t="s">
        <v>30</v>
      </c>
      <c r="E4" s="121"/>
      <c r="F4" s="116" t="s">
        <v>47</v>
      </c>
      <c r="G4" s="119"/>
      <c r="H4" s="116" t="s">
        <v>51</v>
      </c>
      <c r="I4" s="119"/>
      <c r="J4" s="116" t="s">
        <v>63</v>
      </c>
      <c r="K4" s="119"/>
      <c r="L4" s="116" t="s">
        <v>68</v>
      </c>
      <c r="M4" s="119"/>
      <c r="N4" s="116" t="s">
        <v>69</v>
      </c>
      <c r="O4" s="119"/>
      <c r="P4" s="116" t="s">
        <v>70</v>
      </c>
      <c r="Q4" s="119"/>
      <c r="R4" s="116" t="s">
        <v>72</v>
      </c>
      <c r="S4" s="119"/>
      <c r="T4" s="116" t="s">
        <v>83</v>
      </c>
      <c r="U4" s="119"/>
      <c r="V4" s="116" t="s">
        <v>247</v>
      </c>
      <c r="W4" s="119"/>
      <c r="X4" s="116" t="s">
        <v>145</v>
      </c>
      <c r="Y4" s="119"/>
      <c r="Z4" s="116" t="s">
        <v>149</v>
      </c>
      <c r="AA4" s="119"/>
      <c r="AB4" s="116" t="s">
        <v>97</v>
      </c>
      <c r="AC4" s="119"/>
      <c r="AD4" s="116" t="s">
        <v>199</v>
      </c>
      <c r="AE4" s="119"/>
      <c r="AF4" s="116" t="s">
        <v>363</v>
      </c>
      <c r="AG4" s="119"/>
      <c r="AH4" s="116" t="s">
        <v>281</v>
      </c>
      <c r="AI4" s="119"/>
      <c r="AJ4" s="116" t="s">
        <v>403</v>
      </c>
      <c r="AK4" s="119"/>
      <c r="AL4" s="116" t="s">
        <v>424</v>
      </c>
      <c r="AM4" s="119"/>
      <c r="AN4" s="119"/>
      <c r="AO4" s="119"/>
      <c r="AP4" s="119"/>
      <c r="AQ4" s="119"/>
      <c r="AR4" s="119"/>
      <c r="AS4" s="119"/>
      <c r="AT4" s="119"/>
      <c r="AU4" s="119"/>
      <c r="AV4" s="119"/>
      <c r="AW4" s="119"/>
      <c r="AX4" s="119"/>
      <c r="AY4" s="119"/>
      <c r="AZ4" s="119"/>
    </row>
    <row r="5" spans="2:52">
      <c r="B5" s="148" t="s">
        <v>30</v>
      </c>
    </row>
    <row r="6" spans="2:52">
      <c r="B6" s="148" t="s">
        <v>47</v>
      </c>
    </row>
    <row r="7" spans="2:52">
      <c r="B7" s="148" t="s">
        <v>51</v>
      </c>
    </row>
    <row r="8" spans="2:52">
      <c r="B8" s="148" t="s">
        <v>63</v>
      </c>
    </row>
    <row r="9" spans="2:52">
      <c r="B9" s="148" t="s">
        <v>68</v>
      </c>
    </row>
    <row r="10" spans="2:52">
      <c r="B10" s="148" t="s">
        <v>69</v>
      </c>
    </row>
    <row r="11" spans="2:52">
      <c r="B11" s="175" t="s">
        <v>70</v>
      </c>
    </row>
    <row r="12" spans="2:52">
      <c r="B12" s="148" t="s">
        <v>72</v>
      </c>
    </row>
    <row r="13" spans="2:52">
      <c r="B13" s="148" t="s">
        <v>83</v>
      </c>
    </row>
    <row r="14" spans="2:52">
      <c r="B14" s="148" t="s">
        <v>247</v>
      </c>
    </row>
    <row r="15" spans="2:52">
      <c r="B15" s="148" t="s">
        <v>145</v>
      </c>
    </row>
    <row r="16" spans="2:52">
      <c r="B16" s="148" t="s">
        <v>149</v>
      </c>
    </row>
    <row r="17" spans="2:2">
      <c r="B17" s="148" t="s">
        <v>97</v>
      </c>
    </row>
    <row r="18" spans="2:2">
      <c r="B18" s="148" t="s">
        <v>199</v>
      </c>
    </row>
    <row r="19" spans="2:2">
      <c r="B19" s="148" t="s">
        <v>363</v>
      </c>
    </row>
    <row r="20" spans="2:2">
      <c r="B20" s="148" t="s">
        <v>281</v>
      </c>
    </row>
    <row r="21" spans="2:2">
      <c r="B21" s="148" t="s">
        <v>403</v>
      </c>
    </row>
    <row r="22" spans="2:2">
      <c r="B22" s="148" t="s">
        <v>424</v>
      </c>
    </row>
    <row r="24" spans="2:2" ht="20.25">
      <c r="B24" s="116" t="s">
        <v>237</v>
      </c>
    </row>
    <row r="25" spans="2:2">
      <c r="B25" s="1" t="s">
        <v>284</v>
      </c>
    </row>
    <row r="26" spans="2:2">
      <c r="B26" s="1" t="s">
        <v>285</v>
      </c>
    </row>
    <row r="27" spans="2:2">
      <c r="B27" s="1" t="s">
        <v>238</v>
      </c>
    </row>
  </sheetData>
  <sheetProtection algorithmName="SHA-512" hashValue="plX9w6vQes2mHWI4GctnRLXjmS9xJqVvIUPt6M/9gJ9RNjRGdlsFlo3hJomnQBRq6sATc25wDxudpCR/DGeR/g==" saltValue="1Fp0hfd60SEuqaAIcgX/v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9493-9BBF-42F7-93BE-E0D0C8F49E90}">
  <sheetPr>
    <tabColor rgb="FFFFF8CA"/>
  </sheetPr>
  <dimension ref="A1:AG82"/>
  <sheetViews>
    <sheetView workbookViewId="0">
      <selection activeCell="C12" sqref="C12"/>
    </sheetView>
  </sheetViews>
  <sheetFormatPr defaultColWidth="9" defaultRowHeight="14.25"/>
  <cols>
    <col min="1" max="1" width="3" style="11" customWidth="1"/>
    <col min="2" max="2" width="18.625" style="129" customWidth="1"/>
    <col min="3" max="3" width="41.75" style="129" customWidth="1"/>
    <col min="4" max="4" width="5.25" style="11" customWidth="1"/>
    <col min="5" max="5" width="40.375" style="128" bestFit="1" customWidth="1"/>
    <col min="6" max="8" width="20.625" style="128" customWidth="1"/>
    <col min="9" max="9" width="20.625" style="128" hidden="1" customWidth="1"/>
    <col min="10" max="10" width="9" style="11" customWidth="1"/>
    <col min="11" max="31" width="9" style="11"/>
    <col min="32" max="33" width="9" style="130"/>
    <col min="34" max="16384" width="9" style="129"/>
  </cols>
  <sheetData>
    <row r="1" spans="2:33" s="11" customFormat="1"/>
    <row r="2" spans="2:33" s="125" customFormat="1" ht="12">
      <c r="H2" s="126" t="str">
        <f>Calculator!J1</f>
        <v>Version:</v>
      </c>
      <c r="J2" s="275">
        <f>'Version Log'!C14</f>
        <v>2.1</v>
      </c>
    </row>
    <row r="3" spans="2:33" s="125" customFormat="1" ht="12">
      <c r="H3" s="126" t="str">
        <f>Calculator!J2</f>
        <v>Last Updated:</v>
      </c>
      <c r="J3" s="127">
        <f>Calculator!K2</f>
        <v>44355</v>
      </c>
    </row>
    <row r="4" spans="2:33" s="11" customFormat="1" ht="15" thickBot="1">
      <c r="E4" s="125"/>
      <c r="F4" s="125"/>
      <c r="G4" s="125"/>
      <c r="H4" s="207"/>
      <c r="I4" s="208"/>
    </row>
    <row r="5" spans="2:33" s="12" customFormat="1" ht="24.95" customHeight="1" thickBot="1">
      <c r="B5" s="83" t="s">
        <v>14</v>
      </c>
      <c r="C5" s="80"/>
      <c r="E5" s="125"/>
      <c r="F5" s="125"/>
      <c r="G5" s="125"/>
      <c r="H5" s="207"/>
      <c r="I5" s="208"/>
      <c r="AF5" s="79"/>
      <c r="AG5" s="79"/>
    </row>
    <row r="6" spans="2:33" s="12" customFormat="1" ht="24.95" customHeight="1">
      <c r="B6" s="84" t="s">
        <v>153</v>
      </c>
      <c r="C6" s="81"/>
      <c r="E6" s="265" t="s">
        <v>419</v>
      </c>
      <c r="F6" s="221" t="s">
        <v>420</v>
      </c>
      <c r="G6" s="219" t="s">
        <v>421</v>
      </c>
      <c r="AF6" s="79"/>
      <c r="AG6" s="79"/>
    </row>
    <row r="7" spans="2:33" s="12" customFormat="1" ht="24.95" customHeight="1" thickBot="1">
      <c r="B7" s="84" t="s">
        <v>239</v>
      </c>
      <c r="C7" s="81"/>
      <c r="E7" s="337">
        <f>SUM(G11:G28)</f>
        <v>0</v>
      </c>
      <c r="F7" s="338">
        <f>SUM(H11:H28)</f>
        <v>0</v>
      </c>
      <c r="G7" s="266">
        <f>MIN(0.5*C8,SUM(I11:I28))</f>
        <v>0</v>
      </c>
      <c r="AF7" s="79"/>
      <c r="AG7" s="79"/>
    </row>
    <row r="8" spans="2:33" s="12" customFormat="1" ht="24.95" customHeight="1" thickBot="1">
      <c r="B8" s="85" t="s">
        <v>326</v>
      </c>
      <c r="C8" s="267"/>
      <c r="E8" s="11"/>
      <c r="F8" s="11"/>
      <c r="G8" s="11"/>
      <c r="H8" s="11"/>
      <c r="I8" s="11"/>
      <c r="AF8" s="79"/>
      <c r="AG8" s="79"/>
    </row>
    <row r="9" spans="2:33" s="12" customFormat="1" ht="24.95" customHeight="1">
      <c r="E9" s="357" t="s">
        <v>94</v>
      </c>
      <c r="F9" s="361" t="s">
        <v>208</v>
      </c>
      <c r="G9" s="359" t="s">
        <v>95</v>
      </c>
      <c r="H9" s="360"/>
      <c r="I9" s="355" t="s">
        <v>416</v>
      </c>
      <c r="AF9" s="79"/>
      <c r="AG9" s="79"/>
    </row>
    <row r="10" spans="2:33" s="12" customFormat="1" ht="24.95" customHeight="1">
      <c r="E10" s="358"/>
      <c r="F10" s="362"/>
      <c r="G10" s="82" t="s">
        <v>45</v>
      </c>
      <c r="H10" s="220" t="s">
        <v>11</v>
      </c>
      <c r="I10" s="356"/>
      <c r="AF10" s="79"/>
      <c r="AG10" s="79"/>
    </row>
    <row r="11" spans="2:33" s="12" customFormat="1" ht="24.95" customHeight="1">
      <c r="E11" s="341" t="str">
        <f>Calculator!B5</f>
        <v>Anti-Sweat Heater Control</v>
      </c>
      <c r="F11" s="340">
        <f>SUM(Calculator!I7:I10)</f>
        <v>0</v>
      </c>
      <c r="G11" s="331" t="str">
        <f>IF(F$11=0,"Enter Cost",Calculator!B11)</f>
        <v>Enter Cost</v>
      </c>
      <c r="H11" s="334" t="str">
        <f>IF(F$11=0,"Enter Cost",Calculator!C11)</f>
        <v>Enter Cost</v>
      </c>
      <c r="I11" s="276" t="str">
        <f>IF(G11="Enter Cost",G11,SUM(Calculations!K17:K20))</f>
        <v>Enter Cost</v>
      </c>
      <c r="AF11" s="79"/>
      <c r="AG11" s="79"/>
    </row>
    <row r="12" spans="2:33" s="12" customFormat="1" ht="24.95" customHeight="1">
      <c r="E12" s="342" t="str">
        <f>Calculator!B13</f>
        <v>Night Covers for Refrigerated Cases</v>
      </c>
      <c r="F12" s="339">
        <f>SUM(Calculator!H15:H18)</f>
        <v>0</v>
      </c>
      <c r="G12" s="332" t="str">
        <f>IF(F12=0,"Enter Cost",Calculator!B19)</f>
        <v>Enter Cost</v>
      </c>
      <c r="H12" s="335" t="str">
        <f>IF(F12=0,"Enter Cost",Calculator!C19)</f>
        <v>Enter Cost</v>
      </c>
      <c r="I12" s="277" t="str">
        <f>IF(G12="Enter Cost",G12,SUM(Calculations!G28:G31))</f>
        <v>Enter Cost</v>
      </c>
      <c r="AF12" s="79"/>
      <c r="AG12" s="79"/>
    </row>
    <row r="13" spans="2:33" s="12" customFormat="1" ht="24.95" customHeight="1">
      <c r="E13" s="341" t="str">
        <f>Calculator!B21</f>
        <v>Strip Curtains for Walk-In Coolers and Freezers</v>
      </c>
      <c r="F13" s="340">
        <f>SUM(Calculator!J23:J30)</f>
        <v>0</v>
      </c>
      <c r="G13" s="331" t="str">
        <f>IF(F13=0,"Enter Cost",Calculator!B31)</f>
        <v>Enter Cost</v>
      </c>
      <c r="H13" s="334" t="str">
        <f>IF(F13=0,"Enter Cost",Calculator!C31)</f>
        <v>Enter Cost</v>
      </c>
      <c r="I13" s="276" t="str">
        <f>IF(G13="Enter Cost",G13,SUM(Calculations!I54:I61))</f>
        <v>Enter Cost</v>
      </c>
      <c r="AF13" s="79"/>
      <c r="AG13" s="79"/>
    </row>
    <row r="14" spans="2:33" s="12" customFormat="1" ht="24.95" customHeight="1">
      <c r="E14" s="342" t="str">
        <f>Calculator!B33</f>
        <v>Energy Star Commercial Fryers</v>
      </c>
      <c r="F14" s="339">
        <f>SUM(Calculator!H35:H36)</f>
        <v>0</v>
      </c>
      <c r="G14" s="332" t="str">
        <f>IF(F14=0,"Enter Cost",Calculator!B37)</f>
        <v>Enter Cost</v>
      </c>
      <c r="H14" s="335" t="str">
        <f>IF(F14=0,"Enter Cost",Calculator!C37)</f>
        <v>Enter Cost</v>
      </c>
      <c r="I14" s="277" t="str">
        <f>IF(G14="Enter Cost",G14,SUM(Calculations!Q77:Q78))</f>
        <v>Enter Cost</v>
      </c>
      <c r="AF14" s="79"/>
      <c r="AG14" s="79"/>
    </row>
    <row r="15" spans="2:33" s="12" customFormat="1" ht="24.95" customHeight="1">
      <c r="E15" s="341" t="str">
        <f>Calculator!B39</f>
        <v>Energy Star Commercial Griddle</v>
      </c>
      <c r="F15" s="340">
        <f>SUM(Calculator!H41:H42)</f>
        <v>0</v>
      </c>
      <c r="G15" s="331" t="str">
        <f>IF(F15=0,"Enter Cost",Calculator!B43)</f>
        <v>Enter Cost</v>
      </c>
      <c r="H15" s="334" t="str">
        <f>IF(F15=0,"Enter Cost",Calculator!C43)</f>
        <v>Enter Cost</v>
      </c>
      <c r="I15" s="276" t="str">
        <f>IF(G15="Enter Cost",G15,SUM(Calculations!O93:O94))</f>
        <v>Enter Cost</v>
      </c>
      <c r="AF15" s="79"/>
      <c r="AG15" s="79"/>
    </row>
    <row r="16" spans="2:33" s="12" customFormat="1" ht="24.95" customHeight="1">
      <c r="E16" s="342" t="str">
        <f>Calculator!B45</f>
        <v>Ice Machine</v>
      </c>
      <c r="F16" s="339">
        <f>SUM(Calculator!N48:N51)</f>
        <v>0</v>
      </c>
      <c r="G16" s="332" t="str">
        <f>IF(F16=0,"Enter Cost",Calculator!B52)</f>
        <v>Enter Cost</v>
      </c>
      <c r="H16" s="335" t="str">
        <f>IF(F16=0,"Enter Cost",Calculator!C52)</f>
        <v>Enter Cost</v>
      </c>
      <c r="I16" s="277" t="str">
        <f>IF(G16="Enter Cost",G16,SUM(Calculations!W131:W134))</f>
        <v>Enter Cost</v>
      </c>
      <c r="AF16" s="79"/>
      <c r="AG16" s="79"/>
    </row>
    <row r="17" spans="5:33" s="12" customFormat="1" ht="24.95" customHeight="1">
      <c r="E17" s="341" t="str">
        <f>Calculator!B54</f>
        <v>Commercial Convection Oven</v>
      </c>
      <c r="F17" s="340">
        <f>SUM(Calculator!I56:I57)</f>
        <v>0</v>
      </c>
      <c r="G17" s="331" t="str">
        <f>IF(F17=0,"Enter Cost",Calculator!B58)</f>
        <v>Enter Cost</v>
      </c>
      <c r="H17" s="334" t="str">
        <f>IF(F17=0,"Enter Cost",Calculator!C58)</f>
        <v>Enter Cost</v>
      </c>
      <c r="I17" s="276" t="str">
        <f>IF(G17="Enter Cost",G17,SUM(Calculations!Q150:Q151))</f>
        <v>Enter Cost</v>
      </c>
      <c r="AF17" s="79"/>
      <c r="AG17" s="79"/>
    </row>
    <row r="18" spans="5:33" s="12" customFormat="1" ht="24.95" customHeight="1">
      <c r="E18" s="342" t="str">
        <f>Calculator!B60</f>
        <v>Commercial Combination Oven</v>
      </c>
      <c r="F18" s="339">
        <f>SUM(Calculator!I62:I65)</f>
        <v>0</v>
      </c>
      <c r="G18" s="332" t="str">
        <f>IF(F18=0,"Enter Cost",Calculator!B66)</f>
        <v>Enter Cost</v>
      </c>
      <c r="H18" s="335" t="str">
        <f>IF(F18=0,"Enter Cost",Calculator!C66)</f>
        <v>Enter Cost</v>
      </c>
      <c r="I18" s="277" t="str">
        <f>IF(G18="Enter Cost",G18,SUM(Calculations!AB172:AB175))</f>
        <v>Enter Cost</v>
      </c>
      <c r="AF18" s="79"/>
      <c r="AG18" s="79"/>
    </row>
    <row r="19" spans="5:33" s="12" customFormat="1" ht="24.95" customHeight="1">
      <c r="E19" s="341" t="str">
        <f>Calculator!B68</f>
        <v>Commercial Steam Cooker</v>
      </c>
      <c r="F19" s="340">
        <f>SUM(Calculator!I70:I73)</f>
        <v>0</v>
      </c>
      <c r="G19" s="331" t="str">
        <f>IF(F19=0,"Enter Cost",Calculator!B74)</f>
        <v>Enter Cost</v>
      </c>
      <c r="H19" s="334" t="str">
        <f>IF(F19=0,"Enter Cost",Calculator!C74)</f>
        <v>Enter Cost</v>
      </c>
      <c r="I19" s="276" t="str">
        <f>IF(G19="Enter Cost",G19,SUM(Calculations!W202:W205))</f>
        <v>Enter Cost</v>
      </c>
      <c r="AF19" s="79"/>
      <c r="AG19" s="79"/>
    </row>
    <row r="20" spans="5:33" s="12" customFormat="1" ht="24.95" customHeight="1">
      <c r="E20" s="342" t="s">
        <v>247</v>
      </c>
      <c r="F20" s="339">
        <f>SUM(Calculator!H78:H79)</f>
        <v>0</v>
      </c>
      <c r="G20" s="332" t="str">
        <f>IF(F20=0,"Enter Cost",Calculator!B80)</f>
        <v>Enter Cost</v>
      </c>
      <c r="H20" s="335" t="str">
        <f>IF(F20=0,"Enter Cost",Calculator!C80)</f>
        <v>Enter Cost</v>
      </c>
      <c r="I20" s="277" t="str">
        <f>IF(G20="Enter Cost",G20,SUM(Calculations!D220:D221))</f>
        <v>Enter Cost</v>
      </c>
      <c r="AF20" s="79"/>
      <c r="AG20" s="79"/>
    </row>
    <row r="21" spans="5:33" s="12" customFormat="1" ht="24.95" customHeight="1">
      <c r="E21" s="341" t="str">
        <f>Calculator!B82</f>
        <v>Beverage Vending Machine Controls</v>
      </c>
      <c r="F21" s="340">
        <f>SUM(Calculator!H84:H88)</f>
        <v>0</v>
      </c>
      <c r="G21" s="331" t="str">
        <f>IF(F21=0,"Enter Cost",Calculator!B89)</f>
        <v>Enter Cost</v>
      </c>
      <c r="H21" s="334" t="str">
        <f>IF(F21=0,"Enter Cost",Calculator!C89)</f>
        <v>Enter Cost</v>
      </c>
      <c r="I21" s="276" t="str">
        <f>IF(G21="Enter Cost",G21,SUM(Calculations!D236:D240))</f>
        <v>Enter Cost</v>
      </c>
      <c r="AF21" s="79"/>
      <c r="AG21" s="79"/>
    </row>
    <row r="22" spans="5:33" s="11" customFormat="1" ht="24.95" customHeight="1">
      <c r="E22" s="342" t="s">
        <v>149</v>
      </c>
      <c r="F22" s="339">
        <f>SUM(Calculator!G93)</f>
        <v>0</v>
      </c>
      <c r="G22" s="332" t="str">
        <f>IF(F22=0,"Enter Cost",Calculator!B94)</f>
        <v>Enter Cost</v>
      </c>
      <c r="H22" s="335" t="str">
        <f>IF(F22=0,"Enter Cost",Calculator!C94)</f>
        <v>Enter Cost</v>
      </c>
      <c r="I22" s="277" t="str">
        <f>IF(G22="Enter Cost",G22,SUM(Calculations!D249))</f>
        <v>Enter Cost</v>
      </c>
    </row>
    <row r="23" spans="5:33" s="11" customFormat="1" ht="24.95" customHeight="1">
      <c r="E23" s="341" t="s">
        <v>97</v>
      </c>
      <c r="F23" s="340">
        <f>SUM(Calculator!M98:M105)</f>
        <v>0</v>
      </c>
      <c r="G23" s="331" t="str">
        <f>IF(F23=0,"Enter Cost",Calculator!B106)</f>
        <v>Enter Cost</v>
      </c>
      <c r="H23" s="334" t="str">
        <f>IF(F23=0,"Enter Cost",Calculator!C106)</f>
        <v>Enter Cost</v>
      </c>
      <c r="I23" s="276" t="str">
        <f>IF(G23="Enter Cost",G23,SUM(Calculations!P295:P302))</f>
        <v>Enter Cost</v>
      </c>
    </row>
    <row r="24" spans="5:33" s="11" customFormat="1" ht="24.95" customHeight="1">
      <c r="E24" s="342" t="str">
        <f>Calculations!B304</f>
        <v>Hot Food Holding Cabinet</v>
      </c>
      <c r="F24" s="339">
        <f>SUM(Calculator!H110:H112)</f>
        <v>0</v>
      </c>
      <c r="G24" s="332" t="str">
        <f>IF(F24=0,"Enter Cost",Calculator!B113)</f>
        <v>Enter Cost</v>
      </c>
      <c r="H24" s="335" t="str">
        <f>IF(F24=0,"Enter Cost",Calculator!C113)</f>
        <v>Enter Cost</v>
      </c>
      <c r="I24" s="277" t="str">
        <f>IF(G24="Enter Cost",G24,SUM(Calculations!I317:I319))</f>
        <v>Enter Cost</v>
      </c>
    </row>
    <row r="25" spans="5:33" s="11" customFormat="1" ht="24.95" customHeight="1">
      <c r="E25" s="341" t="s">
        <v>363</v>
      </c>
      <c r="F25" s="340">
        <f>SUM(Calculator!K117:K121)</f>
        <v>0</v>
      </c>
      <c r="G25" s="331" t="str">
        <f>IF(F25=0,"Enter Cost",Calculator!B122)</f>
        <v>Enter Cost</v>
      </c>
      <c r="H25" s="334" t="str">
        <f>IF(F25=0,"Enter Cost",Calculator!C122)</f>
        <v>Enter Cost</v>
      </c>
      <c r="I25" s="276" t="str">
        <f>IF(G25="Enter Cost",G25,Calculations!L376)</f>
        <v>Enter Cost</v>
      </c>
    </row>
    <row r="26" spans="5:33" s="11" customFormat="1" ht="24.95" customHeight="1">
      <c r="E26" s="342" t="s">
        <v>281</v>
      </c>
      <c r="F26" s="339">
        <f>SUM(Calculator!J126:J130)</f>
        <v>0</v>
      </c>
      <c r="G26" s="332" t="str">
        <f>IF(F26=0,"Enter Cost",Calculator!B131)</f>
        <v>Enter Cost</v>
      </c>
      <c r="H26" s="335" t="str">
        <f>IF(F26=0,"Enter Cost",Calculator!C131)</f>
        <v>Enter Cost</v>
      </c>
      <c r="I26" s="277" t="str">
        <f>IF(G26="Enter Cost",G26,Calculations!I394)</f>
        <v>Enter Cost</v>
      </c>
    </row>
    <row r="27" spans="5:33" s="11" customFormat="1" ht="24.95" customHeight="1">
      <c r="E27" s="341" t="s">
        <v>403</v>
      </c>
      <c r="F27" s="340">
        <f>SUM(Calculator!L135:L139)</f>
        <v>0</v>
      </c>
      <c r="G27" s="331" t="str">
        <f>IF(F27=0,"Enter Cost",Calculator!B140)</f>
        <v>Enter Cost</v>
      </c>
      <c r="H27" s="334" t="str">
        <f>IF(F27=0,"Enter Cost",Calculator!C140)</f>
        <v>Enter Cost</v>
      </c>
      <c r="I27" s="278" t="str">
        <f>IF(G27="Enter Cost",G27,SUM(Calculations!J409:J413))</f>
        <v>Enter Cost</v>
      </c>
    </row>
    <row r="28" spans="5:33" s="11" customFormat="1" ht="24.95" customHeight="1" thickBot="1">
      <c r="E28" s="343" t="s">
        <v>424</v>
      </c>
      <c r="F28" s="344">
        <f>SUM(Calculator!M144:M148)</f>
        <v>0</v>
      </c>
      <c r="G28" s="333" t="str">
        <f>IF(F28=0,"Enter Cost",Calculator!B149)</f>
        <v>Enter Cost</v>
      </c>
      <c r="H28" s="336" t="str">
        <f>IF(F28=0,"Enter Cost",Calculator!C149)</f>
        <v>Enter Cost</v>
      </c>
      <c r="I28" s="279" t="str">
        <f>IF(G28="Enter Cost",G28,SUM(Calculations!M425:M429))</f>
        <v>Enter Cost</v>
      </c>
    </row>
    <row r="29" spans="5:33" s="11" customFormat="1"/>
    <row r="30" spans="5:33" s="11" customFormat="1"/>
    <row r="31" spans="5:33" s="11" customFormat="1"/>
    <row r="32" spans="5:33" s="11" customFormat="1"/>
    <row r="33" spans="1:31" s="11" customFormat="1"/>
    <row r="34" spans="1:31" s="11" customFormat="1"/>
    <row r="35" spans="1:31" s="11" customFormat="1"/>
    <row r="36" spans="1:31" s="11" customFormat="1"/>
    <row r="37" spans="1:31" s="11" customFormat="1"/>
    <row r="38" spans="1:31" s="11" customFormat="1"/>
    <row r="39" spans="1:31" s="11" customFormat="1"/>
    <row r="40" spans="1:31" s="11" customFormat="1"/>
    <row r="41" spans="1:31" s="11" customFormat="1"/>
    <row r="42" spans="1:31" s="11" customFormat="1"/>
    <row r="43" spans="1:31" s="11" customFormat="1"/>
    <row r="44" spans="1:31" s="11" customFormat="1"/>
    <row r="45" spans="1:31" s="11" customFormat="1"/>
    <row r="46" spans="1:31" s="128" customFormat="1">
      <c r="A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row>
    <row r="47" spans="1:31" s="128" customFormat="1">
      <c r="A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row>
    <row r="48" spans="1:31" s="128" customFormat="1">
      <c r="A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row>
    <row r="49" spans="1:31" s="128" customFormat="1">
      <c r="A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row>
    <row r="50" spans="1:31" s="128" customFormat="1">
      <c r="A50" s="11"/>
      <c r="D50" s="11"/>
      <c r="J50" s="11"/>
      <c r="K50" s="11"/>
      <c r="L50" s="11"/>
      <c r="M50" s="11"/>
      <c r="N50" s="11"/>
      <c r="O50" s="11"/>
      <c r="P50" s="11"/>
      <c r="Q50" s="11"/>
      <c r="R50" s="11"/>
      <c r="S50" s="11"/>
      <c r="T50" s="11"/>
      <c r="U50" s="11"/>
      <c r="V50" s="11"/>
      <c r="W50" s="11"/>
      <c r="X50" s="11"/>
      <c r="Y50" s="11"/>
      <c r="Z50" s="11"/>
      <c r="AA50" s="11"/>
      <c r="AB50" s="11"/>
      <c r="AC50" s="11"/>
      <c r="AD50" s="11"/>
      <c r="AE50" s="11"/>
    </row>
    <row r="51" spans="1:31" s="128" customFormat="1">
      <c r="A51" s="11"/>
      <c r="D51" s="11"/>
      <c r="J51" s="11"/>
      <c r="K51" s="11"/>
      <c r="L51" s="11"/>
      <c r="M51" s="11"/>
      <c r="N51" s="11"/>
      <c r="O51" s="11"/>
      <c r="P51" s="11"/>
      <c r="Q51" s="11"/>
      <c r="R51" s="11"/>
      <c r="S51" s="11"/>
      <c r="T51" s="11"/>
      <c r="U51" s="11"/>
      <c r="V51" s="11"/>
      <c r="W51" s="11"/>
      <c r="X51" s="11"/>
      <c r="Y51" s="11"/>
      <c r="Z51" s="11"/>
      <c r="AA51" s="11"/>
      <c r="AB51" s="11"/>
      <c r="AC51" s="11"/>
      <c r="AD51" s="11"/>
      <c r="AE51" s="11"/>
    </row>
    <row r="52" spans="1:31" s="128" customFormat="1">
      <c r="A52" s="11"/>
      <c r="D52" s="11"/>
      <c r="J52" s="11"/>
      <c r="K52" s="11"/>
      <c r="L52" s="11"/>
      <c r="M52" s="11"/>
      <c r="N52" s="11"/>
      <c r="O52" s="11"/>
      <c r="P52" s="11"/>
      <c r="Q52" s="11"/>
      <c r="R52" s="11"/>
      <c r="S52" s="11"/>
      <c r="T52" s="11"/>
      <c r="U52" s="11"/>
      <c r="V52" s="11"/>
      <c r="W52" s="11"/>
      <c r="X52" s="11"/>
      <c r="Y52" s="11"/>
      <c r="Z52" s="11"/>
      <c r="AA52" s="11"/>
      <c r="AB52" s="11"/>
      <c r="AC52" s="11"/>
      <c r="AD52" s="11"/>
      <c r="AE52" s="11"/>
    </row>
    <row r="53" spans="1:31" s="128" customFormat="1">
      <c r="A53" s="11"/>
      <c r="D53" s="11"/>
      <c r="J53" s="11"/>
      <c r="K53" s="11"/>
      <c r="L53" s="11"/>
      <c r="M53" s="11"/>
      <c r="N53" s="11"/>
      <c r="O53" s="11"/>
      <c r="P53" s="11"/>
      <c r="Q53" s="11"/>
      <c r="R53" s="11"/>
      <c r="S53" s="11"/>
      <c r="T53" s="11"/>
      <c r="U53" s="11"/>
      <c r="V53" s="11"/>
      <c r="W53" s="11"/>
      <c r="X53" s="11"/>
      <c r="Y53" s="11"/>
      <c r="Z53" s="11"/>
      <c r="AA53" s="11"/>
      <c r="AB53" s="11"/>
      <c r="AC53" s="11"/>
      <c r="AD53" s="11"/>
      <c r="AE53" s="11"/>
    </row>
    <row r="54" spans="1:31" s="128" customFormat="1">
      <c r="A54" s="11"/>
      <c r="D54" s="11"/>
      <c r="J54" s="11"/>
      <c r="K54" s="11"/>
      <c r="L54" s="11"/>
      <c r="M54" s="11"/>
      <c r="N54" s="11"/>
      <c r="O54" s="11"/>
      <c r="P54" s="11"/>
      <c r="Q54" s="11"/>
      <c r="R54" s="11"/>
      <c r="S54" s="11"/>
      <c r="T54" s="11"/>
      <c r="U54" s="11"/>
      <c r="V54" s="11"/>
      <c r="W54" s="11"/>
      <c r="X54" s="11"/>
      <c r="Y54" s="11"/>
      <c r="Z54" s="11"/>
      <c r="AA54" s="11"/>
      <c r="AB54" s="11"/>
      <c r="AC54" s="11"/>
      <c r="AD54" s="11"/>
      <c r="AE54" s="11"/>
    </row>
    <row r="55" spans="1:31" s="128" customFormat="1">
      <c r="A55" s="11"/>
      <c r="D55" s="11"/>
      <c r="J55" s="11"/>
      <c r="K55" s="11"/>
      <c r="L55" s="11"/>
      <c r="M55" s="11"/>
      <c r="N55" s="11"/>
      <c r="O55" s="11"/>
      <c r="P55" s="11"/>
      <c r="Q55" s="11"/>
      <c r="R55" s="11"/>
      <c r="S55" s="11"/>
      <c r="T55" s="11"/>
      <c r="U55" s="11"/>
      <c r="V55" s="11"/>
      <c r="W55" s="11"/>
      <c r="X55" s="11"/>
      <c r="Y55" s="11"/>
      <c r="Z55" s="11"/>
      <c r="AA55" s="11"/>
      <c r="AB55" s="11"/>
      <c r="AC55" s="11"/>
      <c r="AD55" s="11"/>
      <c r="AE55" s="11"/>
    </row>
    <row r="56" spans="1:31" s="128" customFormat="1">
      <c r="A56" s="11"/>
      <c r="D56" s="11"/>
      <c r="J56" s="11"/>
      <c r="K56" s="11"/>
      <c r="L56" s="11"/>
      <c r="M56" s="11"/>
      <c r="N56" s="11"/>
      <c r="O56" s="11"/>
      <c r="P56" s="11"/>
      <c r="Q56" s="11"/>
      <c r="R56" s="11"/>
      <c r="S56" s="11"/>
      <c r="T56" s="11"/>
      <c r="U56" s="11"/>
      <c r="V56" s="11"/>
      <c r="W56" s="11"/>
      <c r="X56" s="11"/>
      <c r="Y56" s="11"/>
      <c r="Z56" s="11"/>
      <c r="AA56" s="11"/>
      <c r="AB56" s="11"/>
      <c r="AC56" s="11"/>
      <c r="AD56" s="11"/>
      <c r="AE56" s="11"/>
    </row>
    <row r="57" spans="1:31" s="128" customFormat="1">
      <c r="A57" s="11"/>
      <c r="D57" s="11"/>
      <c r="J57" s="11"/>
      <c r="K57" s="11"/>
      <c r="L57" s="11"/>
      <c r="M57" s="11"/>
      <c r="N57" s="11"/>
      <c r="O57" s="11"/>
      <c r="P57" s="11"/>
      <c r="Q57" s="11"/>
      <c r="R57" s="11"/>
      <c r="S57" s="11"/>
      <c r="T57" s="11"/>
      <c r="U57" s="11"/>
      <c r="V57" s="11"/>
      <c r="W57" s="11"/>
      <c r="X57" s="11"/>
      <c r="Y57" s="11"/>
      <c r="Z57" s="11"/>
      <c r="AA57" s="11"/>
      <c r="AB57" s="11"/>
      <c r="AC57" s="11"/>
      <c r="AD57" s="11"/>
      <c r="AE57" s="11"/>
    </row>
    <row r="58" spans="1:31" s="128" customFormat="1">
      <c r="A58" s="11"/>
      <c r="D58" s="11"/>
      <c r="J58" s="11"/>
      <c r="K58" s="11"/>
      <c r="L58" s="11"/>
      <c r="M58" s="11"/>
      <c r="N58" s="11"/>
      <c r="O58" s="11"/>
      <c r="P58" s="11"/>
      <c r="Q58" s="11"/>
      <c r="R58" s="11"/>
      <c r="S58" s="11"/>
      <c r="T58" s="11"/>
      <c r="U58" s="11"/>
      <c r="V58" s="11"/>
      <c r="W58" s="11"/>
      <c r="X58" s="11"/>
      <c r="Y58" s="11"/>
      <c r="Z58" s="11"/>
      <c r="AA58" s="11"/>
      <c r="AB58" s="11"/>
      <c r="AC58" s="11"/>
      <c r="AD58" s="11"/>
      <c r="AE58" s="11"/>
    </row>
    <row r="59" spans="1:31" s="128" customFormat="1">
      <c r="A59" s="11"/>
      <c r="D59" s="11"/>
      <c r="J59" s="11"/>
      <c r="K59" s="11"/>
      <c r="L59" s="11"/>
      <c r="M59" s="11"/>
      <c r="N59" s="11"/>
      <c r="O59" s="11"/>
      <c r="P59" s="11"/>
      <c r="Q59" s="11"/>
      <c r="R59" s="11"/>
      <c r="S59" s="11"/>
      <c r="T59" s="11"/>
      <c r="U59" s="11"/>
      <c r="V59" s="11"/>
      <c r="W59" s="11"/>
      <c r="X59" s="11"/>
      <c r="Y59" s="11"/>
      <c r="Z59" s="11"/>
      <c r="AA59" s="11"/>
      <c r="AB59" s="11"/>
      <c r="AC59" s="11"/>
      <c r="AD59" s="11"/>
      <c r="AE59" s="11"/>
    </row>
    <row r="60" spans="1:31" s="128" customFormat="1">
      <c r="A60" s="11"/>
      <c r="D60" s="11"/>
      <c r="J60" s="11"/>
      <c r="K60" s="11"/>
      <c r="L60" s="11"/>
      <c r="M60" s="11"/>
      <c r="N60" s="11"/>
      <c r="O60" s="11"/>
      <c r="P60" s="11"/>
      <c r="Q60" s="11"/>
      <c r="R60" s="11"/>
      <c r="S60" s="11"/>
      <c r="T60" s="11"/>
      <c r="U60" s="11"/>
      <c r="V60" s="11"/>
      <c r="W60" s="11"/>
      <c r="X60" s="11"/>
      <c r="Y60" s="11"/>
      <c r="Z60" s="11"/>
      <c r="AA60" s="11"/>
      <c r="AB60" s="11"/>
      <c r="AC60" s="11"/>
      <c r="AD60" s="11"/>
      <c r="AE60" s="11"/>
    </row>
    <row r="61" spans="1:31" s="128" customFormat="1">
      <c r="A61" s="11"/>
      <c r="D61" s="11"/>
      <c r="J61" s="11"/>
      <c r="K61" s="11"/>
      <c r="L61" s="11"/>
      <c r="M61" s="11"/>
      <c r="N61" s="11"/>
      <c r="O61" s="11"/>
      <c r="P61" s="11"/>
      <c r="Q61" s="11"/>
      <c r="R61" s="11"/>
      <c r="S61" s="11"/>
      <c r="T61" s="11"/>
      <c r="U61" s="11"/>
      <c r="V61" s="11"/>
      <c r="W61" s="11"/>
      <c r="X61" s="11"/>
      <c r="Y61" s="11"/>
      <c r="Z61" s="11"/>
      <c r="AA61" s="11"/>
      <c r="AB61" s="11"/>
      <c r="AC61" s="11"/>
      <c r="AD61" s="11"/>
      <c r="AE61" s="11"/>
    </row>
    <row r="62" spans="1:31" s="128" customFormat="1">
      <c r="A62" s="11"/>
      <c r="D62" s="11"/>
      <c r="J62" s="11"/>
      <c r="K62" s="11"/>
      <c r="L62" s="11"/>
      <c r="M62" s="11"/>
      <c r="N62" s="11"/>
      <c r="O62" s="11"/>
      <c r="P62" s="11"/>
      <c r="Q62" s="11"/>
      <c r="R62" s="11"/>
      <c r="S62" s="11"/>
      <c r="T62" s="11"/>
      <c r="U62" s="11"/>
      <c r="V62" s="11"/>
      <c r="W62" s="11"/>
      <c r="X62" s="11"/>
      <c r="Y62" s="11"/>
      <c r="Z62" s="11"/>
      <c r="AA62" s="11"/>
      <c r="AB62" s="11"/>
      <c r="AC62" s="11"/>
      <c r="AD62" s="11"/>
      <c r="AE62" s="11"/>
    </row>
    <row r="63" spans="1:31" s="128" customFormat="1">
      <c r="A63" s="11"/>
      <c r="D63" s="11"/>
      <c r="J63" s="11"/>
      <c r="K63" s="11"/>
      <c r="L63" s="11"/>
      <c r="M63" s="11"/>
      <c r="N63" s="11"/>
      <c r="O63" s="11"/>
      <c r="P63" s="11"/>
      <c r="Q63" s="11"/>
      <c r="R63" s="11"/>
      <c r="S63" s="11"/>
      <c r="T63" s="11"/>
      <c r="U63" s="11"/>
      <c r="V63" s="11"/>
      <c r="W63" s="11"/>
      <c r="X63" s="11"/>
      <c r="Y63" s="11"/>
      <c r="Z63" s="11"/>
      <c r="AA63" s="11"/>
      <c r="AB63" s="11"/>
      <c r="AC63" s="11"/>
      <c r="AD63" s="11"/>
      <c r="AE63" s="11"/>
    </row>
    <row r="64" spans="1:31" s="128" customFormat="1">
      <c r="A64" s="11"/>
      <c r="D64" s="11"/>
      <c r="J64" s="11"/>
      <c r="K64" s="11"/>
      <c r="L64" s="11"/>
      <c r="M64" s="11"/>
      <c r="N64" s="11"/>
      <c r="O64" s="11"/>
      <c r="P64" s="11"/>
      <c r="Q64" s="11"/>
      <c r="R64" s="11"/>
      <c r="S64" s="11"/>
      <c r="T64" s="11"/>
      <c r="U64" s="11"/>
      <c r="V64" s="11"/>
      <c r="W64" s="11"/>
      <c r="X64" s="11"/>
      <c r="Y64" s="11"/>
      <c r="Z64" s="11"/>
      <c r="AA64" s="11"/>
      <c r="AB64" s="11"/>
      <c r="AC64" s="11"/>
      <c r="AD64" s="11"/>
      <c r="AE64" s="11"/>
    </row>
    <row r="65" spans="1:31" s="128" customFormat="1">
      <c r="A65" s="11"/>
      <c r="D65" s="11"/>
      <c r="J65" s="11"/>
      <c r="K65" s="11"/>
      <c r="L65" s="11"/>
      <c r="M65" s="11"/>
      <c r="N65" s="11"/>
      <c r="O65" s="11"/>
      <c r="P65" s="11"/>
      <c r="Q65" s="11"/>
      <c r="R65" s="11"/>
      <c r="S65" s="11"/>
      <c r="T65" s="11"/>
      <c r="U65" s="11"/>
      <c r="V65" s="11"/>
      <c r="W65" s="11"/>
      <c r="X65" s="11"/>
      <c r="Y65" s="11"/>
      <c r="Z65" s="11"/>
      <c r="AA65" s="11"/>
      <c r="AB65" s="11"/>
      <c r="AC65" s="11"/>
      <c r="AD65" s="11"/>
      <c r="AE65" s="11"/>
    </row>
    <row r="66" spans="1:31" s="128" customFormat="1">
      <c r="A66" s="11"/>
      <c r="D66" s="11"/>
      <c r="J66" s="11"/>
      <c r="K66" s="11"/>
      <c r="L66" s="11"/>
      <c r="M66" s="11"/>
      <c r="N66" s="11"/>
      <c r="O66" s="11"/>
      <c r="P66" s="11"/>
      <c r="Q66" s="11"/>
      <c r="R66" s="11"/>
      <c r="S66" s="11"/>
      <c r="T66" s="11"/>
      <c r="U66" s="11"/>
      <c r="V66" s="11"/>
      <c r="W66" s="11"/>
      <c r="X66" s="11"/>
      <c r="Y66" s="11"/>
      <c r="Z66" s="11"/>
      <c r="AA66" s="11"/>
      <c r="AB66" s="11"/>
      <c r="AC66" s="11"/>
      <c r="AD66" s="11"/>
      <c r="AE66" s="11"/>
    </row>
    <row r="67" spans="1:31" s="128" customFormat="1">
      <c r="A67" s="11"/>
      <c r="D67" s="11"/>
      <c r="J67" s="11"/>
      <c r="K67" s="11"/>
      <c r="L67" s="11"/>
      <c r="M67" s="11"/>
      <c r="N67" s="11"/>
      <c r="O67" s="11"/>
      <c r="P67" s="11"/>
      <c r="Q67" s="11"/>
      <c r="R67" s="11"/>
      <c r="S67" s="11"/>
      <c r="T67" s="11"/>
      <c r="U67" s="11"/>
      <c r="V67" s="11"/>
      <c r="W67" s="11"/>
      <c r="X67" s="11"/>
      <c r="Y67" s="11"/>
      <c r="Z67" s="11"/>
      <c r="AA67" s="11"/>
      <c r="AB67" s="11"/>
      <c r="AC67" s="11"/>
      <c r="AD67" s="11"/>
      <c r="AE67" s="11"/>
    </row>
    <row r="68" spans="1:31" s="128" customFormat="1">
      <c r="A68" s="11"/>
      <c r="D68" s="11"/>
      <c r="J68" s="11"/>
      <c r="K68" s="11"/>
      <c r="L68" s="11"/>
      <c r="M68" s="11"/>
      <c r="N68" s="11"/>
      <c r="O68" s="11"/>
      <c r="P68" s="11"/>
      <c r="Q68" s="11"/>
      <c r="R68" s="11"/>
      <c r="S68" s="11"/>
      <c r="T68" s="11"/>
      <c r="U68" s="11"/>
      <c r="V68" s="11"/>
      <c r="W68" s="11"/>
      <c r="X68" s="11"/>
      <c r="Y68" s="11"/>
      <c r="Z68" s="11"/>
      <c r="AA68" s="11"/>
      <c r="AB68" s="11"/>
      <c r="AC68" s="11"/>
      <c r="AD68" s="11"/>
      <c r="AE68" s="11"/>
    </row>
    <row r="69" spans="1:31" s="128" customFormat="1">
      <c r="A69" s="11"/>
      <c r="D69" s="11"/>
      <c r="J69" s="11"/>
      <c r="K69" s="11"/>
      <c r="L69" s="11"/>
      <c r="M69" s="11"/>
      <c r="N69" s="11"/>
      <c r="O69" s="11"/>
      <c r="P69" s="11"/>
      <c r="Q69" s="11"/>
      <c r="R69" s="11"/>
      <c r="S69" s="11"/>
      <c r="T69" s="11"/>
      <c r="U69" s="11"/>
      <c r="V69" s="11"/>
      <c r="W69" s="11"/>
      <c r="X69" s="11"/>
      <c r="Y69" s="11"/>
      <c r="Z69" s="11"/>
      <c r="AA69" s="11"/>
      <c r="AB69" s="11"/>
      <c r="AC69" s="11"/>
      <c r="AD69" s="11"/>
      <c r="AE69" s="11"/>
    </row>
    <row r="70" spans="1:31" s="128" customFormat="1">
      <c r="A70" s="11"/>
      <c r="D70" s="11"/>
      <c r="J70" s="11"/>
      <c r="K70" s="11"/>
      <c r="L70" s="11"/>
      <c r="M70" s="11"/>
      <c r="N70" s="11"/>
      <c r="O70" s="11"/>
      <c r="P70" s="11"/>
      <c r="Q70" s="11"/>
      <c r="R70" s="11"/>
      <c r="S70" s="11"/>
      <c r="T70" s="11"/>
      <c r="U70" s="11"/>
      <c r="V70" s="11"/>
      <c r="W70" s="11"/>
      <c r="X70" s="11"/>
      <c r="Y70" s="11"/>
      <c r="Z70" s="11"/>
      <c r="AA70" s="11"/>
      <c r="AB70" s="11"/>
      <c r="AC70" s="11"/>
      <c r="AD70" s="11"/>
      <c r="AE70" s="11"/>
    </row>
    <row r="71" spans="1:31" s="128" customFormat="1">
      <c r="A71" s="11"/>
      <c r="D71" s="11"/>
      <c r="J71" s="11"/>
      <c r="K71" s="11"/>
      <c r="L71" s="11"/>
      <c r="M71" s="11"/>
      <c r="N71" s="11"/>
      <c r="O71" s="11"/>
      <c r="P71" s="11"/>
      <c r="Q71" s="11"/>
      <c r="R71" s="11"/>
      <c r="S71" s="11"/>
      <c r="T71" s="11"/>
      <c r="U71" s="11"/>
      <c r="V71" s="11"/>
      <c r="W71" s="11"/>
      <c r="X71" s="11"/>
      <c r="Y71" s="11"/>
      <c r="Z71" s="11"/>
      <c r="AA71" s="11"/>
      <c r="AB71" s="11"/>
      <c r="AC71" s="11"/>
      <c r="AD71" s="11"/>
      <c r="AE71" s="11"/>
    </row>
    <row r="72" spans="1:31" s="128" customFormat="1">
      <c r="A72" s="11"/>
      <c r="D72" s="11"/>
      <c r="J72" s="11"/>
      <c r="K72" s="11"/>
      <c r="L72" s="11"/>
      <c r="M72" s="11"/>
      <c r="N72" s="11"/>
      <c r="O72" s="11"/>
      <c r="P72" s="11"/>
      <c r="Q72" s="11"/>
      <c r="R72" s="11"/>
      <c r="S72" s="11"/>
      <c r="T72" s="11"/>
      <c r="U72" s="11"/>
      <c r="V72" s="11"/>
      <c r="W72" s="11"/>
      <c r="X72" s="11"/>
      <c r="Y72" s="11"/>
      <c r="Z72" s="11"/>
      <c r="AA72" s="11"/>
      <c r="AB72" s="11"/>
      <c r="AC72" s="11"/>
      <c r="AD72" s="11"/>
      <c r="AE72" s="11"/>
    </row>
    <row r="73" spans="1:31" s="128" customFormat="1">
      <c r="A73" s="11"/>
      <c r="D73" s="11"/>
      <c r="J73" s="11"/>
      <c r="K73" s="11"/>
      <c r="L73" s="11"/>
      <c r="M73" s="11"/>
      <c r="N73" s="11"/>
      <c r="O73" s="11"/>
      <c r="P73" s="11"/>
      <c r="Q73" s="11"/>
      <c r="R73" s="11"/>
      <c r="S73" s="11"/>
      <c r="T73" s="11"/>
      <c r="U73" s="11"/>
      <c r="V73" s="11"/>
      <c r="W73" s="11"/>
      <c r="X73" s="11"/>
      <c r="Y73" s="11"/>
      <c r="Z73" s="11"/>
      <c r="AA73" s="11"/>
      <c r="AB73" s="11"/>
      <c r="AC73" s="11"/>
      <c r="AD73" s="11"/>
      <c r="AE73" s="11"/>
    </row>
    <row r="74" spans="1:31" s="128" customFormat="1">
      <c r="A74" s="11"/>
      <c r="D74" s="11"/>
      <c r="J74" s="11"/>
      <c r="K74" s="11"/>
      <c r="L74" s="11"/>
      <c r="M74" s="11"/>
      <c r="N74" s="11"/>
      <c r="O74" s="11"/>
      <c r="P74" s="11"/>
      <c r="Q74" s="11"/>
      <c r="R74" s="11"/>
      <c r="S74" s="11"/>
      <c r="T74" s="11"/>
      <c r="U74" s="11"/>
      <c r="V74" s="11"/>
      <c r="W74" s="11"/>
      <c r="X74" s="11"/>
      <c r="Y74" s="11"/>
      <c r="Z74" s="11"/>
      <c r="AA74" s="11"/>
      <c r="AB74" s="11"/>
      <c r="AC74" s="11"/>
      <c r="AD74" s="11"/>
      <c r="AE74" s="11"/>
    </row>
    <row r="75" spans="1:31" s="128" customFormat="1">
      <c r="A75" s="11"/>
      <c r="D75" s="11"/>
      <c r="J75" s="11"/>
      <c r="K75" s="11"/>
      <c r="L75" s="11"/>
      <c r="M75" s="11"/>
      <c r="N75" s="11"/>
      <c r="O75" s="11"/>
      <c r="P75" s="11"/>
      <c r="Q75" s="11"/>
      <c r="R75" s="11"/>
      <c r="S75" s="11"/>
      <c r="T75" s="11"/>
      <c r="U75" s="11"/>
      <c r="V75" s="11"/>
      <c r="W75" s="11"/>
      <c r="X75" s="11"/>
      <c r="Y75" s="11"/>
      <c r="Z75" s="11"/>
      <c r="AA75" s="11"/>
      <c r="AB75" s="11"/>
      <c r="AC75" s="11"/>
      <c r="AD75" s="11"/>
      <c r="AE75" s="11"/>
    </row>
    <row r="76" spans="1:31" s="128" customFormat="1">
      <c r="A76" s="11"/>
      <c r="D76" s="11"/>
      <c r="J76" s="11"/>
      <c r="K76" s="11"/>
      <c r="L76" s="11"/>
      <c r="M76" s="11"/>
      <c r="N76" s="11"/>
      <c r="O76" s="11"/>
      <c r="P76" s="11"/>
      <c r="Q76" s="11"/>
      <c r="R76" s="11"/>
      <c r="S76" s="11"/>
      <c r="T76" s="11"/>
      <c r="U76" s="11"/>
      <c r="V76" s="11"/>
      <c r="W76" s="11"/>
      <c r="X76" s="11"/>
      <c r="Y76" s="11"/>
      <c r="Z76" s="11"/>
      <c r="AA76" s="11"/>
      <c r="AB76" s="11"/>
      <c r="AC76" s="11"/>
      <c r="AD76" s="11"/>
      <c r="AE76" s="11"/>
    </row>
    <row r="77" spans="1:31" s="128" customFormat="1">
      <c r="A77" s="11"/>
      <c r="D77" s="11"/>
      <c r="J77" s="11"/>
      <c r="K77" s="11"/>
      <c r="L77" s="11"/>
      <c r="M77" s="11"/>
      <c r="N77" s="11"/>
      <c r="O77" s="11"/>
      <c r="P77" s="11"/>
      <c r="Q77" s="11"/>
      <c r="R77" s="11"/>
      <c r="S77" s="11"/>
      <c r="T77" s="11"/>
      <c r="U77" s="11"/>
      <c r="V77" s="11"/>
      <c r="W77" s="11"/>
      <c r="X77" s="11"/>
      <c r="Y77" s="11"/>
      <c r="Z77" s="11"/>
      <c r="AA77" s="11"/>
      <c r="AB77" s="11"/>
      <c r="AC77" s="11"/>
      <c r="AD77" s="11"/>
      <c r="AE77" s="11"/>
    </row>
    <row r="78" spans="1:31" s="128" customFormat="1">
      <c r="A78" s="11"/>
      <c r="D78" s="11"/>
      <c r="J78" s="11"/>
      <c r="K78" s="11"/>
      <c r="L78" s="11"/>
      <c r="M78" s="11"/>
      <c r="N78" s="11"/>
      <c r="O78" s="11"/>
      <c r="P78" s="11"/>
      <c r="Q78" s="11"/>
      <c r="R78" s="11"/>
      <c r="S78" s="11"/>
      <c r="T78" s="11"/>
      <c r="U78" s="11"/>
      <c r="V78" s="11"/>
      <c r="W78" s="11"/>
      <c r="X78" s="11"/>
      <c r="Y78" s="11"/>
      <c r="Z78" s="11"/>
      <c r="AA78" s="11"/>
      <c r="AB78" s="11"/>
      <c r="AC78" s="11"/>
      <c r="AD78" s="11"/>
      <c r="AE78" s="11"/>
    </row>
    <row r="79" spans="1:31" s="128" customFormat="1">
      <c r="A79" s="11"/>
      <c r="D79" s="11"/>
      <c r="J79" s="11"/>
      <c r="K79" s="11"/>
      <c r="L79" s="11"/>
      <c r="M79" s="11"/>
      <c r="N79" s="11"/>
      <c r="O79" s="11"/>
      <c r="P79" s="11"/>
      <c r="Q79" s="11"/>
      <c r="R79" s="11"/>
      <c r="S79" s="11"/>
      <c r="T79" s="11"/>
      <c r="U79" s="11"/>
      <c r="V79" s="11"/>
      <c r="W79" s="11"/>
      <c r="X79" s="11"/>
      <c r="Y79" s="11"/>
      <c r="Z79" s="11"/>
      <c r="AA79" s="11"/>
      <c r="AB79" s="11"/>
      <c r="AC79" s="11"/>
      <c r="AD79" s="11"/>
      <c r="AE79" s="11"/>
    </row>
    <row r="80" spans="1:31" s="128" customFormat="1">
      <c r="A80" s="11"/>
      <c r="D80" s="11"/>
      <c r="J80" s="11"/>
      <c r="K80" s="11"/>
      <c r="L80" s="11"/>
      <c r="M80" s="11"/>
      <c r="N80" s="11"/>
      <c r="O80" s="11"/>
      <c r="P80" s="11"/>
      <c r="Q80" s="11"/>
      <c r="R80" s="11"/>
      <c r="S80" s="11"/>
      <c r="T80" s="11"/>
      <c r="U80" s="11"/>
      <c r="V80" s="11"/>
      <c r="W80" s="11"/>
      <c r="X80" s="11"/>
      <c r="Y80" s="11"/>
      <c r="Z80" s="11"/>
      <c r="AA80" s="11"/>
      <c r="AB80" s="11"/>
      <c r="AC80" s="11"/>
      <c r="AD80" s="11"/>
      <c r="AE80" s="11"/>
    </row>
    <row r="81" spans="1:31" s="128" customFormat="1">
      <c r="A81" s="11"/>
      <c r="D81" s="11"/>
      <c r="J81" s="11"/>
      <c r="K81" s="11"/>
      <c r="L81" s="11"/>
      <c r="M81" s="11"/>
      <c r="N81" s="11"/>
      <c r="O81" s="11"/>
      <c r="P81" s="11"/>
      <c r="Q81" s="11"/>
      <c r="R81" s="11"/>
      <c r="S81" s="11"/>
      <c r="T81" s="11"/>
      <c r="U81" s="11"/>
      <c r="V81" s="11"/>
      <c r="W81" s="11"/>
      <c r="X81" s="11"/>
      <c r="Y81" s="11"/>
      <c r="Z81" s="11"/>
      <c r="AA81" s="11"/>
      <c r="AB81" s="11"/>
      <c r="AC81" s="11"/>
      <c r="AD81" s="11"/>
      <c r="AE81" s="11"/>
    </row>
    <row r="82" spans="1:31" s="128" customFormat="1">
      <c r="A82" s="11"/>
      <c r="D82" s="11"/>
      <c r="J82" s="11"/>
      <c r="K82" s="11"/>
      <c r="L82" s="11"/>
      <c r="M82" s="11"/>
      <c r="N82" s="11"/>
      <c r="O82" s="11"/>
      <c r="P82" s="11"/>
      <c r="Q82" s="11"/>
      <c r="R82" s="11"/>
      <c r="S82" s="11"/>
      <c r="T82" s="11"/>
      <c r="U82" s="11"/>
      <c r="V82" s="11"/>
      <c r="W82" s="11"/>
      <c r="X82" s="11"/>
      <c r="Y82" s="11"/>
      <c r="Z82" s="11"/>
      <c r="AA82" s="11"/>
      <c r="AB82" s="11"/>
      <c r="AC82" s="11"/>
      <c r="AD82" s="11"/>
      <c r="AE82" s="11"/>
    </row>
  </sheetData>
  <sheetProtection algorithmName="SHA-512" hashValue="AItLIJQSBmgdjQl5d9apceEY2RFRZgjGSffK/M5K+XwxiEIOv5Ghl1CJixP33ej5cnjy+UZUemKrPdBZdQ0O2w==" saltValue="cJH+Vt1RIt/WwLvsj45n7g==" spinCount="100000" sheet="1" objects="1" scenarios="1"/>
  <mergeCells count="4">
    <mergeCell ref="I9:I10"/>
    <mergeCell ref="E9:E10"/>
    <mergeCell ref="G9:H9"/>
    <mergeCell ref="F9:F10"/>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8CA"/>
  </sheetPr>
  <dimension ref="A1:O149"/>
  <sheetViews>
    <sheetView zoomScale="80" zoomScaleNormal="80" workbookViewId="0">
      <selection activeCell="J15" sqref="J15"/>
    </sheetView>
  </sheetViews>
  <sheetFormatPr defaultColWidth="8.75" defaultRowHeight="14.25"/>
  <cols>
    <col min="1" max="1" width="3.625" style="10" customWidth="1"/>
    <col min="2" max="2" width="26.75" style="97" customWidth="1"/>
    <col min="3" max="5" width="18.125" style="94" customWidth="1"/>
    <col min="6" max="6" width="18.25" style="11" customWidth="1"/>
    <col min="7" max="7" width="26.125" style="10" customWidth="1"/>
    <col min="8" max="8" width="20.25" style="11" customWidth="1"/>
    <col min="9" max="9" width="23.875" style="11" bestFit="1" customWidth="1"/>
    <col min="10" max="10" width="26" style="11" customWidth="1"/>
    <col min="11" max="11" width="18.125" style="11" bestFit="1" customWidth="1"/>
    <col min="12" max="12" width="19" style="11" customWidth="1"/>
    <col min="13" max="13" width="19.125" style="11" customWidth="1"/>
    <col min="14" max="14" width="15.625" style="11" customWidth="1"/>
    <col min="15" max="16384" width="8.75" style="11"/>
  </cols>
  <sheetData>
    <row r="1" spans="1:11" s="10" customFormat="1">
      <c r="B1" s="370" t="s">
        <v>3</v>
      </c>
      <c r="C1" s="370"/>
      <c r="D1" s="370"/>
      <c r="E1" s="370"/>
      <c r="F1" s="370"/>
      <c r="J1" s="122" t="s">
        <v>123</v>
      </c>
      <c r="K1" s="275">
        <f>'Version Log'!C15</f>
        <v>2.2000000000000002</v>
      </c>
    </row>
    <row r="2" spans="1:11">
      <c r="A2" s="11"/>
      <c r="B2" s="370"/>
      <c r="C2" s="370"/>
      <c r="D2" s="370"/>
      <c r="E2" s="370"/>
      <c r="F2" s="370"/>
      <c r="J2" s="122" t="s">
        <v>122</v>
      </c>
      <c r="K2" s="123">
        <f>MAX('Version Log'!D8:D25)</f>
        <v>44355</v>
      </c>
    </row>
    <row r="3" spans="1:11">
      <c r="A3" s="11"/>
      <c r="B3" s="376" t="s">
        <v>152</v>
      </c>
      <c r="C3" s="376"/>
      <c r="D3" s="376"/>
      <c r="E3" s="376"/>
      <c r="F3" s="376"/>
    </row>
    <row r="4" spans="1:11" ht="9" customHeight="1">
      <c r="A4" s="11"/>
      <c r="B4" s="95"/>
      <c r="C4" s="92"/>
      <c r="D4" s="92"/>
      <c r="E4" s="92"/>
      <c r="F4" s="10"/>
    </row>
    <row r="5" spans="1:11" s="47" customFormat="1" ht="24.95" customHeight="1" thickBot="1">
      <c r="A5" s="46"/>
      <c r="B5" s="96" t="str">
        <f>Calculations!B2</f>
        <v>Anti-Sweat Heater Control</v>
      </c>
      <c r="C5" s="93"/>
      <c r="D5" s="93"/>
      <c r="E5" s="93"/>
      <c r="G5" s="46"/>
    </row>
    <row r="6" spans="1:11" ht="24.95" customHeight="1">
      <c r="B6" s="289" t="s">
        <v>45</v>
      </c>
      <c r="C6" s="290" t="s">
        <v>11</v>
      </c>
      <c r="D6" s="290" t="s">
        <v>209</v>
      </c>
      <c r="E6" s="290" t="s">
        <v>210</v>
      </c>
      <c r="F6" s="291" t="s">
        <v>44</v>
      </c>
      <c r="G6" s="291" t="s">
        <v>40</v>
      </c>
      <c r="H6" s="291" t="s">
        <v>230</v>
      </c>
      <c r="I6" s="135" t="s">
        <v>208</v>
      </c>
    </row>
    <row r="7" spans="1:11" ht="24.95" customHeight="1">
      <c r="B7" s="325">
        <f>IF(I7="",0,IFERROR(ROUND(Calculations!I17,6),0))</f>
        <v>0</v>
      </c>
      <c r="C7" s="328">
        <f>IF(I7="",0,IFERROR(ROUND(Calculations!J17,3),0))</f>
        <v>0</v>
      </c>
      <c r="D7" s="102"/>
      <c r="E7" s="102"/>
      <c r="F7" s="48"/>
      <c r="G7" s="48"/>
      <c r="H7" s="48"/>
      <c r="I7" s="314"/>
    </row>
    <row r="8" spans="1:11" ht="24.95" customHeight="1">
      <c r="B8" s="325">
        <f>IF(I8="",0,IFERROR(ROUND(Calculations!I18,6),0))</f>
        <v>0</v>
      </c>
      <c r="C8" s="328">
        <f>IF(I8="",0,IFERROR(ROUND(Calculations!J18,3),0))</f>
        <v>0</v>
      </c>
      <c r="D8" s="102"/>
      <c r="E8" s="102"/>
      <c r="F8" s="48"/>
      <c r="G8" s="48"/>
      <c r="H8" s="48"/>
      <c r="I8" s="314"/>
    </row>
    <row r="9" spans="1:11" ht="24.95" customHeight="1">
      <c r="B9" s="325">
        <f>IF(I9="",0,IFERROR(ROUND(Calculations!I19,6),0))</f>
        <v>0</v>
      </c>
      <c r="C9" s="328">
        <f>IF(I9="",0,IFERROR(ROUND(Calculations!J19,3),0))</f>
        <v>0</v>
      </c>
      <c r="D9" s="102"/>
      <c r="E9" s="102"/>
      <c r="F9" s="48"/>
      <c r="G9" s="48"/>
      <c r="H9" s="48"/>
      <c r="I9" s="314"/>
    </row>
    <row r="10" spans="1:11" ht="24.95" customHeight="1">
      <c r="B10" s="325">
        <f>IF(I10="",0,IFERROR(ROUND(Calculations!I20,6),0))</f>
        <v>0</v>
      </c>
      <c r="C10" s="328">
        <f>IF(I10="",0,IFERROR(ROUND(Calculations!J20,3),0))</f>
        <v>0</v>
      </c>
      <c r="D10" s="102"/>
      <c r="E10" s="102"/>
      <c r="F10" s="48"/>
      <c r="G10" s="48"/>
      <c r="H10" s="48"/>
      <c r="I10" s="314"/>
    </row>
    <row r="11" spans="1:11" s="50" customFormat="1" ht="24.95" customHeight="1" thickBot="1">
      <c r="A11" s="49"/>
      <c r="B11" s="326">
        <f>SUM(B7:B10)</f>
        <v>0</v>
      </c>
      <c r="C11" s="329">
        <f>SUM(C7:C10)</f>
        <v>0</v>
      </c>
      <c r="D11" s="363" t="s">
        <v>46</v>
      </c>
      <c r="E11" s="363"/>
      <c r="F11" s="363"/>
      <c r="G11" s="363"/>
      <c r="H11" s="363"/>
      <c r="I11" s="364"/>
    </row>
    <row r="12" spans="1:11" ht="24.95" customHeight="1"/>
    <row r="13" spans="1:11" s="47" customFormat="1" ht="24.95" customHeight="1" thickBot="1">
      <c r="A13" s="46"/>
      <c r="B13" s="96" t="str">
        <f>Calculations!B22</f>
        <v>Night Covers for Refrigerated Cases</v>
      </c>
      <c r="C13" s="93"/>
      <c r="D13" s="93"/>
      <c r="E13" s="93"/>
      <c r="G13" s="46"/>
    </row>
    <row r="14" spans="1:11" ht="24.95" customHeight="1">
      <c r="B14" s="289" t="s">
        <v>45</v>
      </c>
      <c r="C14" s="290" t="s">
        <v>11</v>
      </c>
      <c r="D14" s="290" t="s">
        <v>209</v>
      </c>
      <c r="E14" s="290" t="s">
        <v>210</v>
      </c>
      <c r="F14" s="290" t="s">
        <v>155</v>
      </c>
      <c r="G14" s="291" t="s">
        <v>224</v>
      </c>
      <c r="H14" s="135" t="s">
        <v>208</v>
      </c>
    </row>
    <row r="15" spans="1:11" ht="24.95" customHeight="1">
      <c r="B15" s="325">
        <f>IF(H15="",0,IFERROR(ROUND(Calculations!E28,6),0))</f>
        <v>0</v>
      </c>
      <c r="C15" s="328">
        <f>IF(H15="",0,IFERROR(ROUND(Calculations!F28,3),0))</f>
        <v>0</v>
      </c>
      <c r="D15" s="102"/>
      <c r="E15" s="102"/>
      <c r="F15" s="124"/>
      <c r="G15" s="297"/>
      <c r="H15" s="315"/>
    </row>
    <row r="16" spans="1:11" ht="24.95" customHeight="1">
      <c r="B16" s="325">
        <f>IF(H16="",0,IFERROR(ROUND(Calculations!E29,6),0))</f>
        <v>0</v>
      </c>
      <c r="C16" s="328">
        <f>IF(H16="",0,IFERROR(ROUND(Calculations!F29,3),0))</f>
        <v>0</v>
      </c>
      <c r="D16" s="102"/>
      <c r="E16" s="102"/>
      <c r="F16" s="124"/>
      <c r="G16" s="297"/>
      <c r="H16" s="315"/>
    </row>
    <row r="17" spans="1:11" ht="24.95" customHeight="1">
      <c r="B17" s="325">
        <f>IF(H17="",0,IFERROR(ROUND(Calculations!E30,6),0))</f>
        <v>0</v>
      </c>
      <c r="C17" s="328">
        <f>IF(H17="",0,IFERROR(ROUND(Calculations!F30,3),0))</f>
        <v>0</v>
      </c>
      <c r="D17" s="102"/>
      <c r="E17" s="102"/>
      <c r="F17" s="124"/>
      <c r="G17" s="297"/>
      <c r="H17" s="315"/>
    </row>
    <row r="18" spans="1:11" ht="24.95" customHeight="1">
      <c r="B18" s="325">
        <f>IF(H18="",0,IFERROR(ROUND(Calculations!E31,6),0))</f>
        <v>0</v>
      </c>
      <c r="C18" s="328">
        <f>IF(H18="",0,IFERROR(ROUND(Calculations!F31,3),0))</f>
        <v>0</v>
      </c>
      <c r="D18" s="102"/>
      <c r="E18" s="102"/>
      <c r="F18" s="124"/>
      <c r="G18" s="297"/>
      <c r="H18" s="315"/>
    </row>
    <row r="19" spans="1:11" s="50" customFormat="1" ht="24.95" customHeight="1" thickBot="1">
      <c r="A19" s="49"/>
      <c r="B19" s="326">
        <f>SUM(B15:B18)</f>
        <v>0</v>
      </c>
      <c r="C19" s="329">
        <f>SUM(C15:C18)</f>
        <v>0</v>
      </c>
      <c r="D19" s="363" t="s">
        <v>46</v>
      </c>
      <c r="E19" s="363"/>
      <c r="F19" s="363"/>
      <c r="G19" s="363"/>
      <c r="H19" s="364"/>
    </row>
    <row r="20" spans="1:11" ht="24.95" customHeight="1"/>
    <row r="21" spans="1:11" s="47" customFormat="1" ht="24.95" customHeight="1" thickBot="1">
      <c r="A21" s="46"/>
      <c r="B21" s="96" t="str">
        <f>Calculations!B33</f>
        <v>Strip Curtains for Walk-In Coolers and Freezers</v>
      </c>
      <c r="C21" s="93"/>
      <c r="D21" s="93"/>
      <c r="E21" s="93"/>
      <c r="G21" s="46"/>
    </row>
    <row r="22" spans="1:11" ht="24.95" customHeight="1">
      <c r="B22" s="289" t="s">
        <v>45</v>
      </c>
      <c r="C22" s="290" t="s">
        <v>11</v>
      </c>
      <c r="D22" s="290" t="s">
        <v>209</v>
      </c>
      <c r="E22" s="290" t="s">
        <v>210</v>
      </c>
      <c r="F22" s="291" t="s">
        <v>327</v>
      </c>
      <c r="G22" s="291" t="s">
        <v>116</v>
      </c>
      <c r="H22" s="291" t="s">
        <v>230</v>
      </c>
      <c r="I22" s="291" t="s">
        <v>458</v>
      </c>
      <c r="J22" s="135" t="s">
        <v>208</v>
      </c>
      <c r="K22" s="209"/>
    </row>
    <row r="23" spans="1:11" ht="24.95" customHeight="1">
      <c r="B23" s="325">
        <f>IF(J23="",0,IFERROR(ROUND(Calculations!F54,6),0))</f>
        <v>0</v>
      </c>
      <c r="C23" s="328">
        <f>IF(J23="",0,IFERROR(ROUND(Calculations!G54,3),0))</f>
        <v>0</v>
      </c>
      <c r="D23" s="102"/>
      <c r="E23" s="102"/>
      <c r="F23" s="48"/>
      <c r="G23" s="48"/>
      <c r="H23" s="48"/>
      <c r="I23" s="48"/>
      <c r="J23" s="315"/>
      <c r="K23" s="210"/>
    </row>
    <row r="24" spans="1:11" ht="24.95" customHeight="1">
      <c r="B24" s="325">
        <f>IF(J24="",0,IFERROR(ROUND(Calculations!F55,6),0))</f>
        <v>0</v>
      </c>
      <c r="C24" s="328">
        <f>IF(J24="",0,IFERROR(ROUND(Calculations!G55,3),0))</f>
        <v>0</v>
      </c>
      <c r="D24" s="102"/>
      <c r="E24" s="102"/>
      <c r="F24" s="48"/>
      <c r="G24" s="48"/>
      <c r="H24" s="48"/>
      <c r="I24" s="48"/>
      <c r="J24" s="315"/>
      <c r="K24" s="210"/>
    </row>
    <row r="25" spans="1:11" ht="24.95" customHeight="1">
      <c r="B25" s="325">
        <f>IF(J25="",0,IFERROR(ROUND(Calculations!F56,6),0))</f>
        <v>0</v>
      </c>
      <c r="C25" s="328">
        <f>IF(J25="",0,IFERROR(ROUND(Calculations!G56,3),0))</f>
        <v>0</v>
      </c>
      <c r="D25" s="102"/>
      <c r="E25" s="102"/>
      <c r="F25" s="48"/>
      <c r="G25" s="48"/>
      <c r="H25" s="48"/>
      <c r="I25" s="48"/>
      <c r="J25" s="315"/>
      <c r="K25" s="210"/>
    </row>
    <row r="26" spans="1:11" ht="24.95" customHeight="1">
      <c r="B26" s="325">
        <f>IF(J26="",0,IFERROR(ROUND(Calculations!F57,6),0))</f>
        <v>0</v>
      </c>
      <c r="C26" s="328">
        <f>IF(J26="",0,IFERROR(ROUND(Calculations!G57,3),0))</f>
        <v>0</v>
      </c>
      <c r="D26" s="102"/>
      <c r="E26" s="102"/>
      <c r="F26" s="48"/>
      <c r="G26" s="48"/>
      <c r="H26" s="48"/>
      <c r="I26" s="48"/>
      <c r="J26" s="315"/>
      <c r="K26" s="210"/>
    </row>
    <row r="27" spans="1:11" ht="24.95" customHeight="1">
      <c r="B27" s="325">
        <f>IF(J27="",0,IFERROR(ROUND(Calculations!F58,6),0))</f>
        <v>0</v>
      </c>
      <c r="C27" s="328">
        <f>IF(J27="",0,IFERROR(ROUND(Calculations!G58,3),0))</f>
        <v>0</v>
      </c>
      <c r="D27" s="102"/>
      <c r="E27" s="102"/>
      <c r="F27" s="48"/>
      <c r="G27" s="48"/>
      <c r="H27" s="48"/>
      <c r="I27" s="48"/>
      <c r="J27" s="315"/>
      <c r="K27" s="210"/>
    </row>
    <row r="28" spans="1:11" ht="24.95" customHeight="1">
      <c r="B28" s="325">
        <f>IF(J28="",0,IFERROR(ROUND(Calculations!F59,6),0))</f>
        <v>0</v>
      </c>
      <c r="C28" s="328">
        <f>IF(J28="",0,IFERROR(ROUND(Calculations!G59,3),0))</f>
        <v>0</v>
      </c>
      <c r="D28" s="102"/>
      <c r="E28" s="102"/>
      <c r="F28" s="48"/>
      <c r="G28" s="48"/>
      <c r="H28" s="48"/>
      <c r="I28" s="48"/>
      <c r="J28" s="315"/>
      <c r="K28" s="210"/>
    </row>
    <row r="29" spans="1:11" ht="24.95" customHeight="1">
      <c r="B29" s="325">
        <f>IF(J29="",0,IFERROR(ROUND(Calculations!F60,6),0))</f>
        <v>0</v>
      </c>
      <c r="C29" s="328">
        <f>IF(J29="",0,IFERROR(ROUND(Calculations!G60,3),0))</f>
        <v>0</v>
      </c>
      <c r="D29" s="102"/>
      <c r="E29" s="102"/>
      <c r="F29" s="48"/>
      <c r="G29" s="48"/>
      <c r="H29" s="48"/>
      <c r="I29" s="48"/>
      <c r="J29" s="315"/>
      <c r="K29" s="210"/>
    </row>
    <row r="30" spans="1:11" ht="24.95" customHeight="1">
      <c r="B30" s="325">
        <f>IF(J30="",0,IFERROR(ROUND(Calculations!F61,6),0))</f>
        <v>0</v>
      </c>
      <c r="C30" s="328">
        <f>IF(J30="",0,IFERROR(ROUND(Calculations!G61,3),0))</f>
        <v>0</v>
      </c>
      <c r="D30" s="102"/>
      <c r="E30" s="102"/>
      <c r="F30" s="48"/>
      <c r="G30" s="48"/>
      <c r="H30" s="48"/>
      <c r="I30" s="48"/>
      <c r="J30" s="315"/>
      <c r="K30" s="210"/>
    </row>
    <row r="31" spans="1:11" s="50" customFormat="1" ht="24.95" customHeight="1" thickBot="1">
      <c r="A31" s="49"/>
      <c r="B31" s="326">
        <f>SUM(B23:B30)</f>
        <v>0</v>
      </c>
      <c r="C31" s="329">
        <f>SUM(C23:C30)</f>
        <v>0</v>
      </c>
      <c r="D31" s="363" t="s">
        <v>46</v>
      </c>
      <c r="E31" s="363"/>
      <c r="F31" s="363"/>
      <c r="G31" s="363"/>
      <c r="H31" s="363"/>
      <c r="I31" s="363"/>
      <c r="J31" s="364"/>
      <c r="K31" s="211"/>
    </row>
    <row r="32" spans="1:11" ht="24.95" customHeight="1"/>
    <row r="33" spans="1:15" s="47" customFormat="1" ht="24.95" customHeight="1" thickBot="1">
      <c r="A33" s="46"/>
      <c r="B33" s="96" t="str">
        <f>Calculations!B63</f>
        <v>Energy Star Commercial Fryers</v>
      </c>
      <c r="C33" s="93"/>
      <c r="D33" s="93"/>
      <c r="E33" s="93"/>
      <c r="G33" s="46"/>
    </row>
    <row r="34" spans="1:15" ht="24.95" customHeight="1">
      <c r="B34" s="289" t="s">
        <v>45</v>
      </c>
      <c r="C34" s="290" t="s">
        <v>11</v>
      </c>
      <c r="D34" s="290" t="s">
        <v>209</v>
      </c>
      <c r="E34" s="290" t="s">
        <v>210</v>
      </c>
      <c r="F34" s="291" t="s">
        <v>155</v>
      </c>
      <c r="G34" s="291" t="s">
        <v>52</v>
      </c>
      <c r="H34" s="135" t="s">
        <v>208</v>
      </c>
    </row>
    <row r="35" spans="1:15" ht="24.95" customHeight="1">
      <c r="B35" s="325">
        <f>IF(H35="",0,IFERROR(ROUND(Calculations!O77,6),0))</f>
        <v>0</v>
      </c>
      <c r="C35" s="328">
        <f>IF(H35="",0,IFERROR(ROUND(Calculations!P77,3),0))</f>
        <v>0</v>
      </c>
      <c r="D35" s="102"/>
      <c r="E35" s="102"/>
      <c r="F35" s="48"/>
      <c r="G35" s="48"/>
      <c r="H35" s="315"/>
    </row>
    <row r="36" spans="1:15" ht="24.95" customHeight="1">
      <c r="B36" s="325">
        <f>IF(H36="",0,IFERROR(ROUND(Calculations!O78,6),0))</f>
        <v>0</v>
      </c>
      <c r="C36" s="328">
        <f>IF(H36="",0,IFERROR(ROUND(Calculations!P78,3),0))</f>
        <v>0</v>
      </c>
      <c r="D36" s="102"/>
      <c r="E36" s="102"/>
      <c r="F36" s="48"/>
      <c r="G36" s="48"/>
      <c r="H36" s="315"/>
    </row>
    <row r="37" spans="1:15" s="50" customFormat="1" ht="24.95" customHeight="1" thickBot="1">
      <c r="A37" s="49"/>
      <c r="B37" s="326">
        <f>SUM(B35:B36)</f>
        <v>0</v>
      </c>
      <c r="C37" s="329">
        <f>SUM(C35:C36)</f>
        <v>0</v>
      </c>
      <c r="D37" s="363" t="s">
        <v>46</v>
      </c>
      <c r="E37" s="363"/>
      <c r="F37" s="363"/>
      <c r="G37" s="363"/>
      <c r="H37" s="364"/>
    </row>
    <row r="38" spans="1:15" ht="24.95" customHeight="1"/>
    <row r="39" spans="1:15" s="47" customFormat="1" ht="24.95" customHeight="1" thickBot="1">
      <c r="A39" s="46"/>
      <c r="B39" s="96" t="str">
        <f>Calculations!B80</f>
        <v>Energy Star Commercial Griddle</v>
      </c>
      <c r="C39" s="93"/>
      <c r="D39" s="93"/>
      <c r="E39" s="93"/>
      <c r="G39" s="46"/>
    </row>
    <row r="40" spans="1:15" ht="24.95" customHeight="1">
      <c r="B40" s="289" t="s">
        <v>45</v>
      </c>
      <c r="C40" s="290" t="s">
        <v>11</v>
      </c>
      <c r="D40" s="290" t="s">
        <v>209</v>
      </c>
      <c r="E40" s="290" t="s">
        <v>210</v>
      </c>
      <c r="F40" s="291" t="s">
        <v>155</v>
      </c>
      <c r="G40" s="291" t="s">
        <v>223</v>
      </c>
      <c r="H40" s="135" t="s">
        <v>208</v>
      </c>
    </row>
    <row r="41" spans="1:15" ht="24.95" customHeight="1">
      <c r="B41" s="325">
        <f>IF(H41="",0,ROUND(Calculations!M93,6))</f>
        <v>0</v>
      </c>
      <c r="C41" s="328">
        <f>IF(H41="",0,IFERROR(ROUND(Calculations!N93,3),0))</f>
        <v>0</v>
      </c>
      <c r="D41" s="102"/>
      <c r="E41" s="102"/>
      <c r="F41" s="48"/>
      <c r="G41" s="48"/>
      <c r="H41" s="315"/>
    </row>
    <row r="42" spans="1:15" ht="24.95" customHeight="1">
      <c r="B42" s="325">
        <f>IF(H42="",0,ROUND(Calculations!M94,6))</f>
        <v>0</v>
      </c>
      <c r="C42" s="328">
        <f>IF(H42="",0,IFERROR(ROUND(Calculations!N94,3),0))</f>
        <v>0</v>
      </c>
      <c r="D42" s="102"/>
      <c r="E42" s="102"/>
      <c r="F42" s="48"/>
      <c r="G42" s="48"/>
      <c r="H42" s="315"/>
    </row>
    <row r="43" spans="1:15" s="50" customFormat="1" ht="24.95" customHeight="1" thickBot="1">
      <c r="A43" s="49"/>
      <c r="B43" s="326">
        <f>SUM(B41:B42)</f>
        <v>0</v>
      </c>
      <c r="C43" s="329">
        <f>SUM(C41:C42)</f>
        <v>0</v>
      </c>
      <c r="D43" s="363" t="s">
        <v>46</v>
      </c>
      <c r="E43" s="363"/>
      <c r="F43" s="363"/>
      <c r="G43" s="363"/>
      <c r="H43" s="364"/>
    </row>
    <row r="44" spans="1:15" ht="24.95" customHeight="1"/>
    <row r="45" spans="1:15" s="47" customFormat="1" ht="24.95" customHeight="1" thickBot="1">
      <c r="A45" s="46"/>
      <c r="B45" s="96" t="str">
        <f>Calculations!B96</f>
        <v>Ice Machine</v>
      </c>
      <c r="C45" s="93"/>
      <c r="D45" s="93"/>
      <c r="E45" s="93"/>
      <c r="G45" s="46"/>
    </row>
    <row r="46" spans="1:15" ht="24.95" customHeight="1">
      <c r="B46" s="371" t="s">
        <v>45</v>
      </c>
      <c r="C46" s="373" t="s">
        <v>11</v>
      </c>
      <c r="D46" s="373" t="s">
        <v>209</v>
      </c>
      <c r="E46" s="373" t="s">
        <v>210</v>
      </c>
      <c r="F46" s="367" t="s">
        <v>155</v>
      </c>
      <c r="G46" s="368" t="s">
        <v>231</v>
      </c>
      <c r="H46" s="367" t="s">
        <v>144</v>
      </c>
      <c r="I46" s="367"/>
      <c r="J46" s="367" t="s">
        <v>143</v>
      </c>
      <c r="K46" s="367"/>
      <c r="L46" s="367"/>
      <c r="M46" s="367"/>
      <c r="N46" s="365" t="s">
        <v>208</v>
      </c>
    </row>
    <row r="47" spans="1:15" s="87" customFormat="1" ht="38.25" customHeight="1">
      <c r="A47" s="86"/>
      <c r="B47" s="372"/>
      <c r="C47" s="374"/>
      <c r="D47" s="374"/>
      <c r="E47" s="374"/>
      <c r="F47" s="375"/>
      <c r="G47" s="369"/>
      <c r="H47" s="293" t="s">
        <v>138</v>
      </c>
      <c r="I47" s="293" t="s">
        <v>139</v>
      </c>
      <c r="J47" s="293" t="s">
        <v>138</v>
      </c>
      <c r="K47" s="293" t="s">
        <v>140</v>
      </c>
      <c r="L47" s="293" t="s">
        <v>173</v>
      </c>
      <c r="M47" s="293" t="s">
        <v>242</v>
      </c>
      <c r="N47" s="366"/>
      <c r="O47" s="107"/>
    </row>
    <row r="48" spans="1:15" s="87" customFormat="1" ht="24.75" customHeight="1">
      <c r="A48" s="86"/>
      <c r="B48" s="327">
        <f>IF(N48="",0,IFERROR(ROUND(Calculations!U131,6),0))</f>
        <v>0</v>
      </c>
      <c r="C48" s="330">
        <f>IF(N48="",0,IFERROR(ROUND(Calculations!V131,3),0))</f>
        <v>0</v>
      </c>
      <c r="D48" s="102"/>
      <c r="E48" s="102"/>
      <c r="F48" s="48"/>
      <c r="G48" s="88"/>
      <c r="H48" s="88"/>
      <c r="I48" s="88"/>
      <c r="J48" s="88"/>
      <c r="K48" s="88"/>
      <c r="L48" s="88"/>
      <c r="M48" s="298"/>
      <c r="N48" s="315"/>
    </row>
    <row r="49" spans="1:14" s="87" customFormat="1" ht="24.75" customHeight="1">
      <c r="A49" s="86"/>
      <c r="B49" s="327">
        <f>IF(N49="",0,IFERROR(ROUND(Calculations!U132,6),0))</f>
        <v>0</v>
      </c>
      <c r="C49" s="330">
        <f>IF(N49="",0,IFERROR(ROUND(Calculations!V132,3),0))</f>
        <v>0</v>
      </c>
      <c r="D49" s="102"/>
      <c r="E49" s="102"/>
      <c r="F49" s="48"/>
      <c r="G49" s="88"/>
      <c r="H49" s="88"/>
      <c r="I49" s="110"/>
      <c r="J49" s="88"/>
      <c r="K49" s="110"/>
      <c r="L49" s="88"/>
      <c r="M49" s="298"/>
      <c r="N49" s="315"/>
    </row>
    <row r="50" spans="1:14" s="87" customFormat="1" ht="24.75" customHeight="1">
      <c r="A50" s="86"/>
      <c r="B50" s="327">
        <f>IF(N50="",0,IFERROR(ROUND(Calculations!U133,6),0))</f>
        <v>0</v>
      </c>
      <c r="C50" s="330">
        <f>IF(N50="",0,IFERROR(ROUND(Calculations!V133,3),0))</f>
        <v>0</v>
      </c>
      <c r="D50" s="102"/>
      <c r="E50" s="102"/>
      <c r="F50" s="48"/>
      <c r="G50" s="88"/>
      <c r="H50" s="88"/>
      <c r="I50" s="88"/>
      <c r="J50" s="88"/>
      <c r="K50" s="88"/>
      <c r="L50" s="88"/>
      <c r="M50" s="298"/>
      <c r="N50" s="315"/>
    </row>
    <row r="51" spans="1:14" s="87" customFormat="1" ht="24.75" customHeight="1">
      <c r="A51" s="86"/>
      <c r="B51" s="327">
        <f>IF(N51="",0,IFERROR(ROUND(Calculations!U134,6),0))</f>
        <v>0</v>
      </c>
      <c r="C51" s="330">
        <f>IF(N51="",0,IFERROR(ROUND(Calculations!V134,3),0))</f>
        <v>0</v>
      </c>
      <c r="D51" s="102"/>
      <c r="E51" s="102"/>
      <c r="F51" s="48"/>
      <c r="G51" s="88"/>
      <c r="H51" s="88"/>
      <c r="I51" s="88"/>
      <c r="J51" s="88"/>
      <c r="K51" s="88"/>
      <c r="L51" s="88"/>
      <c r="M51" s="298"/>
      <c r="N51" s="315"/>
    </row>
    <row r="52" spans="1:14" s="50" customFormat="1" ht="24.95" customHeight="1" thickBot="1">
      <c r="A52" s="49"/>
      <c r="B52" s="326">
        <f>SUM(B48:B51)</f>
        <v>0</v>
      </c>
      <c r="C52" s="329">
        <f>SUM(C48:C51)</f>
        <v>0</v>
      </c>
      <c r="D52" s="363" t="s">
        <v>46</v>
      </c>
      <c r="E52" s="363"/>
      <c r="F52" s="363"/>
      <c r="G52" s="363"/>
      <c r="H52" s="363"/>
      <c r="I52" s="363"/>
      <c r="J52" s="363"/>
      <c r="K52" s="363"/>
      <c r="L52" s="363"/>
      <c r="M52" s="363"/>
      <c r="N52" s="364"/>
    </row>
    <row r="53" spans="1:14" ht="24.95" customHeight="1"/>
    <row r="54" spans="1:14" s="47" customFormat="1" ht="24.95" customHeight="1" thickBot="1">
      <c r="A54" s="46"/>
      <c r="B54" s="96" t="str">
        <f>Calculations!B136</f>
        <v>Commercial Convection Oven</v>
      </c>
      <c r="C54" s="93"/>
      <c r="D54" s="93"/>
      <c r="E54" s="93"/>
      <c r="G54" s="46"/>
    </row>
    <row r="55" spans="1:14" ht="24.95" customHeight="1">
      <c r="B55" s="289" t="s">
        <v>45</v>
      </c>
      <c r="C55" s="290" t="s">
        <v>11</v>
      </c>
      <c r="D55" s="290" t="s">
        <v>209</v>
      </c>
      <c r="E55" s="290" t="s">
        <v>210</v>
      </c>
      <c r="F55" s="291" t="s">
        <v>155</v>
      </c>
      <c r="G55" s="291" t="s">
        <v>52</v>
      </c>
      <c r="H55" s="291" t="s">
        <v>116</v>
      </c>
      <c r="I55" s="135" t="s">
        <v>208</v>
      </c>
    </row>
    <row r="56" spans="1:14" ht="24.95" customHeight="1">
      <c r="B56" s="325">
        <f>IF(I56="",0,ROUND(Calculations!O150,6))</f>
        <v>0</v>
      </c>
      <c r="C56" s="328">
        <f>IF(I56="",0,IFERROR(ROUND(Calculations!P150,3),0))</f>
        <v>0</v>
      </c>
      <c r="D56" s="102"/>
      <c r="E56" s="102"/>
      <c r="F56" s="48"/>
      <c r="G56" s="48"/>
      <c r="H56" s="102"/>
      <c r="I56" s="315"/>
    </row>
    <row r="57" spans="1:14" ht="24.95" customHeight="1">
      <c r="B57" s="325">
        <f>IF(I57="",0,ROUND(Calculations!O151,6))</f>
        <v>0</v>
      </c>
      <c r="C57" s="328">
        <f>IF(I57="",0,IFERROR(ROUND(Calculations!P151,3),0))</f>
        <v>0</v>
      </c>
      <c r="D57" s="102"/>
      <c r="E57" s="102"/>
      <c r="F57" s="48"/>
      <c r="G57" s="48"/>
      <c r="H57" s="102"/>
      <c r="I57" s="315"/>
    </row>
    <row r="58" spans="1:14" s="50" customFormat="1" ht="24.95" customHeight="1" thickBot="1">
      <c r="A58" s="49"/>
      <c r="B58" s="326">
        <f>SUM(B56:B57)</f>
        <v>0</v>
      </c>
      <c r="C58" s="329">
        <f>SUM(C56:C57)</f>
        <v>0</v>
      </c>
      <c r="D58" s="363" t="s">
        <v>46</v>
      </c>
      <c r="E58" s="363"/>
      <c r="F58" s="363"/>
      <c r="G58" s="363"/>
      <c r="H58" s="363"/>
      <c r="I58" s="364"/>
    </row>
    <row r="59" spans="1:14" ht="24.95" customHeight="1"/>
    <row r="60" spans="1:14" s="47" customFormat="1" ht="24.95" customHeight="1" thickBot="1">
      <c r="A60" s="46"/>
      <c r="B60" s="96" t="str">
        <f>Calculations!B153</f>
        <v>Commercial Combination Oven</v>
      </c>
      <c r="C60" s="93"/>
      <c r="D60" s="93"/>
      <c r="E60" s="93"/>
    </row>
    <row r="61" spans="1:14" ht="24.95" customHeight="1">
      <c r="B61" s="289" t="s">
        <v>45</v>
      </c>
      <c r="C61" s="290" t="s">
        <v>11</v>
      </c>
      <c r="D61" s="290" t="s">
        <v>209</v>
      </c>
      <c r="E61" s="290" t="s">
        <v>210</v>
      </c>
      <c r="F61" s="290" t="s">
        <v>303</v>
      </c>
      <c r="G61" s="291" t="s">
        <v>304</v>
      </c>
      <c r="H61" s="291" t="s">
        <v>116</v>
      </c>
      <c r="I61" s="135" t="s">
        <v>208</v>
      </c>
      <c r="J61" s="106"/>
    </row>
    <row r="62" spans="1:14" ht="24.95" customHeight="1">
      <c r="B62" s="325">
        <f>IF(I62="",0,ROUND(Calculations!Z172,6))</f>
        <v>0</v>
      </c>
      <c r="C62" s="328">
        <f>IF(I62="",0,ROUND(Calculations!AA172,3))</f>
        <v>0</v>
      </c>
      <c r="D62" s="102"/>
      <c r="E62" s="102"/>
      <c r="F62" s="48"/>
      <c r="G62" s="48"/>
      <c r="H62" s="102"/>
      <c r="I62" s="315"/>
    </row>
    <row r="63" spans="1:14" ht="24.95" customHeight="1">
      <c r="B63" s="325">
        <f>IF(I63="",0,ROUND(Calculations!Z173,6))</f>
        <v>0</v>
      </c>
      <c r="C63" s="328">
        <f>IF(I63="",0,ROUND(Calculations!AA173,3))</f>
        <v>0</v>
      </c>
      <c r="D63" s="102"/>
      <c r="E63" s="102"/>
      <c r="F63" s="124"/>
      <c r="G63" s="48"/>
      <c r="H63" s="102"/>
      <c r="I63" s="315"/>
    </row>
    <row r="64" spans="1:14" ht="24.95" customHeight="1">
      <c r="B64" s="325">
        <f>IF(I64="",0,ROUND(Calculations!Z174,6))</f>
        <v>0</v>
      </c>
      <c r="C64" s="328">
        <f>IF(I64="",0,ROUND(Calculations!AA174,3))</f>
        <v>0</v>
      </c>
      <c r="D64" s="102"/>
      <c r="E64" s="102"/>
      <c r="F64" s="124"/>
      <c r="G64" s="48"/>
      <c r="H64" s="102"/>
      <c r="I64" s="315"/>
    </row>
    <row r="65" spans="1:11" ht="24.95" customHeight="1">
      <c r="B65" s="325">
        <f>IF(I65="",0,ROUND(Calculations!Z175,6))</f>
        <v>0</v>
      </c>
      <c r="C65" s="328">
        <f>IF(I65="",0,ROUND(Calculations!AA175,3))</f>
        <v>0</v>
      </c>
      <c r="D65" s="102"/>
      <c r="E65" s="102"/>
      <c r="F65" s="124"/>
      <c r="G65" s="48"/>
      <c r="H65" s="102"/>
      <c r="I65" s="315"/>
    </row>
    <row r="66" spans="1:11" s="50" customFormat="1" ht="24.95" customHeight="1" thickBot="1">
      <c r="A66" s="49"/>
      <c r="B66" s="326">
        <f>SUM(B62:B65)</f>
        <v>0</v>
      </c>
      <c r="C66" s="329">
        <f>SUM(C62:C65)</f>
        <v>0</v>
      </c>
      <c r="D66" s="363" t="s">
        <v>46</v>
      </c>
      <c r="E66" s="363"/>
      <c r="F66" s="363"/>
      <c r="G66" s="363"/>
      <c r="H66" s="363"/>
      <c r="I66" s="364"/>
    </row>
    <row r="67" spans="1:11" ht="24.95" customHeight="1"/>
    <row r="68" spans="1:11" s="47" customFormat="1" ht="24.95" customHeight="1" thickBot="1">
      <c r="A68" s="46"/>
      <c r="B68" s="96" t="str">
        <f>Calculations!B177</f>
        <v>Commercial Steam Cooker</v>
      </c>
      <c r="C68" s="93"/>
      <c r="D68" s="93"/>
      <c r="E68" s="93"/>
      <c r="G68" s="46"/>
    </row>
    <row r="69" spans="1:11" ht="24.95" customHeight="1">
      <c r="B69" s="289" t="s">
        <v>45</v>
      </c>
      <c r="C69" s="290" t="s">
        <v>11</v>
      </c>
      <c r="D69" s="290" t="s">
        <v>209</v>
      </c>
      <c r="E69" s="290" t="s">
        <v>210</v>
      </c>
      <c r="F69" s="291" t="s">
        <v>155</v>
      </c>
      <c r="G69" s="291" t="s">
        <v>73</v>
      </c>
      <c r="H69" s="291" t="s">
        <v>139</v>
      </c>
      <c r="I69" s="135" t="s">
        <v>208</v>
      </c>
      <c r="K69" s="106"/>
    </row>
    <row r="70" spans="1:11" ht="24.95" customHeight="1">
      <c r="B70" s="325">
        <f>IF(I70="",0,IFERROR(ROUND(Calculations!S202,6),0))</f>
        <v>0</v>
      </c>
      <c r="C70" s="328">
        <f>IF(I70="",0,IFERROR(ROUND(Calculations!V202,3),0))</f>
        <v>0</v>
      </c>
      <c r="D70" s="102"/>
      <c r="E70" s="102"/>
      <c r="F70" s="48"/>
      <c r="G70" s="48"/>
      <c r="H70" s="48"/>
      <c r="I70" s="315"/>
    </row>
    <row r="71" spans="1:11" ht="24.95" customHeight="1">
      <c r="B71" s="325">
        <f>IF(I71="",0,IFERROR(ROUND(Calculations!S203,6),0))</f>
        <v>0</v>
      </c>
      <c r="C71" s="328">
        <f>IF(I71="",0,IFERROR(ROUND(Calculations!V203,3),0))</f>
        <v>0</v>
      </c>
      <c r="D71" s="102"/>
      <c r="E71" s="102"/>
      <c r="F71" s="48"/>
      <c r="G71" s="48"/>
      <c r="H71" s="69"/>
      <c r="I71" s="315"/>
    </row>
    <row r="72" spans="1:11" ht="24.95" customHeight="1">
      <c r="B72" s="325">
        <f>IF(I72="",0,IFERROR(ROUND(Calculations!S204,6),0))</f>
        <v>0</v>
      </c>
      <c r="C72" s="328">
        <f>IF(I72="",0,IFERROR(ROUND(Calculations!V204,3),0))</f>
        <v>0</v>
      </c>
      <c r="D72" s="102"/>
      <c r="E72" s="102"/>
      <c r="F72" s="48"/>
      <c r="G72" s="48"/>
      <c r="H72" s="48"/>
      <c r="I72" s="315"/>
    </row>
    <row r="73" spans="1:11" ht="24.95" customHeight="1">
      <c r="B73" s="325">
        <f>IF(I73="",0,IFERROR(ROUND(Calculations!S205,6),0))</f>
        <v>0</v>
      </c>
      <c r="C73" s="328">
        <f>IF(I73="",0,IFERROR(ROUND(Calculations!V205,3),0))</f>
        <v>0</v>
      </c>
      <c r="D73" s="102"/>
      <c r="E73" s="102"/>
      <c r="F73" s="48"/>
      <c r="G73" s="48"/>
      <c r="H73" s="69"/>
      <c r="I73" s="315"/>
    </row>
    <row r="74" spans="1:11" s="50" customFormat="1" ht="24.95" customHeight="1" thickBot="1">
      <c r="A74" s="49"/>
      <c r="B74" s="326">
        <f>SUM(B70:B73)</f>
        <v>0</v>
      </c>
      <c r="C74" s="329">
        <f>SUM(C70:C73)</f>
        <v>0</v>
      </c>
      <c r="D74" s="363" t="s">
        <v>46</v>
      </c>
      <c r="E74" s="363"/>
      <c r="F74" s="363"/>
      <c r="G74" s="363"/>
      <c r="H74" s="363"/>
      <c r="I74" s="364"/>
    </row>
    <row r="75" spans="1:11" ht="24.95" customHeight="1"/>
    <row r="76" spans="1:11" s="47" customFormat="1" ht="24.95" customHeight="1" thickBot="1">
      <c r="A76" s="46"/>
      <c r="B76" s="96" t="str">
        <f>Calculations!B207</f>
        <v>Beverage Vending Machine</v>
      </c>
      <c r="C76" s="93"/>
      <c r="D76" s="93"/>
      <c r="E76" s="93"/>
      <c r="G76" s="46"/>
    </row>
    <row r="77" spans="1:11" ht="24.95" customHeight="1">
      <c r="B77" s="289" t="s">
        <v>45</v>
      </c>
      <c r="C77" s="290" t="s">
        <v>11</v>
      </c>
      <c r="D77" s="290" t="s">
        <v>209</v>
      </c>
      <c r="E77" s="290" t="s">
        <v>210</v>
      </c>
      <c r="F77" s="291" t="s">
        <v>124</v>
      </c>
      <c r="G77" s="291" t="s">
        <v>248</v>
      </c>
      <c r="H77" s="135" t="s">
        <v>208</v>
      </c>
    </row>
    <row r="78" spans="1:11" ht="24.95" customHeight="1">
      <c r="B78" s="325">
        <v>0</v>
      </c>
      <c r="C78" s="328">
        <f>IF(H78="",0,IFERROR(ROUND(Calculations!C220*Calculator!F78,3),0))</f>
        <v>0</v>
      </c>
      <c r="D78" s="102"/>
      <c r="E78" s="102"/>
      <c r="F78" s="48"/>
      <c r="G78" s="48"/>
      <c r="H78" s="315"/>
    </row>
    <row r="79" spans="1:11" ht="24.95" customHeight="1">
      <c r="B79" s="325">
        <v>0</v>
      </c>
      <c r="C79" s="328">
        <f>IF(H79="",0,IFERROR(ROUND(Calculations!C221*Calculator!F79,3),0))</f>
        <v>0</v>
      </c>
      <c r="D79" s="102"/>
      <c r="E79" s="102"/>
      <c r="F79" s="69"/>
      <c r="G79" s="48"/>
      <c r="H79" s="315"/>
    </row>
    <row r="80" spans="1:11" s="50" customFormat="1" ht="24.95" customHeight="1" thickBot="1">
      <c r="A80" s="49"/>
      <c r="B80" s="326">
        <f>SUM(B78:B79)</f>
        <v>0</v>
      </c>
      <c r="C80" s="329">
        <f>SUM(C78:C79)</f>
        <v>0</v>
      </c>
      <c r="D80" s="363" t="s">
        <v>46</v>
      </c>
      <c r="E80" s="363"/>
      <c r="F80" s="363"/>
      <c r="G80" s="363"/>
      <c r="H80" s="364"/>
    </row>
    <row r="81" spans="1:8" ht="24.95" customHeight="1"/>
    <row r="82" spans="1:8" s="47" customFormat="1" ht="24.95" customHeight="1" thickBot="1">
      <c r="A82" s="46"/>
      <c r="B82" s="96" t="str">
        <f>Calculations!B223</f>
        <v>Beverage Vending Machine Controls</v>
      </c>
      <c r="C82" s="93"/>
      <c r="D82" s="137" t="s">
        <v>251</v>
      </c>
      <c r="E82" s="93"/>
      <c r="G82" s="46"/>
    </row>
    <row r="83" spans="1:8" ht="24.95" customHeight="1">
      <c r="B83" s="289" t="s">
        <v>45</v>
      </c>
      <c r="C83" s="290" t="s">
        <v>11</v>
      </c>
      <c r="D83" s="290" t="s">
        <v>209</v>
      </c>
      <c r="E83" s="290" t="s">
        <v>210</v>
      </c>
      <c r="F83" s="291" t="s">
        <v>124</v>
      </c>
      <c r="G83" s="291" t="s">
        <v>35</v>
      </c>
      <c r="H83" s="135" t="s">
        <v>208</v>
      </c>
    </row>
    <row r="84" spans="1:8" ht="30.75" customHeight="1">
      <c r="B84" s="325">
        <v>0</v>
      </c>
      <c r="C84" s="328">
        <f>IF(H84="",0,IFERROR(ROUND(Calculations!C236*Calculator!F84,3),0))</f>
        <v>0</v>
      </c>
      <c r="D84" s="102"/>
      <c r="E84" s="102"/>
      <c r="F84" s="48"/>
      <c r="G84" s="299"/>
      <c r="H84" s="315"/>
    </row>
    <row r="85" spans="1:8" ht="31.5" customHeight="1">
      <c r="B85" s="325">
        <v>0</v>
      </c>
      <c r="C85" s="328">
        <f>IF(H85="",0,IFERROR(ROUND(Calculations!C237*Calculator!F85,3),0))</f>
        <v>0</v>
      </c>
      <c r="D85" s="102"/>
      <c r="E85" s="102"/>
      <c r="F85" s="69"/>
      <c r="G85" s="299"/>
      <c r="H85" s="315"/>
    </row>
    <row r="86" spans="1:8" ht="31.5" customHeight="1">
      <c r="B86" s="325">
        <v>0</v>
      </c>
      <c r="C86" s="328">
        <f>IF(H86="",0,IFERROR(ROUND(Calculations!C238*Calculator!F86,3),0))</f>
        <v>0</v>
      </c>
      <c r="D86" s="102"/>
      <c r="E86" s="102"/>
      <c r="F86" s="48"/>
      <c r="G86" s="299"/>
      <c r="H86" s="315"/>
    </row>
    <row r="87" spans="1:8" ht="31.5" customHeight="1">
      <c r="B87" s="325">
        <v>0</v>
      </c>
      <c r="C87" s="328">
        <f>IF(H87="",0,IFERROR(ROUND(Calculations!C239*Calculator!F87,3),0))</f>
        <v>0</v>
      </c>
      <c r="D87" s="102"/>
      <c r="E87" s="102"/>
      <c r="F87" s="48"/>
      <c r="G87" s="299"/>
      <c r="H87" s="315"/>
    </row>
    <row r="88" spans="1:8" ht="31.5" customHeight="1">
      <c r="B88" s="325">
        <v>0</v>
      </c>
      <c r="C88" s="328">
        <f>IF(H88="",0,IFERROR(ROUND(Calculations!C240*Calculator!F88,3),0))</f>
        <v>0</v>
      </c>
      <c r="D88" s="102"/>
      <c r="E88" s="102"/>
      <c r="F88" s="69"/>
      <c r="G88" s="299"/>
      <c r="H88" s="315"/>
    </row>
    <row r="89" spans="1:8" s="50" customFormat="1" ht="24.95" customHeight="1" thickBot="1">
      <c r="A89" s="49"/>
      <c r="B89" s="326">
        <f>SUM(B84:B88)</f>
        <v>0</v>
      </c>
      <c r="C89" s="329">
        <f>SUM(C84:C88)</f>
        <v>0</v>
      </c>
      <c r="D89" s="363" t="s">
        <v>46</v>
      </c>
      <c r="E89" s="363"/>
      <c r="F89" s="363"/>
      <c r="G89" s="363"/>
      <c r="H89" s="364"/>
    </row>
    <row r="90" spans="1:8" ht="24.95" customHeight="1"/>
    <row r="91" spans="1:8" s="47" customFormat="1" ht="24.95" customHeight="1" thickBot="1">
      <c r="A91" s="46"/>
      <c r="B91" s="96" t="str">
        <f>Calculations!B242</f>
        <v>Snack Vending Machine Controls</v>
      </c>
      <c r="C91" s="93"/>
      <c r="D91" s="93"/>
      <c r="E91" s="93"/>
      <c r="G91" s="46"/>
    </row>
    <row r="92" spans="1:8" ht="24.95" customHeight="1">
      <c r="B92" s="289" t="s">
        <v>45</v>
      </c>
      <c r="C92" s="290" t="s">
        <v>11</v>
      </c>
      <c r="D92" s="290" t="s">
        <v>209</v>
      </c>
      <c r="E92" s="290" t="s">
        <v>210</v>
      </c>
      <c r="F92" s="291" t="s">
        <v>124</v>
      </c>
      <c r="G92" s="135" t="s">
        <v>208</v>
      </c>
    </row>
    <row r="93" spans="1:8" ht="24.95" customHeight="1">
      <c r="B93" s="325">
        <v>0</v>
      </c>
      <c r="C93" s="328">
        <f>IF(G93="",0,ROUND(Calculations!C249,3))</f>
        <v>0</v>
      </c>
      <c r="D93" s="102"/>
      <c r="E93" s="102"/>
      <c r="F93" s="48"/>
      <c r="G93" s="315"/>
    </row>
    <row r="94" spans="1:8" s="50" customFormat="1" ht="24.95" customHeight="1" thickBot="1">
      <c r="A94" s="49"/>
      <c r="B94" s="326">
        <f>SUM(B93:B93)</f>
        <v>0</v>
      </c>
      <c r="C94" s="329">
        <f>SUM(C93:C93)</f>
        <v>0</v>
      </c>
      <c r="D94" s="363" t="s">
        <v>46</v>
      </c>
      <c r="E94" s="363"/>
      <c r="F94" s="363"/>
      <c r="G94" s="364"/>
    </row>
    <row r="95" spans="1:8" ht="24.95" customHeight="1"/>
    <row r="96" spans="1:8" s="47" customFormat="1" ht="24.95" customHeight="1" thickBot="1">
      <c r="A96" s="46"/>
      <c r="B96" s="96" t="str">
        <f>Calculations!B251</f>
        <v>Energy Star Commercial Reach-ins</v>
      </c>
      <c r="C96" s="93"/>
      <c r="D96" s="93"/>
      <c r="E96" s="93"/>
      <c r="G96" s="46"/>
    </row>
    <row r="97" spans="1:13" ht="27.75" customHeight="1">
      <c r="B97" s="289" t="s">
        <v>45</v>
      </c>
      <c r="C97" s="290" t="s">
        <v>11</v>
      </c>
      <c r="D97" s="290" t="s">
        <v>353</v>
      </c>
      <c r="E97" s="231" t="s">
        <v>357</v>
      </c>
      <c r="F97" s="290" t="s">
        <v>209</v>
      </c>
      <c r="G97" s="290" t="s">
        <v>210</v>
      </c>
      <c r="H97" s="291" t="s">
        <v>111</v>
      </c>
      <c r="I97" s="291" t="s">
        <v>222</v>
      </c>
      <c r="J97" s="291" t="s">
        <v>230</v>
      </c>
      <c r="K97" s="291" t="s">
        <v>100</v>
      </c>
      <c r="L97" s="291" t="s">
        <v>103</v>
      </c>
      <c r="M97" s="135" t="s">
        <v>208</v>
      </c>
    </row>
    <row r="98" spans="1:13" ht="24.95" customHeight="1">
      <c r="B98" s="325">
        <f>IF(M98="",0,IFERROR(ROUND(Calculations!L295,6),"0.000000"))</f>
        <v>0</v>
      </c>
      <c r="C98" s="328">
        <f>IF(M98="",0,IFERROR(ROUND(Calculations!M295,3),0))</f>
        <v>0</v>
      </c>
      <c r="D98" s="102"/>
      <c r="E98" s="232"/>
      <c r="F98" s="102"/>
      <c r="G98" s="102"/>
      <c r="H98" s="48"/>
      <c r="I98" s="245"/>
      <c r="J98" s="48"/>
      <c r="K98" s="48"/>
      <c r="L98" s="48"/>
      <c r="M98" s="315"/>
    </row>
    <row r="99" spans="1:13" ht="24.95" customHeight="1">
      <c r="B99" s="325">
        <f>IF(M99="",0,IFERROR(ROUND(Calculations!L296,6),"0.000000"))</f>
        <v>0</v>
      </c>
      <c r="C99" s="328">
        <f>IF(M99="",0,IFERROR(ROUND(Calculations!M296,3),0))</f>
        <v>0</v>
      </c>
      <c r="D99" s="102"/>
      <c r="E99" s="232"/>
      <c r="F99" s="102"/>
      <c r="G99" s="102"/>
      <c r="H99" s="246"/>
      <c r="I99" s="245"/>
      <c r="J99" s="69"/>
      <c r="K99" s="69"/>
      <c r="L99" s="69"/>
      <c r="M99" s="315"/>
    </row>
    <row r="100" spans="1:13" ht="24.95" customHeight="1">
      <c r="B100" s="325">
        <f>IF(M100="",0,IFERROR(ROUND(Calculations!L297,6),"0.000000"))</f>
        <v>0</v>
      </c>
      <c r="C100" s="328">
        <f>IF(M100="",0,IFERROR(ROUND(Calculations!M297,3),0))</f>
        <v>0</v>
      </c>
      <c r="D100" s="102"/>
      <c r="E100" s="232"/>
      <c r="F100" s="102"/>
      <c r="G100" s="102"/>
      <c r="H100" s="245"/>
      <c r="I100" s="245"/>
      <c r="J100" s="69"/>
      <c r="K100" s="69"/>
      <c r="L100" s="69"/>
      <c r="M100" s="315"/>
    </row>
    <row r="101" spans="1:13" ht="24.95" customHeight="1">
      <c r="B101" s="325">
        <f>IF(M101="",0,IFERROR(ROUND(Calculations!L298,6),"0.000000"))</f>
        <v>0</v>
      </c>
      <c r="C101" s="328">
        <f>IF(M101="",0,IFERROR(ROUND(Calculations!M298,3),0))</f>
        <v>0</v>
      </c>
      <c r="D101" s="102"/>
      <c r="E101" s="232"/>
      <c r="F101" s="102"/>
      <c r="G101" s="102"/>
      <c r="H101" s="246"/>
      <c r="I101" s="245"/>
      <c r="J101" s="69"/>
      <c r="K101" s="48"/>
      <c r="L101" s="69"/>
      <c r="M101" s="315"/>
    </row>
    <row r="102" spans="1:13" ht="24.95" customHeight="1">
      <c r="B102" s="325">
        <f>IF(M102="",0,IFERROR(ROUND(Calculations!L299,6),"0.000000"))</f>
        <v>0</v>
      </c>
      <c r="C102" s="328">
        <f>IF(M102="",0,IFERROR(ROUND(Calculations!M299,3),0))</f>
        <v>0</v>
      </c>
      <c r="D102" s="102"/>
      <c r="E102" s="232"/>
      <c r="F102" s="102"/>
      <c r="G102" s="102"/>
      <c r="H102" s="246"/>
      <c r="I102" s="245"/>
      <c r="J102" s="48"/>
      <c r="K102" s="48"/>
      <c r="L102" s="48"/>
      <c r="M102" s="315"/>
    </row>
    <row r="103" spans="1:13" ht="24.95" customHeight="1">
      <c r="B103" s="325">
        <f>IF(M103="",0,IFERROR(ROUND(Calculations!L300,6),"0.000000"))</f>
        <v>0</v>
      </c>
      <c r="C103" s="328">
        <f>IF(M103="",0,IFERROR(ROUND(Calculations!M300,3),0))</f>
        <v>0</v>
      </c>
      <c r="D103" s="102"/>
      <c r="E103" s="232"/>
      <c r="F103" s="102"/>
      <c r="G103" s="102"/>
      <c r="H103" s="246"/>
      <c r="I103" s="245"/>
      <c r="J103" s="48"/>
      <c r="K103" s="48"/>
      <c r="L103" s="48"/>
      <c r="M103" s="315"/>
    </row>
    <row r="104" spans="1:13" ht="24.95" customHeight="1">
      <c r="B104" s="325">
        <f>IF(M104="",0,IFERROR(ROUND(Calculations!L301,6),"0.000000"))</f>
        <v>0</v>
      </c>
      <c r="C104" s="328">
        <f>IF(M104="",0,IFERROR(ROUND(Calculations!M301,3),0))</f>
        <v>0</v>
      </c>
      <c r="D104" s="102"/>
      <c r="E104" s="232"/>
      <c r="F104" s="102"/>
      <c r="G104" s="102"/>
      <c r="H104" s="246"/>
      <c r="I104" s="245"/>
      <c r="J104" s="48"/>
      <c r="K104" s="48"/>
      <c r="L104" s="48"/>
      <c r="M104" s="315"/>
    </row>
    <row r="105" spans="1:13" ht="24.95" customHeight="1">
      <c r="B105" s="325">
        <f>IF(M105="",0,IFERROR(ROUND(Calculations!L302,6),"0.000000"))</f>
        <v>0</v>
      </c>
      <c r="C105" s="328">
        <f>IF(M105="",0,IFERROR(ROUND(Calculations!M302,3),0))</f>
        <v>0</v>
      </c>
      <c r="D105" s="102"/>
      <c r="E105" s="232"/>
      <c r="F105" s="102"/>
      <c r="G105" s="102"/>
      <c r="H105" s="246"/>
      <c r="I105" s="245"/>
      <c r="J105" s="48"/>
      <c r="K105" s="48"/>
      <c r="L105" s="48"/>
      <c r="M105" s="315"/>
    </row>
    <row r="106" spans="1:13" s="50" customFormat="1" ht="24.95" customHeight="1" thickBot="1">
      <c r="A106" s="49"/>
      <c r="B106" s="326">
        <f>SUM(B98:B105)</f>
        <v>0</v>
      </c>
      <c r="C106" s="329">
        <f>SUM(C98:C105)</f>
        <v>0</v>
      </c>
      <c r="D106" s="363" t="s">
        <v>46</v>
      </c>
      <c r="E106" s="363"/>
      <c r="F106" s="363"/>
      <c r="G106" s="363"/>
      <c r="H106" s="363"/>
      <c r="I106" s="363"/>
      <c r="J106" s="363"/>
      <c r="K106" s="363"/>
      <c r="L106" s="363"/>
      <c r="M106" s="364"/>
    </row>
    <row r="107" spans="1:13" ht="24.95" customHeight="1"/>
    <row r="108" spans="1:13" s="47" customFormat="1" ht="24.95" customHeight="1" thickBot="1">
      <c r="A108" s="46"/>
      <c r="B108" s="96" t="str">
        <f>Calculations!B304</f>
        <v>Hot Food Holding Cabinet</v>
      </c>
      <c r="C108" s="93"/>
      <c r="D108" s="93"/>
      <c r="E108" s="93"/>
      <c r="G108" s="46"/>
    </row>
    <row r="109" spans="1:13" ht="24.95" customHeight="1">
      <c r="B109" s="289" t="s">
        <v>45</v>
      </c>
      <c r="C109" s="290" t="s">
        <v>11</v>
      </c>
      <c r="D109" s="290" t="s">
        <v>209</v>
      </c>
      <c r="E109" s="290" t="s">
        <v>210</v>
      </c>
      <c r="F109" s="291" t="s">
        <v>155</v>
      </c>
      <c r="G109" s="291" t="s">
        <v>222</v>
      </c>
      <c r="H109" s="135" t="s">
        <v>208</v>
      </c>
      <c r="I109" s="103"/>
      <c r="J109" s="233"/>
      <c r="K109" s="103"/>
    </row>
    <row r="110" spans="1:13" ht="24.95" customHeight="1">
      <c r="B110" s="325">
        <f>IF(H110="",0,ROUND(Calculations!G317,6))</f>
        <v>0</v>
      </c>
      <c r="C110" s="328">
        <f>IF(H110="",0,ROUND(Calculations!H317,3))</f>
        <v>0</v>
      </c>
      <c r="D110" s="102"/>
      <c r="E110" s="102"/>
      <c r="F110" s="48"/>
      <c r="G110" s="297"/>
      <c r="H110" s="315"/>
    </row>
    <row r="111" spans="1:13" ht="24.95" customHeight="1">
      <c r="B111" s="325">
        <f>IF(H111="",0,ROUND(Calculations!G318,6))</f>
        <v>0</v>
      </c>
      <c r="C111" s="328">
        <f>IF(H111="",0,ROUND(Calculations!H318,3))</f>
        <v>0</v>
      </c>
      <c r="D111" s="102"/>
      <c r="E111" s="102"/>
      <c r="F111" s="48"/>
      <c r="G111" s="297"/>
      <c r="H111" s="315"/>
    </row>
    <row r="112" spans="1:13" ht="24.95" customHeight="1">
      <c r="B112" s="325">
        <f>IF(H112="",0,ROUND(Calculations!G319,6))</f>
        <v>0</v>
      </c>
      <c r="C112" s="328">
        <f>IF(H112="",0,ROUND(Calculations!H319,3))</f>
        <v>0</v>
      </c>
      <c r="D112" s="102"/>
      <c r="E112" s="102"/>
      <c r="F112" s="48"/>
      <c r="G112" s="297"/>
      <c r="H112" s="315"/>
    </row>
    <row r="113" spans="1:11" s="50" customFormat="1" ht="24.95" customHeight="1" thickBot="1">
      <c r="A113" s="49"/>
      <c r="B113" s="326">
        <f>SUM(B110:B112)</f>
        <v>0</v>
      </c>
      <c r="C113" s="329">
        <f>SUM(C110:C112)</f>
        <v>0</v>
      </c>
      <c r="D113" s="363" t="s">
        <v>46</v>
      </c>
      <c r="E113" s="363"/>
      <c r="F113" s="363"/>
      <c r="G113" s="363"/>
      <c r="H113" s="364"/>
    </row>
    <row r="114" spans="1:11" ht="24.95" customHeight="1"/>
    <row r="115" spans="1:11" ht="18.75" thickBot="1">
      <c r="B115" s="96" t="s">
        <v>363</v>
      </c>
    </row>
    <row r="116" spans="1:11" ht="34.5" customHeight="1">
      <c r="B116" s="289" t="s">
        <v>45</v>
      </c>
      <c r="C116" s="290" t="s">
        <v>11</v>
      </c>
      <c r="D116" s="290" t="s">
        <v>209</v>
      </c>
      <c r="E116" s="290" t="s">
        <v>210</v>
      </c>
      <c r="F116" s="291" t="s">
        <v>155</v>
      </c>
      <c r="G116" s="231" t="s">
        <v>365</v>
      </c>
      <c r="H116" s="231" t="s">
        <v>366</v>
      </c>
      <c r="I116" s="231" t="s">
        <v>230</v>
      </c>
      <c r="J116" s="231" t="s">
        <v>383</v>
      </c>
      <c r="K116" s="135" t="s">
        <v>208</v>
      </c>
    </row>
    <row r="117" spans="1:11" ht="24.75" customHeight="1">
      <c r="B117" s="325">
        <f>IF(K117="",0,ROUND(Calculations!H371,6))</f>
        <v>0</v>
      </c>
      <c r="C117" s="328">
        <f>IF(K117="",0,ROUND(Calculations!I371,3))</f>
        <v>0</v>
      </c>
      <c r="D117" s="102"/>
      <c r="E117" s="102"/>
      <c r="F117" s="48"/>
      <c r="G117" s="102"/>
      <c r="H117" s="102"/>
      <c r="I117" s="102"/>
      <c r="J117" s="102"/>
      <c r="K117" s="315"/>
    </row>
    <row r="118" spans="1:11" ht="24.75" customHeight="1">
      <c r="B118" s="325">
        <f>IF(K118="",0,ROUND(Calculations!H372,6))</f>
        <v>0</v>
      </c>
      <c r="C118" s="328">
        <f>IF(K118="",0,ROUND(Calculations!I372,3))</f>
        <v>0</v>
      </c>
      <c r="D118" s="102"/>
      <c r="E118" s="102"/>
      <c r="F118" s="124"/>
      <c r="G118" s="102"/>
      <c r="H118" s="102"/>
      <c r="I118" s="102"/>
      <c r="J118" s="102"/>
      <c r="K118" s="315"/>
    </row>
    <row r="119" spans="1:11" ht="24.75" customHeight="1">
      <c r="B119" s="325">
        <f>IF(K119="",0,ROUND(Calculations!H373,6))</f>
        <v>0</v>
      </c>
      <c r="C119" s="328">
        <f>IF(K119="",0,ROUND(Calculations!I373,3))</f>
        <v>0</v>
      </c>
      <c r="D119" s="102"/>
      <c r="E119" s="102"/>
      <c r="F119" s="124"/>
      <c r="G119" s="102"/>
      <c r="H119" s="102"/>
      <c r="I119" s="102"/>
      <c r="J119" s="102"/>
      <c r="K119" s="315"/>
    </row>
    <row r="120" spans="1:11" ht="24.75" customHeight="1">
      <c r="B120" s="325">
        <f>IF(K120="",0,ROUND(Calculations!H374,6))</f>
        <v>0</v>
      </c>
      <c r="C120" s="328">
        <f>IF(K120="",0,ROUND(Calculations!I374,3))</f>
        <v>0</v>
      </c>
      <c r="D120" s="102"/>
      <c r="E120" s="102"/>
      <c r="F120" s="124"/>
      <c r="G120" s="102"/>
      <c r="H120" s="102"/>
      <c r="I120" s="102"/>
      <c r="J120" s="102"/>
      <c r="K120" s="315"/>
    </row>
    <row r="121" spans="1:11" ht="24.75" customHeight="1">
      <c r="B121" s="325">
        <f>IF(K121="",0,ROUND(Calculations!H375,6))</f>
        <v>0</v>
      </c>
      <c r="C121" s="328">
        <f>IF(K121="",0,ROUND(Calculations!I375,3))</f>
        <v>0</v>
      </c>
      <c r="D121" s="102"/>
      <c r="E121" s="102"/>
      <c r="F121" s="124"/>
      <c r="G121" s="102"/>
      <c r="H121" s="102"/>
      <c r="I121" s="102"/>
      <c r="J121" s="102"/>
      <c r="K121" s="315"/>
    </row>
    <row r="122" spans="1:11" ht="24.75" customHeight="1" thickBot="1">
      <c r="B122" s="326">
        <f>SUM(B117:B121)</f>
        <v>0</v>
      </c>
      <c r="C122" s="329">
        <f>SUM(C117:C121)</f>
        <v>0</v>
      </c>
      <c r="D122" s="363" t="s">
        <v>46</v>
      </c>
      <c r="E122" s="363"/>
      <c r="F122" s="363"/>
      <c r="G122" s="363"/>
      <c r="H122" s="363"/>
      <c r="I122" s="363"/>
      <c r="J122" s="363"/>
      <c r="K122" s="364"/>
    </row>
    <row r="123" spans="1:11" ht="24.75" customHeight="1"/>
    <row r="124" spans="1:11" ht="24.75" customHeight="1" thickBot="1">
      <c r="B124" s="96" t="s">
        <v>281</v>
      </c>
    </row>
    <row r="125" spans="1:11" ht="24.75" customHeight="1">
      <c r="B125" s="289" t="s">
        <v>45</v>
      </c>
      <c r="C125" s="290" t="s">
        <v>11</v>
      </c>
      <c r="D125" s="290" t="s">
        <v>209</v>
      </c>
      <c r="E125" s="290" t="s">
        <v>210</v>
      </c>
      <c r="F125" s="291" t="s">
        <v>155</v>
      </c>
      <c r="G125" s="291" t="s">
        <v>393</v>
      </c>
      <c r="H125" s="291" t="s">
        <v>392</v>
      </c>
      <c r="I125" s="291" t="s">
        <v>230</v>
      </c>
      <c r="J125" s="135" t="s">
        <v>208</v>
      </c>
    </row>
    <row r="126" spans="1:11" ht="24.75" customHeight="1">
      <c r="B126" s="325">
        <f>IF(J126="",0,ROUND(Calculations!H389,6))</f>
        <v>0</v>
      </c>
      <c r="C126" s="328">
        <f>IF(J126="",0,ROUND(Calculations!G389,3))</f>
        <v>0</v>
      </c>
      <c r="D126" s="102"/>
      <c r="E126" s="102"/>
      <c r="F126" s="48"/>
      <c r="G126" s="124"/>
      <c r="H126" s="124"/>
      <c r="I126" s="124"/>
      <c r="J126" s="315"/>
    </row>
    <row r="127" spans="1:11" ht="24.75" customHeight="1">
      <c r="B127" s="325">
        <f>IF(J127="",0,ROUND(Calculations!H390,6))</f>
        <v>0</v>
      </c>
      <c r="C127" s="328">
        <f>IF(J127="",0,ROUND(Calculations!G390,3))</f>
        <v>0</v>
      </c>
      <c r="D127" s="102"/>
      <c r="E127" s="102"/>
      <c r="F127" s="124"/>
      <c r="G127" s="124"/>
      <c r="H127" s="124"/>
      <c r="I127" s="124"/>
      <c r="J127" s="315"/>
    </row>
    <row r="128" spans="1:11" ht="24.75" customHeight="1">
      <c r="B128" s="325">
        <f>IF(J128="",0,ROUND(Calculations!H391,6))</f>
        <v>0</v>
      </c>
      <c r="C128" s="328">
        <f>IF(J128="",0,ROUND(Calculations!G391,3))</f>
        <v>0</v>
      </c>
      <c r="D128" s="102"/>
      <c r="E128" s="102"/>
      <c r="F128" s="124"/>
      <c r="G128" s="124"/>
      <c r="H128" s="124"/>
      <c r="I128" s="124"/>
      <c r="J128" s="315"/>
    </row>
    <row r="129" spans="2:13" ht="24.75" customHeight="1">
      <c r="B129" s="325">
        <f>IF(J129="",0,ROUND(Calculations!H392,6))</f>
        <v>0</v>
      </c>
      <c r="C129" s="328">
        <f>IF(J129="",0,ROUND(Calculations!G392,3))</f>
        <v>0</v>
      </c>
      <c r="D129" s="102"/>
      <c r="E129" s="102"/>
      <c r="F129" s="124"/>
      <c r="G129" s="124"/>
      <c r="H129" s="124"/>
      <c r="I129" s="124"/>
      <c r="J129" s="315"/>
    </row>
    <row r="130" spans="2:13" ht="24.75" customHeight="1">
      <c r="B130" s="325">
        <f>IF(J130="",0,ROUND(Calculations!H393,6))</f>
        <v>0</v>
      </c>
      <c r="C130" s="328">
        <f>IF(J130="",0,ROUND(Calculations!G393,3))</f>
        <v>0</v>
      </c>
      <c r="D130" s="102"/>
      <c r="E130" s="102"/>
      <c r="F130" s="124"/>
      <c r="G130" s="124"/>
      <c r="H130" s="124"/>
      <c r="I130" s="124"/>
      <c r="J130" s="315"/>
    </row>
    <row r="131" spans="2:13" ht="24" customHeight="1" thickBot="1">
      <c r="B131" s="326">
        <f>SUM(B126:B130)</f>
        <v>0</v>
      </c>
      <c r="C131" s="329">
        <f>SUM(C126:C130)</f>
        <v>0</v>
      </c>
      <c r="D131" s="363" t="s">
        <v>46</v>
      </c>
      <c r="E131" s="363"/>
      <c r="F131" s="363"/>
      <c r="G131" s="363"/>
      <c r="H131" s="363"/>
      <c r="I131" s="363"/>
      <c r="J131" s="364"/>
    </row>
    <row r="132" spans="2:13" ht="24" customHeight="1"/>
    <row r="133" spans="2:13" ht="24" customHeight="1" thickBot="1">
      <c r="B133" s="96" t="s">
        <v>403</v>
      </c>
    </row>
    <row r="134" spans="2:13" ht="24" customHeight="1">
      <c r="B134" s="289" t="s">
        <v>45</v>
      </c>
      <c r="C134" s="290" t="s">
        <v>11</v>
      </c>
      <c r="D134" s="290" t="s">
        <v>209</v>
      </c>
      <c r="E134" s="290" t="s">
        <v>210</v>
      </c>
      <c r="F134" s="291" t="s">
        <v>423</v>
      </c>
      <c r="G134" s="291" t="s">
        <v>410</v>
      </c>
      <c r="H134" s="291" t="s">
        <v>393</v>
      </c>
      <c r="I134" s="291" t="s">
        <v>392</v>
      </c>
      <c r="J134" s="291" t="s">
        <v>230</v>
      </c>
      <c r="K134" s="291" t="s">
        <v>40</v>
      </c>
      <c r="L134" s="135" t="s">
        <v>208</v>
      </c>
    </row>
    <row r="135" spans="2:13" ht="24" customHeight="1">
      <c r="B135" s="325">
        <f>IF(L135="",0,ROUND(Calculations!I409,6))</f>
        <v>0</v>
      </c>
      <c r="C135" s="328">
        <f>IF(L135="",0,ROUND(Calculations!H409,3))</f>
        <v>0</v>
      </c>
      <c r="D135" s="102"/>
      <c r="E135" s="102"/>
      <c r="F135" s="48"/>
      <c r="G135" s="124"/>
      <c r="H135" s="124"/>
      <c r="I135" s="124"/>
      <c r="J135" s="124"/>
      <c r="K135" s="124"/>
      <c r="L135" s="315"/>
    </row>
    <row r="136" spans="2:13" ht="24" customHeight="1">
      <c r="B136" s="325">
        <f>IF(L136="",0,ROUND(Calculations!I410,6))</f>
        <v>0</v>
      </c>
      <c r="C136" s="328">
        <f>IF(L136="",0,ROUND(Calculations!H410,3))</f>
        <v>0</v>
      </c>
      <c r="D136" s="102"/>
      <c r="E136" s="102"/>
      <c r="F136" s="124"/>
      <c r="G136" s="124"/>
      <c r="H136" s="124"/>
      <c r="I136" s="124"/>
      <c r="J136" s="124"/>
      <c r="K136" s="124"/>
      <c r="L136" s="315"/>
    </row>
    <row r="137" spans="2:13" ht="24" customHeight="1">
      <c r="B137" s="325">
        <f>IF(L137="",0,ROUND(Calculations!I411,6))</f>
        <v>0</v>
      </c>
      <c r="C137" s="328">
        <f>IF(L137="",0,ROUND(Calculations!H411,3))</f>
        <v>0</v>
      </c>
      <c r="D137" s="102"/>
      <c r="E137" s="102"/>
      <c r="F137" s="124"/>
      <c r="G137" s="124"/>
      <c r="H137" s="124"/>
      <c r="I137" s="124"/>
      <c r="J137" s="124"/>
      <c r="K137" s="124"/>
      <c r="L137" s="315"/>
    </row>
    <row r="138" spans="2:13" ht="24" customHeight="1">
      <c r="B138" s="325">
        <f>IF(L138="",0,ROUND(Calculations!I412,6))</f>
        <v>0</v>
      </c>
      <c r="C138" s="328">
        <f>IF(L138="",0,ROUND(Calculations!H412,3))</f>
        <v>0</v>
      </c>
      <c r="D138" s="102"/>
      <c r="E138" s="102"/>
      <c r="F138" s="124"/>
      <c r="G138" s="124"/>
      <c r="H138" s="124"/>
      <c r="I138" s="124"/>
      <c r="J138" s="124"/>
      <c r="K138" s="124"/>
      <c r="L138" s="315"/>
    </row>
    <row r="139" spans="2:13" ht="24" customHeight="1">
      <c r="B139" s="325">
        <f>IF(L139="",0,ROUND(Calculations!I413,6))</f>
        <v>0</v>
      </c>
      <c r="C139" s="328">
        <f>IF(L139="",0,ROUND(Calculations!H413,3))</f>
        <v>0</v>
      </c>
      <c r="D139" s="102"/>
      <c r="E139" s="102"/>
      <c r="F139" s="124"/>
      <c r="G139" s="124"/>
      <c r="H139" s="124"/>
      <c r="I139" s="124"/>
      <c r="J139" s="124"/>
      <c r="K139" s="124"/>
      <c r="L139" s="315"/>
    </row>
    <row r="140" spans="2:13" ht="24" customHeight="1" thickBot="1">
      <c r="B140" s="326">
        <f>SUM(B135:B139)</f>
        <v>0</v>
      </c>
      <c r="C140" s="329">
        <f>SUM(C135:C139)</f>
        <v>0</v>
      </c>
      <c r="D140" s="363" t="s">
        <v>46</v>
      </c>
      <c r="E140" s="363"/>
      <c r="F140" s="363"/>
      <c r="G140" s="363"/>
      <c r="H140" s="363"/>
      <c r="I140" s="363"/>
      <c r="J140" s="363"/>
      <c r="K140" s="363"/>
      <c r="L140" s="364"/>
    </row>
    <row r="141" spans="2:13" ht="24.75" customHeight="1"/>
    <row r="142" spans="2:13" ht="24.75" customHeight="1" thickBot="1">
      <c r="B142" s="96" t="s">
        <v>424</v>
      </c>
    </row>
    <row r="143" spans="2:13" ht="29.25" customHeight="1">
      <c r="B143" s="289" t="s">
        <v>45</v>
      </c>
      <c r="C143" s="290" t="s">
        <v>11</v>
      </c>
      <c r="D143" s="290" t="s">
        <v>209</v>
      </c>
      <c r="E143" s="290" t="s">
        <v>210</v>
      </c>
      <c r="F143" s="291" t="s">
        <v>437</v>
      </c>
      <c r="G143" s="292" t="s">
        <v>425</v>
      </c>
      <c r="H143" s="292" t="s">
        <v>428</v>
      </c>
      <c r="I143" s="292" t="s">
        <v>433</v>
      </c>
      <c r="J143" s="292" t="s">
        <v>427</v>
      </c>
      <c r="K143" s="292" t="s">
        <v>230</v>
      </c>
      <c r="L143" s="292" t="s">
        <v>432</v>
      </c>
      <c r="M143" s="135" t="s">
        <v>208</v>
      </c>
    </row>
    <row r="144" spans="2:13" ht="24.75" customHeight="1">
      <c r="B144" s="325">
        <f>IF(M144="",0,ROUND(Calculations!L425,6))</f>
        <v>0</v>
      </c>
      <c r="C144" s="328">
        <f>IF(M144="",0,ROUND(Calculations!K425,3))</f>
        <v>0</v>
      </c>
      <c r="D144" s="102"/>
      <c r="E144" s="102"/>
      <c r="F144" s="48"/>
      <c r="G144" s="124"/>
      <c r="H144" s="124"/>
      <c r="I144" s="124"/>
      <c r="J144" s="124"/>
      <c r="K144" s="124"/>
      <c r="L144" s="124"/>
      <c r="M144" s="315"/>
    </row>
    <row r="145" spans="2:13" ht="24.75" customHeight="1">
      <c r="B145" s="325">
        <f>IF(M145="",0,ROUND(Calculations!L426,6))</f>
        <v>0</v>
      </c>
      <c r="C145" s="328">
        <f>IF(M145="",0,ROUND(Calculations!K426,3))</f>
        <v>0</v>
      </c>
      <c r="D145" s="102"/>
      <c r="E145" s="102"/>
      <c r="F145" s="124"/>
      <c r="G145" s="124"/>
      <c r="H145" s="124"/>
      <c r="I145" s="124"/>
      <c r="J145" s="124"/>
      <c r="K145" s="124"/>
      <c r="L145" s="124"/>
      <c r="M145" s="315"/>
    </row>
    <row r="146" spans="2:13" ht="24.75" customHeight="1">
      <c r="B146" s="325">
        <f>IF(M146="",0,ROUND(Calculations!L427,6))</f>
        <v>0</v>
      </c>
      <c r="C146" s="328">
        <f>IF(M146="",0,ROUND(Calculations!K427,3))</f>
        <v>0</v>
      </c>
      <c r="D146" s="102"/>
      <c r="E146" s="102"/>
      <c r="F146" s="124"/>
      <c r="G146" s="124"/>
      <c r="H146" s="124"/>
      <c r="I146" s="124"/>
      <c r="J146" s="124"/>
      <c r="K146" s="124"/>
      <c r="L146" s="124"/>
      <c r="M146" s="315"/>
    </row>
    <row r="147" spans="2:13" ht="24.75" customHeight="1">
      <c r="B147" s="325">
        <f>IF(M147="",0,ROUND(Calculations!L428,6))</f>
        <v>0</v>
      </c>
      <c r="C147" s="328">
        <f>IF(M147="",0,ROUND(Calculations!K428,3))</f>
        <v>0</v>
      </c>
      <c r="D147" s="102"/>
      <c r="E147" s="102"/>
      <c r="F147" s="124"/>
      <c r="G147" s="124"/>
      <c r="H147" s="124"/>
      <c r="I147" s="124"/>
      <c r="J147" s="124"/>
      <c r="K147" s="124"/>
      <c r="L147" s="124"/>
      <c r="M147" s="315"/>
    </row>
    <row r="148" spans="2:13" ht="24.75" customHeight="1">
      <c r="B148" s="325">
        <f>IF(M148="",0,ROUND(Calculations!L429,6))</f>
        <v>0</v>
      </c>
      <c r="C148" s="328">
        <f>IF(M148="",0,ROUND(Calculations!K429,3))</f>
        <v>0</v>
      </c>
      <c r="D148" s="102"/>
      <c r="E148" s="102"/>
      <c r="F148" s="124"/>
      <c r="G148" s="124"/>
      <c r="H148" s="124"/>
      <c r="I148" s="124"/>
      <c r="J148" s="124"/>
      <c r="K148" s="124"/>
      <c r="L148" s="124"/>
      <c r="M148" s="315"/>
    </row>
    <row r="149" spans="2:13" ht="24.75" customHeight="1" thickBot="1">
      <c r="B149" s="326">
        <f>SUM(B144:B148)</f>
        <v>0</v>
      </c>
      <c r="C149" s="329">
        <f>SUM(C144:C148)</f>
        <v>0</v>
      </c>
      <c r="D149" s="363" t="s">
        <v>46</v>
      </c>
      <c r="E149" s="363"/>
      <c r="F149" s="363"/>
      <c r="G149" s="363"/>
      <c r="H149" s="363"/>
      <c r="I149" s="363"/>
      <c r="J149" s="363"/>
      <c r="K149" s="363"/>
      <c r="L149" s="363"/>
      <c r="M149" s="364"/>
    </row>
  </sheetData>
  <sheetProtection algorithmName="SHA-512" hashValue="ePkcuYOQB4jZZeS7qqmPhOWMmCRbKzcnI+Ng4yCOtETGYwnKwRzqsJzhMN4EoAzynE94OqenifEs/v+EOv02Jw==" saltValue="VqkEPuqvo2qFoZm3VTw4mQ==" spinCount="100000" sheet="1" formatColumns="0"/>
  <mergeCells count="29">
    <mergeCell ref="B1:F2"/>
    <mergeCell ref="B46:B47"/>
    <mergeCell ref="C46:C47"/>
    <mergeCell ref="F46:F47"/>
    <mergeCell ref="B3:F3"/>
    <mergeCell ref="E46:E47"/>
    <mergeCell ref="D46:D47"/>
    <mergeCell ref="D11:I11"/>
    <mergeCell ref="D19:H19"/>
    <mergeCell ref="D31:J31"/>
    <mergeCell ref="D37:H37"/>
    <mergeCell ref="D43:H43"/>
    <mergeCell ref="N46:N47"/>
    <mergeCell ref="D52:N52"/>
    <mergeCell ref="D58:I58"/>
    <mergeCell ref="D66:I66"/>
    <mergeCell ref="J46:M46"/>
    <mergeCell ref="G46:G47"/>
    <mergeCell ref="H46:I46"/>
    <mergeCell ref="D74:I74"/>
    <mergeCell ref="D80:H80"/>
    <mergeCell ref="D89:H89"/>
    <mergeCell ref="D94:G94"/>
    <mergeCell ref="D106:M106"/>
    <mergeCell ref="D113:H113"/>
    <mergeCell ref="D122:K122"/>
    <mergeCell ref="D131:J131"/>
    <mergeCell ref="D140:L140"/>
    <mergeCell ref="D149:M149"/>
  </mergeCells>
  <conditionalFormatting sqref="E98:E105">
    <cfRule type="expression" dxfId="42" priority="4">
      <formula>D98="New Construction"</formula>
    </cfRule>
    <cfRule type="expression" dxfId="41" priority="5">
      <formula>D98="Time of Sale"</formula>
    </cfRule>
  </conditionalFormatting>
  <conditionalFormatting sqref="H144:H148">
    <cfRule type="expression" dxfId="40" priority="3">
      <formula>G144="HP"</formula>
    </cfRule>
  </conditionalFormatting>
  <conditionalFormatting sqref="I144:L148">
    <cfRule type="expression" dxfId="39" priority="2">
      <formula>$G144="Tons"</formula>
    </cfRule>
  </conditionalFormatting>
  <conditionalFormatting sqref="I144:I148">
    <cfRule type="expression" dxfId="38" priority="1">
      <formula>H144="HP"</formula>
    </cfRule>
  </conditionalFormatting>
  <dataValidations count="14">
    <dataValidation type="whole" allowBlank="1" showInputMessage="1" showErrorMessage="1" sqref="F57 F36 F42 F71:F73 F111:F112" xr:uid="{0C7FE16D-C83F-4A09-85CB-0FF0316A8A1F}">
      <formula1>0</formula1>
      <formula2>100</formula2>
    </dataValidation>
    <dataValidation type="decimal" allowBlank="1" showInputMessage="1" showErrorMessage="1" sqref="G15:G18" xr:uid="{FAE4D22B-A7F6-4CEF-B84E-8B9BF61EE54B}">
      <formula1>0</formula1>
      <formula2>1000</formula2>
    </dataValidation>
    <dataValidation type="whole" allowBlank="1" showInputMessage="1" showErrorMessage="1" sqref="F79 F85:F88 F7:F10" xr:uid="{9ED06D09-1C77-4279-B146-1113E4399629}">
      <formula1>0</formula1>
      <formula2>1000</formula2>
    </dataValidation>
    <dataValidation type="decimal" allowBlank="1" showInputMessage="1" showErrorMessage="1" sqref="G41:G42" xr:uid="{42DC28E1-5A27-483D-AEC7-000E89861B39}">
      <formula1>0</formula1>
      <formula2>100</formula2>
    </dataValidation>
    <dataValidation type="whole" allowBlank="1" showInputMessage="1" showErrorMessage="1" sqref="F23:F30 G62:G65 F35 F41 F48:F51 F56 F62 F70 F78 F84 F93 H98 F110 F117 F126 F135 F144" xr:uid="{6BD3B4D6-F6C3-4AFC-BDA9-C0B04AED6442}">
      <formula1>0</formula1>
      <formula2>50</formula2>
    </dataValidation>
    <dataValidation type="whole" allowBlank="1" showInputMessage="1" showErrorMessage="1" sqref="G70:G73" xr:uid="{64B34330-9218-4343-8E76-7F375DDCF123}">
      <formula1>3</formula1>
      <formula2>12</formula2>
    </dataValidation>
    <dataValidation type="decimal" allowBlank="1" showInputMessage="1" showErrorMessage="1" sqref="I98:I105" xr:uid="{37F3FA22-3CED-4351-8010-AADA92A4F962}">
      <formula1>0</formula1>
      <formula2>150</formula2>
    </dataValidation>
    <dataValidation type="whole" allowBlank="1" showInputMessage="1" showErrorMessage="1" sqref="F15:F18 H99:H105" xr:uid="{D5877688-77E7-4903-8B5D-D9DBC8F53286}">
      <formula1>1</formula1>
      <formula2>100</formula2>
    </dataValidation>
    <dataValidation type="whole" allowBlank="1" showInputMessage="1" showErrorMessage="1" sqref="G48:G51" xr:uid="{DAFAD21C-EEB1-43DA-B981-9084B76A2AE9}">
      <formula1>0</formula1>
      <formula2>4000</formula2>
    </dataValidation>
    <dataValidation type="decimal" allowBlank="1" showInputMessage="1" showErrorMessage="1" sqref="G110:G112 M48:M51" xr:uid="{9D394BA1-F405-4C03-A822-F2CF165898B1}">
      <formula1>0</formula1>
      <formula2>50</formula2>
    </dataValidation>
    <dataValidation type="list" allowBlank="1" showInputMessage="1" showErrorMessage="1" sqref="H56:H57 H62:H65" xr:uid="{72D824F8-50D7-41F2-8477-A9434CF1ED0B}">
      <formula1>BuildingTypeOven</formula1>
    </dataValidation>
    <dataValidation type="list" allowBlank="1" showInputMessage="1" showErrorMessage="1" sqref="I117:I121" xr:uid="{B078C4F5-F1AB-4F6D-BFA3-B5CB40BADDE2}">
      <formula1>DishwasherTemp</formula1>
    </dataValidation>
    <dataValidation type="list" allowBlank="1" showInputMessage="1" showErrorMessage="1" sqref="J117:J121" xr:uid="{818CF23A-CB08-4BC0-B706-25569F18022D}">
      <formula1>INDIRECT(I117)</formula1>
    </dataValidation>
    <dataValidation type="list" allowBlank="1" showInputMessage="1" showErrorMessage="1" sqref="I23:I30" xr:uid="{0DA55426-246F-4BF1-91DB-A2E6D480D76F}">
      <formula1>Curtains</formula1>
    </dataValidation>
  </dataValidations>
  <pageMargins left="0.5" right="0.5" top="0.5" bottom="0.5" header="0.3" footer="0.3"/>
  <pageSetup orientation="portrait" r:id="rId1"/>
  <legacyDrawing r:id="rId2"/>
  <extLst>
    <ext xmlns:x14="http://schemas.microsoft.com/office/spreadsheetml/2009/9/main" uri="{CCE6A557-97BC-4b89-ADB6-D9C93CAAB3DF}">
      <x14:dataValidations xmlns:xm="http://schemas.microsoft.com/office/excel/2006/main" count="26">
        <x14:dataValidation type="list" allowBlank="1" showInputMessage="1" showErrorMessage="1" xr:uid="{BA5B4AB6-EE5A-45F5-8EF6-299F6E2F3D29}">
          <x14:formula1>
            <xm:f>Calculations!$B$99:$B$100</xm:f>
          </x14:formula1>
          <xm:sqref>H48:H51 J48:J51</xm:sqref>
        </x14:dataValidation>
        <x14:dataValidation type="list" allowBlank="1" showInputMessage="1" showErrorMessage="1" xr:uid="{77F2D2EF-5494-420F-83C1-9F4FEBC4524D}">
          <x14:formula1>
            <xm:f>Calculations!$C$99:$C$102</xm:f>
          </x14:formula1>
          <xm:sqref>K48:K51 I48:I51</xm:sqref>
        </x14:dataValidation>
        <x14:dataValidation type="list" allowBlank="1" showInputMessage="1" showErrorMessage="1" xr:uid="{1319C354-EB80-4400-8310-EF9F1483206A}">
          <x14:formula1>
            <xm:f>Calculations!$B$5:$B$6</xm:f>
          </x14:formula1>
          <xm:sqref>G7:G10</xm:sqref>
        </x14:dataValidation>
        <x14:dataValidation type="list" allowBlank="1" showInputMessage="1" showErrorMessage="1" xr:uid="{22B43239-7E40-465A-B4FE-8681862F7180}">
          <x14:formula1>
            <xm:f>Calculations!$C$5:$C$6</xm:f>
          </x14:formula1>
          <xm:sqref>H7:H10</xm:sqref>
        </x14:dataValidation>
        <x14:dataValidation type="list" allowBlank="1" showInputMessage="1" showErrorMessage="1" xr:uid="{6DF0C9FB-A6A3-4F66-916E-39E2FC1CDE75}">
          <x14:formula1>
            <xm:f>Calculations!$B$66:$B$67</xm:f>
          </x14:formula1>
          <xm:sqref>G35:G36</xm:sqref>
        </x14:dataValidation>
        <x14:dataValidation type="list" allowBlank="1" showInputMessage="1" showErrorMessage="1" xr:uid="{F7A729A0-A6F5-4987-A853-5DE63CFA631E}">
          <x14:formula1>
            <xm:f>Calculations!$B$139:$B$140</xm:f>
          </x14:formula1>
          <xm:sqref>G56:G57</xm:sqref>
        </x14:dataValidation>
        <x14:dataValidation type="list" allowBlank="1" showInputMessage="1" showErrorMessage="1" xr:uid="{31B998A3-5D1F-4E4B-BC63-27649B28A0DC}">
          <x14:formula1>
            <xm:f>Calculations!$B$180:$B$181</xm:f>
          </x14:formula1>
          <xm:sqref>H70:H73</xm:sqref>
        </x14:dataValidation>
        <x14:dataValidation type="list" allowBlank="1" showInputMessage="1" showErrorMessage="1" xr:uid="{1E718A22-5460-4C2A-8BDB-92F96D3C2F7D}">
          <x14:formula1>
            <xm:f>Calculations!$C$254:$C$255</xm:f>
          </x14:formula1>
          <xm:sqref>K98:K105</xm:sqref>
        </x14:dataValidation>
        <x14:dataValidation type="list" allowBlank="1" showInputMessage="1" showErrorMessage="1" xr:uid="{81BCABAC-16E0-4FD7-9CED-683DB094685F}">
          <x14:formula1>
            <xm:f>Calculations!$D$254:$D$255</xm:f>
          </x14:formula1>
          <xm:sqref>L98:L105</xm:sqref>
        </x14:dataValidation>
        <x14:dataValidation type="list" allowBlank="1" showInputMessage="1" showErrorMessage="1" xr:uid="{199226DE-45A4-472F-9D9E-09FF15D120D5}">
          <x14:formula1>
            <xm:f>Calculations!$B$254:$B$255</xm:f>
          </x14:formula1>
          <xm:sqref>J98:J105</xm:sqref>
        </x14:dataValidation>
        <x14:dataValidation type="list" allowBlank="1" showInputMessage="1" showErrorMessage="1" xr:uid="{8E9D54CF-6102-4043-A1F9-DC6CA6A429BB}">
          <x14:formula1>
            <xm:f>Calculations!$B$36:$B$39</xm:f>
          </x14:formula1>
          <xm:sqref>G23:G30</xm:sqref>
        </x14:dataValidation>
        <x14:dataValidation type="list" allowBlank="1" showInputMessage="1" showErrorMessage="1" xr:uid="{28A19D58-B467-49E5-8364-CE9322DA2027}">
          <x14:formula1>
            <xm:f>Calculations!$C$36:$C$37</xm:f>
          </x14:formula1>
          <xm:sqref>H23:H30</xm:sqref>
        </x14:dataValidation>
        <x14:dataValidation type="list" allowBlank="1" showInputMessage="1" showErrorMessage="1" xr:uid="{DFE6B3EB-38D0-46FA-A516-E2B01FEE16C9}">
          <x14:formula1>
            <xm:f>Calculations!$D$99:$D$100</xm:f>
          </x14:formula1>
          <xm:sqref>L48:L51</xm:sqref>
        </x14:dataValidation>
        <x14:dataValidation type="list" allowBlank="1" showInputMessage="1" showErrorMessage="1" xr:uid="{2B1EB4CB-126C-4CDE-8347-FF74635D9656}">
          <x14:formula1>
            <xm:f>Calculations!$B$210:$B$211</xm:f>
          </x14:formula1>
          <xm:sqref>G78:G79</xm:sqref>
        </x14:dataValidation>
        <x14:dataValidation type="list" allowBlank="1" showInputMessage="1" showErrorMessage="1" xr:uid="{E19F8C7E-F44D-4EEC-8477-E2709C886CD9}">
          <x14:formula1>
            <xm:f>Calculations!$B$226:$B$227</xm:f>
          </x14:formula1>
          <xm:sqref>G84:G88</xm:sqref>
        </x14:dataValidation>
        <x14:dataValidation type="list" allowBlank="1" showInputMessage="1" showErrorMessage="1" xr:uid="{12D197E6-7E81-4F28-BD01-71DA5EF54295}">
          <x14:formula1>
            <xm:f>Calculations!$E$254:$E$256</xm:f>
          </x14:formula1>
          <xm:sqref>D98:D105</xm:sqref>
        </x14:dataValidation>
        <x14:dataValidation type="list" allowBlank="1" showInputMessage="1" showErrorMessage="1" xr:uid="{265A5B0E-7858-469B-A7B9-11EBC38311A5}">
          <x14:formula1>
            <xm:f>Calculations!$B$324:$B$325</xm:f>
          </x14:formula1>
          <xm:sqref>G117:H121</xm:sqref>
        </x14:dataValidation>
        <x14:dataValidation type="list" allowBlank="1" showInputMessage="1" showErrorMessage="1" xr:uid="{D028C7B8-C1E0-45E0-8F0D-24D2AE6EB69E}">
          <x14:formula1>
            <xm:f>Calculations!$B$381:$B$382</xm:f>
          </x14:formula1>
          <xm:sqref>H126:H130</xm:sqref>
        </x14:dataValidation>
        <x14:dataValidation type="list" allowBlank="1" showInputMessage="1" showErrorMessage="1" xr:uid="{833205E4-DF8D-477F-818F-C4C4EBF93ECA}">
          <x14:formula1>
            <xm:f>Calculations!$C$381:$C$382</xm:f>
          </x14:formula1>
          <xm:sqref>I126:I130</xm:sqref>
        </x14:dataValidation>
        <x14:dataValidation type="list" allowBlank="1" showInputMessage="1" showErrorMessage="1" xr:uid="{D1D4ED68-B1EF-4E35-BFD5-E94F7A88F0A7}">
          <x14:formula1>
            <xm:f>Calculations!$D$399:$D$400</xm:f>
          </x14:formula1>
          <xm:sqref>K135:K139</xm:sqref>
        </x14:dataValidation>
        <x14:dataValidation type="list" allowBlank="1" showInputMessage="1" showErrorMessage="1" xr:uid="{5F5188A7-6F83-4980-8C42-9D9C94524CFC}">
          <x14:formula1>
            <xm:f>Calculations!$C$399:$C$400</xm:f>
          </x14:formula1>
          <xm:sqref>J135:J139</xm:sqref>
        </x14:dataValidation>
        <x14:dataValidation type="list" allowBlank="1" showInputMessage="1" showErrorMessage="1" xr:uid="{ED1578D5-CE72-4B2D-BF0E-AC9AE687B42E}">
          <x14:formula1>
            <xm:f>Calculations!$B$399:$B$400</xm:f>
          </x14:formula1>
          <xm:sqref>I135:I139</xm:sqref>
        </x14:dataValidation>
        <x14:dataValidation type="list" allowBlank="1" showInputMessage="1" showErrorMessage="1" xr:uid="{C5CFC30D-5532-4CB0-A42C-8E788D51BFD0}">
          <x14:formula1>
            <xm:f>Calculations!$E$399:$E$400</xm:f>
          </x14:formula1>
          <xm:sqref>G135:G139</xm:sqref>
        </x14:dataValidation>
        <x14:dataValidation type="list" allowBlank="1" showInputMessage="1" showErrorMessage="1" xr:uid="{02502BC0-D131-4317-BE04-E4ACF79E2941}">
          <x14:formula1>
            <xm:f>Calculations!$B$420:$B$421</xm:f>
          </x14:formula1>
          <xm:sqref>G144:G148</xm:sqref>
        </x14:dataValidation>
        <x14:dataValidation type="list" allowBlank="1" showInputMessage="1" showErrorMessage="1" xr:uid="{08BAC04F-1D2E-4592-9E01-1BC79283B019}">
          <x14:formula1>
            <xm:f>Calculations!$C$420:$C$422</xm:f>
          </x14:formula1>
          <xm:sqref>K144:K148</xm:sqref>
        </x14:dataValidation>
        <x14:dataValidation type="list" allowBlank="1" showInputMessage="1" showErrorMessage="1" xr:uid="{0249E071-4F73-40F2-9A67-C877D34F2B39}">
          <x14:formula1>
            <xm:f>Calculations!$D$420:$D$421</xm:f>
          </x14:formula1>
          <xm:sqref>L144:L148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1FA0-43BB-4779-BF76-7197AA671266}">
  <dimension ref="A1:BR75"/>
  <sheetViews>
    <sheetView topLeftCell="Z1" zoomScale="70" zoomScaleNormal="70" workbookViewId="0">
      <pane ySplit="1" topLeftCell="A2" activePane="bottomLeft" state="frozen"/>
      <selection pane="bottomLeft" activeCell="AZ2" sqref="AZ2"/>
    </sheetView>
  </sheetViews>
  <sheetFormatPr defaultRowHeight="14.25"/>
  <cols>
    <col min="1" max="1" width="9" style="141"/>
    <col min="2" max="2" width="29.375" style="141" customWidth="1"/>
    <col min="3" max="3" width="12.125" customWidth="1"/>
    <col min="22" max="22" width="17.625" customWidth="1"/>
    <col min="31" max="31" width="9" style="141"/>
    <col min="43" max="43" width="12.5" bestFit="1" customWidth="1"/>
    <col min="48" max="49" width="9" style="118"/>
    <col min="52" max="52" width="9" style="286"/>
    <col min="53" max="53" width="12" customWidth="1"/>
    <col min="65" max="65" width="20.375" customWidth="1"/>
  </cols>
  <sheetData>
    <row r="1" spans="1:70" ht="75">
      <c r="B1" s="281" t="s">
        <v>523</v>
      </c>
      <c r="C1" s="304" t="s">
        <v>455</v>
      </c>
      <c r="D1" s="304" t="s">
        <v>456</v>
      </c>
      <c r="E1" s="280" t="s">
        <v>457</v>
      </c>
      <c r="F1" s="280" t="s">
        <v>473</v>
      </c>
      <c r="G1" s="281" t="s">
        <v>474</v>
      </c>
      <c r="H1" s="281" t="s">
        <v>475</v>
      </c>
      <c r="I1" s="281" t="s">
        <v>476</v>
      </c>
      <c r="J1" s="280" t="s">
        <v>477</v>
      </c>
      <c r="K1" s="280" t="s">
        <v>478</v>
      </c>
      <c r="L1" s="280" t="s">
        <v>479</v>
      </c>
      <c r="M1" s="280" t="s">
        <v>480</v>
      </c>
      <c r="N1" s="320" t="s">
        <v>485</v>
      </c>
      <c r="O1" s="280" t="s">
        <v>486</v>
      </c>
      <c r="P1" s="280" t="s">
        <v>487</v>
      </c>
      <c r="Q1" s="280" t="s">
        <v>100</v>
      </c>
      <c r="R1" s="280" t="s">
        <v>489</v>
      </c>
      <c r="S1" s="280" t="s">
        <v>490</v>
      </c>
      <c r="T1" s="280" t="s">
        <v>494</v>
      </c>
      <c r="U1" s="280" t="s">
        <v>495</v>
      </c>
      <c r="V1" s="280" t="s">
        <v>496</v>
      </c>
      <c r="W1" s="280" t="s">
        <v>497</v>
      </c>
      <c r="X1" s="280" t="s">
        <v>498</v>
      </c>
      <c r="Y1" s="280" t="s">
        <v>499</v>
      </c>
      <c r="Z1" s="280" t="s">
        <v>501</v>
      </c>
      <c r="AA1" s="280" t="s">
        <v>503</v>
      </c>
      <c r="AB1" s="280" t="s">
        <v>504</v>
      </c>
      <c r="AC1" s="280" t="s">
        <v>505</v>
      </c>
      <c r="AD1" s="280" t="s">
        <v>508</v>
      </c>
      <c r="AE1" s="280" t="s">
        <v>369</v>
      </c>
      <c r="AF1" s="280" t="s">
        <v>509</v>
      </c>
      <c r="AG1" s="280" t="s">
        <v>510</v>
      </c>
      <c r="AH1" s="280" t="s">
        <v>511</v>
      </c>
      <c r="AI1" s="280" t="s">
        <v>512</v>
      </c>
      <c r="AJ1" s="280" t="s">
        <v>513</v>
      </c>
      <c r="AK1" s="280" t="s">
        <v>514</v>
      </c>
      <c r="AL1" s="280" t="s">
        <v>453</v>
      </c>
      <c r="AM1" s="280" t="s">
        <v>517</v>
      </c>
      <c r="AN1" s="280" t="s">
        <v>454</v>
      </c>
      <c r="AO1" s="280" t="s">
        <v>518</v>
      </c>
      <c r="AP1" s="280" t="s">
        <v>520</v>
      </c>
      <c r="AQ1" s="280" t="s">
        <v>519</v>
      </c>
      <c r="AR1" s="280" t="s">
        <v>35</v>
      </c>
      <c r="AS1" s="280" t="s">
        <v>521</v>
      </c>
      <c r="AT1" s="280" t="s">
        <v>522</v>
      </c>
      <c r="AU1" s="280" t="s">
        <v>464</v>
      </c>
      <c r="AV1" s="280" t="s">
        <v>524</v>
      </c>
      <c r="AW1" s="296" t="s">
        <v>525</v>
      </c>
      <c r="AX1" s="280" t="s">
        <v>210</v>
      </c>
      <c r="AY1" s="280" t="s">
        <v>342</v>
      </c>
      <c r="AZ1" s="304" t="s">
        <v>528</v>
      </c>
      <c r="BA1" s="280" t="s">
        <v>421</v>
      </c>
      <c r="BB1" s="321" t="s">
        <v>529</v>
      </c>
      <c r="BC1" s="282" t="s">
        <v>530</v>
      </c>
      <c r="BD1" s="321" t="s">
        <v>531</v>
      </c>
      <c r="BE1" s="321" t="s">
        <v>532</v>
      </c>
      <c r="BF1" s="283" t="s">
        <v>536</v>
      </c>
      <c r="BG1" s="321" t="s">
        <v>366</v>
      </c>
      <c r="BH1" s="280" t="s">
        <v>500</v>
      </c>
      <c r="BI1" s="321" t="s">
        <v>533</v>
      </c>
      <c r="BJ1" s="322" t="s">
        <v>534</v>
      </c>
      <c r="BK1" s="323" t="s">
        <v>535</v>
      </c>
      <c r="BL1" s="280" t="s">
        <v>526</v>
      </c>
      <c r="BM1" s="280" t="s">
        <v>527</v>
      </c>
      <c r="BN1" s="320" t="s">
        <v>484</v>
      </c>
      <c r="BO1" s="280" t="s">
        <v>488</v>
      </c>
      <c r="BP1" s="280" t="s">
        <v>493</v>
      </c>
      <c r="BQ1" s="280" t="s">
        <v>502</v>
      </c>
      <c r="BR1" s="280" t="s">
        <v>537</v>
      </c>
    </row>
    <row r="2" spans="1:70" s="152" customFormat="1">
      <c r="A2" s="152">
        <v>1</v>
      </c>
      <c r="B2" s="152" t="str">
        <f>IF(Calculator!F7="","",Calculator!$B$5)</f>
        <v/>
      </c>
      <c r="C2" s="318" t="str">
        <f>IF(B2="","",ROUND(Calculator!C7,3))</f>
        <v/>
      </c>
      <c r="D2" s="148" t="str">
        <f>IF(B2="","",Calculations!$D$5)</f>
        <v/>
      </c>
      <c r="E2" s="305" t="str">
        <f>IF(B2="","",Calculator!D7)</f>
        <v/>
      </c>
      <c r="F2" s="306" t="str">
        <f>IF(B2="","",Calculations!G17)</f>
        <v/>
      </c>
      <c r="O2" s="306" t="str">
        <f>IF(B2="","",Calculations!H17)</f>
        <v/>
      </c>
      <c r="P2" s="148"/>
      <c r="R2" s="307" t="str">
        <f>IF(B2="","",Calculator!I7)</f>
        <v/>
      </c>
      <c r="S2" s="306" t="str">
        <f>IF(B2="","",Calculations!C17)</f>
        <v/>
      </c>
      <c r="Z2" s="306" t="str">
        <f>IF(B2="","",Calculations!F17)</f>
        <v/>
      </c>
      <c r="AI2" s="152" t="str">
        <f>IF(B2="","",Calculations!B17)</f>
        <v/>
      </c>
      <c r="AO2" s="306" t="str">
        <f>IF(B2="","",Calculations!D17)</f>
        <v/>
      </c>
      <c r="AQ2" s="316" t="str">
        <f>IF(B2="","",ROUND(Calculations!I17,6))</f>
        <v/>
      </c>
      <c r="AV2" s="308"/>
      <c r="AW2" s="308"/>
      <c r="AX2" s="307" t="str">
        <f>IF(B2="","",Calculator!E7)</f>
        <v/>
      </c>
      <c r="AY2" s="148" t="str">
        <f>IF(B2="","",Calculator!F7)</f>
        <v/>
      </c>
      <c r="AZ2" s="148" t="str">
        <f>IF(BA2="","",ROUND(IF(SUM($BA$2:$BA$74)&gt;(0.5*Summary!$C$8),(BA2/SUM($BA$2:$BA$74))*(0.5*Summary!$C$8),'Data Export'!BA2),2))</f>
        <v/>
      </c>
      <c r="BA2" s="309" t="str">
        <f>IF(B2="","",Calculations!K17)</f>
        <v/>
      </c>
      <c r="BL2" s="152" t="str">
        <f>IF(B2="","",993519)</f>
        <v/>
      </c>
      <c r="BM2" s="152" t="str">
        <f>IF(B2="","","PE-7500-EE-41")</f>
        <v/>
      </c>
      <c r="BR2" s="152" t="str">
        <f>IF(B2="","",Calculations!H17)</f>
        <v/>
      </c>
    </row>
    <row r="3" spans="1:70" s="152" customFormat="1">
      <c r="A3" s="152">
        <v>2</v>
      </c>
      <c r="B3" s="152" t="str">
        <f>IF(Calculator!F8="","",Calculator!$B$5)</f>
        <v/>
      </c>
      <c r="C3" s="318" t="str">
        <f>IF(B3="","",ROUND(Calculator!C8,3))</f>
        <v/>
      </c>
      <c r="D3" s="148" t="str">
        <f>IF(B3="","",Calculations!$D$5)</f>
        <v/>
      </c>
      <c r="E3" s="305" t="str">
        <f>IF(B3="","",Calculator!D8)</f>
        <v/>
      </c>
      <c r="F3" s="306" t="str">
        <f>IF(B3="","",Calculations!G18)</f>
        <v/>
      </c>
      <c r="O3" s="306" t="str">
        <f>IF(B3="","",Calculations!H18)</f>
        <v/>
      </c>
      <c r="P3" s="148"/>
      <c r="R3" s="307" t="str">
        <f>IF(B3="","",Calculator!I8)</f>
        <v/>
      </c>
      <c r="S3" s="306" t="str">
        <f>IF(B3="","",Calculations!C18)</f>
        <v/>
      </c>
      <c r="Z3" s="306" t="str">
        <f>IF(B3="","",Calculations!F18)</f>
        <v/>
      </c>
      <c r="AI3" s="152" t="str">
        <f>IF(B3="","",Calculations!B18)</f>
        <v/>
      </c>
      <c r="AO3" s="306" t="str">
        <f>IF(B3="","",Calculations!D18)</f>
        <v/>
      </c>
      <c r="AQ3" s="306" t="str">
        <f>IF(B3="","",ROUND(Calculations!I18,6))</f>
        <v/>
      </c>
      <c r="AV3" s="308"/>
      <c r="AW3" s="308"/>
      <c r="AX3" s="307" t="str">
        <f>IF(B3="","",Calculator!E8)</f>
        <v/>
      </c>
      <c r="AY3" s="148" t="str">
        <f>IF(B3="","",Calculator!F8)</f>
        <v/>
      </c>
      <c r="AZ3" s="148" t="str">
        <f>IF(BA3="","",ROUND(IF(SUM($BA$2:$BA$74)&gt;(0.5*Summary!$C$8),(BA3/SUM($BA$2:$BA$74))*(0.5*Summary!$C$8),'Data Export'!BA3),2))</f>
        <v/>
      </c>
      <c r="BA3" s="309" t="str">
        <f>IF(B3="","",Calculations!K18)</f>
        <v/>
      </c>
      <c r="BL3" s="152" t="str">
        <f t="shared" ref="BL3:BL66" si="0">IF(B3="","",993519)</f>
        <v/>
      </c>
      <c r="BM3" s="152" t="str">
        <f t="shared" ref="BM3:BM66" si="1">IF(B3="","","PE-7500-EE-41")</f>
        <v/>
      </c>
      <c r="BR3" s="152" t="str">
        <f>IF(B3="","",Calculations!H18)</f>
        <v/>
      </c>
    </row>
    <row r="4" spans="1:70" s="152" customFormat="1">
      <c r="A4" s="152">
        <v>3</v>
      </c>
      <c r="B4" s="152" t="str">
        <f>IF(Calculator!F9="","",Calculator!$B$5)</f>
        <v/>
      </c>
      <c r="C4" s="318" t="str">
        <f>IF(B4="","",ROUND(Calculator!C9,3))</f>
        <v/>
      </c>
      <c r="D4" s="148" t="str">
        <f>IF(B4="","",Calculations!$D$5)</f>
        <v/>
      </c>
      <c r="E4" s="305" t="str">
        <f>IF(B4="","",Calculator!D9)</f>
        <v/>
      </c>
      <c r="F4" s="306" t="str">
        <f>IF(B4="","",Calculations!G19)</f>
        <v/>
      </c>
      <c r="O4" s="306" t="str">
        <f>IF(B4="","",Calculations!H19)</f>
        <v/>
      </c>
      <c r="P4" s="148"/>
      <c r="R4" s="307" t="str">
        <f>IF(B4="","",Calculator!I9)</f>
        <v/>
      </c>
      <c r="S4" s="306" t="str">
        <f>IF(B4="","",Calculations!C19)</f>
        <v/>
      </c>
      <c r="Z4" s="306" t="str">
        <f>IF(B4="","",Calculations!F19)</f>
        <v/>
      </c>
      <c r="AI4" s="152" t="str">
        <f>IF(B4="","",Calculations!B19)</f>
        <v/>
      </c>
      <c r="AO4" s="306" t="str">
        <f>IF(B4="","",Calculations!D19)</f>
        <v/>
      </c>
      <c r="AQ4" s="306" t="str">
        <f>IF(B4="","",ROUND(Calculations!I19,6))</f>
        <v/>
      </c>
      <c r="AV4" s="308"/>
      <c r="AW4" s="308"/>
      <c r="AX4" s="307" t="str">
        <f>IF(B4="","",Calculator!E9)</f>
        <v/>
      </c>
      <c r="AY4" s="148" t="str">
        <f>IF(B4="","",Calculator!F9)</f>
        <v/>
      </c>
      <c r="AZ4" s="148" t="str">
        <f>IF(BA4="","",ROUND(IF(SUM($BA$2:$BA$74)&gt;(0.5*Summary!$C$8),(BA4/SUM($BA$2:$BA$74))*(0.5*Summary!$C$8),'Data Export'!BA4),2))</f>
        <v/>
      </c>
      <c r="BA4" s="309" t="str">
        <f>IF(B4="","",Calculations!K19)</f>
        <v/>
      </c>
      <c r="BL4" s="152" t="str">
        <f t="shared" si="0"/>
        <v/>
      </c>
      <c r="BM4" s="152" t="str">
        <f t="shared" si="1"/>
        <v/>
      </c>
      <c r="BR4" s="152" t="str">
        <f>IF(B4="","",Calculations!H19)</f>
        <v/>
      </c>
    </row>
    <row r="5" spans="1:70" s="152" customFormat="1">
      <c r="A5" s="152">
        <v>4</v>
      </c>
      <c r="B5" s="152" t="str">
        <f>IF(Calculator!F10="","",Calculator!$B$5)</f>
        <v/>
      </c>
      <c r="C5" s="318" t="str">
        <f>IF(B5="","",ROUND(Calculator!C10,3))</f>
        <v/>
      </c>
      <c r="D5" s="148" t="str">
        <f>IF(B5="","",Calculations!$D$5)</f>
        <v/>
      </c>
      <c r="E5" s="305" t="str">
        <f>IF(B5="","",Calculator!D10)</f>
        <v/>
      </c>
      <c r="F5" s="306" t="str">
        <f>IF(B5="","",Calculations!G20)</f>
        <v/>
      </c>
      <c r="O5" s="306" t="str">
        <f>IF(B5="","",Calculations!H20)</f>
        <v/>
      </c>
      <c r="P5" s="148"/>
      <c r="R5" s="307" t="str">
        <f>IF(B5="","",Calculator!I10)</f>
        <v/>
      </c>
      <c r="S5" s="306" t="str">
        <f>IF(B5="","",Calculations!C20)</f>
        <v/>
      </c>
      <c r="Z5" s="306" t="str">
        <f>IF(B5="","",Calculations!F20)</f>
        <v/>
      </c>
      <c r="AI5" s="152" t="str">
        <f>IF(B5="","",Calculations!B20)</f>
        <v/>
      </c>
      <c r="AO5" s="306" t="str">
        <f>IF(B5="","",Calculations!D20)</f>
        <v/>
      </c>
      <c r="AQ5" s="306" t="str">
        <f>IF(B5="","",ROUND(Calculations!I20,6))</f>
        <v/>
      </c>
      <c r="AV5" s="308"/>
      <c r="AW5" s="308"/>
      <c r="AX5" s="307" t="str">
        <f>IF(B5="","",Calculator!E10)</f>
        <v/>
      </c>
      <c r="AY5" s="148" t="str">
        <f>IF(B5="","",Calculator!F10)</f>
        <v/>
      </c>
      <c r="AZ5" s="148" t="str">
        <f>IF(BA5="","",ROUND(IF(SUM($BA$2:$BA$74)&gt;(0.5*Summary!$C$8),(BA5/SUM($BA$2:$BA$74))*(0.5*Summary!$C$8),'Data Export'!BA5),2))</f>
        <v/>
      </c>
      <c r="BA5" s="309" t="str">
        <f>IF(B5="","",Calculations!K20)</f>
        <v/>
      </c>
      <c r="BL5" s="152" t="str">
        <f t="shared" si="0"/>
        <v/>
      </c>
      <c r="BM5" s="152" t="str">
        <f t="shared" si="1"/>
        <v/>
      </c>
      <c r="BR5" s="152" t="str">
        <f>IF(B5="","",Calculations!H20)</f>
        <v/>
      </c>
    </row>
    <row r="6" spans="1:70" s="152" customFormat="1">
      <c r="A6" s="152">
        <v>5</v>
      </c>
      <c r="B6" s="152" t="str">
        <f>IF(Calculator!F15="","",Calculator!$B$13)</f>
        <v/>
      </c>
      <c r="C6" s="307" t="str">
        <f>IF(B6="","",ROUND(Calculator!C15,3))</f>
        <v/>
      </c>
      <c r="D6" s="148" t="str">
        <f>IF(B6="","",Calculations!$E$25)</f>
        <v/>
      </c>
      <c r="E6" s="305" t="str">
        <f>IF(B6="","",Calculator!D15)</f>
        <v/>
      </c>
      <c r="R6" s="307" t="str">
        <f>IF(B6="","",Calculator!H15)</f>
        <v/>
      </c>
      <c r="AA6" s="148" t="str">
        <f>IF(B6="","",Calculations!$C$24)</f>
        <v/>
      </c>
      <c r="AG6" s="310" t="str">
        <f>IF(B6="","",Calculator!G15)</f>
        <v/>
      </c>
      <c r="AQ6" s="310" t="str">
        <f>IF(B6="","",ROUND(Calculator!B15,6))</f>
        <v/>
      </c>
      <c r="AV6" s="308"/>
      <c r="AW6" s="308"/>
      <c r="AX6" s="305" t="str">
        <f>IF(B6="","",Calculator!E15)</f>
        <v/>
      </c>
      <c r="AY6" s="177" t="str">
        <f>IF(B6="","",Calculator!F15)</f>
        <v/>
      </c>
      <c r="AZ6" s="148" t="str">
        <f>IF(BA6="","",ROUND(IF(SUM($BA$2:$BA$74)&gt;(0.5*Summary!$C$8),(BA6/SUM($BA$2:$BA$74))*(0.5*Summary!$C$8),'Data Export'!BA6),2))</f>
        <v/>
      </c>
      <c r="BA6" s="311" t="str">
        <f>IF(B6="","",Calculations!G28)</f>
        <v/>
      </c>
      <c r="BL6" s="152" t="str">
        <f t="shared" si="0"/>
        <v/>
      </c>
      <c r="BM6" s="152" t="str">
        <f t="shared" si="1"/>
        <v/>
      </c>
    </row>
    <row r="7" spans="1:70" s="152" customFormat="1">
      <c r="A7" s="152">
        <v>6</v>
      </c>
      <c r="B7" s="152" t="str">
        <f>IF(Calculator!F16="","",Calculator!$B$13)</f>
        <v/>
      </c>
      <c r="C7" s="307" t="str">
        <f>IF(B7="","",ROUND(Calculator!C16,3))</f>
        <v/>
      </c>
      <c r="D7" s="148" t="str">
        <f>IF(B7="","",Calculations!$E$25)</f>
        <v/>
      </c>
      <c r="E7" s="305" t="str">
        <f>IF(B7="","",Calculator!D16)</f>
        <v/>
      </c>
      <c r="R7" s="307" t="str">
        <f>IF(B7="","",Calculator!H16)</f>
        <v/>
      </c>
      <c r="AA7" s="148" t="str">
        <f>IF(B7="","",Calculations!$C$24)</f>
        <v/>
      </c>
      <c r="AG7" s="310" t="str">
        <f>IF(B7="","",Calculator!G16)</f>
        <v/>
      </c>
      <c r="AQ7" s="152" t="str">
        <f>IF(B7="","",ROUND(Calculator!B16,6))</f>
        <v/>
      </c>
      <c r="AV7" s="308"/>
      <c r="AW7" s="308"/>
      <c r="AX7" s="305" t="str">
        <f>IF(B7="","",Calculator!E16)</f>
        <v/>
      </c>
      <c r="AY7" s="177" t="str">
        <f>IF(B7="","",Calculator!F16)</f>
        <v/>
      </c>
      <c r="AZ7" s="148" t="str">
        <f>IF(BA7="","",ROUND(IF(SUM($BA$2:$BA$74)&gt;(0.5*Summary!$C$8),(BA7/SUM($BA$2:$BA$74))*(0.5*Summary!$C$8),'Data Export'!BA7),2))</f>
        <v/>
      </c>
      <c r="BA7" s="311" t="str">
        <f>IF(B7="","",Calculations!G29)</f>
        <v/>
      </c>
      <c r="BL7" s="152" t="str">
        <f t="shared" si="0"/>
        <v/>
      </c>
      <c r="BM7" s="152" t="str">
        <f t="shared" si="1"/>
        <v/>
      </c>
    </row>
    <row r="8" spans="1:70" s="152" customFormat="1">
      <c r="A8" s="152">
        <v>7</v>
      </c>
      <c r="B8" s="152" t="str">
        <f>IF(Calculator!F17="","",Calculator!$B$13)</f>
        <v/>
      </c>
      <c r="C8" s="307" t="str">
        <f>IF(B8="","",ROUND(Calculator!C17,3))</f>
        <v/>
      </c>
      <c r="D8" s="148" t="str">
        <f>IF(B8="","",Calculations!$E$25)</f>
        <v/>
      </c>
      <c r="E8" s="305" t="str">
        <f>IF(B8="","",Calculator!D17)</f>
        <v/>
      </c>
      <c r="R8" s="307" t="str">
        <f>IF(B8="","",Calculator!H17)</f>
        <v/>
      </c>
      <c r="AA8" s="148" t="str">
        <f>IF(B8="","",Calculations!$C$24)</f>
        <v/>
      </c>
      <c r="AG8" s="310" t="str">
        <f>IF(B8="","",Calculator!G17)</f>
        <v/>
      </c>
      <c r="AQ8" s="152" t="str">
        <f>IF(B8="","",ROUND(Calculator!B17,6))</f>
        <v/>
      </c>
      <c r="AV8" s="308"/>
      <c r="AW8" s="308"/>
      <c r="AX8" s="305" t="str">
        <f>IF(B8="","",Calculator!E17)</f>
        <v/>
      </c>
      <c r="AY8" s="177" t="str">
        <f>IF(B8="","",Calculator!F17)</f>
        <v/>
      </c>
      <c r="AZ8" s="148" t="str">
        <f>IF(BA8="","",ROUND(IF(SUM($BA$2:$BA$74)&gt;(0.5*Summary!$C$8),(BA8/SUM($BA$2:$BA$74))*(0.5*Summary!$C$8),'Data Export'!BA8),2))</f>
        <v/>
      </c>
      <c r="BA8" s="311" t="str">
        <f>IF(B8="","",Calculations!G30)</f>
        <v/>
      </c>
      <c r="BL8" s="152" t="str">
        <f t="shared" si="0"/>
        <v/>
      </c>
      <c r="BM8" s="152" t="str">
        <f t="shared" si="1"/>
        <v/>
      </c>
    </row>
    <row r="9" spans="1:70" s="152" customFormat="1">
      <c r="A9" s="152">
        <v>8</v>
      </c>
      <c r="B9" s="152" t="str">
        <f>IF(Calculator!F18="","",Calculator!$B$13)</f>
        <v/>
      </c>
      <c r="C9" s="307" t="str">
        <f>IF(B9="","",ROUND(Calculator!C18,3))</f>
        <v/>
      </c>
      <c r="D9" s="148" t="str">
        <f>IF(B9="","",Calculations!$E$25)</f>
        <v/>
      </c>
      <c r="E9" s="305" t="str">
        <f>IF(B9="","",Calculator!D18)</f>
        <v/>
      </c>
      <c r="R9" s="307" t="str">
        <f>IF(B9="","",Calculator!H18)</f>
        <v/>
      </c>
      <c r="AA9" s="148" t="str">
        <f>IF(B9="","",Calculations!$C$24)</f>
        <v/>
      </c>
      <c r="AG9" s="310" t="str">
        <f>IF(B9="","",Calculator!G18)</f>
        <v/>
      </c>
      <c r="AQ9" s="152" t="str">
        <f>IF(B9="","",ROUND(Calculator!B18,6))</f>
        <v/>
      </c>
      <c r="AV9" s="308"/>
      <c r="AW9" s="308"/>
      <c r="AX9" s="305" t="str">
        <f>IF(B9="","",Calculator!E18)</f>
        <v/>
      </c>
      <c r="AY9" s="177" t="str">
        <f>IF(B9="","",Calculator!F18)</f>
        <v/>
      </c>
      <c r="AZ9" s="148" t="str">
        <f>IF(BA9="","",ROUND(IF(SUM($BA$2:$BA$74)&gt;(0.5*Summary!$C$8),(BA9/SUM($BA$2:$BA$74))*(0.5*Summary!$C$8),'Data Export'!BA9),2))</f>
        <v/>
      </c>
      <c r="BA9" s="311" t="str">
        <f>IF(B9="","",Calculations!G31)</f>
        <v/>
      </c>
      <c r="BL9" s="152" t="str">
        <f t="shared" si="0"/>
        <v/>
      </c>
      <c r="BM9" s="152" t="str">
        <f t="shared" si="1"/>
        <v/>
      </c>
    </row>
    <row r="10" spans="1:70" s="152" customFormat="1">
      <c r="A10" s="152">
        <v>9</v>
      </c>
      <c r="B10" s="152" t="str">
        <f>IF(Calculator!F23="","",Calculator!$B$21)</f>
        <v/>
      </c>
      <c r="C10" s="307" t="str">
        <f>IF(B10="","",ROUND(Calculator!C23,3))</f>
        <v/>
      </c>
      <c r="D10" s="148" t="str">
        <f>IF(B10="","",Calculations!$D$36)</f>
        <v/>
      </c>
      <c r="E10" s="305" t="str">
        <f>IF(B10="","",Calculator!D23)</f>
        <v/>
      </c>
      <c r="H10" s="310" t="str">
        <f>Calculations!H54</f>
        <v/>
      </c>
      <c r="R10" s="307" t="str">
        <f>IF(B10="","",Calculator!J23)</f>
        <v/>
      </c>
      <c r="AM10" s="148" t="str">
        <f>IF(B10="","",Calculator!I23)</f>
        <v/>
      </c>
      <c r="AO10" s="152" t="str">
        <f>IF(B10="","",Calculator!H23)</f>
        <v/>
      </c>
      <c r="AQ10" s="317" t="str">
        <f>IF(B10="","",ROUND(Calculator!B23,6))</f>
        <v/>
      </c>
      <c r="AV10" s="308"/>
      <c r="AW10" s="308"/>
      <c r="AX10" s="305" t="str">
        <f>IF(B10="","",Calculator!E23)</f>
        <v/>
      </c>
      <c r="AY10" s="152" t="str">
        <f>IF(B10="","",Calculator!F23)</f>
        <v/>
      </c>
      <c r="AZ10" s="148" t="str">
        <f>IF(BA10="","",ROUND(IF(SUM($BA$2:$BA$74)&gt;(0.5*Summary!$C$8),(BA10/SUM($BA$2:$BA$74))*(0.5*Summary!$C$8),'Data Export'!BA10),2))</f>
        <v/>
      </c>
      <c r="BA10" s="311" t="str">
        <f>Calculations!I54</f>
        <v/>
      </c>
      <c r="BL10" s="152" t="str">
        <f t="shared" si="0"/>
        <v/>
      </c>
      <c r="BM10" s="152" t="str">
        <f t="shared" si="1"/>
        <v/>
      </c>
    </row>
    <row r="11" spans="1:70" s="152" customFormat="1">
      <c r="A11" s="152">
        <v>10</v>
      </c>
      <c r="B11" s="152" t="str">
        <f>IF(Calculator!F24="","",Calculator!$B$21)</f>
        <v/>
      </c>
      <c r="C11" s="307" t="str">
        <f>IF(B11="","",ROUND(Calculator!C24,3))</f>
        <v/>
      </c>
      <c r="D11" s="148" t="str">
        <f>IF(B11="","",Calculations!$D$36)</f>
        <v/>
      </c>
      <c r="E11" s="305" t="str">
        <f>IF(B11="","",Calculator!D24)</f>
        <v/>
      </c>
      <c r="H11" s="310" t="str">
        <f>Calculations!H55</f>
        <v/>
      </c>
      <c r="R11" s="307" t="str">
        <f>IF(B11="","",Calculator!J24)</f>
        <v/>
      </c>
      <c r="AM11" s="148" t="str">
        <f>IF(B11="","",Calculator!I24)</f>
        <v/>
      </c>
      <c r="AO11" s="152" t="str">
        <f>IF(B11="","",Calculator!H24)</f>
        <v/>
      </c>
      <c r="AQ11" s="317" t="str">
        <f>IF(B11="","",ROUND(Calculator!B24,6))</f>
        <v/>
      </c>
      <c r="AV11" s="308"/>
      <c r="AW11" s="308"/>
      <c r="AX11" s="305" t="str">
        <f>IF(B11="","",Calculator!E24)</f>
        <v/>
      </c>
      <c r="AY11" s="152" t="str">
        <f>IF(B11="","",Calculator!F24)</f>
        <v/>
      </c>
      <c r="AZ11" s="148" t="str">
        <f>IF(BA11="","",ROUND(IF(SUM($BA$2:$BA$74)&gt;(0.5*Summary!$C$8),(BA11/SUM($BA$2:$BA$74))*(0.5*Summary!$C$8),'Data Export'!BA11),2))</f>
        <v/>
      </c>
      <c r="BA11" s="311" t="str">
        <f>Calculations!I55</f>
        <v/>
      </c>
      <c r="BL11" s="152" t="str">
        <f t="shared" si="0"/>
        <v/>
      </c>
      <c r="BM11" s="152" t="str">
        <f t="shared" si="1"/>
        <v/>
      </c>
    </row>
    <row r="12" spans="1:70" s="152" customFormat="1">
      <c r="A12" s="152">
        <v>11</v>
      </c>
      <c r="B12" s="152" t="str">
        <f>IF(Calculator!F25="","",Calculator!$B$21)</f>
        <v/>
      </c>
      <c r="C12" s="307" t="str">
        <f>IF(B12="","",ROUND(Calculator!C25,3))</f>
        <v/>
      </c>
      <c r="D12" s="148" t="str">
        <f>IF(B12="","",Calculations!$D$36)</f>
        <v/>
      </c>
      <c r="E12" s="305" t="str">
        <f>IF(B12="","",Calculator!D25)</f>
        <v/>
      </c>
      <c r="H12" s="310" t="str">
        <f>Calculations!H56</f>
        <v/>
      </c>
      <c r="R12" s="307" t="str">
        <f>IF(B12="","",Calculator!J25)</f>
        <v/>
      </c>
      <c r="AM12" s="148" t="str">
        <f>IF(B12="","",Calculator!I25)</f>
        <v/>
      </c>
      <c r="AO12" s="152" t="str">
        <f>IF(B12="","",Calculator!H25)</f>
        <v/>
      </c>
      <c r="AQ12" s="317" t="str">
        <f>IF(B12="","",ROUND(Calculator!B25,6))</f>
        <v/>
      </c>
      <c r="AV12" s="308"/>
      <c r="AW12" s="308"/>
      <c r="AX12" s="305" t="str">
        <f>IF(B12="","",Calculator!E25)</f>
        <v/>
      </c>
      <c r="AY12" s="152" t="str">
        <f>IF(B12="","",Calculator!F25)</f>
        <v/>
      </c>
      <c r="AZ12" s="148" t="str">
        <f>IF(BA12="","",ROUND(IF(SUM($BA$2:$BA$74)&gt;(0.5*Summary!$C$8),(BA12/SUM($BA$2:$BA$74))*(0.5*Summary!$C$8),'Data Export'!BA12),2))</f>
        <v/>
      </c>
      <c r="BA12" s="311" t="str">
        <f>Calculations!I56</f>
        <v/>
      </c>
      <c r="BL12" s="152" t="str">
        <f t="shared" si="0"/>
        <v/>
      </c>
      <c r="BM12" s="152" t="str">
        <f t="shared" si="1"/>
        <v/>
      </c>
    </row>
    <row r="13" spans="1:70" s="152" customFormat="1">
      <c r="A13" s="152">
        <v>12</v>
      </c>
      <c r="B13" s="152" t="str">
        <f>IF(Calculator!F26="","",Calculator!$B$21)</f>
        <v/>
      </c>
      <c r="C13" s="307" t="str">
        <f>IF(B13="","",ROUND(Calculator!C26,3))</f>
        <v/>
      </c>
      <c r="D13" s="148" t="str">
        <f>IF(B13="","",Calculations!$D$36)</f>
        <v/>
      </c>
      <c r="E13" s="305" t="str">
        <f>IF(B13="","",Calculator!D26)</f>
        <v/>
      </c>
      <c r="H13" s="310" t="str">
        <f>Calculations!H57</f>
        <v/>
      </c>
      <c r="R13" s="307" t="str">
        <f>IF(B13="","",Calculator!J26)</f>
        <v/>
      </c>
      <c r="AM13" s="148" t="str">
        <f>IF(B13="","",Calculator!I26)</f>
        <v/>
      </c>
      <c r="AO13" s="152" t="str">
        <f>IF(B13="","",Calculator!H26)</f>
        <v/>
      </c>
      <c r="AQ13" s="317" t="str">
        <f>IF(B13="","",ROUND(Calculator!B26,6))</f>
        <v/>
      </c>
      <c r="AV13" s="308"/>
      <c r="AW13" s="308"/>
      <c r="AX13" s="305" t="str">
        <f>IF(B13="","",Calculator!E26)</f>
        <v/>
      </c>
      <c r="AY13" s="152" t="str">
        <f>IF(B13="","",Calculator!F26)</f>
        <v/>
      </c>
      <c r="AZ13" s="148" t="str">
        <f>IF(BA13="","",ROUND(IF(SUM($BA$2:$BA$74)&gt;(0.5*Summary!$C$8),(BA13/SUM($BA$2:$BA$74))*(0.5*Summary!$C$8),'Data Export'!BA13),2))</f>
        <v/>
      </c>
      <c r="BA13" s="311" t="str">
        <f>Calculations!I57</f>
        <v/>
      </c>
      <c r="BL13" s="152" t="str">
        <f t="shared" si="0"/>
        <v/>
      </c>
      <c r="BM13" s="152" t="str">
        <f t="shared" si="1"/>
        <v/>
      </c>
    </row>
    <row r="14" spans="1:70" s="152" customFormat="1">
      <c r="A14" s="152">
        <v>13</v>
      </c>
      <c r="B14" s="152" t="str">
        <f>IF(Calculator!F27="","",Calculator!$B$21)</f>
        <v/>
      </c>
      <c r="C14" s="307" t="str">
        <f>IF(B14="","",ROUND(Calculator!C27,3))</f>
        <v/>
      </c>
      <c r="D14" s="148" t="str">
        <f>IF(B14="","",Calculations!$D$36)</f>
        <v/>
      </c>
      <c r="E14" s="305" t="str">
        <f>IF(B14="","",Calculator!D27)</f>
        <v/>
      </c>
      <c r="H14" s="310" t="str">
        <f>Calculations!H58</f>
        <v/>
      </c>
      <c r="R14" s="307" t="str">
        <f>IF(B14="","",Calculator!J27)</f>
        <v/>
      </c>
      <c r="AM14" s="148" t="str">
        <f>IF(B14="","",Calculator!I27)</f>
        <v/>
      </c>
      <c r="AO14" s="152" t="str">
        <f>IF(B14="","",Calculator!H27)</f>
        <v/>
      </c>
      <c r="AQ14" s="317" t="str">
        <f>IF(B14="","",ROUND(Calculator!B27,6))</f>
        <v/>
      </c>
      <c r="AV14" s="308"/>
      <c r="AW14" s="308"/>
      <c r="AX14" s="305" t="str">
        <f>IF(B14="","",Calculator!E27)</f>
        <v/>
      </c>
      <c r="AY14" s="152" t="str">
        <f>IF(B14="","",Calculator!F27)</f>
        <v/>
      </c>
      <c r="AZ14" s="148" t="str">
        <f>IF(BA14="","",ROUND(IF(SUM($BA$2:$BA$74)&gt;(0.5*Summary!$C$8),(BA14/SUM($BA$2:$BA$74))*(0.5*Summary!$C$8),'Data Export'!BA14),2))</f>
        <v/>
      </c>
      <c r="BA14" s="311" t="str">
        <f>Calculations!I58</f>
        <v/>
      </c>
      <c r="BL14" s="152" t="str">
        <f t="shared" si="0"/>
        <v/>
      </c>
      <c r="BM14" s="152" t="str">
        <f t="shared" si="1"/>
        <v/>
      </c>
    </row>
    <row r="15" spans="1:70" s="152" customFormat="1">
      <c r="A15" s="152">
        <v>14</v>
      </c>
      <c r="B15" s="152" t="str">
        <f>IF(Calculator!F28="","",Calculator!$B$21)</f>
        <v/>
      </c>
      <c r="C15" s="307" t="str">
        <f>IF(B15="","",ROUND(Calculator!C28,3))</f>
        <v/>
      </c>
      <c r="D15" s="148" t="str">
        <f>IF(B15="","",Calculations!$D$36)</f>
        <v/>
      </c>
      <c r="E15" s="305" t="str">
        <f>IF(B15="","",Calculator!D28)</f>
        <v/>
      </c>
      <c r="H15" s="310" t="str">
        <f>Calculations!H59</f>
        <v/>
      </c>
      <c r="R15" s="307" t="str">
        <f>IF(B15="","",Calculator!J28)</f>
        <v/>
      </c>
      <c r="AM15" s="148" t="str">
        <f>IF(B15="","",Calculator!I28)</f>
        <v/>
      </c>
      <c r="AO15" s="152" t="str">
        <f>IF(B15="","",Calculator!H28)</f>
        <v/>
      </c>
      <c r="AQ15" s="317" t="str">
        <f>IF(B15="","",ROUND(Calculator!B28,6))</f>
        <v/>
      </c>
      <c r="AV15" s="308"/>
      <c r="AW15" s="308"/>
      <c r="AX15" s="305" t="str">
        <f>IF(B15="","",Calculator!E28)</f>
        <v/>
      </c>
      <c r="AY15" s="152" t="str">
        <f>IF(B15="","",Calculator!F28)</f>
        <v/>
      </c>
      <c r="AZ15" s="148" t="str">
        <f>IF(BA15="","",ROUND(IF(SUM($BA$2:$BA$74)&gt;(0.5*Summary!$C$8),(BA15/SUM($BA$2:$BA$74))*(0.5*Summary!$C$8),'Data Export'!BA15),2))</f>
        <v/>
      </c>
      <c r="BA15" s="311" t="str">
        <f>Calculations!I59</f>
        <v/>
      </c>
      <c r="BL15" s="152" t="str">
        <f t="shared" si="0"/>
        <v/>
      </c>
      <c r="BM15" s="152" t="str">
        <f t="shared" si="1"/>
        <v/>
      </c>
    </row>
    <row r="16" spans="1:70" s="152" customFormat="1">
      <c r="A16" s="152">
        <v>15</v>
      </c>
      <c r="B16" s="152" t="str">
        <f>IF(Calculator!F29="","",Calculator!$B$21)</f>
        <v/>
      </c>
      <c r="C16" s="307" t="str">
        <f>IF(B16="","",ROUND(Calculator!C29,3))</f>
        <v/>
      </c>
      <c r="D16" s="148" t="str">
        <f>IF(B16="","",Calculations!$D$36)</f>
        <v/>
      </c>
      <c r="E16" s="305" t="str">
        <f>IF(B16="","",Calculator!D29)</f>
        <v/>
      </c>
      <c r="H16" s="310" t="str">
        <f>Calculations!H60</f>
        <v/>
      </c>
      <c r="R16" s="307" t="str">
        <f>IF(B16="","",Calculator!J29)</f>
        <v/>
      </c>
      <c r="AM16" s="148" t="str">
        <f>IF(B16="","",Calculator!I29)</f>
        <v/>
      </c>
      <c r="AO16" s="152" t="str">
        <f>IF(B16="","",Calculator!H29)</f>
        <v/>
      </c>
      <c r="AQ16" s="317" t="str">
        <f>IF(B16="","",ROUND(Calculator!B29,6))</f>
        <v/>
      </c>
      <c r="AV16" s="308"/>
      <c r="AW16" s="308"/>
      <c r="AX16" s="305" t="str">
        <f>IF(B16="","",Calculator!E29)</f>
        <v/>
      </c>
      <c r="AY16" s="152" t="str">
        <f>IF(B16="","",Calculator!F29)</f>
        <v/>
      </c>
      <c r="AZ16" s="148" t="str">
        <f>IF(BA16="","",ROUND(IF(SUM($BA$2:$BA$74)&gt;(0.5*Summary!$C$8),(BA16/SUM($BA$2:$BA$74))*(0.5*Summary!$C$8),'Data Export'!BA16),2))</f>
        <v/>
      </c>
      <c r="BA16" s="311" t="str">
        <f>Calculations!I60</f>
        <v/>
      </c>
      <c r="BL16" s="152" t="str">
        <f t="shared" si="0"/>
        <v/>
      </c>
      <c r="BM16" s="152" t="str">
        <f t="shared" si="1"/>
        <v/>
      </c>
    </row>
    <row r="17" spans="1:65" s="152" customFormat="1">
      <c r="A17" s="152">
        <v>16</v>
      </c>
      <c r="B17" s="152" t="str">
        <f>IF(Calculator!F30="","",Calculator!$B$21)</f>
        <v/>
      </c>
      <c r="C17" s="307" t="str">
        <f>IF(B17="","",ROUND(Calculator!C30,3))</f>
        <v/>
      </c>
      <c r="D17" s="148" t="str">
        <f>IF(B17="","",Calculations!$D$36)</f>
        <v/>
      </c>
      <c r="E17" s="305" t="str">
        <f>IF(B17="","",Calculator!D30)</f>
        <v/>
      </c>
      <c r="H17" s="310" t="str">
        <f>Calculations!H61</f>
        <v/>
      </c>
      <c r="R17" s="307" t="str">
        <f>IF(B17="","",Calculator!J30)</f>
        <v/>
      </c>
      <c r="AM17" s="148" t="str">
        <f>IF(B17="","",Calculator!I30)</f>
        <v/>
      </c>
      <c r="AO17" s="152" t="str">
        <f>IF(B17="","",Calculator!H30)</f>
        <v/>
      </c>
      <c r="AQ17" s="317" t="str">
        <f>IF(B17="","",ROUND(Calculator!B30,6))</f>
        <v/>
      </c>
      <c r="AV17" s="308"/>
      <c r="AW17" s="308"/>
      <c r="AX17" s="305" t="str">
        <f>IF(B17="","",Calculator!E30)</f>
        <v/>
      </c>
      <c r="AY17" s="152" t="str">
        <f>IF(B17="","",Calculator!F30)</f>
        <v/>
      </c>
      <c r="AZ17" s="148" t="str">
        <f>IF(BA17="","",ROUND(IF(SUM($BA$2:$BA$74)&gt;(0.5*Summary!$C$8),(BA17/SUM($BA$2:$BA$74))*(0.5*Summary!$C$8),'Data Export'!BA17),2))</f>
        <v/>
      </c>
      <c r="BA17" s="311" t="str">
        <f>Calculations!I61</f>
        <v/>
      </c>
      <c r="BL17" s="152" t="str">
        <f t="shared" si="0"/>
        <v/>
      </c>
      <c r="BM17" s="152" t="str">
        <f t="shared" si="1"/>
        <v/>
      </c>
    </row>
    <row r="18" spans="1:65" s="152" customFormat="1">
      <c r="A18" s="152">
        <v>17</v>
      </c>
      <c r="B18" s="152" t="str">
        <f>IF(Calculator!F35="","",Calculator!$B$33)</f>
        <v/>
      </c>
      <c r="C18" s="307" t="str">
        <f>IF(B18="","",ROUND(Calculator!C35,3))</f>
        <v/>
      </c>
      <c r="D18" s="148" t="str">
        <f>IF(B18="","",Calculations!$C$66)</f>
        <v/>
      </c>
      <c r="E18" s="305" t="str">
        <f>IF(B18="","",Calculator!D35)</f>
        <v/>
      </c>
      <c r="I18" s="310" t="str">
        <f>IF(B18="","",Calculations!D77)</f>
        <v/>
      </c>
      <c r="K18" s="306" t="str">
        <f>IF(B18="","",Calculations!L77)</f>
        <v/>
      </c>
      <c r="R18" s="307" t="str">
        <f>IF(B18="","",Calculator!H35)</f>
        <v/>
      </c>
      <c r="U18" s="306" t="str">
        <f>IF(B18="","",Calculations!N77)</f>
        <v/>
      </c>
      <c r="Y18" s="148" t="str">
        <f>IF(B18="","",Calculations!$G$66)</f>
        <v/>
      </c>
      <c r="AC18" s="152" t="str">
        <f>IF(B18="","",Calculations!B77)</f>
        <v/>
      </c>
      <c r="AE18" s="148" t="str">
        <f>IF(B18="","",Calculations!$C$68)</f>
        <v/>
      </c>
      <c r="AQ18" s="152" t="str">
        <f>IF(B18="","",ROUND(Calculator!B35,6))</f>
        <v/>
      </c>
      <c r="AV18" s="308"/>
      <c r="AW18" s="308"/>
      <c r="AX18" s="305" t="str">
        <f>IF(B18="","",Calculator!E35)</f>
        <v/>
      </c>
      <c r="AY18" s="152" t="str">
        <f>IF(B18="","",Calculator!F35)</f>
        <v/>
      </c>
      <c r="AZ18" s="148" t="str">
        <f>IF(BA18="","",ROUND(IF(SUM($BA$2:$BA$74)&gt;(0.5*Summary!$C$8),(BA18/SUM($BA$2:$BA$74))*(0.5*Summary!$C$8),'Data Export'!BA18),2))</f>
        <v/>
      </c>
      <c r="BA18" s="311" t="str">
        <f>IF(B18="","",Calculations!Q77)</f>
        <v/>
      </c>
      <c r="BL18" s="152" t="str">
        <f t="shared" si="0"/>
        <v/>
      </c>
      <c r="BM18" s="152" t="str">
        <f t="shared" si="1"/>
        <v/>
      </c>
    </row>
    <row r="19" spans="1:65" s="152" customFormat="1">
      <c r="A19" s="152">
        <v>18</v>
      </c>
      <c r="B19" s="152" t="str">
        <f>IF(Calculator!F36="","",Calculator!$B$33)</f>
        <v/>
      </c>
      <c r="C19" s="307" t="str">
        <f>IF(B19="","",ROUND(Calculator!C36,3))</f>
        <v/>
      </c>
      <c r="D19" s="148" t="str">
        <f>IF(B19="","",Calculations!$C$66)</f>
        <v/>
      </c>
      <c r="E19" s="305" t="str">
        <f>IF(B19="","",Calculator!D36)</f>
        <v/>
      </c>
      <c r="I19" s="310" t="str">
        <f>IF(B19="","",Calculations!D78)</f>
        <v/>
      </c>
      <c r="K19" s="306" t="str">
        <f>IF(B19="","",Calculations!L78)</f>
        <v/>
      </c>
      <c r="R19" s="307" t="str">
        <f>IF(B19="","",Calculator!H36)</f>
        <v/>
      </c>
      <c r="U19" s="306" t="str">
        <f>IF(B19="","",Calculations!N78)</f>
        <v/>
      </c>
      <c r="Y19" s="148" t="str">
        <f>IF(B19="","",Calculations!$G$66)</f>
        <v/>
      </c>
      <c r="AC19" s="152" t="str">
        <f>IF(B19="","",Calculations!B78)</f>
        <v/>
      </c>
      <c r="AE19" s="148" t="str">
        <f>IF(B19="","",Calculations!$C$68)</f>
        <v/>
      </c>
      <c r="AQ19" s="152" t="str">
        <f>IF(B19="","",ROUND(Calculator!B36,6))</f>
        <v/>
      </c>
      <c r="AV19" s="308"/>
      <c r="AW19" s="308"/>
      <c r="AX19" s="305" t="str">
        <f>IF(B19="","",Calculator!E36)</f>
        <v/>
      </c>
      <c r="AY19" s="152" t="str">
        <f>IF(B19="","",Calculator!F36)</f>
        <v/>
      </c>
      <c r="AZ19" s="148" t="str">
        <f>IF(BA19="","",ROUND(IF(SUM($BA$2:$BA$74)&gt;(0.5*Summary!$C$8),(BA19/SUM($BA$2:$BA$74))*(0.5*Summary!$C$8),'Data Export'!BA19),2))</f>
        <v/>
      </c>
      <c r="BA19" s="311" t="str">
        <f>IF(B19="","",Calculations!Q78)</f>
        <v/>
      </c>
      <c r="BL19" s="152" t="str">
        <f t="shared" si="0"/>
        <v/>
      </c>
      <c r="BM19" s="152" t="str">
        <f t="shared" si="1"/>
        <v/>
      </c>
    </row>
    <row r="20" spans="1:65" s="152" customFormat="1">
      <c r="A20" s="152">
        <v>19</v>
      </c>
      <c r="B20" s="152" t="str">
        <f>IF(Calculator!F41="","",Calculator!$B$39)</f>
        <v/>
      </c>
      <c r="C20" s="307" t="str">
        <f>IF(B20="","",ROUND(Calculator!C41,3))</f>
        <v/>
      </c>
      <c r="D20" s="148" t="str">
        <f>IF(B20="","",Calculations!$G$83)</f>
        <v/>
      </c>
      <c r="E20" s="305" t="str">
        <f>IF(B20="","",Calculator!D41)</f>
        <v/>
      </c>
      <c r="H20" s="148" t="str">
        <f>IF(B20="","",Calculator!G41)</f>
        <v/>
      </c>
      <c r="K20" s="306" t="str">
        <f>IF(B20="","",Calculations!K93)</f>
        <v/>
      </c>
      <c r="L20" s="148"/>
      <c r="M20" s="148"/>
      <c r="N20" s="148"/>
      <c r="O20" s="148"/>
      <c r="P20" s="148"/>
      <c r="Q20" s="148"/>
      <c r="R20" s="307" t="str">
        <f>IF(B20="","",Calculator!H41)</f>
        <v/>
      </c>
      <c r="S20" s="148"/>
      <c r="T20" s="148"/>
      <c r="U20" s="306" t="str">
        <f>IF(B20="","",Calculations!L93)</f>
        <v/>
      </c>
      <c r="Y20" s="148" t="str">
        <f>IF(B20="","",Calculations!$G$85)</f>
        <v/>
      </c>
      <c r="AE20" s="148" t="str">
        <f>IF(B20="","",Calculations!$C$83)</f>
        <v/>
      </c>
      <c r="AQ20" s="152" t="str">
        <f>IF(B20="","",ROUND(Calculator!B41,6))</f>
        <v/>
      </c>
      <c r="AV20" s="308"/>
      <c r="AW20" s="308"/>
      <c r="AX20" s="305" t="str">
        <f>IF(B20="","",Calculator!E41)</f>
        <v/>
      </c>
      <c r="AY20" s="152" t="str">
        <f>IF(B20="","",Calculator!F41)</f>
        <v/>
      </c>
      <c r="AZ20" s="148" t="str">
        <f>IF(BA20="","",ROUND(IF(SUM($BA$2:$BA$74)&gt;(0.5*Summary!$C$8),(BA20/SUM($BA$2:$BA$74))*(0.5*Summary!$C$8),'Data Export'!BA20),2))</f>
        <v/>
      </c>
      <c r="BA20" s="311" t="str">
        <f>IF(B20="","",Calculations!O93)</f>
        <v/>
      </c>
      <c r="BL20" s="152" t="str">
        <f t="shared" si="0"/>
        <v/>
      </c>
      <c r="BM20" s="152" t="str">
        <f t="shared" si="1"/>
        <v/>
      </c>
    </row>
    <row r="21" spans="1:65" s="152" customFormat="1">
      <c r="A21" s="152">
        <v>20</v>
      </c>
      <c r="B21" s="152" t="str">
        <f>IF(Calculator!F42="","",Calculator!$B$39)</f>
        <v/>
      </c>
      <c r="C21" s="307" t="str">
        <f>IF(B21="","",ROUND(Calculator!C42,3))</f>
        <v/>
      </c>
      <c r="D21" s="148" t="str">
        <f>IF(B21="","",Calculations!$G$83)</f>
        <v/>
      </c>
      <c r="E21" s="305" t="str">
        <f>IF(B21="","",Calculator!D42)</f>
        <v/>
      </c>
      <c r="H21" s="148" t="str">
        <f>IF(B21="","",Calculator!G42)</f>
        <v/>
      </c>
      <c r="K21" s="306" t="str">
        <f>IF(B21="","",Calculations!K94)</f>
        <v/>
      </c>
      <c r="L21" s="148"/>
      <c r="M21" s="148"/>
      <c r="N21" s="148"/>
      <c r="O21" s="148"/>
      <c r="P21" s="148"/>
      <c r="Q21" s="148"/>
      <c r="R21" s="307" t="str">
        <f>IF(B21="","",Calculator!H42)</f>
        <v/>
      </c>
      <c r="S21" s="148"/>
      <c r="T21" s="148"/>
      <c r="U21" s="306" t="str">
        <f>IF(B21="","",Calculations!L94)</f>
        <v/>
      </c>
      <c r="Y21" s="148" t="str">
        <f>IF(B21="","",Calculations!$G$85)</f>
        <v/>
      </c>
      <c r="AE21" s="148" t="str">
        <f>IF(B21="","",Calculations!$C$83)</f>
        <v/>
      </c>
      <c r="AQ21" s="152" t="str">
        <f>IF(B21="","",ROUND(Calculator!B42,6))</f>
        <v/>
      </c>
      <c r="AV21" s="308"/>
      <c r="AW21" s="308"/>
      <c r="AX21" s="305" t="str">
        <f>IF(B21="","",Calculator!E42)</f>
        <v/>
      </c>
      <c r="AY21" s="152" t="str">
        <f>IF(B21="","",Calculator!F42)</f>
        <v/>
      </c>
      <c r="AZ21" s="148" t="str">
        <f>IF(BA21="","",ROUND(IF(SUM($BA$2:$BA$74)&gt;(0.5*Summary!$C$8),(BA21/SUM($BA$2:$BA$74))*(0.5*Summary!$C$8),'Data Export'!BA21),2))</f>
        <v/>
      </c>
      <c r="BA21" s="311" t="str">
        <f>IF(B21="","",Calculations!O94)</f>
        <v/>
      </c>
      <c r="BL21" s="152" t="str">
        <f t="shared" si="0"/>
        <v/>
      </c>
      <c r="BM21" s="152" t="str">
        <f t="shared" si="1"/>
        <v/>
      </c>
    </row>
    <row r="22" spans="1:65" s="152" customFormat="1">
      <c r="A22" s="152">
        <v>21</v>
      </c>
      <c r="B22" s="148" t="str">
        <f>IF(Calculator!F48="","",Calculator!$B$45)</f>
        <v/>
      </c>
      <c r="C22" s="307" t="str">
        <f>IF(B22="","",ROUND(Calculator!C48,3))</f>
        <v/>
      </c>
      <c r="D22" s="148" t="str">
        <f>IF(B22="","",Calculations!$E$99)</f>
        <v/>
      </c>
      <c r="E22" s="307" t="str">
        <f>IF(B22="","",Calculator!D48)</f>
        <v/>
      </c>
      <c r="F22" s="148"/>
      <c r="G22" s="148"/>
      <c r="H22" s="148"/>
      <c r="I22" s="148"/>
      <c r="J22" s="148" t="str">
        <f>IF(B22="","",Calculations!J131)</f>
        <v/>
      </c>
      <c r="K22" s="148"/>
      <c r="L22" s="152" t="str">
        <f>IF(B22="","",Calculator!I48)</f>
        <v/>
      </c>
      <c r="M22" s="152" t="str">
        <f>IF(B22="","",Calculator!H48)</f>
        <v/>
      </c>
      <c r="N22" s="306" t="str">
        <f>IF(B22="","",'Ice Machine Incentive Ref'!U14)</f>
        <v/>
      </c>
      <c r="R22" s="307" t="str">
        <f>IF(B22="","",Calculator!N48)</f>
        <v/>
      </c>
      <c r="T22" s="310" t="str">
        <f>IF(B22="","",Calculations!T131)</f>
        <v/>
      </c>
      <c r="V22" s="152" t="str">
        <f>IF(B22="","",Calculations!X131)</f>
        <v/>
      </c>
      <c r="W22" s="152" t="str">
        <f>IF(B22="","",Calculator!J48)</f>
        <v/>
      </c>
      <c r="X22" s="152" t="str">
        <f>IF(B22="","",Calculator!L48)</f>
        <v/>
      </c>
      <c r="AF22" s="152" t="str">
        <f>IF(B22="","",Calculations!O131)</f>
        <v/>
      </c>
      <c r="AH22" s="152" t="str">
        <f>IF(B22="","",Calculations!R131)</f>
        <v/>
      </c>
      <c r="AQ22" s="152" t="str">
        <f>IF(B22="","",ROUND(Calculator!B48,6))</f>
        <v/>
      </c>
      <c r="AV22" s="308"/>
      <c r="AW22" s="308"/>
      <c r="AX22" s="305" t="str">
        <f>IF(B22="","",Calculator!E48)</f>
        <v/>
      </c>
      <c r="AY22" s="152" t="str">
        <f>IF(B22="","",Calculator!F48)</f>
        <v/>
      </c>
      <c r="AZ22" s="148" t="str">
        <f>IF(BA22="","",ROUND(IF(SUM($BA$2:$BA$74)&gt;(0.5*Summary!$C$8),(BA22/SUM($BA$2:$BA$74))*(0.5*Summary!$C$8),'Data Export'!BA22),2))</f>
        <v/>
      </c>
      <c r="BA22" s="152" t="str">
        <f>IF(B22="","",Calculations!W131)</f>
        <v/>
      </c>
      <c r="BL22" s="152" t="str">
        <f t="shared" si="0"/>
        <v/>
      </c>
      <c r="BM22" s="152" t="str">
        <f t="shared" si="1"/>
        <v/>
      </c>
    </row>
    <row r="23" spans="1:65" s="152" customFormat="1">
      <c r="A23" s="152">
        <v>22</v>
      </c>
      <c r="B23" s="148" t="str">
        <f>IF(Calculator!F49="","",Calculator!$B$45)</f>
        <v/>
      </c>
      <c r="C23" s="307" t="str">
        <f>IF(B23="","",ROUND(Calculator!C49,3))</f>
        <v/>
      </c>
      <c r="D23" s="148" t="str">
        <f>IF(B23="","",Calculations!$E$99)</f>
        <v/>
      </c>
      <c r="E23" s="307" t="str">
        <f>IF(B23="","",Calculator!D49)</f>
        <v/>
      </c>
      <c r="F23" s="148"/>
      <c r="G23" s="148"/>
      <c r="H23" s="148"/>
      <c r="I23" s="148"/>
      <c r="J23" s="148" t="str">
        <f>IF(B23="","",Calculations!J132)</f>
        <v/>
      </c>
      <c r="K23" s="148"/>
      <c r="L23" s="152" t="str">
        <f>IF(B23="","",Calculator!I49)</f>
        <v/>
      </c>
      <c r="M23" s="152" t="str">
        <f>IF(B23="","",Calculator!H49)</f>
        <v/>
      </c>
      <c r="N23" s="306" t="str">
        <f>IF(B23="","",'Ice Machine Incentive Ref'!U15)</f>
        <v/>
      </c>
      <c r="R23" s="307" t="str">
        <f>IF(B23="","",Calculator!N49)</f>
        <v/>
      </c>
      <c r="T23" s="310" t="str">
        <f>IF(B23="","",Calculations!T132)</f>
        <v/>
      </c>
      <c r="V23" s="152" t="str">
        <f>IF(B23="","",Calculations!X132)</f>
        <v/>
      </c>
      <c r="W23" s="152" t="str">
        <f>IF(B23="","",Calculator!J49)</f>
        <v/>
      </c>
      <c r="X23" s="152" t="str">
        <f>IF(B23="","",Calculator!L49)</f>
        <v/>
      </c>
      <c r="AF23" s="152" t="str">
        <f>IF(B23="","",Calculations!O132)</f>
        <v/>
      </c>
      <c r="AH23" s="152" t="str">
        <f>IF(B23="","",Calculations!R132)</f>
        <v/>
      </c>
      <c r="AQ23" s="152" t="str">
        <f>IF(B23="","",ROUND(Calculator!B49,6))</f>
        <v/>
      </c>
      <c r="AV23" s="308"/>
      <c r="AW23" s="308"/>
      <c r="AX23" s="305" t="str">
        <f>IF(B23="","",Calculator!E49)</f>
        <v/>
      </c>
      <c r="AY23" s="152" t="str">
        <f>IF(B23="","",Calculator!F49)</f>
        <v/>
      </c>
      <c r="AZ23" s="148" t="str">
        <f>IF(BA23="","",ROUND(IF(SUM($BA$2:$BA$74)&gt;(0.5*Summary!$C$8),(BA23/SUM($BA$2:$BA$74))*(0.5*Summary!$C$8),'Data Export'!BA23),2))</f>
        <v/>
      </c>
      <c r="BA23" s="152" t="str">
        <f>IF(B23="","",Calculations!W132)</f>
        <v/>
      </c>
      <c r="BL23" s="152" t="str">
        <f t="shared" si="0"/>
        <v/>
      </c>
      <c r="BM23" s="152" t="str">
        <f t="shared" si="1"/>
        <v/>
      </c>
    </row>
    <row r="24" spans="1:65" s="152" customFormat="1">
      <c r="A24" s="152">
        <v>23</v>
      </c>
      <c r="B24" s="148" t="str">
        <f>IF(Calculator!F50="","",Calculator!$B$45)</f>
        <v/>
      </c>
      <c r="C24" s="307" t="str">
        <f>IF(B24="","",ROUND(Calculator!C50,3))</f>
        <v/>
      </c>
      <c r="D24" s="148" t="str">
        <f>IF(B24="","",Calculations!$E$99)</f>
        <v/>
      </c>
      <c r="E24" s="307" t="str">
        <f>IF(B24="","",Calculator!D50)</f>
        <v/>
      </c>
      <c r="F24" s="148"/>
      <c r="G24" s="148"/>
      <c r="H24" s="148"/>
      <c r="I24" s="148"/>
      <c r="J24" s="148" t="str">
        <f>IF(B24="","",Calculations!J133)</f>
        <v/>
      </c>
      <c r="K24" s="148"/>
      <c r="L24" s="152" t="str">
        <f>IF(B24="","",Calculator!I50)</f>
        <v/>
      </c>
      <c r="M24" s="152" t="str">
        <f>IF(B24="","",Calculator!H50)</f>
        <v/>
      </c>
      <c r="N24" s="306" t="str">
        <f>IF(B24="","",'Ice Machine Incentive Ref'!U16)</f>
        <v/>
      </c>
      <c r="R24" s="307" t="str">
        <f>IF(B24="","",Calculator!N50)</f>
        <v/>
      </c>
      <c r="T24" s="310" t="str">
        <f>IF(B24="","",Calculations!T133)</f>
        <v/>
      </c>
      <c r="V24" s="152" t="str">
        <f>IF(B24="","",Calculations!X133)</f>
        <v/>
      </c>
      <c r="W24" s="152" t="str">
        <f>IF(B24="","",Calculator!J50)</f>
        <v/>
      </c>
      <c r="X24" s="152" t="str">
        <f>IF(B24="","",Calculator!L50)</f>
        <v/>
      </c>
      <c r="AF24" s="152" t="str">
        <f>IF(B24="","",Calculations!O133)</f>
        <v/>
      </c>
      <c r="AH24" s="152" t="str">
        <f>IF(B24="","",Calculations!R133)</f>
        <v/>
      </c>
      <c r="AQ24" s="152" t="str">
        <f>IF(B24="","",ROUND(Calculator!B50,6))</f>
        <v/>
      </c>
      <c r="AV24" s="308"/>
      <c r="AW24" s="308"/>
      <c r="AX24" s="305" t="str">
        <f>IF(B24="","",Calculator!E50)</f>
        <v/>
      </c>
      <c r="AY24" s="152" t="str">
        <f>IF(B24="","",Calculator!F50)</f>
        <v/>
      </c>
      <c r="AZ24" s="148" t="str">
        <f>IF(BA24="","",ROUND(IF(SUM($BA$2:$BA$74)&gt;(0.5*Summary!$C$8),(BA24/SUM($BA$2:$BA$74))*(0.5*Summary!$C$8),'Data Export'!BA24),2))</f>
        <v/>
      </c>
      <c r="BA24" s="152" t="str">
        <f>IF(B24="","",Calculations!W133)</f>
        <v/>
      </c>
      <c r="BL24" s="152" t="str">
        <f t="shared" si="0"/>
        <v/>
      </c>
      <c r="BM24" s="152" t="str">
        <f t="shared" si="1"/>
        <v/>
      </c>
    </row>
    <row r="25" spans="1:65" s="152" customFormat="1">
      <c r="A25" s="152">
        <v>24</v>
      </c>
      <c r="B25" s="148" t="str">
        <f>IF(Calculator!F51="","",Calculator!$B$45)</f>
        <v/>
      </c>
      <c r="C25" s="307" t="str">
        <f>IF(B25="","",ROUND(Calculator!C51,3))</f>
        <v/>
      </c>
      <c r="D25" s="148" t="str">
        <f>IF(B25="","",Calculations!$E$99)</f>
        <v/>
      </c>
      <c r="E25" s="307" t="str">
        <f>IF(B25="","",Calculator!D51)</f>
        <v/>
      </c>
      <c r="F25" s="148"/>
      <c r="G25" s="148"/>
      <c r="H25" s="148"/>
      <c r="I25" s="148"/>
      <c r="J25" s="148" t="str">
        <f>IF(B25="","",Calculations!J134)</f>
        <v/>
      </c>
      <c r="K25" s="148"/>
      <c r="L25" s="152" t="str">
        <f>IF(B25="","",Calculator!I51)</f>
        <v/>
      </c>
      <c r="M25" s="152" t="str">
        <f>IF(B25="","",Calculator!H51)</f>
        <v/>
      </c>
      <c r="N25" s="306" t="str">
        <f>IF(B25="","",'Ice Machine Incentive Ref'!U17)</f>
        <v/>
      </c>
      <c r="R25" s="307" t="str">
        <f>IF(B25="","",Calculator!N51)</f>
        <v/>
      </c>
      <c r="T25" s="310" t="str">
        <f>IF(B25="","",Calculations!T134)</f>
        <v/>
      </c>
      <c r="V25" s="152" t="str">
        <f>IF(B25="","",Calculations!X134)</f>
        <v/>
      </c>
      <c r="W25" s="152" t="str">
        <f>IF(B25="","",Calculator!J51)</f>
        <v/>
      </c>
      <c r="X25" s="152" t="str">
        <f>IF(B25="","",Calculator!L51)</f>
        <v/>
      </c>
      <c r="AF25" s="152" t="str">
        <f>IF(B25="","",Calculations!O134)</f>
        <v/>
      </c>
      <c r="AH25" s="152" t="str">
        <f>IF(B25="","",Calculations!R134)</f>
        <v/>
      </c>
      <c r="AQ25" s="152" t="str">
        <f>IF(B25="","",ROUND(Calculator!B51,6))</f>
        <v/>
      </c>
      <c r="AV25" s="308"/>
      <c r="AW25" s="308"/>
      <c r="AX25" s="305" t="str">
        <f>IF(B25="","",Calculator!E51)</f>
        <v/>
      </c>
      <c r="AY25" s="152" t="str">
        <f>IF(B25="","",Calculator!F51)</f>
        <v/>
      </c>
      <c r="AZ25" s="148" t="str">
        <f>IF(BA25="","",ROUND(IF(SUM($BA$2:$BA$74)&gt;(0.5*Summary!$C$8),(BA25/SUM($BA$2:$BA$74))*(0.5*Summary!$C$8),'Data Export'!BA25),2))</f>
        <v/>
      </c>
      <c r="BA25" s="152" t="str">
        <f>IF(B25="","",Calculations!W134)</f>
        <v/>
      </c>
      <c r="BL25" s="152" t="str">
        <f t="shared" si="0"/>
        <v/>
      </c>
      <c r="BM25" s="152" t="str">
        <f t="shared" si="1"/>
        <v/>
      </c>
    </row>
    <row r="26" spans="1:65" s="152" customFormat="1">
      <c r="A26" s="152">
        <v>25</v>
      </c>
      <c r="B26" s="152" t="str">
        <f>IF(Calculator!F56="","",Calculator!$B$54)</f>
        <v/>
      </c>
      <c r="C26" s="307" t="str">
        <f>IF(B26="","",ROUND(Calculator!C56,3))</f>
        <v/>
      </c>
      <c r="D26" s="148" t="str">
        <f>IF(B26="","",Calculations!$E$99)</f>
        <v/>
      </c>
      <c r="E26" s="305" t="str">
        <f>IF(B26="","",Calculator!D56)</f>
        <v/>
      </c>
      <c r="K26" s="148" t="str">
        <f>IF(B26="","",Calculations!M150)</f>
        <v/>
      </c>
      <c r="R26" s="307" t="str">
        <f>IF(B26="","",Calculator!I56)</f>
        <v/>
      </c>
      <c r="U26" s="148" t="str">
        <f>IF(B26="","",Calculations!N150)</f>
        <v/>
      </c>
      <c r="Y26" s="148" t="str">
        <f>IF(B26="","",Calculations!$G$139)</f>
        <v/>
      </c>
      <c r="AE26" s="148" t="str">
        <f>IF(B26="","",Calculations!$C$141)</f>
        <v/>
      </c>
      <c r="AK26" s="152" t="str">
        <f>IF(B26="","",Calculator!G56)</f>
        <v/>
      </c>
      <c r="AL26" s="148" t="str">
        <f>IF(B26="","",Calculations!$J$139)</f>
        <v/>
      </c>
      <c r="AQ26" s="152" t="str">
        <f>IF(B26="","",ROUND(Calculator!B56,6))</f>
        <v/>
      </c>
      <c r="AV26" s="308"/>
      <c r="AW26" s="308"/>
      <c r="AX26" s="305" t="str">
        <f>IF(B26="","",Calculator!E56)</f>
        <v/>
      </c>
      <c r="AY26" s="152" t="str">
        <f>IF(B26="","",Calculator!F56)</f>
        <v/>
      </c>
      <c r="AZ26" s="148" t="str">
        <f>IF(BA26="","",ROUND(IF(SUM($BA$2:$BA$74)&gt;(0.5*Summary!$C$8),(BA26/SUM($BA$2:$BA$74))*(0.5*Summary!$C$8),'Data Export'!BA26),2))</f>
        <v/>
      </c>
      <c r="BA26" s="311" t="str">
        <f>IF(B26="","",Calculations!Q150)</f>
        <v/>
      </c>
      <c r="BL26" s="152" t="str">
        <f t="shared" si="0"/>
        <v/>
      </c>
      <c r="BM26" s="152" t="str">
        <f t="shared" si="1"/>
        <v/>
      </c>
    </row>
    <row r="27" spans="1:65" s="152" customFormat="1">
      <c r="A27" s="152">
        <v>26</v>
      </c>
      <c r="B27" s="152" t="str">
        <f>IF(Calculator!F57="","",Calculator!$B$54)</f>
        <v/>
      </c>
      <c r="C27" s="307" t="str">
        <f>IF(B27="","",ROUND(Calculator!C57,3))</f>
        <v/>
      </c>
      <c r="D27" s="148" t="str">
        <f>IF(B27="","",Calculations!$E$99)</f>
        <v/>
      </c>
      <c r="E27" s="305" t="str">
        <f>IF(B27="","",Calculator!D57)</f>
        <v/>
      </c>
      <c r="K27" s="148" t="str">
        <f>IF(B27="","",Calculations!M151)</f>
        <v/>
      </c>
      <c r="R27" s="307" t="str">
        <f>IF(B27="","",Calculator!I57)</f>
        <v/>
      </c>
      <c r="U27" s="148" t="str">
        <f>IF(B27="","",Calculations!N151)</f>
        <v/>
      </c>
      <c r="Y27" s="148" t="str">
        <f>IF(B27="","",Calculations!$G$139)</f>
        <v/>
      </c>
      <c r="AE27" s="148" t="str">
        <f>IF(B27="","",Calculations!$C$141)</f>
        <v/>
      </c>
      <c r="AK27" s="152" t="str">
        <f>IF(B27="","",Calculator!G57)</f>
        <v/>
      </c>
      <c r="AL27" s="148" t="str">
        <f>IF(B27="","",Calculations!$J$139)</f>
        <v/>
      </c>
      <c r="AQ27" s="152" t="str">
        <f>IF(B27="","",ROUND(Calculator!B57,6))</f>
        <v/>
      </c>
      <c r="AV27" s="308"/>
      <c r="AW27" s="308"/>
      <c r="AX27" s="305" t="str">
        <f>IF(B27="","",Calculator!E57)</f>
        <v/>
      </c>
      <c r="AY27" s="152" t="str">
        <f>IF(B27="","",Calculator!F57)</f>
        <v/>
      </c>
      <c r="AZ27" s="148" t="str">
        <f>IF(BA27="","",ROUND(IF(SUM($BA$2:$BA$74)&gt;(0.5*Summary!$C$8),(BA27/SUM($BA$2:$BA$74))*(0.5*Summary!$C$8),'Data Export'!BA27),2))</f>
        <v/>
      </c>
      <c r="BA27" s="311" t="str">
        <f>IF(B27="","",Calculations!Q151)</f>
        <v/>
      </c>
      <c r="BL27" s="152" t="str">
        <f t="shared" si="0"/>
        <v/>
      </c>
      <c r="BM27" s="152" t="str">
        <f t="shared" si="1"/>
        <v/>
      </c>
    </row>
    <row r="28" spans="1:65" s="152" customFormat="1">
      <c r="A28" s="152">
        <v>27</v>
      </c>
      <c r="B28" s="152" t="str">
        <f>IF(Calculator!F62="","",Calculator!$B$60)</f>
        <v/>
      </c>
      <c r="C28" s="307" t="str">
        <f>IF(B28="","",ROUND(Calculator!C62,3))</f>
        <v/>
      </c>
      <c r="D28" s="148" t="str">
        <f>IF(B28="","",Calculations!$E$99)</f>
        <v/>
      </c>
      <c r="E28" s="305" t="str">
        <f>IF(B28="","",Calculator!D70)</f>
        <v/>
      </c>
      <c r="K28" s="306" t="str">
        <f>IF(B28="","",Calculations!X172)</f>
        <v/>
      </c>
      <c r="R28" s="307" t="str">
        <f>IF(B28="","",Calculator!I62)</f>
        <v/>
      </c>
      <c r="U28" s="306" t="str">
        <f>IF(B28="","",Calculations!Y172)</f>
        <v/>
      </c>
      <c r="Y28" s="148" t="str">
        <f>IF(B28="","",Calculations!$G$156)</f>
        <v/>
      </c>
      <c r="AE28" s="148" t="str">
        <f>IF(B28="","",Calculations!$C$158)</f>
        <v/>
      </c>
      <c r="AJ28" s="152" t="str">
        <f>IF(B28="","",Calculations!C172)</f>
        <v/>
      </c>
      <c r="AL28" s="148" t="str">
        <f>IF(B28="","",Calculations!$J$155)</f>
        <v/>
      </c>
      <c r="AQ28" s="152" t="str">
        <f>IF(B28="","",ROUND(Calculator!B70,6))</f>
        <v/>
      </c>
      <c r="AV28" s="308"/>
      <c r="AW28" s="308"/>
      <c r="AX28" s="305" t="str">
        <f>IF(B28="","",Calculator!E70)</f>
        <v/>
      </c>
      <c r="AY28" s="152" t="str">
        <f>IF(B28="","",Calculator!F70)</f>
        <v/>
      </c>
      <c r="AZ28" s="148" t="str">
        <f>IF(BA28="","",ROUND(IF(SUM($BA$2:$BA$74)&gt;(0.5*Summary!$C$8),(BA28/SUM($BA$2:$BA$74))*(0.5*Summary!$C$8),'Data Export'!BA28),2))</f>
        <v/>
      </c>
      <c r="BA28" s="311" t="str">
        <f>IF(B28="","",Calculations!AB172)</f>
        <v/>
      </c>
      <c r="BL28" s="152" t="str">
        <f t="shared" si="0"/>
        <v/>
      </c>
      <c r="BM28" s="152" t="str">
        <f t="shared" si="1"/>
        <v/>
      </c>
    </row>
    <row r="29" spans="1:65" s="152" customFormat="1">
      <c r="A29" s="152">
        <v>28</v>
      </c>
      <c r="B29" s="152" t="str">
        <f>IF(Calculator!F63="","",Calculator!$B$60)</f>
        <v/>
      </c>
      <c r="C29" s="307" t="str">
        <f>IF(B29="","",ROUND(Calculator!C63,3))</f>
        <v/>
      </c>
      <c r="D29" s="148" t="str">
        <f>IF(B29="","",Calculations!$E$99)</f>
        <v/>
      </c>
      <c r="E29" s="305" t="str">
        <f>IF(B29="","",Calculator!D71)</f>
        <v/>
      </c>
      <c r="K29" s="306" t="str">
        <f>IF(B29="","",Calculations!X173)</f>
        <v/>
      </c>
      <c r="R29" s="307" t="str">
        <f>IF(B29="","",Calculator!I63)</f>
        <v/>
      </c>
      <c r="U29" s="306" t="str">
        <f>IF(B29="","",Calculations!Y173)</f>
        <v/>
      </c>
      <c r="Y29" s="148" t="str">
        <f>IF(B29="","",Calculations!$G$156)</f>
        <v/>
      </c>
      <c r="AD29" s="148" t="str">
        <f>IF(B29="","",Calculations!$C$158)</f>
        <v/>
      </c>
      <c r="AE29" s="148"/>
      <c r="AJ29" s="152" t="str">
        <f>IF(B29="","",Calculations!C173)</f>
        <v/>
      </c>
      <c r="AL29" s="148" t="str">
        <f>IF(B29="","",Calculations!$J$155)</f>
        <v/>
      </c>
      <c r="AQ29" s="152" t="str">
        <f>IF(B29="","",ROUND(Calculator!B71,6))</f>
        <v/>
      </c>
      <c r="AV29" s="308"/>
      <c r="AW29" s="308"/>
      <c r="AX29" s="305" t="str">
        <f>IF(B29="","",Calculator!E71)</f>
        <v/>
      </c>
      <c r="AY29" s="152" t="str">
        <f>IF(B29="","",Calculator!F71)</f>
        <v/>
      </c>
      <c r="AZ29" s="148" t="str">
        <f>IF(BA29="","",ROUND(IF(SUM($BA$2:$BA$74)&gt;(0.5*Summary!$C$8),(BA29/SUM($BA$2:$BA$74))*(0.5*Summary!$C$8),'Data Export'!BA29),2))</f>
        <v/>
      </c>
      <c r="BA29" s="311" t="str">
        <f>IF(B29="","",Calculations!AB173)</f>
        <v/>
      </c>
      <c r="BL29" s="152" t="str">
        <f t="shared" si="0"/>
        <v/>
      </c>
      <c r="BM29" s="152" t="str">
        <f t="shared" si="1"/>
        <v/>
      </c>
    </row>
    <row r="30" spans="1:65" s="152" customFormat="1">
      <c r="A30" s="152">
        <v>29</v>
      </c>
      <c r="B30" s="152" t="str">
        <f>IF(Calculator!F64="","",Calculator!$B$60)</f>
        <v/>
      </c>
      <c r="C30" s="307" t="str">
        <f>IF(B30="","",ROUND(Calculator!C64,3))</f>
        <v/>
      </c>
      <c r="D30" s="148" t="str">
        <f>IF(B30="","",Calculations!$E$99)</f>
        <v/>
      </c>
      <c r="E30" s="305" t="str">
        <f>IF(B30="","",Calculator!D72)</f>
        <v/>
      </c>
      <c r="K30" s="306" t="str">
        <f>IF(B30="","",Calculations!X174)</f>
        <v/>
      </c>
      <c r="R30" s="307" t="str">
        <f>IF(B30="","",Calculator!I64)</f>
        <v/>
      </c>
      <c r="U30" s="306" t="str">
        <f>IF(B30="","",Calculations!Y174)</f>
        <v/>
      </c>
      <c r="Y30" s="148" t="str">
        <f>IF(B30="","",Calculations!$G$156)</f>
        <v/>
      </c>
      <c r="AD30" s="148" t="str">
        <f>IF(B30="","",Calculations!$C$158)</f>
        <v/>
      </c>
      <c r="AE30" s="148"/>
      <c r="AJ30" s="152" t="str">
        <f>IF(B30="","",Calculations!C174)</f>
        <v/>
      </c>
      <c r="AL30" s="148" t="str">
        <f>IF(B30="","",Calculations!$J$155)</f>
        <v/>
      </c>
      <c r="AQ30" s="152" t="str">
        <f>IF(B30="","",ROUND(Calculator!B72,6))</f>
        <v/>
      </c>
      <c r="AV30" s="308"/>
      <c r="AW30" s="308"/>
      <c r="AX30" s="305" t="str">
        <f>IF(B30="","",Calculator!E72)</f>
        <v/>
      </c>
      <c r="AY30" s="152" t="str">
        <f>IF(B30="","",Calculator!F72)</f>
        <v/>
      </c>
      <c r="AZ30" s="148" t="str">
        <f>IF(BA30="","",ROUND(IF(SUM($BA$2:$BA$74)&gt;(0.5*Summary!$C$8),(BA30/SUM($BA$2:$BA$74))*(0.5*Summary!$C$8),'Data Export'!BA30),2))</f>
        <v/>
      </c>
      <c r="BA30" s="311" t="str">
        <f>IF(B30="","",Calculations!AB174)</f>
        <v/>
      </c>
      <c r="BL30" s="152" t="str">
        <f t="shared" si="0"/>
        <v/>
      </c>
      <c r="BM30" s="152" t="str">
        <f t="shared" si="1"/>
        <v/>
      </c>
    </row>
    <row r="31" spans="1:65" s="152" customFormat="1">
      <c r="A31" s="152">
        <v>30</v>
      </c>
      <c r="B31" s="152" t="str">
        <f>IF(Calculator!F65="","",Calculator!$B$60)</f>
        <v/>
      </c>
      <c r="C31" s="307" t="str">
        <f>IF(B31="","",ROUND(Calculator!C65,3))</f>
        <v/>
      </c>
      <c r="D31" s="148" t="str">
        <f>IF(B31="","",Calculations!$E$99)</f>
        <v/>
      </c>
      <c r="E31" s="305" t="str">
        <f>IF(B31="","",Calculator!D73)</f>
        <v/>
      </c>
      <c r="K31" s="306" t="str">
        <f>IF(B31="","",Calculations!X175)</f>
        <v/>
      </c>
      <c r="R31" s="307" t="str">
        <f>IF(B31="","",Calculator!I65)</f>
        <v/>
      </c>
      <c r="U31" s="306" t="str">
        <f>IF(B31="","",Calculations!Y175)</f>
        <v/>
      </c>
      <c r="Y31" s="148" t="str">
        <f>IF(B31="","",Calculations!$G$156)</f>
        <v/>
      </c>
      <c r="AD31" s="148" t="str">
        <f>IF(B31="","",Calculations!$C$158)</f>
        <v/>
      </c>
      <c r="AE31" s="148"/>
      <c r="AJ31" s="152" t="str">
        <f>IF(B31="","",Calculations!C175)</f>
        <v/>
      </c>
      <c r="AL31" s="148" t="str">
        <f>IF(B31="","",Calculations!$J$155)</f>
        <v/>
      </c>
      <c r="AQ31" s="152" t="str">
        <f>IF(B31="","",ROUND(Calculator!B73,6))</f>
        <v/>
      </c>
      <c r="AV31" s="308"/>
      <c r="AW31" s="308"/>
      <c r="AX31" s="305" t="str">
        <f>IF(B31="","",Calculator!E73)</f>
        <v/>
      </c>
      <c r="AY31" s="152" t="str">
        <f>IF(B31="","",Calculator!F73)</f>
        <v/>
      </c>
      <c r="AZ31" s="148" t="str">
        <f>IF(BA31="","",ROUND(IF(SUM($BA$2:$BA$74)&gt;(0.5*Summary!$C$8),(BA31/SUM($BA$2:$BA$74))*(0.5*Summary!$C$8),'Data Export'!BA31),2))</f>
        <v/>
      </c>
      <c r="BA31" s="311" t="str">
        <f>IF(B31="","",Calculations!AB175)</f>
        <v/>
      </c>
      <c r="BL31" s="152" t="str">
        <f t="shared" si="0"/>
        <v/>
      </c>
      <c r="BM31" s="152" t="str">
        <f t="shared" si="1"/>
        <v/>
      </c>
    </row>
    <row r="32" spans="1:65" s="152" customFormat="1">
      <c r="A32" s="152">
        <v>31</v>
      </c>
      <c r="B32" s="152" t="str">
        <f>IF(Calculator!F70="","",Calculator!$B$68)</f>
        <v/>
      </c>
      <c r="C32" s="307" t="str">
        <f>IF(B32="","",ROUND(Calculator!C70,3))</f>
        <v/>
      </c>
      <c r="D32" s="148" t="str">
        <f>IF(B32="","",Calculations!$E$99)</f>
        <v/>
      </c>
      <c r="E32" s="305" t="str">
        <f>IF(B32="","",Calculator!D70)</f>
        <v/>
      </c>
      <c r="K32" s="306" t="str">
        <f>IF(B32="","",Calculations!T202)</f>
        <v/>
      </c>
      <c r="L32" s="148"/>
      <c r="M32" s="148"/>
      <c r="N32" s="148"/>
      <c r="O32" s="148"/>
      <c r="P32" s="148"/>
      <c r="Q32" s="148"/>
      <c r="R32" s="307" t="str">
        <f>IF(B32="","",Calculator!I70)</f>
        <v/>
      </c>
      <c r="S32" s="148"/>
      <c r="T32" s="148"/>
      <c r="U32" s="306" t="str">
        <f>IF(B32="","",Calculations!U202)</f>
        <v/>
      </c>
      <c r="V32" s="148"/>
      <c r="Y32" s="148" t="str">
        <f>IF(B32="","",Calculations!$C$184)</f>
        <v/>
      </c>
      <c r="AB32" s="152" t="str">
        <f>IF(B32="","",Calculator!H70)</f>
        <v/>
      </c>
      <c r="AD32" s="148" t="str">
        <f>IF(B32="","",Calculations!$C$180)</f>
        <v/>
      </c>
      <c r="AE32" s="148"/>
      <c r="AJ32" s="152" t="str">
        <f>IF(B32="","",Calculator!G70)</f>
        <v/>
      </c>
      <c r="AQ32" s="152" t="str">
        <f>IF(B32="","",ROUND(Calculator!B70,6))</f>
        <v/>
      </c>
      <c r="AV32" s="308"/>
      <c r="AW32" s="308"/>
      <c r="AX32" s="305" t="str">
        <f>IF(B32="","",Calculator!E70)</f>
        <v/>
      </c>
      <c r="AY32" s="152" t="str">
        <f>IF(B32="","",Calculator!F70)</f>
        <v/>
      </c>
      <c r="AZ32" s="148" t="str">
        <f>IF(BA32="","",ROUND(IF(SUM($BA$2:$BA$74)&gt;(0.5*Summary!$C$8),(BA32/SUM($BA$2:$BA$74))*(0.5*Summary!$C$8),'Data Export'!BA32),2))</f>
        <v/>
      </c>
      <c r="BA32" s="311" t="str">
        <f>IF(B32="","",Calculations!W202)</f>
        <v/>
      </c>
      <c r="BL32" s="152" t="str">
        <f t="shared" si="0"/>
        <v/>
      </c>
      <c r="BM32" s="152" t="str">
        <f t="shared" si="1"/>
        <v/>
      </c>
    </row>
    <row r="33" spans="1:65" s="152" customFormat="1">
      <c r="A33" s="152">
        <v>32</v>
      </c>
      <c r="B33" s="152" t="str">
        <f>IF(Calculator!F71="","",Calculator!$B$68)</f>
        <v/>
      </c>
      <c r="C33" s="307" t="str">
        <f>IF(B33="","",ROUND(Calculator!C71,3))</f>
        <v/>
      </c>
      <c r="D33" s="148" t="str">
        <f>IF(B33="","",Calculations!$E$99)</f>
        <v/>
      </c>
      <c r="E33" s="305" t="str">
        <f>IF(B33="","",Calculator!D71)</f>
        <v/>
      </c>
      <c r="K33" s="306" t="str">
        <f>IF(B33="","",Calculations!T203)</f>
        <v/>
      </c>
      <c r="L33" s="148"/>
      <c r="M33" s="148"/>
      <c r="N33" s="148"/>
      <c r="O33" s="148"/>
      <c r="P33" s="148"/>
      <c r="Q33" s="148"/>
      <c r="R33" s="307" t="str">
        <f>IF(B33="","",Calculator!I71)</f>
        <v/>
      </c>
      <c r="S33" s="148"/>
      <c r="T33" s="148"/>
      <c r="U33" s="306" t="str">
        <f>IF(B33="","",Calculations!U203)</f>
        <v/>
      </c>
      <c r="V33" s="148"/>
      <c r="Y33" s="148" t="str">
        <f>IF(B33="","",Calculations!$C$184)</f>
        <v/>
      </c>
      <c r="AB33" s="152" t="str">
        <f>IF(B33="","",Calculator!H71)</f>
        <v/>
      </c>
      <c r="AD33" s="148" t="str">
        <f>IF(B33="","",Calculations!$C$180)</f>
        <v/>
      </c>
      <c r="AE33" s="148"/>
      <c r="AJ33" s="152" t="str">
        <f>IF(B33="","",Calculator!G71)</f>
        <v/>
      </c>
      <c r="AQ33" s="152" t="str">
        <f>IF(B33="","",ROUND(Calculator!B71,6))</f>
        <v/>
      </c>
      <c r="AV33" s="308"/>
      <c r="AW33" s="308"/>
      <c r="AX33" s="305" t="str">
        <f>IF(B33="","",Calculator!E71)</f>
        <v/>
      </c>
      <c r="AY33" s="152" t="str">
        <f>IF(B33="","",Calculator!F71)</f>
        <v/>
      </c>
      <c r="AZ33" s="148" t="str">
        <f>IF(BA33="","",ROUND(IF(SUM($BA$2:$BA$74)&gt;(0.5*Summary!$C$8),(BA33/SUM($BA$2:$BA$74))*(0.5*Summary!$C$8),'Data Export'!BA33),2))</f>
        <v/>
      </c>
      <c r="BA33" s="311" t="str">
        <f>IF(B33="","",Calculations!W203)</f>
        <v/>
      </c>
      <c r="BL33" s="152" t="str">
        <f t="shared" si="0"/>
        <v/>
      </c>
      <c r="BM33" s="152" t="str">
        <f t="shared" si="1"/>
        <v/>
      </c>
    </row>
    <row r="34" spans="1:65" s="152" customFormat="1">
      <c r="A34" s="152">
        <v>33</v>
      </c>
      <c r="B34" s="152" t="str">
        <f>IF(Calculator!F72="","",Calculator!$B$68)</f>
        <v/>
      </c>
      <c r="C34" s="307" t="str">
        <f>IF(B34="","",ROUND(Calculator!C72,3))</f>
        <v/>
      </c>
      <c r="D34" s="148" t="str">
        <f>IF(B34="","",Calculations!$E$99)</f>
        <v/>
      </c>
      <c r="E34" s="305" t="str">
        <f>IF(B34="","",Calculator!D72)</f>
        <v/>
      </c>
      <c r="K34" s="306" t="str">
        <f>IF(B34="","",Calculations!T204)</f>
        <v/>
      </c>
      <c r="L34" s="148"/>
      <c r="M34" s="148"/>
      <c r="N34" s="148"/>
      <c r="O34" s="148"/>
      <c r="P34" s="148"/>
      <c r="Q34" s="148"/>
      <c r="R34" s="307" t="str">
        <f>IF(B34="","",Calculator!I72)</f>
        <v/>
      </c>
      <c r="S34" s="148"/>
      <c r="T34" s="148"/>
      <c r="U34" s="306" t="str">
        <f>IF(B34="","",Calculations!U204)</f>
        <v/>
      </c>
      <c r="V34" s="148"/>
      <c r="Y34" s="148" t="str">
        <f>IF(B34="","",Calculations!$C$184)</f>
        <v/>
      </c>
      <c r="AB34" s="152" t="str">
        <f>IF(B34="","",Calculator!H72)</f>
        <v/>
      </c>
      <c r="AD34" s="148" t="str">
        <f>IF(B34="","",Calculations!$C$180)</f>
        <v/>
      </c>
      <c r="AE34" s="148"/>
      <c r="AJ34" s="152" t="str">
        <f>IF(B34="","",Calculator!G72)</f>
        <v/>
      </c>
      <c r="AQ34" s="152" t="str">
        <f>IF(B34="","",ROUND(Calculator!B72,6))</f>
        <v/>
      </c>
      <c r="AV34" s="308"/>
      <c r="AW34" s="308"/>
      <c r="AX34" s="305" t="str">
        <f>IF(B34="","",Calculator!E72)</f>
        <v/>
      </c>
      <c r="AY34" s="152" t="str">
        <f>IF(B34="","",Calculator!F72)</f>
        <v/>
      </c>
      <c r="AZ34" s="148" t="str">
        <f>IF(BA34="","",ROUND(IF(SUM($BA$2:$BA$74)&gt;(0.5*Summary!$C$8),(BA34/SUM($BA$2:$BA$74))*(0.5*Summary!$C$8),'Data Export'!BA34),2))</f>
        <v/>
      </c>
      <c r="BA34" s="311" t="str">
        <f>IF(B34="","",Calculations!W204)</f>
        <v/>
      </c>
      <c r="BL34" s="152" t="str">
        <f t="shared" si="0"/>
        <v/>
      </c>
      <c r="BM34" s="152" t="str">
        <f t="shared" si="1"/>
        <v/>
      </c>
    </row>
    <row r="35" spans="1:65" s="152" customFormat="1">
      <c r="A35" s="152">
        <v>34</v>
      </c>
      <c r="B35" s="152" t="str">
        <f>IF(Calculator!F73="","",Calculator!$B$68)</f>
        <v/>
      </c>
      <c r="C35" s="307" t="str">
        <f>IF(B35="","",ROUND(Calculator!C73,3))</f>
        <v/>
      </c>
      <c r="D35" s="148" t="str">
        <f>IF(B35="","",Calculations!$E$99)</f>
        <v/>
      </c>
      <c r="E35" s="305" t="str">
        <f>IF(B35="","",Calculator!D73)</f>
        <v/>
      </c>
      <c r="K35" s="306" t="str">
        <f>IF(B35="","",Calculations!T205)</f>
        <v/>
      </c>
      <c r="L35" s="148"/>
      <c r="M35" s="148"/>
      <c r="N35" s="148"/>
      <c r="O35" s="148"/>
      <c r="P35" s="148"/>
      <c r="Q35" s="148"/>
      <c r="R35" s="307" t="str">
        <f>IF(B35="","",Calculator!I73)</f>
        <v/>
      </c>
      <c r="S35" s="148"/>
      <c r="T35" s="148"/>
      <c r="U35" s="306" t="str">
        <f>IF(B35="","",Calculations!U205)</f>
        <v/>
      </c>
      <c r="V35" s="148"/>
      <c r="Y35" s="148" t="str">
        <f>IF(B35="","",Calculations!$C$184)</f>
        <v/>
      </c>
      <c r="AB35" s="152" t="str">
        <f>IF(B35="","",Calculator!H73)</f>
        <v/>
      </c>
      <c r="AD35" s="148" t="str">
        <f>IF(B35="","",Calculations!$C$180)</f>
        <v/>
      </c>
      <c r="AE35" s="148"/>
      <c r="AJ35" s="152" t="str">
        <f>IF(B35="","",Calculator!G73)</f>
        <v/>
      </c>
      <c r="AQ35" s="152" t="str">
        <f>IF(B35="","",ROUND(Calculator!B73,6))</f>
        <v/>
      </c>
      <c r="AV35" s="308"/>
      <c r="AW35" s="308"/>
      <c r="AX35" s="305" t="str">
        <f>IF(B35="","",Calculator!E73)</f>
        <v/>
      </c>
      <c r="AY35" s="152" t="str">
        <f>IF(B35="","",Calculator!F73)</f>
        <v/>
      </c>
      <c r="AZ35" s="148" t="str">
        <f>IF(BA35="","",ROUND(IF(SUM($BA$2:$BA$74)&gt;(0.5*Summary!$C$8),(BA35/SUM($BA$2:$BA$74))*(0.5*Summary!$C$8),'Data Export'!BA35),2))</f>
        <v/>
      </c>
      <c r="BA35" s="311" t="str">
        <f>IF(B35="","",Calculations!W205)</f>
        <v/>
      </c>
      <c r="BL35" s="152" t="str">
        <f t="shared" si="0"/>
        <v/>
      </c>
      <c r="BM35" s="152" t="str">
        <f t="shared" si="1"/>
        <v/>
      </c>
    </row>
    <row r="36" spans="1:65" s="152" customFormat="1">
      <c r="A36" s="152">
        <v>35</v>
      </c>
      <c r="B36" s="152" t="str">
        <f>IF(Calculator!F78="","",Calculator!$B$76)</f>
        <v/>
      </c>
      <c r="C36" s="307" t="str">
        <f>IF(B36="","",ROUND(Calculator!C78,3))</f>
        <v/>
      </c>
      <c r="D36" s="148" t="str">
        <f>IF(B36="","",Calculations!$E$99)</f>
        <v/>
      </c>
      <c r="E36" s="305" t="str">
        <f>IF(B36="","",Calculator!D78)</f>
        <v/>
      </c>
      <c r="K36" s="148"/>
      <c r="L36" s="148"/>
      <c r="M36" s="148"/>
      <c r="N36" s="148"/>
      <c r="O36" s="148"/>
      <c r="P36" s="148"/>
      <c r="Q36" s="148"/>
      <c r="R36" s="307" t="str">
        <f>IF(B36="","",Calculator!H78)</f>
        <v/>
      </c>
      <c r="S36" s="148"/>
      <c r="T36" s="148"/>
      <c r="U36" s="148"/>
      <c r="V36" s="148"/>
      <c r="Y36" s="148" t="str">
        <f>IF(B36="","",Calculations!$C$212)</f>
        <v/>
      </c>
      <c r="AQ36" s="152" t="str">
        <f>IF(B36="","",ROUND(Calculator!B78,6))</f>
        <v/>
      </c>
      <c r="AT36" s="148" t="str">
        <f>IF(B36="","",Calculator!G78)</f>
        <v/>
      </c>
      <c r="AV36" s="308"/>
      <c r="AW36" s="308"/>
      <c r="AX36" s="305" t="str">
        <f>IF(B36="","",Calculator!E78)</f>
        <v/>
      </c>
      <c r="AY36" s="152" t="str">
        <f>IF(B36="","",Calculator!F78)</f>
        <v/>
      </c>
      <c r="AZ36" s="148" t="str">
        <f>IF(BA36="","",ROUND(IF(SUM($BA$2:$BA$74)&gt;(0.5*Summary!$C$8),(BA36/SUM($BA$2:$BA$74))*(0.5*Summary!$C$8),'Data Export'!BA36),2))</f>
        <v/>
      </c>
      <c r="BA36" s="311" t="str">
        <f>IF(B36="","",Calculations!D220)</f>
        <v/>
      </c>
      <c r="BL36" s="152" t="str">
        <f t="shared" si="0"/>
        <v/>
      </c>
      <c r="BM36" s="152" t="str">
        <f t="shared" si="1"/>
        <v/>
      </c>
    </row>
    <row r="37" spans="1:65" s="152" customFormat="1">
      <c r="A37" s="152">
        <v>36</v>
      </c>
      <c r="B37" s="152" t="str">
        <f>IF(Calculator!F79="","",Calculator!$B$76)</f>
        <v/>
      </c>
      <c r="C37" s="307" t="str">
        <f>IF(B37="","",ROUND(Calculator!C79,3))</f>
        <v/>
      </c>
      <c r="D37" s="148" t="str">
        <f>IF(B37="","",Calculations!$E$99)</f>
        <v/>
      </c>
      <c r="E37" s="305" t="str">
        <f>IF(B37="","",Calculator!D79)</f>
        <v/>
      </c>
      <c r="R37" s="307" t="str">
        <f>IF(B37="","",Calculator!H79)</f>
        <v/>
      </c>
      <c r="Y37" s="148" t="str">
        <f>IF(B37="","",Calculations!$C$212)</f>
        <v/>
      </c>
      <c r="AQ37" s="152" t="str">
        <f>IF(B37="","",ROUND(Calculator!B79,6))</f>
        <v/>
      </c>
      <c r="AT37" s="148" t="str">
        <f>IF(B37="","",Calculator!G79)</f>
        <v/>
      </c>
      <c r="AV37" s="308"/>
      <c r="AW37" s="308"/>
      <c r="AX37" s="305" t="str">
        <f>IF(B37="","",Calculator!E79)</f>
        <v/>
      </c>
      <c r="AY37" s="152" t="str">
        <f>IF(B37="","",Calculator!F79)</f>
        <v/>
      </c>
      <c r="AZ37" s="148" t="str">
        <f>IF(BA37="","",ROUND(IF(SUM($BA$2:$BA$74)&gt;(0.5*Summary!$C$8),(BA37/SUM($BA$2:$BA$74))*(0.5*Summary!$C$8),'Data Export'!BA37),2))</f>
        <v/>
      </c>
      <c r="BA37" s="311" t="str">
        <f>IF(B37="","",Calculations!D221)</f>
        <v/>
      </c>
      <c r="BL37" s="152" t="str">
        <f t="shared" si="0"/>
        <v/>
      </c>
      <c r="BM37" s="152" t="str">
        <f t="shared" si="1"/>
        <v/>
      </c>
    </row>
    <row r="38" spans="1:65" s="152" customFormat="1">
      <c r="A38" s="152">
        <v>37</v>
      </c>
      <c r="B38" s="152" t="str">
        <f>IF(Calculator!F84="","",Calculator!$B$82)</f>
        <v/>
      </c>
      <c r="C38" s="307" t="str">
        <f>IF(B38="","",ROUND(Calculator!C84,3))</f>
        <v/>
      </c>
      <c r="D38" s="148" t="str">
        <f>IF(B38="","",Calculations!$E$99)</f>
        <v/>
      </c>
      <c r="E38" s="305" t="str">
        <f>IF(B38="","",Calculator!D84)</f>
        <v/>
      </c>
      <c r="R38" s="307" t="str">
        <f>IF(B38="","",Calculator!H84)</f>
        <v/>
      </c>
      <c r="AQ38" s="152" t="str">
        <f>IF(B38="","",ROUND(Calculator!B84,6))</f>
        <v/>
      </c>
      <c r="AV38" s="308"/>
      <c r="AW38" s="308"/>
      <c r="AX38" s="305" t="str">
        <f>IF(B38="","",Calculator!E84)</f>
        <v/>
      </c>
      <c r="AY38" s="152" t="str">
        <f>IF(B38="","",Calculator!F84)</f>
        <v/>
      </c>
      <c r="AZ38" s="148" t="str">
        <f>IF(BA38="","",ROUND(IF(SUM($BA$2:$BA$74)&gt;(0.5*Summary!$C$8),(BA38/SUM($BA$2:$BA$74))*(0.5*Summary!$C$8),'Data Export'!BA38),2))</f>
        <v/>
      </c>
      <c r="BA38" s="311" t="str">
        <f>IF(B38="","",Calculations!D236)</f>
        <v/>
      </c>
      <c r="BL38" s="152" t="str">
        <f t="shared" si="0"/>
        <v/>
      </c>
      <c r="BM38" s="152" t="str">
        <f t="shared" si="1"/>
        <v/>
      </c>
    </row>
    <row r="39" spans="1:65" s="152" customFormat="1">
      <c r="A39" s="152">
        <v>38</v>
      </c>
      <c r="B39" s="152" t="str">
        <f>IF(Calculator!F85="","",Calculator!$B$82)</f>
        <v/>
      </c>
      <c r="C39" s="307" t="str">
        <f>IF(B39="","",ROUND(Calculator!C85,3))</f>
        <v/>
      </c>
      <c r="D39" s="148" t="str">
        <f>IF(B39="","",Calculations!$E$99)</f>
        <v/>
      </c>
      <c r="E39" s="305" t="str">
        <f>IF(B39="","",Calculator!D85)</f>
        <v/>
      </c>
      <c r="R39" s="307" t="str">
        <f>IF(B39="","",Calculator!H85)</f>
        <v/>
      </c>
      <c r="AQ39" s="152" t="str">
        <f>IF(B39="","",ROUND(Calculator!B85,6))</f>
        <v/>
      </c>
      <c r="AV39" s="308"/>
      <c r="AW39" s="308"/>
      <c r="AX39" s="305" t="str">
        <f>IF(B39="","",Calculator!E85)</f>
        <v/>
      </c>
      <c r="AY39" s="152" t="str">
        <f>IF(B39="","",Calculator!F85)</f>
        <v/>
      </c>
      <c r="AZ39" s="148" t="str">
        <f>IF(BA39="","",ROUND(IF(SUM($BA$2:$BA$74)&gt;(0.5*Summary!$C$8),(BA39/SUM($BA$2:$BA$74))*(0.5*Summary!$C$8),'Data Export'!BA39),2))</f>
        <v/>
      </c>
      <c r="BA39" s="311" t="str">
        <f>IF(B39="","",Calculations!D237)</f>
        <v/>
      </c>
      <c r="BL39" s="152" t="str">
        <f t="shared" si="0"/>
        <v/>
      </c>
      <c r="BM39" s="152" t="str">
        <f t="shared" si="1"/>
        <v/>
      </c>
    </row>
    <row r="40" spans="1:65" s="152" customFormat="1">
      <c r="A40" s="152">
        <v>39</v>
      </c>
      <c r="B40" s="152" t="str">
        <f>IF(Calculator!F86="","",Calculator!$B$82)</f>
        <v/>
      </c>
      <c r="C40" s="307" t="str">
        <f>IF(B40="","",ROUND(Calculator!C86,3))</f>
        <v/>
      </c>
      <c r="D40" s="148" t="str">
        <f>IF(B40="","",Calculations!$E$99)</f>
        <v/>
      </c>
      <c r="E40" s="305" t="str">
        <f>IF(B40="","",Calculator!D86)</f>
        <v/>
      </c>
      <c r="R40" s="307" t="str">
        <f>IF(B40="","",Calculator!H86)</f>
        <v/>
      </c>
      <c r="AQ40" s="152" t="str">
        <f>IF(B40="","",ROUND(Calculator!B86,6))</f>
        <v/>
      </c>
      <c r="AV40" s="308"/>
      <c r="AW40" s="308"/>
      <c r="AX40" s="305" t="str">
        <f>IF(B40="","",Calculator!E86)</f>
        <v/>
      </c>
      <c r="AY40" s="152" t="str">
        <f>IF(B40="","",Calculator!F86)</f>
        <v/>
      </c>
      <c r="AZ40" s="148" t="str">
        <f>IF(BA40="","",ROUND(IF(SUM($BA$2:$BA$74)&gt;(0.5*Summary!$C$8),(BA40/SUM($BA$2:$BA$74))*(0.5*Summary!$C$8),'Data Export'!BA40),2))</f>
        <v/>
      </c>
      <c r="BA40" s="311" t="str">
        <f>IF(B40="","",Calculations!D238)</f>
        <v/>
      </c>
      <c r="BL40" s="152" t="str">
        <f t="shared" si="0"/>
        <v/>
      </c>
      <c r="BM40" s="152" t="str">
        <f t="shared" si="1"/>
        <v/>
      </c>
    </row>
    <row r="41" spans="1:65" s="152" customFormat="1">
      <c r="A41" s="152">
        <v>40</v>
      </c>
      <c r="B41" s="152" t="str">
        <f>IF(Calculator!F87="","",Calculator!$B$82)</f>
        <v/>
      </c>
      <c r="C41" s="307" t="str">
        <f>IF(B41="","",ROUND(Calculator!C87,3))</f>
        <v/>
      </c>
      <c r="D41" s="148" t="str">
        <f>IF(B41="","",Calculations!$E$99)</f>
        <v/>
      </c>
      <c r="E41" s="305" t="str">
        <f>IF(B41="","",Calculator!D87)</f>
        <v/>
      </c>
      <c r="R41" s="307" t="str">
        <f>IF(B41="","",Calculator!H87)</f>
        <v/>
      </c>
      <c r="AQ41" s="152" t="str">
        <f>IF(B41="","",ROUND(Calculator!B87,6))</f>
        <v/>
      </c>
      <c r="AV41" s="308"/>
      <c r="AW41" s="308"/>
      <c r="AX41" s="305" t="str">
        <f>IF(B41="","",Calculator!E87)</f>
        <v/>
      </c>
      <c r="AY41" s="152" t="str">
        <f>IF(B41="","",Calculator!F87)</f>
        <v/>
      </c>
      <c r="AZ41" s="148" t="str">
        <f>IF(BA41="","",ROUND(IF(SUM($BA$2:$BA$74)&gt;(0.5*Summary!$C$8),(BA41/SUM($BA$2:$BA$74))*(0.5*Summary!$C$8),'Data Export'!BA41),2))</f>
        <v/>
      </c>
      <c r="BA41" s="311" t="str">
        <f>IF(B41="","",Calculations!D239)</f>
        <v/>
      </c>
      <c r="BL41" s="152" t="str">
        <f t="shared" si="0"/>
        <v/>
      </c>
      <c r="BM41" s="152" t="str">
        <f t="shared" si="1"/>
        <v/>
      </c>
    </row>
    <row r="42" spans="1:65" s="152" customFormat="1">
      <c r="A42" s="152">
        <v>41</v>
      </c>
      <c r="B42" s="152" t="str">
        <f>IF(Calculator!F88="","",Calculator!$B$82)</f>
        <v/>
      </c>
      <c r="C42" s="307" t="str">
        <f>IF(B42="","",ROUND(Calculator!C88,3))</f>
        <v/>
      </c>
      <c r="D42" s="148" t="str">
        <f>IF(B42="","",Calculations!$E$99)</f>
        <v/>
      </c>
      <c r="E42" s="305" t="str">
        <f>IF(B42="","",Calculator!D88)</f>
        <v/>
      </c>
      <c r="R42" s="307" t="str">
        <f>IF(B42="","",Calculator!H88)</f>
        <v/>
      </c>
      <c r="AQ42" s="152" t="str">
        <f>IF(B42="","",ROUND(Calculator!B88,6))</f>
        <v/>
      </c>
      <c r="AV42" s="308"/>
      <c r="AW42" s="308"/>
      <c r="AX42" s="305" t="str">
        <f>IF(B42="","",Calculator!E88)</f>
        <v/>
      </c>
      <c r="AY42" s="152" t="str">
        <f>IF(B42="","",Calculator!F88)</f>
        <v/>
      </c>
      <c r="AZ42" s="148" t="str">
        <f>IF(BA42="","",ROUND(IF(SUM($BA$2:$BA$74)&gt;(0.5*Summary!$C$8),(BA42/SUM($BA$2:$BA$74))*(0.5*Summary!$C$8),'Data Export'!BA42),2))</f>
        <v/>
      </c>
      <c r="BA42" s="311" t="str">
        <f>IF(B42="","",Calculations!D240)</f>
        <v/>
      </c>
      <c r="BL42" s="152" t="str">
        <f t="shared" si="0"/>
        <v/>
      </c>
      <c r="BM42" s="152" t="str">
        <f t="shared" si="1"/>
        <v/>
      </c>
    </row>
    <row r="43" spans="1:65" s="152" customFormat="1">
      <c r="A43" s="152">
        <v>42</v>
      </c>
      <c r="B43" s="152" t="str">
        <f>IF(Calculator!F93="","",Calculator!B91)</f>
        <v/>
      </c>
      <c r="C43" s="307" t="str">
        <f>IF(B43="","",ROUND(Calculator!C93,3))</f>
        <v/>
      </c>
      <c r="D43" s="148" t="str">
        <f>IF(B43="","",Calculations!$E$99)</f>
        <v/>
      </c>
      <c r="E43" s="305" t="str">
        <f>IF(B43="","",Calculator!D93)</f>
        <v/>
      </c>
      <c r="R43" s="307" t="str">
        <f>IF(B43="","",Calculator!G93)</f>
        <v/>
      </c>
      <c r="AQ43" s="152" t="str">
        <f>IF(B43="","",ROUND(Calculator!B93,6))</f>
        <v/>
      </c>
      <c r="AV43" s="308"/>
      <c r="AW43" s="308"/>
      <c r="AX43" s="305" t="str">
        <f>IF(B43="","",Calculator!E93)</f>
        <v/>
      </c>
      <c r="AY43" s="152" t="str">
        <f>IF(B43="","",Calculator!F93)</f>
        <v/>
      </c>
      <c r="AZ43" s="148" t="str">
        <f>IF(BA43="","",ROUND(IF(SUM($BA$2:$BA$74)&gt;(0.5*Summary!$C$8),(BA43/SUM($BA$2:$BA$74))*(0.5*Summary!$C$8),'Data Export'!BA43),2))</f>
        <v/>
      </c>
      <c r="BA43" s="311" t="str">
        <f>IF(B43="","",Calculations!D249)</f>
        <v/>
      </c>
      <c r="BL43" s="152" t="str">
        <f t="shared" si="0"/>
        <v/>
      </c>
      <c r="BM43" s="152" t="str">
        <f t="shared" si="1"/>
        <v/>
      </c>
    </row>
    <row r="44" spans="1:65" s="152" customFormat="1">
      <c r="A44" s="152">
        <v>43</v>
      </c>
      <c r="B44" s="152" t="str">
        <f>IF(Calculator!H98="","",Calculator!$B$96)</f>
        <v/>
      </c>
      <c r="C44" s="307" t="str">
        <f>IF(B44="","",ROUND(Calculator!C98,3))</f>
        <v/>
      </c>
      <c r="D44" s="307" t="str">
        <f>IF(B44="","",Calculator!D98)</f>
        <v/>
      </c>
      <c r="E44" s="305" t="str">
        <f>IF(B44="","",Calculator!F98)</f>
        <v/>
      </c>
      <c r="K44" s="310" t="str">
        <f>IF(B44="","",Calculations!J295)</f>
        <v/>
      </c>
      <c r="P44" s="152" t="str">
        <f>IF(B44="","",Calculations!E295)</f>
        <v/>
      </c>
      <c r="Q44" s="152" t="str">
        <f>IF(B44="","",Calculations!D295)</f>
        <v/>
      </c>
      <c r="R44" s="307" t="str">
        <f>IF(B44="","",Calculator!M98)</f>
        <v/>
      </c>
      <c r="U44" s="310" t="str">
        <f>IF(B44="","",Calculations!K295)</f>
        <v/>
      </c>
      <c r="Y44" s="148" t="str">
        <f>IF(B44="","",Calculations!$K$254)</f>
        <v/>
      </c>
      <c r="AN44" s="148" t="str">
        <f>IF(B44="","",Calculations!$F$254)</f>
        <v/>
      </c>
      <c r="AO44" s="152" t="str">
        <f>IF(B44="","",Calculations!C295)</f>
        <v/>
      </c>
      <c r="AQ44" s="152" t="str">
        <f>IF(B44="","",ROUND(Calculator!B98,6))</f>
        <v/>
      </c>
      <c r="AR44" s="148" t="str">
        <f>IF(B44="","",Calculations!Q295)</f>
        <v/>
      </c>
      <c r="AU44" s="152" t="str">
        <f>IF(B44="","",Calculations!G295)</f>
        <v/>
      </c>
      <c r="AV44" s="308"/>
      <c r="AW44" s="308"/>
      <c r="AX44" s="305" t="str">
        <f>IF(B44="","",Calculator!G98)</f>
        <v/>
      </c>
      <c r="AY44" s="312" t="str">
        <f>IF(B44="","",Calculator!H98)</f>
        <v/>
      </c>
      <c r="AZ44" s="148" t="str">
        <f>IF(BA44="","",ROUND(IF(SUM($BA$2:$BA$74)&gt;(0.5*Summary!$C$8),(BA44/SUM($BA$2:$BA$74))*(0.5*Summary!$C$8),'Data Export'!BA44),2))</f>
        <v/>
      </c>
      <c r="BA44" s="152" t="str">
        <f>Calculations!P295</f>
        <v/>
      </c>
      <c r="BL44" s="152" t="str">
        <f t="shared" si="0"/>
        <v/>
      </c>
      <c r="BM44" s="152" t="str">
        <f t="shared" si="1"/>
        <v/>
      </c>
    </row>
    <row r="45" spans="1:65" s="152" customFormat="1">
      <c r="A45" s="152">
        <v>44</v>
      </c>
      <c r="B45" s="152" t="str">
        <f>IF(Calculator!H99="","",Calculator!$B$96)</f>
        <v/>
      </c>
      <c r="C45" s="307" t="str">
        <f>IF(B45="","",ROUND(Calculator!C99,3))</f>
        <v/>
      </c>
      <c r="D45" s="307" t="str">
        <f>IF(B45="","",Calculator!D99)</f>
        <v/>
      </c>
      <c r="E45" s="305" t="str">
        <f>IF(B45="","",Calculator!F99)</f>
        <v/>
      </c>
      <c r="K45" s="310" t="str">
        <f>IF(B45="","",Calculations!J296)</f>
        <v/>
      </c>
      <c r="P45" s="152" t="str">
        <f>IF(B45="","",Calculations!E296)</f>
        <v/>
      </c>
      <c r="Q45" s="152" t="str">
        <f>IF(B45="","",Calculations!D296)</f>
        <v/>
      </c>
      <c r="R45" s="307" t="str">
        <f>IF(B45="","",Calculator!M99)</f>
        <v/>
      </c>
      <c r="U45" s="310" t="str">
        <f>IF(B45="","",Calculations!K296)</f>
        <v/>
      </c>
      <c r="Y45" s="148" t="str">
        <f>IF(B45="","",Calculations!$K$254)</f>
        <v/>
      </c>
      <c r="AN45" s="148" t="str">
        <f>IF(B45="","",Calculations!$F$254)</f>
        <v/>
      </c>
      <c r="AO45" s="152" t="str">
        <f>IF(B45="","",Calculations!C296)</f>
        <v/>
      </c>
      <c r="AQ45" s="152" t="str">
        <f>IF(B45="","",ROUND(Calculator!B99,6))</f>
        <v/>
      </c>
      <c r="AR45" s="148" t="str">
        <f>IF(B45="","",Calculations!Q296)</f>
        <v/>
      </c>
      <c r="AU45" s="152" t="str">
        <f>IF(B45="","",Calculations!G296)</f>
        <v/>
      </c>
      <c r="AV45" s="308"/>
      <c r="AW45" s="308"/>
      <c r="AX45" s="305" t="str">
        <f>IF(B45="","",Calculator!G99)</f>
        <v/>
      </c>
      <c r="AY45" s="312" t="str">
        <f>IF(B45="","",Calculator!H99)</f>
        <v/>
      </c>
      <c r="AZ45" s="148" t="str">
        <f>IF(BA45="","",ROUND(IF(SUM($BA$2:$BA$74)&gt;(0.5*Summary!$C$8),(BA45/SUM($BA$2:$BA$74))*(0.5*Summary!$C$8),'Data Export'!BA45),2))</f>
        <v/>
      </c>
      <c r="BA45" s="152" t="str">
        <f>Calculations!P296</f>
        <v/>
      </c>
      <c r="BL45" s="152" t="str">
        <f t="shared" si="0"/>
        <v/>
      </c>
      <c r="BM45" s="152" t="str">
        <f t="shared" si="1"/>
        <v/>
      </c>
    </row>
    <row r="46" spans="1:65" s="152" customFormat="1">
      <c r="A46" s="152">
        <v>45</v>
      </c>
      <c r="B46" s="152" t="str">
        <f>IF(Calculator!H100="","",Calculator!$B$96)</f>
        <v/>
      </c>
      <c r="C46" s="307" t="str">
        <f>IF(B46="","",ROUND(Calculator!C100,3))</f>
        <v/>
      </c>
      <c r="D46" s="307" t="str">
        <f>IF(B46="","",Calculator!D100)</f>
        <v/>
      </c>
      <c r="E46" s="305" t="str">
        <f>IF(B46="","",Calculator!F100)</f>
        <v/>
      </c>
      <c r="K46" s="310" t="str">
        <f>IF(B46="","",Calculations!J297)</f>
        <v/>
      </c>
      <c r="P46" s="152" t="str">
        <f>IF(B46="","",Calculations!E297)</f>
        <v/>
      </c>
      <c r="Q46" s="152" t="str">
        <f>IF(B46="","",Calculations!D297)</f>
        <v/>
      </c>
      <c r="R46" s="307" t="str">
        <f>IF(B46="","",Calculator!M100)</f>
        <v/>
      </c>
      <c r="U46" s="310" t="str">
        <f>IF(B46="","",Calculations!K297)</f>
        <v/>
      </c>
      <c r="Y46" s="148" t="str">
        <f>IF(B46="","",Calculations!$K$254)</f>
        <v/>
      </c>
      <c r="AN46" s="148" t="str">
        <f>IF(B46="","",Calculations!$F$254)</f>
        <v/>
      </c>
      <c r="AO46" s="152" t="str">
        <f>IF(B46="","",Calculations!C297)</f>
        <v/>
      </c>
      <c r="AQ46" s="152" t="str">
        <f>IF(B46="","",ROUND(Calculator!B100,6))</f>
        <v/>
      </c>
      <c r="AR46" s="148" t="str">
        <f>IF(B46="","",Calculations!Q297)</f>
        <v/>
      </c>
      <c r="AU46" s="152" t="str">
        <f>IF(B46="","",Calculations!G297)</f>
        <v/>
      </c>
      <c r="AV46" s="308"/>
      <c r="AW46" s="308"/>
      <c r="AX46" s="305" t="str">
        <f>IF(B46="","",Calculator!G100)</f>
        <v/>
      </c>
      <c r="AY46" s="312" t="str">
        <f>IF(B46="","",Calculator!H100)</f>
        <v/>
      </c>
      <c r="AZ46" s="148" t="str">
        <f>IF(BA46="","",ROUND(IF(SUM($BA$2:$BA$74)&gt;(0.5*Summary!$C$8),(BA46/SUM($BA$2:$BA$74))*(0.5*Summary!$C$8),'Data Export'!BA46),2))</f>
        <v/>
      </c>
      <c r="BA46" s="152" t="str">
        <f>Calculations!P297</f>
        <v/>
      </c>
      <c r="BL46" s="152" t="str">
        <f t="shared" si="0"/>
        <v/>
      </c>
      <c r="BM46" s="152" t="str">
        <f t="shared" si="1"/>
        <v/>
      </c>
    </row>
    <row r="47" spans="1:65" s="152" customFormat="1">
      <c r="A47" s="152">
        <v>46</v>
      </c>
      <c r="B47" s="152" t="str">
        <f>IF(Calculator!H101="","",Calculator!$B$96)</f>
        <v/>
      </c>
      <c r="C47" s="307" t="str">
        <f>IF(B47="","",ROUND(Calculator!C101,3))</f>
        <v/>
      </c>
      <c r="D47" s="307" t="str">
        <f>IF(B47="","",Calculator!D101)</f>
        <v/>
      </c>
      <c r="E47" s="305" t="str">
        <f>IF(B47="","",Calculator!F101)</f>
        <v/>
      </c>
      <c r="K47" s="310" t="str">
        <f>IF(B47="","",Calculations!J298)</f>
        <v/>
      </c>
      <c r="P47" s="152" t="str">
        <f>IF(B47="","",Calculations!E298)</f>
        <v/>
      </c>
      <c r="Q47" s="152" t="str">
        <f>IF(B47="","",Calculations!D298)</f>
        <v/>
      </c>
      <c r="R47" s="307" t="str">
        <f>IF(B47="","",Calculator!M101)</f>
        <v/>
      </c>
      <c r="U47" s="310" t="str">
        <f>IF(B47="","",Calculations!K298)</f>
        <v/>
      </c>
      <c r="Y47" s="148" t="str">
        <f>IF(B47="","",Calculations!$K$254)</f>
        <v/>
      </c>
      <c r="AN47" s="148" t="str">
        <f>IF(B47="","",Calculations!$F$254)</f>
        <v/>
      </c>
      <c r="AO47" s="152" t="str">
        <f>IF(B47="","",Calculations!C298)</f>
        <v/>
      </c>
      <c r="AQ47" s="152" t="str">
        <f>IF(B47="","",ROUND(Calculator!B101,6))</f>
        <v/>
      </c>
      <c r="AR47" s="148" t="str">
        <f>IF(B47="","",Calculations!Q298)</f>
        <v/>
      </c>
      <c r="AU47" s="152" t="str">
        <f>IF(B47="","",Calculations!G298)</f>
        <v/>
      </c>
      <c r="AV47" s="308"/>
      <c r="AW47" s="308"/>
      <c r="AX47" s="305" t="str">
        <f>IF(B47="","",Calculator!G101)</f>
        <v/>
      </c>
      <c r="AY47" s="312" t="str">
        <f>IF(B47="","",Calculator!H101)</f>
        <v/>
      </c>
      <c r="AZ47" s="148" t="str">
        <f>IF(BA47="","",ROUND(IF(SUM($BA$2:$BA$74)&gt;(0.5*Summary!$C$8),(BA47/SUM($BA$2:$BA$74))*(0.5*Summary!$C$8),'Data Export'!BA47),2))</f>
        <v/>
      </c>
      <c r="BA47" s="152" t="str">
        <f>Calculations!P298</f>
        <v/>
      </c>
      <c r="BL47" s="152" t="str">
        <f t="shared" si="0"/>
        <v/>
      </c>
      <c r="BM47" s="152" t="str">
        <f t="shared" si="1"/>
        <v/>
      </c>
    </row>
    <row r="48" spans="1:65" s="152" customFormat="1">
      <c r="A48" s="152">
        <v>47</v>
      </c>
      <c r="B48" s="152" t="str">
        <f>IF(Calculator!H102="","",Calculator!$B$96)</f>
        <v/>
      </c>
      <c r="C48" s="307" t="str">
        <f>IF(B48="","",ROUND(Calculator!C102,3))</f>
        <v/>
      </c>
      <c r="D48" s="307" t="str">
        <f>IF(B48="","",Calculator!D102)</f>
        <v/>
      </c>
      <c r="E48" s="305" t="str">
        <f>IF(B48="","",Calculator!F102)</f>
        <v/>
      </c>
      <c r="K48" s="310" t="str">
        <f>IF(B48="","",Calculations!J299)</f>
        <v/>
      </c>
      <c r="P48" s="152" t="str">
        <f>IF(B48="","",Calculations!E299)</f>
        <v/>
      </c>
      <c r="Q48" s="152" t="str">
        <f>IF(B48="","",Calculations!D299)</f>
        <v/>
      </c>
      <c r="R48" s="307" t="str">
        <f>IF(B48="","",Calculator!M102)</f>
        <v/>
      </c>
      <c r="U48" s="310" t="str">
        <f>IF(B48="","",Calculations!K299)</f>
        <v/>
      </c>
      <c r="Y48" s="148" t="str">
        <f>IF(B48="","",Calculations!$K$254)</f>
        <v/>
      </c>
      <c r="AN48" s="148" t="str">
        <f>IF(B48="","",Calculations!$F$254)</f>
        <v/>
      </c>
      <c r="AO48" s="152" t="str">
        <f>IF(B48="","",Calculations!C299)</f>
        <v/>
      </c>
      <c r="AQ48" s="152" t="str">
        <f>IF(B48="","",ROUND(Calculator!B102,6))</f>
        <v/>
      </c>
      <c r="AR48" s="148" t="str">
        <f>IF(B48="","",Calculations!Q299)</f>
        <v/>
      </c>
      <c r="AU48" s="152" t="str">
        <f>IF(B48="","",Calculations!G299)</f>
        <v/>
      </c>
      <c r="AV48" s="308"/>
      <c r="AW48" s="308"/>
      <c r="AX48" s="305" t="str">
        <f>IF(B48="","",Calculator!G102)</f>
        <v/>
      </c>
      <c r="AY48" s="312" t="str">
        <f>IF(B48="","",Calculator!H102)</f>
        <v/>
      </c>
      <c r="AZ48" s="148" t="str">
        <f>IF(BA48="","",ROUND(IF(SUM($BA$2:$BA$74)&gt;(0.5*Summary!$C$8),(BA48/SUM($BA$2:$BA$74))*(0.5*Summary!$C$8),'Data Export'!BA48),2))</f>
        <v/>
      </c>
      <c r="BA48" s="152" t="str">
        <f>Calculations!P299</f>
        <v/>
      </c>
      <c r="BL48" s="152" t="str">
        <f t="shared" si="0"/>
        <v/>
      </c>
      <c r="BM48" s="152" t="str">
        <f t="shared" si="1"/>
        <v/>
      </c>
    </row>
    <row r="49" spans="1:70" s="152" customFormat="1">
      <c r="A49" s="152">
        <v>48</v>
      </c>
      <c r="B49" s="152" t="str">
        <f>IF(Calculator!H103="","",Calculator!$B$96)</f>
        <v/>
      </c>
      <c r="C49" s="307" t="str">
        <f>IF(B49="","",ROUND(Calculator!C103,3))</f>
        <v/>
      </c>
      <c r="D49" s="307" t="str">
        <f>IF(B49="","",Calculator!D103)</f>
        <v/>
      </c>
      <c r="E49" s="305" t="str">
        <f>IF(B49="","",Calculator!F103)</f>
        <v/>
      </c>
      <c r="K49" s="310" t="str">
        <f>IF(B49="","",Calculations!J300)</f>
        <v/>
      </c>
      <c r="P49" s="152" t="str">
        <f>IF(B49="","",Calculations!E300)</f>
        <v/>
      </c>
      <c r="Q49" s="152" t="str">
        <f>IF(B49="","",Calculations!D300)</f>
        <v/>
      </c>
      <c r="R49" s="307" t="str">
        <f>IF(B49="","",Calculator!M103)</f>
        <v/>
      </c>
      <c r="U49" s="310" t="str">
        <f>IF(B49="","",Calculations!K300)</f>
        <v/>
      </c>
      <c r="Y49" s="148" t="str">
        <f>IF(B49="","",Calculations!$K$254)</f>
        <v/>
      </c>
      <c r="AN49" s="148" t="str">
        <f>IF(B49="","",Calculations!$F$254)</f>
        <v/>
      </c>
      <c r="AO49" s="152" t="str">
        <f>IF(B49="","",Calculations!C300)</f>
        <v/>
      </c>
      <c r="AQ49" s="152" t="str">
        <f>IF(B49="","",ROUND(Calculator!B103,6))</f>
        <v/>
      </c>
      <c r="AR49" s="148" t="str">
        <f>IF(B49="","",Calculations!Q300)</f>
        <v/>
      </c>
      <c r="AU49" s="152" t="str">
        <f>IF(B49="","",Calculations!G300)</f>
        <v/>
      </c>
      <c r="AV49" s="308"/>
      <c r="AW49" s="308"/>
      <c r="AX49" s="305" t="str">
        <f>IF(B49="","",Calculator!G103)</f>
        <v/>
      </c>
      <c r="AY49" s="312" t="str">
        <f>IF(B49="","",Calculator!H103)</f>
        <v/>
      </c>
      <c r="AZ49" s="148" t="str">
        <f>IF(BA49="","",ROUND(IF(SUM($BA$2:$BA$74)&gt;(0.5*Summary!$C$8),(BA49/SUM($BA$2:$BA$74))*(0.5*Summary!$C$8),'Data Export'!BA49),2))</f>
        <v/>
      </c>
      <c r="BA49" s="152" t="str">
        <f>Calculations!P300</f>
        <v/>
      </c>
      <c r="BL49" s="152" t="str">
        <f t="shared" si="0"/>
        <v/>
      </c>
      <c r="BM49" s="152" t="str">
        <f t="shared" si="1"/>
        <v/>
      </c>
    </row>
    <row r="50" spans="1:70" s="152" customFormat="1">
      <c r="A50" s="152">
        <v>49</v>
      </c>
      <c r="B50" s="152" t="str">
        <f>IF(Calculator!H104="","",Calculator!$B$96)</f>
        <v/>
      </c>
      <c r="C50" s="307" t="str">
        <f>IF(B50="","",ROUND(Calculator!C104,3))</f>
        <v/>
      </c>
      <c r="D50" s="307" t="str">
        <f>IF(B50="","",Calculator!D104)</f>
        <v/>
      </c>
      <c r="E50" s="305" t="str">
        <f>IF(B50="","",Calculator!F104)</f>
        <v/>
      </c>
      <c r="K50" s="310" t="str">
        <f>IF(B50="","",Calculations!J301)</f>
        <v/>
      </c>
      <c r="P50" s="152" t="str">
        <f>IF(B50="","",Calculations!E301)</f>
        <v/>
      </c>
      <c r="Q50" s="152" t="str">
        <f>IF(B50="","",Calculations!D301)</f>
        <v/>
      </c>
      <c r="R50" s="307" t="str">
        <f>IF(B50="","",Calculator!M104)</f>
        <v/>
      </c>
      <c r="U50" s="310" t="str">
        <f>IF(B50="","",Calculations!K301)</f>
        <v/>
      </c>
      <c r="Y50" s="148" t="str">
        <f>IF(B50="","",Calculations!$K$254)</f>
        <v/>
      </c>
      <c r="AN50" s="148" t="str">
        <f>IF(B50="","",Calculations!$F$254)</f>
        <v/>
      </c>
      <c r="AO50" s="152" t="str">
        <f>IF(B50="","",Calculations!C301)</f>
        <v/>
      </c>
      <c r="AQ50" s="152" t="str">
        <f>IF(B50="","",ROUND(Calculator!B104,6))</f>
        <v/>
      </c>
      <c r="AR50" s="148" t="str">
        <f>IF(B50="","",Calculations!Q301)</f>
        <v/>
      </c>
      <c r="AU50" s="152" t="str">
        <f>IF(B50="","",Calculations!G301)</f>
        <v/>
      </c>
      <c r="AV50" s="308"/>
      <c r="AW50" s="308"/>
      <c r="AX50" s="305" t="str">
        <f>IF(B50="","",Calculator!G104)</f>
        <v/>
      </c>
      <c r="AY50" s="312" t="str">
        <f>IF(B50="","",Calculator!H104)</f>
        <v/>
      </c>
      <c r="AZ50" s="148" t="str">
        <f>IF(BA50="","",ROUND(IF(SUM($BA$2:$BA$74)&gt;(0.5*Summary!$C$8),(BA50/SUM($BA$2:$BA$74))*(0.5*Summary!$C$8),'Data Export'!BA50),2))</f>
        <v/>
      </c>
      <c r="BA50" s="152" t="str">
        <f>Calculations!P301</f>
        <v/>
      </c>
      <c r="BL50" s="152" t="str">
        <f t="shared" si="0"/>
        <v/>
      </c>
      <c r="BM50" s="152" t="str">
        <f t="shared" si="1"/>
        <v/>
      </c>
    </row>
    <row r="51" spans="1:70" s="152" customFormat="1">
      <c r="A51" s="152">
        <v>50</v>
      </c>
      <c r="B51" s="152" t="str">
        <f>IF(Calculator!H105="","",Calculator!$B$96)</f>
        <v/>
      </c>
      <c r="C51" s="307" t="str">
        <f>IF(B51="","",ROUND(Calculator!C105,3))</f>
        <v/>
      </c>
      <c r="D51" s="307" t="str">
        <f>IF(B51="","",Calculator!D105)</f>
        <v/>
      </c>
      <c r="E51" s="305" t="str">
        <f>IF(B51="","",Calculator!F105)</f>
        <v/>
      </c>
      <c r="K51" s="310" t="str">
        <f>IF(B51="","",Calculations!J302)</f>
        <v/>
      </c>
      <c r="P51" s="152" t="str">
        <f>IF(B51="","",Calculations!E302)</f>
        <v/>
      </c>
      <c r="Q51" s="152" t="str">
        <f>IF(B51="","",Calculations!D302)</f>
        <v/>
      </c>
      <c r="R51" s="307" t="str">
        <f>IF(B51="","",Calculator!M105)</f>
        <v/>
      </c>
      <c r="U51" s="310" t="str">
        <f>IF(B51="","",Calculations!K302)</f>
        <v/>
      </c>
      <c r="Y51" s="148" t="str">
        <f>IF(B51="","",Calculations!$K$254)</f>
        <v/>
      </c>
      <c r="AN51" s="148" t="str">
        <f>IF(B51="","",Calculations!$F$254)</f>
        <v/>
      </c>
      <c r="AO51" s="152" t="str">
        <f>IF(B51="","",Calculations!C302)</f>
        <v/>
      </c>
      <c r="AQ51" s="152" t="str">
        <f>IF(B51="","",ROUND(Calculator!B105,6))</f>
        <v/>
      </c>
      <c r="AR51" s="148" t="str">
        <f>IF(B51="","",Calculations!Q302)</f>
        <v/>
      </c>
      <c r="AU51" s="152" t="str">
        <f>IF(B51="","",Calculations!G302)</f>
        <v/>
      </c>
      <c r="AV51" s="308"/>
      <c r="AW51" s="308"/>
      <c r="AX51" s="305" t="str">
        <f>IF(B51="","",Calculator!G105)</f>
        <v/>
      </c>
      <c r="AY51" s="312" t="str">
        <f>IF(B51="","",Calculator!H105)</f>
        <v/>
      </c>
      <c r="AZ51" s="148" t="str">
        <f>IF(BA51="","",ROUND(IF(SUM($BA$2:$BA$74)&gt;(0.5*Summary!$C$8),(BA51/SUM($BA$2:$BA$74))*(0.5*Summary!$C$8),'Data Export'!BA51),2))</f>
        <v/>
      </c>
      <c r="BA51" s="152" t="str">
        <f>Calculations!P302</f>
        <v/>
      </c>
      <c r="BL51" s="152" t="str">
        <f t="shared" si="0"/>
        <v/>
      </c>
      <c r="BM51" s="152" t="str">
        <f t="shared" si="1"/>
        <v/>
      </c>
    </row>
    <row r="52" spans="1:70" s="152" customFormat="1">
      <c r="A52" s="152">
        <v>51</v>
      </c>
      <c r="B52" s="152" t="str">
        <f>IF(Calculator!F110="","",Calculator!$B$108)</f>
        <v/>
      </c>
      <c r="C52" s="307" t="str">
        <f>IF(B52="","",ROUND(Calculator!C110,3))</f>
        <v/>
      </c>
      <c r="D52" s="148" t="str">
        <f>IF(B52="","",Calculations!$D$307)</f>
        <v/>
      </c>
      <c r="E52" s="305" t="str">
        <f>IF(B52="","",Calculator!D110)</f>
        <v/>
      </c>
      <c r="R52" s="307" t="str">
        <f>IF(B52="","",Calculator!H110)</f>
        <v/>
      </c>
      <c r="Y52" s="148" t="str">
        <f>IF(B52="","",Calculations!$E$307)</f>
        <v/>
      </c>
      <c r="AQ52" s="152" t="str">
        <f>IF(B52="","",ROUND(Calculator!B110,6))</f>
        <v/>
      </c>
      <c r="AU52" s="313" t="str">
        <f>IF(B52="","",Calculator!G110)</f>
        <v/>
      </c>
      <c r="AV52" s="308"/>
      <c r="AW52" s="308"/>
      <c r="AX52" s="305" t="str">
        <f>IF(B52="","",Calculator!E110)</f>
        <v/>
      </c>
      <c r="AY52" s="152" t="str">
        <f>IF(B52="","",Calculator!F110)</f>
        <v/>
      </c>
      <c r="AZ52" s="148" t="str">
        <f>IF(BA52="","",ROUND(IF(SUM($BA$2:$BA$74)&gt;(0.5*Summary!$C$8),(BA52/SUM($BA$2:$BA$74))*(0.5*Summary!$C$8),'Data Export'!BA52),2))</f>
        <v/>
      </c>
      <c r="BA52" s="152" t="str">
        <f>IF(B52="","",Calculations!I317)</f>
        <v/>
      </c>
      <c r="BL52" s="152" t="str">
        <f t="shared" si="0"/>
        <v/>
      </c>
      <c r="BM52" s="152" t="str">
        <f t="shared" si="1"/>
        <v/>
      </c>
    </row>
    <row r="53" spans="1:70" s="152" customFormat="1">
      <c r="A53" s="152">
        <v>52</v>
      </c>
      <c r="B53" s="152" t="str">
        <f>IF(Calculator!F111="","",Calculator!$B$108)</f>
        <v/>
      </c>
      <c r="C53" s="307" t="str">
        <f>IF(B53="","",ROUND(Calculator!C111,3))</f>
        <v/>
      </c>
      <c r="D53" s="148" t="str">
        <f>IF(B53="","",Calculations!$D$307)</f>
        <v/>
      </c>
      <c r="E53" s="305" t="str">
        <f>IF(B53="","",Calculator!D111)</f>
        <v/>
      </c>
      <c r="R53" s="307" t="str">
        <f>IF(B53="","",Calculator!H111)</f>
        <v/>
      </c>
      <c r="Y53" s="148" t="str">
        <f>IF(B53="","",Calculations!$E$307)</f>
        <v/>
      </c>
      <c r="AQ53" s="152" t="str">
        <f>IF(B53="","",ROUND(Calculator!B111,6))</f>
        <v/>
      </c>
      <c r="AU53" s="313" t="str">
        <f>IF(B53="","",Calculator!G111)</f>
        <v/>
      </c>
      <c r="AV53" s="308"/>
      <c r="AW53" s="308"/>
      <c r="AX53" s="305" t="str">
        <f>IF(B53="","",Calculator!E111)</f>
        <v/>
      </c>
      <c r="AY53" s="152" t="str">
        <f>IF(B53="","",Calculator!F111)</f>
        <v/>
      </c>
      <c r="AZ53" s="148" t="str">
        <f>IF(BA53="","",ROUND(IF(SUM($BA$2:$BA$74)&gt;(0.5*Summary!$C$8),(BA53/SUM($BA$2:$BA$74))*(0.5*Summary!$C$8),'Data Export'!BA53),2))</f>
        <v/>
      </c>
      <c r="BA53" s="152" t="str">
        <f>IF(B53="","",Calculations!I318)</f>
        <v/>
      </c>
      <c r="BL53" s="152" t="str">
        <f t="shared" si="0"/>
        <v/>
      </c>
      <c r="BM53" s="152" t="str">
        <f t="shared" si="1"/>
        <v/>
      </c>
    </row>
    <row r="54" spans="1:70" s="152" customFormat="1">
      <c r="A54" s="152">
        <v>53</v>
      </c>
      <c r="B54" s="152" t="str">
        <f>IF(Calculator!F112="","",Calculator!$B$108)</f>
        <v/>
      </c>
      <c r="C54" s="307" t="str">
        <f>IF(B54="","",ROUND(Calculator!C112,3))</f>
        <v/>
      </c>
      <c r="D54" s="148" t="str">
        <f>IF(B54="","",Calculations!$D$307)</f>
        <v/>
      </c>
      <c r="E54" s="305" t="str">
        <f>IF(B54="","",Calculator!D112)</f>
        <v/>
      </c>
      <c r="R54" s="307" t="str">
        <f>IF(B54="","",Calculator!H112)</f>
        <v/>
      </c>
      <c r="Y54" s="148" t="str">
        <f>IF(B54="","",Calculations!$E$307)</f>
        <v/>
      </c>
      <c r="AQ54" s="152" t="str">
        <f>IF(B54="","",ROUND(Calculator!B112,6))</f>
        <v/>
      </c>
      <c r="AU54" s="313" t="str">
        <f>IF(B54="","",Calculator!G112)</f>
        <v/>
      </c>
      <c r="AV54" s="308"/>
      <c r="AW54" s="308"/>
      <c r="AX54" s="305" t="str">
        <f>IF(B54="","",Calculator!E112)</f>
        <v/>
      </c>
      <c r="AY54" s="152" t="str">
        <f>IF(B54="","",Calculator!F112)</f>
        <v/>
      </c>
      <c r="AZ54" s="148" t="str">
        <f>IF(BA54="","",ROUND(IF(SUM($BA$2:$BA$74)&gt;(0.5*Summary!$C$8),(BA54/SUM($BA$2:$BA$74))*(0.5*Summary!$C$8),'Data Export'!BA54),2))</f>
        <v/>
      </c>
      <c r="BA54" s="152" t="str">
        <f>IF(B54="","",Calculations!I319)</f>
        <v/>
      </c>
      <c r="BL54" s="152" t="str">
        <f t="shared" si="0"/>
        <v/>
      </c>
      <c r="BM54" s="152" t="str">
        <f t="shared" si="1"/>
        <v/>
      </c>
    </row>
    <row r="55" spans="1:70" s="152" customFormat="1">
      <c r="A55" s="152">
        <v>54</v>
      </c>
      <c r="B55" s="152" t="str">
        <f>IF(Calculator!F117="","",Calculator!$B$115)</f>
        <v/>
      </c>
      <c r="C55" s="307" t="str">
        <f>IF(B55="","",ROUND(Calculator!C117,3))</f>
        <v/>
      </c>
      <c r="D55" s="148" t="str">
        <f>IF(B55="","",Calculations!$F$324)</f>
        <v/>
      </c>
      <c r="E55" s="305" t="str">
        <f>IF(B55="","",Calculator!D117)</f>
        <v/>
      </c>
      <c r="F55" s="148" t="str">
        <f>IF(B55="","",Calculations!$H$324)</f>
        <v/>
      </c>
      <c r="G55" s="152" t="str">
        <f>IF(B55="","",Calculations!$H$323)</f>
        <v/>
      </c>
      <c r="K55" s="152" t="str">
        <f>IF(B55="","",Calculations!D371)</f>
        <v/>
      </c>
      <c r="R55" s="307" t="str">
        <f>IF(B55="","",Calculator!K117)</f>
        <v/>
      </c>
      <c r="U55" s="152" t="str">
        <f>IF(B55="","",Calculations!E371)</f>
        <v/>
      </c>
      <c r="AQ55" s="152" t="str">
        <f>IF(B55="","",ROUND(Calculations!H371,6))</f>
        <v/>
      </c>
      <c r="AV55" s="308"/>
      <c r="AW55" s="308"/>
      <c r="AX55" s="305" t="str">
        <f>IF(B55="","",Calculator!E117)</f>
        <v/>
      </c>
      <c r="AY55" s="177" t="str">
        <f>IF(B55="","",Calculator!F117)</f>
        <v/>
      </c>
      <c r="AZ55" s="148" t="str">
        <f>IF(BA55="","",ROUND(IF(SUM($BA$2:$BA$74)&gt;(0.5*Summary!$C$8),(BA55/SUM($BA$2:$BA$74))*(0.5*Summary!$C$8),'Data Export'!BA55),2))</f>
        <v/>
      </c>
      <c r="BB55" s="152">
        <f>Calculations!J371</f>
        <v>0</v>
      </c>
      <c r="BC55" s="152">
        <f>Calculations!K371</f>
        <v>0</v>
      </c>
      <c r="BD55" s="152" t="str">
        <f>IF(B55="","",Calculations!F371)</f>
        <v/>
      </c>
      <c r="BE55" s="152" t="str">
        <f>IF(B55="","",Calculations!G371)</f>
        <v/>
      </c>
      <c r="BF55" s="305" t="str">
        <f>IF(B55="","",Calculator!G117)</f>
        <v/>
      </c>
      <c r="BG55" s="305" t="str">
        <f>IF(B55="","",Calculator!H117)</f>
        <v/>
      </c>
      <c r="BL55" s="152" t="str">
        <f t="shared" si="0"/>
        <v/>
      </c>
      <c r="BM55" s="152" t="str">
        <f t="shared" si="1"/>
        <v/>
      </c>
    </row>
    <row r="56" spans="1:70" s="152" customFormat="1">
      <c r="A56" s="152">
        <v>55</v>
      </c>
      <c r="B56" s="152" t="str">
        <f>IF(Calculator!F118="","",Calculator!$B$115)</f>
        <v/>
      </c>
      <c r="C56" s="307" t="str">
        <f>IF(B56="","",ROUND(Calculator!C118,3))</f>
        <v/>
      </c>
      <c r="D56" s="148" t="str">
        <f>IF(B56="","",Calculations!$F$324)</f>
        <v/>
      </c>
      <c r="E56" s="305" t="str">
        <f>IF(B56="","",Calculator!D118)</f>
        <v/>
      </c>
      <c r="F56" s="148" t="str">
        <f>IF(B56="","",Calculations!$H$324)</f>
        <v/>
      </c>
      <c r="G56" s="152" t="str">
        <f>IF(B56="","",Calculations!$H$323)</f>
        <v/>
      </c>
      <c r="K56" s="152" t="str">
        <f>IF(B56="","",Calculations!D372)</f>
        <v/>
      </c>
      <c r="R56" s="307" t="str">
        <f>IF(B56="","",Calculator!K118)</f>
        <v/>
      </c>
      <c r="U56" s="152" t="str">
        <f>IF(B56="","",Calculations!E372)</f>
        <v/>
      </c>
      <c r="AQ56" s="152" t="str">
        <f>IF(B56="","",ROUND(Calculations!H372,6))</f>
        <v/>
      </c>
      <c r="AV56" s="308"/>
      <c r="AW56" s="308"/>
      <c r="AX56" s="305" t="str">
        <f>IF(B56="","",Calculator!E118)</f>
        <v/>
      </c>
      <c r="AY56" s="177" t="str">
        <f>IF(B56="","",Calculator!F118)</f>
        <v/>
      </c>
      <c r="AZ56" s="148" t="str">
        <f>IF(BA56="","",ROUND(IF(SUM($BA$2:$BA$74)&gt;(0.5*Summary!$C$8),(BA56/SUM($BA$2:$BA$74))*(0.5*Summary!$C$8),'Data Export'!BA56),2))</f>
        <v/>
      </c>
      <c r="BB56" s="152">
        <f>Calculations!J372</f>
        <v>0</v>
      </c>
      <c r="BC56" s="152">
        <f>Calculations!K372</f>
        <v>0</v>
      </c>
      <c r="BD56" s="152" t="str">
        <f>IF(B56="","",Calculations!F372)</f>
        <v/>
      </c>
      <c r="BE56" s="152" t="str">
        <f>IF(B56="","",Calculations!G372)</f>
        <v/>
      </c>
      <c r="BF56" s="305" t="str">
        <f>IF(B56="","",Calculator!G118)</f>
        <v/>
      </c>
      <c r="BG56" s="305" t="str">
        <f>IF(B56="","",Calculator!H118)</f>
        <v/>
      </c>
      <c r="BL56" s="152" t="str">
        <f t="shared" si="0"/>
        <v/>
      </c>
      <c r="BM56" s="152" t="str">
        <f t="shared" si="1"/>
        <v/>
      </c>
    </row>
    <row r="57" spans="1:70" s="152" customFormat="1">
      <c r="A57" s="152">
        <v>56</v>
      </c>
      <c r="B57" s="152" t="str">
        <f>IF(Calculator!F119="","",Calculator!$B$115)</f>
        <v/>
      </c>
      <c r="C57" s="307" t="str">
        <f>IF(B57="","",ROUND(Calculator!C119,3))</f>
        <v/>
      </c>
      <c r="D57" s="148" t="str">
        <f>IF(B57="","",Calculations!$F$324)</f>
        <v/>
      </c>
      <c r="E57" s="305" t="str">
        <f>IF(B57="","",Calculator!D119)</f>
        <v/>
      </c>
      <c r="F57" s="148" t="str">
        <f>IF(B57="","",Calculations!$H$324)</f>
        <v/>
      </c>
      <c r="G57" s="152" t="str">
        <f>IF(B57="","",Calculations!$H$323)</f>
        <v/>
      </c>
      <c r="K57" s="152" t="str">
        <f>IF(B57="","",Calculations!D373)</f>
        <v/>
      </c>
      <c r="R57" s="307" t="str">
        <f>IF(B57="","",Calculator!K119)</f>
        <v/>
      </c>
      <c r="U57" s="152" t="str">
        <f>IF(B57="","",Calculations!E373)</f>
        <v/>
      </c>
      <c r="AQ57" s="152" t="str">
        <f>IF(B57="","",ROUND(Calculations!H373,6))</f>
        <v/>
      </c>
      <c r="AV57" s="308"/>
      <c r="AW57" s="308"/>
      <c r="AX57" s="305" t="str">
        <f>IF(B57="","",Calculator!E119)</f>
        <v/>
      </c>
      <c r="AY57" s="177" t="str">
        <f>IF(B57="","",Calculator!F119)</f>
        <v/>
      </c>
      <c r="AZ57" s="148" t="str">
        <f>IF(BA57="","",ROUND(IF(SUM($BA$2:$BA$74)&gt;(0.5*Summary!$C$8),(BA57/SUM($BA$2:$BA$74))*(0.5*Summary!$C$8),'Data Export'!BA57),2))</f>
        <v/>
      </c>
      <c r="BB57" s="152">
        <f>Calculations!J373</f>
        <v>0</v>
      </c>
      <c r="BC57" s="152">
        <f>Calculations!K373</f>
        <v>0</v>
      </c>
      <c r="BD57" s="152" t="str">
        <f>IF(B57="","",Calculations!F373)</f>
        <v/>
      </c>
      <c r="BE57" s="152" t="str">
        <f>IF(B57="","",Calculations!G373)</f>
        <v/>
      </c>
      <c r="BF57" s="305" t="str">
        <f>IF(B57="","",Calculator!G119)</f>
        <v/>
      </c>
      <c r="BG57" s="305" t="str">
        <f>IF(B57="","",Calculator!H119)</f>
        <v/>
      </c>
      <c r="BL57" s="152" t="str">
        <f t="shared" si="0"/>
        <v/>
      </c>
      <c r="BM57" s="152" t="str">
        <f t="shared" si="1"/>
        <v/>
      </c>
    </row>
    <row r="58" spans="1:70" s="152" customFormat="1">
      <c r="A58" s="152">
        <v>57</v>
      </c>
      <c r="B58" s="152" t="str">
        <f>IF(Calculator!F120="","",Calculator!$B$115)</f>
        <v/>
      </c>
      <c r="C58" s="307" t="str">
        <f>IF(B58="","",ROUND(Calculator!C120,3))</f>
        <v/>
      </c>
      <c r="D58" s="148" t="str">
        <f>IF(B58="","",Calculations!$F$324)</f>
        <v/>
      </c>
      <c r="E58" s="305" t="str">
        <f>IF(B58="","",Calculator!D120)</f>
        <v/>
      </c>
      <c r="F58" s="148" t="str">
        <f>IF(B58="","",Calculations!$H$324)</f>
        <v/>
      </c>
      <c r="G58" s="152" t="str">
        <f>IF(B58="","",Calculations!$H$323)</f>
        <v/>
      </c>
      <c r="K58" s="152" t="str">
        <f>IF(B58="","",Calculations!D374)</f>
        <v/>
      </c>
      <c r="R58" s="307" t="str">
        <f>IF(B58="","",Calculator!K120)</f>
        <v/>
      </c>
      <c r="U58" s="152" t="str">
        <f>IF(B58="","",Calculations!E374)</f>
        <v/>
      </c>
      <c r="AQ58" s="152" t="str">
        <f>IF(B58="","",ROUND(Calculations!H374,6))</f>
        <v/>
      </c>
      <c r="AV58" s="308"/>
      <c r="AW58" s="308"/>
      <c r="AX58" s="305" t="str">
        <f>IF(B58="","",Calculator!E120)</f>
        <v/>
      </c>
      <c r="AY58" s="177" t="str">
        <f>IF(B58="","",Calculator!F120)</f>
        <v/>
      </c>
      <c r="AZ58" s="148" t="str">
        <f>IF(BA58="","",ROUND(IF(SUM($BA$2:$BA$74)&gt;(0.5*Summary!$C$8),(BA58/SUM($BA$2:$BA$74))*(0.5*Summary!$C$8),'Data Export'!BA58),2))</f>
        <v/>
      </c>
      <c r="BB58" s="152">
        <f>Calculations!J374</f>
        <v>0</v>
      </c>
      <c r="BC58" s="152">
        <f>Calculations!K374</f>
        <v>0</v>
      </c>
      <c r="BD58" s="152" t="str">
        <f>IF(B58="","",Calculations!F374)</f>
        <v/>
      </c>
      <c r="BE58" s="152" t="str">
        <f>IF(B58="","",Calculations!G374)</f>
        <v/>
      </c>
      <c r="BF58" s="305" t="str">
        <f>IF(B58="","",Calculator!G120)</f>
        <v/>
      </c>
      <c r="BG58" s="305" t="str">
        <f>IF(B58="","",Calculator!H120)</f>
        <v/>
      </c>
      <c r="BL58" s="152" t="str">
        <f t="shared" si="0"/>
        <v/>
      </c>
      <c r="BM58" s="152" t="str">
        <f t="shared" si="1"/>
        <v/>
      </c>
    </row>
    <row r="59" spans="1:70" s="152" customFormat="1">
      <c r="A59" s="152">
        <v>58</v>
      </c>
      <c r="B59" s="152" t="str">
        <f>IF(Calculator!F121="","",Calculator!$B$115)</f>
        <v/>
      </c>
      <c r="C59" s="307" t="str">
        <f>IF(B59="","",ROUND(Calculator!C121,3))</f>
        <v/>
      </c>
      <c r="D59" s="148" t="str">
        <f>IF(B59="","",Calculations!$F$324)</f>
        <v/>
      </c>
      <c r="E59" s="305" t="str">
        <f>IF(B59="","",Calculator!D121)</f>
        <v/>
      </c>
      <c r="F59" s="148" t="str">
        <f>IF(B59="","",Calculations!$H$324)</f>
        <v/>
      </c>
      <c r="G59" s="152" t="str">
        <f>IF(B59="","",Calculations!$H$323)</f>
        <v/>
      </c>
      <c r="K59" s="152" t="str">
        <f>IF(B59="","",Calculations!D375)</f>
        <v/>
      </c>
      <c r="R59" s="307" t="str">
        <f>IF(B59="","",Calculator!K121)</f>
        <v/>
      </c>
      <c r="U59" s="152" t="str">
        <f>IF(B59="","",Calculations!E375)</f>
        <v/>
      </c>
      <c r="AQ59" s="152" t="str">
        <f>IF(B59="","",ROUND(Calculations!H375,6))</f>
        <v/>
      </c>
      <c r="AV59" s="308"/>
      <c r="AW59" s="308"/>
      <c r="AX59" s="305" t="str">
        <f>IF(B59="","",Calculator!E121)</f>
        <v/>
      </c>
      <c r="AY59" s="177" t="str">
        <f>IF(B59="","",Calculator!F121)</f>
        <v/>
      </c>
      <c r="AZ59" s="148" t="str">
        <f>IF(BA59="","",ROUND(IF(SUM($BA$2:$BA$74)&gt;(0.5*Summary!$C$8),(BA59/SUM($BA$2:$BA$74))*(0.5*Summary!$C$8),'Data Export'!BA59),2))</f>
        <v/>
      </c>
      <c r="BB59" s="152">
        <f>Calculations!J375</f>
        <v>0</v>
      </c>
      <c r="BC59" s="152">
        <f>Calculations!K375</f>
        <v>0</v>
      </c>
      <c r="BD59" s="152" t="str">
        <f>IF(B59="","",Calculations!F375)</f>
        <v/>
      </c>
      <c r="BE59" s="152" t="str">
        <f>IF(B59="","",Calculations!G375)</f>
        <v/>
      </c>
      <c r="BF59" s="305" t="str">
        <f>IF(B59="","",Calculator!G121)</f>
        <v/>
      </c>
      <c r="BG59" s="305" t="str">
        <f>IF(B59="","",Calculator!H121)</f>
        <v/>
      </c>
      <c r="BL59" s="152" t="str">
        <f t="shared" si="0"/>
        <v/>
      </c>
      <c r="BM59" s="152" t="str">
        <f t="shared" si="1"/>
        <v/>
      </c>
    </row>
    <row r="60" spans="1:70" s="152" customFormat="1">
      <c r="A60" s="152">
        <v>59</v>
      </c>
      <c r="B60" s="148" t="str">
        <f>IF(Calculator!F126="","",Calculator!$B$124)</f>
        <v/>
      </c>
      <c r="C60" s="307" t="str">
        <f>IF(B60="","",ROUND(Calculator!C126,6))</f>
        <v/>
      </c>
      <c r="D60" s="148" t="str">
        <f>IF(B60="","",Calculations!$D$381)</f>
        <v/>
      </c>
      <c r="E60" s="305" t="str">
        <f>IF(B60="","",Calculator!D126)</f>
        <v/>
      </c>
      <c r="F60" s="152" t="str">
        <f>IF(B60="","",Calculations!$F$382)</f>
        <v/>
      </c>
      <c r="G60" s="152" t="str">
        <f>IF(B60="","",Calculations!$F$383)</f>
        <v/>
      </c>
      <c r="O60" s="306" t="str">
        <f>IF(B60="","",Calculations!F389)</f>
        <v/>
      </c>
      <c r="P60" s="148"/>
      <c r="R60" s="307" t="str">
        <f>IF(B60="","",Calculator!J126)</f>
        <v/>
      </c>
      <c r="AQ60" s="152" t="str">
        <f>IF(B60="","",ROUND(Calculator!B126,6))</f>
        <v/>
      </c>
      <c r="AV60" s="308"/>
      <c r="AW60" s="308"/>
      <c r="AX60" s="305" t="str">
        <f>IF(B60="","",Calculator!E126)</f>
        <v/>
      </c>
      <c r="AY60" s="177" t="str">
        <f>IF(B60="","",Calculator!F126)</f>
        <v/>
      </c>
      <c r="AZ60" s="148" t="str">
        <f>IF(BA60="","",ROUND(IF(SUM($BA$2:$BA$74)&gt;(0.5*Summary!$C$8),(BA60/SUM($BA$2:$BA$74))*(0.5*Summary!$C$8),'Data Export'!BA60),2))</f>
        <v/>
      </c>
      <c r="BA60" s="311" t="str">
        <f>IF(B60="","",Calculations!I389)</f>
        <v/>
      </c>
      <c r="BH60" s="306" t="str">
        <f>IF(B60="","",Calculations!J389)</f>
        <v/>
      </c>
      <c r="BL60" s="152" t="str">
        <f t="shared" si="0"/>
        <v/>
      </c>
      <c r="BM60" s="152" t="str">
        <f t="shared" si="1"/>
        <v/>
      </c>
      <c r="BR60" s="306" t="str">
        <f>IF(B60="","",Calculations!F389)</f>
        <v/>
      </c>
    </row>
    <row r="61" spans="1:70" s="152" customFormat="1">
      <c r="A61" s="152">
        <v>60</v>
      </c>
      <c r="B61" s="148" t="str">
        <f>IF(Calculator!F127="","",Calculator!$B$124)</f>
        <v/>
      </c>
      <c r="C61" s="307" t="str">
        <f>IF(B61="","",ROUND(Calculator!C127,6))</f>
        <v/>
      </c>
      <c r="D61" s="148" t="str">
        <f>IF(B61="","",Calculations!$D$381)</f>
        <v/>
      </c>
      <c r="E61" s="305" t="str">
        <f>IF(B61="","",Calculator!D127)</f>
        <v/>
      </c>
      <c r="F61" s="152" t="str">
        <f>IF(B61="","",Calculations!$F$382)</f>
        <v/>
      </c>
      <c r="G61" s="152" t="str">
        <f>IF(B61="","",Calculations!$F$383)</f>
        <v/>
      </c>
      <c r="O61" s="306" t="str">
        <f>IF(B61="","",Calculations!F390)</f>
        <v/>
      </c>
      <c r="P61" s="148"/>
      <c r="R61" s="307" t="str">
        <f>IF(B61="","",Calculator!J127)</f>
        <v/>
      </c>
      <c r="AQ61" s="152" t="str">
        <f>IF(B61="","",ROUND(Calculator!B127,6))</f>
        <v/>
      </c>
      <c r="AV61" s="308"/>
      <c r="AW61" s="308"/>
      <c r="AX61" s="305" t="str">
        <f>IF(B61="","",Calculator!E127)</f>
        <v/>
      </c>
      <c r="AY61" s="177" t="str">
        <f>IF(B61="","",Calculator!F127)</f>
        <v/>
      </c>
      <c r="AZ61" s="148" t="str">
        <f>IF(BA61="","",ROUND(IF(SUM($BA$2:$BA$74)&gt;(0.5*Summary!$C$8),(BA61/SUM($BA$2:$BA$74))*(0.5*Summary!$C$8),'Data Export'!BA61),2))</f>
        <v/>
      </c>
      <c r="BA61" s="311" t="str">
        <f>IF(B61="","",Calculations!I390)</f>
        <v/>
      </c>
      <c r="BH61" s="306" t="str">
        <f>IF(B61="","",Calculations!J390)</f>
        <v/>
      </c>
      <c r="BL61" s="152" t="str">
        <f t="shared" si="0"/>
        <v/>
      </c>
      <c r="BM61" s="152" t="str">
        <f t="shared" si="1"/>
        <v/>
      </c>
      <c r="BR61" s="306" t="str">
        <f>IF(B61="","",Calculations!F390)</f>
        <v/>
      </c>
    </row>
    <row r="62" spans="1:70" s="152" customFormat="1">
      <c r="A62" s="152">
        <v>61</v>
      </c>
      <c r="B62" s="148" t="str">
        <f>IF(Calculator!F128="","",Calculator!$B$124)</f>
        <v/>
      </c>
      <c r="C62" s="307" t="str">
        <f>IF(B62="","",ROUND(Calculator!C128,6))</f>
        <v/>
      </c>
      <c r="D62" s="148" t="str">
        <f>IF(B62="","",Calculations!$D$381)</f>
        <v/>
      </c>
      <c r="E62" s="305" t="str">
        <f>IF(B62="","",Calculator!D128)</f>
        <v/>
      </c>
      <c r="F62" s="152" t="str">
        <f>IF(B62="","",Calculations!$F$382)</f>
        <v/>
      </c>
      <c r="G62" s="152" t="str">
        <f>IF(B62="","",Calculations!$F$383)</f>
        <v/>
      </c>
      <c r="O62" s="306" t="str">
        <f>IF(B62="","",Calculations!F391)</f>
        <v/>
      </c>
      <c r="P62" s="148"/>
      <c r="R62" s="307" t="str">
        <f>IF(B62="","",Calculator!J128)</f>
        <v/>
      </c>
      <c r="AQ62" s="152" t="str">
        <f>IF(B62="","",ROUND(Calculator!B128,6))</f>
        <v/>
      </c>
      <c r="AV62" s="308"/>
      <c r="AW62" s="308"/>
      <c r="AX62" s="305" t="str">
        <f>IF(B62="","",Calculator!E128)</f>
        <v/>
      </c>
      <c r="AY62" s="177" t="str">
        <f>IF(B62="","",Calculator!F128)</f>
        <v/>
      </c>
      <c r="AZ62" s="148" t="str">
        <f>IF(BA62="","",ROUND(IF(SUM($BA$2:$BA$74)&gt;(0.5*Summary!$C$8),(BA62/SUM($BA$2:$BA$74))*(0.5*Summary!$C$8),'Data Export'!BA62),2))</f>
        <v/>
      </c>
      <c r="BA62" s="311" t="str">
        <f>IF(B62="","",Calculations!I391)</f>
        <v/>
      </c>
      <c r="BH62" s="306" t="str">
        <f>IF(B62="","",Calculations!J391)</f>
        <v/>
      </c>
      <c r="BL62" s="152" t="str">
        <f t="shared" si="0"/>
        <v/>
      </c>
      <c r="BM62" s="152" t="str">
        <f t="shared" si="1"/>
        <v/>
      </c>
      <c r="BR62" s="306" t="str">
        <f>IF(B62="","",Calculations!F391)</f>
        <v/>
      </c>
    </row>
    <row r="63" spans="1:70" s="152" customFormat="1">
      <c r="A63" s="152">
        <v>62</v>
      </c>
      <c r="B63" s="148" t="str">
        <f>IF(Calculator!F129="","",Calculator!$B$124)</f>
        <v/>
      </c>
      <c r="C63" s="307" t="str">
        <f>IF(B63="","",ROUND(Calculator!C129,6))</f>
        <v/>
      </c>
      <c r="D63" s="148" t="str">
        <f>IF(B63="","",Calculations!$D$381)</f>
        <v/>
      </c>
      <c r="E63" s="305" t="str">
        <f>IF(B63="","",Calculator!D129)</f>
        <v/>
      </c>
      <c r="F63" s="152" t="str">
        <f>IF(B63="","",Calculations!$F$382)</f>
        <v/>
      </c>
      <c r="G63" s="152" t="str">
        <f>IF(B63="","",Calculations!$F$383)</f>
        <v/>
      </c>
      <c r="O63" s="306" t="str">
        <f>IF(B63="","",Calculations!F392)</f>
        <v/>
      </c>
      <c r="P63" s="148"/>
      <c r="R63" s="307" t="str">
        <f>IF(B63="","",Calculator!J129)</f>
        <v/>
      </c>
      <c r="AQ63" s="152" t="str">
        <f>IF(B63="","",ROUND(Calculator!B129,6))</f>
        <v/>
      </c>
      <c r="AV63" s="308"/>
      <c r="AW63" s="308"/>
      <c r="AX63" s="305" t="str">
        <f>IF(B63="","",Calculator!E129)</f>
        <v/>
      </c>
      <c r="AY63" s="177" t="str">
        <f>IF(B63="","",Calculator!F129)</f>
        <v/>
      </c>
      <c r="AZ63" s="148" t="str">
        <f>IF(BA63="","",ROUND(IF(SUM($BA$2:$BA$74)&gt;(0.5*Summary!$C$8),(BA63/SUM($BA$2:$BA$74))*(0.5*Summary!$C$8),'Data Export'!BA63),2))</f>
        <v/>
      </c>
      <c r="BA63" s="311" t="str">
        <f>IF(B63="","",Calculations!I392)</f>
        <v/>
      </c>
      <c r="BH63" s="306" t="str">
        <f>IF(B63="","",Calculations!J392)</f>
        <v/>
      </c>
      <c r="BL63" s="152" t="str">
        <f t="shared" si="0"/>
        <v/>
      </c>
      <c r="BM63" s="152" t="str">
        <f t="shared" si="1"/>
        <v/>
      </c>
      <c r="BR63" s="306" t="str">
        <f>IF(B63="","",Calculations!F392)</f>
        <v/>
      </c>
    </row>
    <row r="64" spans="1:70" s="152" customFormat="1">
      <c r="A64" s="152">
        <v>63</v>
      </c>
      <c r="B64" s="148" t="str">
        <f>IF(Calculator!F130="","",Calculator!$B$124)</f>
        <v/>
      </c>
      <c r="C64" s="307" t="str">
        <f>IF(B64="","",ROUND(Calculator!C130,6))</f>
        <v/>
      </c>
      <c r="D64" s="148" t="str">
        <f>IF(B64="","",Calculations!$D$381)</f>
        <v/>
      </c>
      <c r="E64" s="305" t="str">
        <f>IF(B64="","",Calculator!D130)</f>
        <v/>
      </c>
      <c r="F64" s="152" t="str">
        <f>IF(B64="","",Calculations!$F$382)</f>
        <v/>
      </c>
      <c r="G64" s="152" t="str">
        <f>IF(B64="","",Calculations!$F$383)</f>
        <v/>
      </c>
      <c r="O64" s="306" t="str">
        <f>IF(B64="","",Calculations!F393)</f>
        <v/>
      </c>
      <c r="P64" s="148"/>
      <c r="R64" s="307" t="str">
        <f>IF(B64="","",Calculator!J130)</f>
        <v/>
      </c>
      <c r="AQ64" s="152" t="str">
        <f>IF(B64="","",ROUND(Calculator!B130,6))</f>
        <v/>
      </c>
      <c r="AV64" s="308"/>
      <c r="AW64" s="308"/>
      <c r="AX64" s="305" t="str">
        <f>IF(B64="","",Calculator!E130)</f>
        <v/>
      </c>
      <c r="AY64" s="177" t="str">
        <f>IF(B64="","",Calculator!F130)</f>
        <v/>
      </c>
      <c r="AZ64" s="148" t="str">
        <f>IF(BA64="","",ROUND(IF(SUM($BA$2:$BA$74)&gt;(0.5*Summary!$C$8),(BA64/SUM($BA$2:$BA$74))*(0.5*Summary!$C$8),'Data Export'!BA64),2))</f>
        <v/>
      </c>
      <c r="BA64" s="311" t="str">
        <f>IF(B64="","",Calculations!I393)</f>
        <v/>
      </c>
      <c r="BH64" s="306" t="str">
        <f>IF(B64="","",Calculations!J393)</f>
        <v/>
      </c>
      <c r="BL64" s="152" t="str">
        <f t="shared" si="0"/>
        <v/>
      </c>
      <c r="BM64" s="152" t="str">
        <f t="shared" si="1"/>
        <v/>
      </c>
      <c r="BR64" s="306" t="str">
        <f>IF(B64="","",Calculations!F393)</f>
        <v/>
      </c>
    </row>
    <row r="65" spans="1:70" s="152" customFormat="1">
      <c r="A65" s="152">
        <v>64</v>
      </c>
      <c r="B65" s="148" t="str">
        <f>IF(Calculator!F135="","",Calculator!$B$133)</f>
        <v/>
      </c>
      <c r="C65" s="307" t="str">
        <f>IF(B65="","",ROUND(Calculator!C135,3))</f>
        <v/>
      </c>
      <c r="D65" s="148" t="str">
        <f>IF(B65="","",Calculations!$F$399)</f>
        <v/>
      </c>
      <c r="E65" s="305" t="str">
        <f>IF(B65="","",Calculator!D135)</f>
        <v/>
      </c>
      <c r="F65" s="152" t="str">
        <f>IF(B65="","",Calculations!$H$400)</f>
        <v/>
      </c>
      <c r="G65" s="152" t="str">
        <f>IF(B65="","",Calculations!$H$401)</f>
        <v/>
      </c>
      <c r="O65" s="148" t="str">
        <f>IF(B65="","",Calculations!K409)</f>
        <v/>
      </c>
      <c r="P65" s="148"/>
      <c r="Q65" s="148"/>
      <c r="R65" s="305" t="str">
        <f>IF(B65="","",Calculator!L135)</f>
        <v/>
      </c>
      <c r="AQ65" s="152" t="str">
        <f>IF(B65="","",ROUND(Calculator!B135,6))</f>
        <v/>
      </c>
      <c r="AV65" s="308"/>
      <c r="AW65" s="308"/>
      <c r="AX65" s="305" t="str">
        <f>IF(B65="","",Calculator!E135)</f>
        <v/>
      </c>
      <c r="AY65" s="177" t="str">
        <f>IF(B65="","",Calculator!F135)</f>
        <v/>
      </c>
      <c r="AZ65" s="148" t="str">
        <f>IF(BA65="","",ROUND(IF(SUM($BA$2:$BA$74)&gt;(0.5*Summary!$C$8),(BA65/SUM($BA$2:$BA$74))*(0.5*Summary!$C$8),'Data Export'!BA65),2))</f>
        <v/>
      </c>
      <c r="BA65" s="311" t="str">
        <f>IF(B65="","",Calculations!J409)</f>
        <v/>
      </c>
      <c r="BH65" s="306" t="str">
        <f>Calculations!L409</f>
        <v/>
      </c>
      <c r="BI65" s="152" t="str">
        <f>IF(B65="","",Calculations!N409)</f>
        <v/>
      </c>
      <c r="BJ65" s="152" t="str">
        <f>IF(B65="","",Calculations!$H$402)</f>
        <v/>
      </c>
      <c r="BK65" s="148" t="str">
        <f>IF(B65="","",Calculations!M409)</f>
        <v/>
      </c>
      <c r="BL65" s="152" t="str">
        <f t="shared" si="0"/>
        <v/>
      </c>
      <c r="BM65" s="152" t="str">
        <f t="shared" si="1"/>
        <v/>
      </c>
      <c r="BR65" s="152" t="str">
        <f>IF(B65="","",Calculations!K409)</f>
        <v/>
      </c>
    </row>
    <row r="66" spans="1:70" s="152" customFormat="1">
      <c r="A66" s="152">
        <v>65</v>
      </c>
      <c r="B66" s="148" t="str">
        <f>IF(Calculator!F136="","",Calculator!$B$133)</f>
        <v/>
      </c>
      <c r="C66" s="307" t="str">
        <f>IF(B66="","",ROUND(Calculator!C136,3))</f>
        <v/>
      </c>
      <c r="D66" s="148" t="str">
        <f>IF(B66="","",Calculations!$F$399)</f>
        <v/>
      </c>
      <c r="E66" s="305" t="str">
        <f>IF(B66="","",Calculator!D136)</f>
        <v/>
      </c>
      <c r="F66" s="152" t="str">
        <f>IF(B66="","",Calculations!$H$400)</f>
        <v/>
      </c>
      <c r="G66" s="152" t="str">
        <f>IF(B66="","",Calculations!$H$401)</f>
        <v/>
      </c>
      <c r="O66" s="148" t="str">
        <f>IF(B66="","",Calculations!K410)</f>
        <v/>
      </c>
      <c r="P66" s="148"/>
      <c r="Q66" s="148"/>
      <c r="R66" s="305" t="str">
        <f>IF(B66="","",Calculator!L136)</f>
        <v/>
      </c>
      <c r="AQ66" s="152" t="str">
        <f>IF(B66="","",ROUND(Calculator!B136,6))</f>
        <v/>
      </c>
      <c r="AV66" s="308"/>
      <c r="AW66" s="308"/>
      <c r="AX66" s="305" t="str">
        <f>IF(B66="","",Calculator!E136)</f>
        <v/>
      </c>
      <c r="AY66" s="177" t="str">
        <f>IF(B66="","",Calculator!F136)</f>
        <v/>
      </c>
      <c r="AZ66" s="148" t="str">
        <f>IF(BA66="","",ROUND(IF(SUM($BA$2:$BA$74)&gt;(0.5*Summary!$C$8),(BA66/SUM($BA$2:$BA$74))*(0.5*Summary!$C$8),'Data Export'!BA66),2))</f>
        <v/>
      </c>
      <c r="BA66" s="311" t="str">
        <f>IF(B66="","",Calculations!J410)</f>
        <v/>
      </c>
      <c r="BH66" s="306" t="str">
        <f>Calculations!L410</f>
        <v/>
      </c>
      <c r="BI66" s="152" t="str">
        <f>IF(B66="","",Calculations!N410)</f>
        <v/>
      </c>
      <c r="BJ66" s="152" t="str">
        <f>IF(B66="","",Calculations!$H$402)</f>
        <v/>
      </c>
      <c r="BK66" s="148" t="str">
        <f>IF(B66="","",Calculations!M410)</f>
        <v/>
      </c>
      <c r="BL66" s="152" t="str">
        <f t="shared" si="0"/>
        <v/>
      </c>
      <c r="BM66" s="152" t="str">
        <f t="shared" si="1"/>
        <v/>
      </c>
      <c r="BR66" s="152" t="str">
        <f>IF(B66="","",Calculations!K410)</f>
        <v/>
      </c>
    </row>
    <row r="67" spans="1:70" s="152" customFormat="1">
      <c r="A67" s="152">
        <v>66</v>
      </c>
      <c r="B67" s="148" t="str">
        <f>IF(Calculator!F137="","",Calculator!$B$133)</f>
        <v/>
      </c>
      <c r="C67" s="307" t="str">
        <f>IF(B67="","",ROUND(Calculator!C137,3))</f>
        <v/>
      </c>
      <c r="D67" s="148" t="str">
        <f>IF(B67="","",Calculations!$F$399)</f>
        <v/>
      </c>
      <c r="E67" s="305" t="str">
        <f>IF(B67="","",Calculator!D137)</f>
        <v/>
      </c>
      <c r="F67" s="152" t="str">
        <f>IF(B67="","",Calculations!$H$400)</f>
        <v/>
      </c>
      <c r="G67" s="152" t="str">
        <f>IF(B67="","",Calculations!$H$401)</f>
        <v/>
      </c>
      <c r="O67" s="148" t="str">
        <f>IF(B67="","",Calculations!K411)</f>
        <v/>
      </c>
      <c r="P67" s="148"/>
      <c r="Q67" s="148"/>
      <c r="R67" s="305" t="str">
        <f>IF(B67="","",Calculator!L137)</f>
        <v/>
      </c>
      <c r="AQ67" s="152" t="str">
        <f>IF(B67="","",ROUND(Calculator!B137,6))</f>
        <v/>
      </c>
      <c r="AV67" s="308"/>
      <c r="AW67" s="308"/>
      <c r="AX67" s="305" t="str">
        <f>IF(B67="","",Calculator!E137)</f>
        <v/>
      </c>
      <c r="AY67" s="177" t="str">
        <f>IF(B67="","",Calculator!F137)</f>
        <v/>
      </c>
      <c r="AZ67" s="148" t="str">
        <f>IF(BA67="","",ROUND(IF(SUM($BA$2:$BA$74)&gt;(0.5*Summary!$C$8),(BA67/SUM($BA$2:$BA$74))*(0.5*Summary!$C$8),'Data Export'!BA67),2))</f>
        <v/>
      </c>
      <c r="BA67" s="311" t="str">
        <f>IF(B67="","",Calculations!J411)</f>
        <v/>
      </c>
      <c r="BH67" s="306" t="str">
        <f>Calculations!L411</f>
        <v/>
      </c>
      <c r="BI67" s="152" t="str">
        <f>IF(B67="","",Calculations!N411)</f>
        <v/>
      </c>
      <c r="BJ67" s="152" t="str">
        <f>IF(B67="","",Calculations!$H$402)</f>
        <v/>
      </c>
      <c r="BK67" s="148" t="str">
        <f>IF(B67="","",Calculations!M411)</f>
        <v/>
      </c>
      <c r="BL67" s="152" t="str">
        <f t="shared" ref="BL67:BL74" si="2">IF(B67="","",993519)</f>
        <v/>
      </c>
      <c r="BM67" s="152" t="str">
        <f t="shared" ref="BM67:BM74" si="3">IF(B67="","","PE-7500-EE-41")</f>
        <v/>
      </c>
      <c r="BR67" s="152" t="str">
        <f>IF(B67="","",Calculations!K411)</f>
        <v/>
      </c>
    </row>
    <row r="68" spans="1:70" s="152" customFormat="1">
      <c r="A68" s="152">
        <v>67</v>
      </c>
      <c r="B68" s="148" t="str">
        <f>IF(Calculator!F138="","",Calculator!$B$133)</f>
        <v/>
      </c>
      <c r="C68" s="307" t="str">
        <f>IF(B68="","",ROUND(Calculator!C138,3))</f>
        <v/>
      </c>
      <c r="D68" s="148" t="str">
        <f>IF(B68="","",Calculations!$F$399)</f>
        <v/>
      </c>
      <c r="E68" s="305" t="str">
        <f>IF(B68="","",Calculator!D138)</f>
        <v/>
      </c>
      <c r="F68" s="152" t="str">
        <f>IF(B68="","",Calculations!$H$400)</f>
        <v/>
      </c>
      <c r="G68" s="152" t="str">
        <f>IF(B68="","",Calculations!$H$401)</f>
        <v/>
      </c>
      <c r="O68" s="148" t="str">
        <f>IF(B68="","",Calculations!K412)</f>
        <v/>
      </c>
      <c r="P68" s="148"/>
      <c r="Q68" s="148"/>
      <c r="R68" s="305" t="str">
        <f>IF(B68="","",Calculator!L138)</f>
        <v/>
      </c>
      <c r="AQ68" s="152" t="str">
        <f>IF(B68="","",ROUND(Calculator!B138,6))</f>
        <v/>
      </c>
      <c r="AV68" s="308"/>
      <c r="AW68" s="308"/>
      <c r="AX68" s="305" t="str">
        <f>IF(B68="","",Calculator!E138)</f>
        <v/>
      </c>
      <c r="AY68" s="177" t="str">
        <f>IF(B68="","",Calculator!F138)</f>
        <v/>
      </c>
      <c r="AZ68" s="148" t="str">
        <f>IF(BA68="","",ROUND(IF(SUM($BA$2:$BA$74)&gt;(0.5*Summary!$C$8),(BA68/SUM($BA$2:$BA$74))*(0.5*Summary!$C$8),'Data Export'!BA68),2))</f>
        <v/>
      </c>
      <c r="BA68" s="311" t="str">
        <f>IF(B68="","",Calculations!J412)</f>
        <v/>
      </c>
      <c r="BH68" s="306" t="str">
        <f>Calculations!L412</f>
        <v/>
      </c>
      <c r="BI68" s="152" t="str">
        <f>IF(B68="","",Calculations!N412)</f>
        <v/>
      </c>
      <c r="BJ68" s="152" t="str">
        <f>IF(B68="","",Calculations!$H$402)</f>
        <v/>
      </c>
      <c r="BK68" s="148" t="str">
        <f>IF(B68="","",Calculations!M412)</f>
        <v/>
      </c>
      <c r="BL68" s="152" t="str">
        <f t="shared" si="2"/>
        <v/>
      </c>
      <c r="BM68" s="152" t="str">
        <f t="shared" si="3"/>
        <v/>
      </c>
      <c r="BR68" s="152" t="str">
        <f>IF(B68="","",Calculations!K412)</f>
        <v/>
      </c>
    </row>
    <row r="69" spans="1:70" s="152" customFormat="1">
      <c r="A69" s="152">
        <v>68</v>
      </c>
      <c r="B69" s="148" t="str">
        <f>IF(Calculator!F139="","",Calculator!$B$133)</f>
        <v/>
      </c>
      <c r="C69" s="307" t="str">
        <f>IF(B69="","",ROUND(Calculator!C139,3))</f>
        <v/>
      </c>
      <c r="D69" s="148" t="str">
        <f>IF(B69="","",Calculations!$F$399)</f>
        <v/>
      </c>
      <c r="E69" s="305" t="str">
        <f>IF(B69="","",Calculator!D139)</f>
        <v/>
      </c>
      <c r="F69" s="152" t="str">
        <f>IF(B69="","",Calculations!$H$400)</f>
        <v/>
      </c>
      <c r="G69" s="152" t="str">
        <f>IF(B69="","",Calculations!$H$401)</f>
        <v/>
      </c>
      <c r="O69" s="148" t="str">
        <f>IF(B69="","",Calculations!K413)</f>
        <v/>
      </c>
      <c r="P69" s="148"/>
      <c r="Q69" s="148"/>
      <c r="R69" s="305" t="str">
        <f>IF(B69="","",Calculator!L139)</f>
        <v/>
      </c>
      <c r="AQ69" s="152" t="str">
        <f>IF(B69="","",ROUND(Calculator!B139,6))</f>
        <v/>
      </c>
      <c r="AV69" s="308"/>
      <c r="AW69" s="308"/>
      <c r="AX69" s="305" t="str">
        <f>IF(B69="","",Calculator!E139)</f>
        <v/>
      </c>
      <c r="AY69" s="177" t="str">
        <f>IF(B69="","",Calculator!F139)</f>
        <v/>
      </c>
      <c r="AZ69" s="148" t="str">
        <f>IF(BA69="","",ROUND(IF(SUM($BA$2:$BA$74)&gt;(0.5*Summary!$C$8),(BA69/SUM($BA$2:$BA$74))*(0.5*Summary!$C$8),'Data Export'!BA69),2))</f>
        <v/>
      </c>
      <c r="BA69" s="311" t="str">
        <f>IF(B69="","",Calculations!J413)</f>
        <v/>
      </c>
      <c r="BH69" s="306" t="str">
        <f>Calculations!L413</f>
        <v/>
      </c>
      <c r="BI69" s="152" t="str">
        <f>IF(B69="","",Calculations!N413)</f>
        <v/>
      </c>
      <c r="BJ69" s="152" t="str">
        <f>IF(B69="","",Calculations!$H$402)</f>
        <v/>
      </c>
      <c r="BK69" s="148" t="str">
        <f>IF(B69="","",Calculations!M413)</f>
        <v/>
      </c>
      <c r="BL69" s="152" t="str">
        <f t="shared" si="2"/>
        <v/>
      </c>
      <c r="BM69" s="152" t="str">
        <f t="shared" si="3"/>
        <v/>
      </c>
      <c r="BR69" s="152" t="str">
        <f>IF(B69="","",Calculations!K413)</f>
        <v/>
      </c>
    </row>
    <row r="70" spans="1:70">
      <c r="A70" s="152">
        <v>69</v>
      </c>
      <c r="B70" s="286" t="str">
        <f>IF(Calculator!F144="","",Calculator!$B$142)</f>
        <v/>
      </c>
      <c r="C70" s="285" t="str">
        <f>IF(B70="","",ROUND(Calculator!C144,3))</f>
        <v/>
      </c>
      <c r="D70" s="286" t="str">
        <f>IF(B70="","",Calculations!$F$399)</f>
        <v/>
      </c>
      <c r="E70" s="284" t="str">
        <f>IF(B70="","",Calculator!D144)</f>
        <v/>
      </c>
      <c r="R70" s="284" t="str">
        <f>IF(B70="","",Calculator!M144)</f>
        <v/>
      </c>
      <c r="AQ70" s="284" t="str">
        <f>IF(B70="","",ROUND(Calculations!L425,6))</f>
        <v/>
      </c>
      <c r="AX70" s="284" t="str">
        <f>IF(B70="","",Calculator!E144)</f>
        <v/>
      </c>
      <c r="AY70" s="287" t="str">
        <f>IF(B70="","",Calculator!F144)</f>
        <v/>
      </c>
      <c r="AZ70" s="148" t="str">
        <f>IF(BA70="","",ROUND(IF(SUM($BA$2:$BA$74)&gt;(0.5*Summary!$C$8),(BA70/SUM($BA$2:$BA$74))*(0.5*Summary!$C$8),'Data Export'!BA70),2))</f>
        <v/>
      </c>
      <c r="BA70" s="288" t="str">
        <f>IF(B70="","",Calculations!M425)</f>
        <v/>
      </c>
      <c r="BH70" s="287" t="str">
        <f>IF(B70="","",IF(Calculator!G144="HP",Calculations!F425,""))</f>
        <v/>
      </c>
      <c r="BL70" s="152" t="str">
        <f t="shared" si="2"/>
        <v/>
      </c>
      <c r="BM70" s="152" t="str">
        <f t="shared" si="3"/>
        <v/>
      </c>
      <c r="BN70" t="str">
        <f>IF(B70="","",Calculations!$G$420)</f>
        <v/>
      </c>
      <c r="BO70" s="324" t="str">
        <f>IF(B70="","",IF(Calculator!G144="Tons",Calculations!D425,""))</f>
        <v/>
      </c>
      <c r="BP70" s="285" t="str">
        <f>IF(B70="","",IF(Calculator!G144="HP",Calculations!J425,""))</f>
        <v/>
      </c>
      <c r="BQ70" t="str">
        <f>IF(B70="","",Calculations!$G$419)</f>
        <v/>
      </c>
    </row>
    <row r="71" spans="1:70">
      <c r="A71" s="152">
        <v>70</v>
      </c>
      <c r="B71" s="286" t="str">
        <f>IF(Calculator!F145="","",Calculator!$B$142)</f>
        <v/>
      </c>
      <c r="C71" s="285" t="str">
        <f>IF(B71="","",ROUND(Calculator!C145,3))</f>
        <v/>
      </c>
      <c r="D71" s="286" t="str">
        <f>IF(B71="","",Calculations!$F$399)</f>
        <v/>
      </c>
      <c r="E71" s="284" t="str">
        <f>IF(B71="","",Calculator!D145)</f>
        <v/>
      </c>
      <c r="R71" s="284" t="str">
        <f>IF(B71="","",Calculator!M145)</f>
        <v/>
      </c>
      <c r="AQ71" s="284" t="str">
        <f>IF(B71="","",ROUND(Calculations!L426,6))</f>
        <v/>
      </c>
      <c r="AX71" s="284" t="str">
        <f>IF(B71="","",Calculator!E145)</f>
        <v/>
      </c>
      <c r="AY71" s="287" t="str">
        <f>IF(B71="","",Calculator!F145)</f>
        <v/>
      </c>
      <c r="AZ71" s="148" t="str">
        <f>IF(BA71="","",ROUND(IF(SUM($BA$2:$BA$74)&gt;(0.5*Summary!$C$8),(BA71/SUM($BA$2:$BA$74))*(0.5*Summary!$C$8),'Data Export'!BA71),2))</f>
        <v/>
      </c>
      <c r="BA71" s="288" t="str">
        <f>IF(B71="","",Calculations!M426)</f>
        <v/>
      </c>
      <c r="BH71" s="287" t="str">
        <f>IF(B71="","",IF(Calculator!G145="HP",Calculations!F426,""))</f>
        <v/>
      </c>
      <c r="BL71" s="152" t="str">
        <f t="shared" si="2"/>
        <v/>
      </c>
      <c r="BM71" s="152" t="str">
        <f t="shared" si="3"/>
        <v/>
      </c>
      <c r="BN71" s="141" t="str">
        <f>IF(B71="","",Calculations!$G$420)</f>
        <v/>
      </c>
      <c r="BO71" s="324" t="str">
        <f>IF(B71="","",IF(Calculator!G145="Tons",Calculations!D426,""))</f>
        <v/>
      </c>
      <c r="BP71" s="285" t="str">
        <f>IF(B71="","",IF(Calculator!G145="HP",Calculations!J426,""))</f>
        <v/>
      </c>
      <c r="BQ71" s="141" t="str">
        <f>IF(B71="","",Calculations!$G$419)</f>
        <v/>
      </c>
    </row>
    <row r="72" spans="1:70">
      <c r="A72" s="152">
        <v>71</v>
      </c>
      <c r="B72" s="286" t="str">
        <f>IF(Calculator!F146="","",Calculator!$B$142)</f>
        <v/>
      </c>
      <c r="C72" s="285" t="str">
        <f>IF(B72="","",ROUND(Calculator!C146,3))</f>
        <v/>
      </c>
      <c r="D72" s="286" t="str">
        <f>IF(B72="","",Calculations!$F$399)</f>
        <v/>
      </c>
      <c r="E72" s="284" t="str">
        <f>IF(B72="","",Calculator!D146)</f>
        <v/>
      </c>
      <c r="R72" s="284" t="str">
        <f>IF(B72="","",Calculator!M146)</f>
        <v/>
      </c>
      <c r="AQ72" s="284" t="str">
        <f>IF(B72="","",ROUND(Calculations!L427,6))</f>
        <v/>
      </c>
      <c r="AX72" s="284" t="str">
        <f>IF(B72="","",Calculator!E146)</f>
        <v/>
      </c>
      <c r="AY72" s="287" t="str">
        <f>IF(B72="","",Calculator!F146)</f>
        <v/>
      </c>
      <c r="AZ72" s="148" t="str">
        <f>IF(BA72="","",ROUND(IF(SUM($BA$2:$BA$74)&gt;(0.5*Summary!$C$8),(BA72/SUM($BA$2:$BA$74))*(0.5*Summary!$C$8),'Data Export'!BA72),2))</f>
        <v/>
      </c>
      <c r="BA72" s="288" t="str">
        <f>IF(B72="","",Calculations!M427)</f>
        <v/>
      </c>
      <c r="BH72" s="287" t="str">
        <f>IF(B72="","",IF(Calculator!G146="HP",Calculations!F427,""))</f>
        <v/>
      </c>
      <c r="BL72" s="152" t="str">
        <f t="shared" si="2"/>
        <v/>
      </c>
      <c r="BM72" s="152" t="str">
        <f t="shared" si="3"/>
        <v/>
      </c>
      <c r="BN72" s="141" t="str">
        <f>IF(B72="","",Calculations!$G$420)</f>
        <v/>
      </c>
      <c r="BO72" s="324" t="str">
        <f>IF(B72="","",IF(Calculator!G146="Tons",Calculations!D427,""))</f>
        <v/>
      </c>
      <c r="BP72" s="285" t="str">
        <f>IF(B72="","",IF(Calculator!G146="HP",Calculations!J427,""))</f>
        <v/>
      </c>
      <c r="BQ72" s="141" t="str">
        <f>IF(B72="","",Calculations!$G$419)</f>
        <v/>
      </c>
    </row>
    <row r="73" spans="1:70">
      <c r="A73" s="152">
        <v>72</v>
      </c>
      <c r="B73" s="286" t="str">
        <f>IF(Calculator!F147="","",Calculator!$B$142)</f>
        <v/>
      </c>
      <c r="C73" s="285" t="str">
        <f>IF(B73="","",ROUND(Calculator!C147,3))</f>
        <v/>
      </c>
      <c r="D73" s="286" t="str">
        <f>IF(B73="","",Calculations!$F$399)</f>
        <v/>
      </c>
      <c r="E73" s="284" t="str">
        <f>IF(B73="","",Calculator!D147)</f>
        <v/>
      </c>
      <c r="R73" s="284" t="str">
        <f>IF(B73="","",Calculator!M147)</f>
        <v/>
      </c>
      <c r="AQ73" s="284" t="str">
        <f>IF(B73="","",ROUND(Calculations!L428,6))</f>
        <v/>
      </c>
      <c r="AX73" s="284" t="str">
        <f>IF(B73="","",Calculator!E147)</f>
        <v/>
      </c>
      <c r="AY73" s="287" t="str">
        <f>IF(B73="","",Calculator!F147)</f>
        <v/>
      </c>
      <c r="AZ73" s="148" t="str">
        <f>IF(BA73="","",ROUND(IF(SUM($BA$2:$BA$74)&gt;(0.5*Summary!$C$8),(BA73/SUM($BA$2:$BA$74))*(0.5*Summary!$C$8),'Data Export'!BA73),2))</f>
        <v/>
      </c>
      <c r="BA73" s="288" t="str">
        <f>IF(B73="","",Calculations!M428)</f>
        <v/>
      </c>
      <c r="BH73" s="287" t="str">
        <f>IF(B73="","",IF(Calculator!G147="HP",Calculations!F428,""))</f>
        <v/>
      </c>
      <c r="BL73" s="152" t="str">
        <f t="shared" si="2"/>
        <v/>
      </c>
      <c r="BM73" s="152" t="str">
        <f t="shared" si="3"/>
        <v/>
      </c>
      <c r="BN73" s="141" t="str">
        <f>IF(B73="","",Calculations!$G$420)</f>
        <v/>
      </c>
      <c r="BO73" s="324" t="str">
        <f>IF(B73="","",IF(Calculator!G147="Tons",Calculations!D428,""))</f>
        <v/>
      </c>
      <c r="BP73" s="285" t="str">
        <f>IF(B73="","",IF(Calculator!G147="HP",Calculations!J428,""))</f>
        <v/>
      </c>
      <c r="BQ73" s="141" t="str">
        <f>IF(B73="","",Calculations!$G$419)</f>
        <v/>
      </c>
    </row>
    <row r="74" spans="1:70">
      <c r="A74" s="152">
        <v>73</v>
      </c>
      <c r="B74" s="286" t="str">
        <f>IF(Calculator!F148="","",Calculator!$B$142)</f>
        <v/>
      </c>
      <c r="C74" s="285" t="str">
        <f>IF(B74="","",ROUND(Calculator!C148,3))</f>
        <v/>
      </c>
      <c r="D74" s="286" t="str">
        <f>IF(B74="","",Calculations!$F$399)</f>
        <v/>
      </c>
      <c r="E74" s="284" t="str">
        <f>IF(B74="","",Calculator!D148)</f>
        <v/>
      </c>
      <c r="R74" s="284" t="str">
        <f>IF(B74="","",Calculator!M148)</f>
        <v/>
      </c>
      <c r="AQ74" s="284" t="str">
        <f>IF(B74="","",ROUND(Calculations!L429,6))</f>
        <v/>
      </c>
      <c r="AX74" s="284" t="str">
        <f>IF(B74="","",Calculator!E148)</f>
        <v/>
      </c>
      <c r="AY74" s="287" t="str">
        <f>IF(B74="","",Calculator!F148)</f>
        <v/>
      </c>
      <c r="AZ74" s="148" t="str">
        <f>IF(BA74="","",ROUND(IF(SUM($BA$2:$BA$74)&gt;(0.5*Summary!$C$8),(BA74/SUM($BA$2:$BA$74))*(0.5*Summary!$C$8),'Data Export'!BA74),2))</f>
        <v/>
      </c>
      <c r="BA74" s="288" t="str">
        <f>IF(B74="","",Calculations!M429)</f>
        <v/>
      </c>
      <c r="BH74" s="287" t="str">
        <f>IF(B74="","",IF(Calculator!G148="HP",Calculations!F429,""))</f>
        <v/>
      </c>
      <c r="BL74" s="152" t="str">
        <f t="shared" si="2"/>
        <v/>
      </c>
      <c r="BM74" s="152" t="str">
        <f t="shared" si="3"/>
        <v/>
      </c>
      <c r="BN74" s="141" t="str">
        <f>IF(B74="","",Calculations!$G$420)</f>
        <v/>
      </c>
      <c r="BO74" s="324" t="str">
        <f>IF(B74="","",IF(Calculator!G148="Tons",Calculations!D429,""))</f>
        <v/>
      </c>
      <c r="BP74" s="285" t="str">
        <f>IF(B74="","",IF(Calculator!G148="HP",Calculations!J429,""))</f>
        <v/>
      </c>
      <c r="BQ74" s="141" t="str">
        <f>IF(B74="","",Calculations!$G$419)</f>
        <v/>
      </c>
    </row>
    <row r="75" spans="1:70">
      <c r="BQ75" s="141"/>
    </row>
  </sheetData>
  <sheetProtection algorithmName="SHA-512" hashValue="B5jgrJmAwFcfk104UK4sdPXab8XlhUW4aWlGbSLyh3COnV0x4auyTOD0CgMWy201ZvmxPDScbGQjC1edL5FIbA==" saltValue="QYhBvm0N7OgnC+tfOj/eKA==" spinCount="100000" sheet="1" objects="1" scenarios="1"/>
  <conditionalFormatting sqref="F1">
    <cfRule type="duplicateValues" dxfId="37" priority="38"/>
  </conditionalFormatting>
  <conditionalFormatting sqref="J1">
    <cfRule type="duplicateValues" dxfId="36" priority="37"/>
  </conditionalFormatting>
  <conditionalFormatting sqref="K1">
    <cfRule type="duplicateValues" dxfId="35" priority="36"/>
  </conditionalFormatting>
  <conditionalFormatting sqref="L1">
    <cfRule type="duplicateValues" dxfId="34" priority="35"/>
  </conditionalFormatting>
  <conditionalFormatting sqref="M1">
    <cfRule type="duplicateValues" dxfId="33" priority="34"/>
  </conditionalFormatting>
  <conditionalFormatting sqref="O1">
    <cfRule type="duplicateValues" dxfId="32" priority="33"/>
  </conditionalFormatting>
  <conditionalFormatting sqref="Q1">
    <cfRule type="duplicateValues" dxfId="31" priority="32"/>
  </conditionalFormatting>
  <conditionalFormatting sqref="S1">
    <cfRule type="duplicateValues" dxfId="30" priority="31"/>
  </conditionalFormatting>
  <conditionalFormatting sqref="U1">
    <cfRule type="duplicateValues" dxfId="29" priority="30"/>
  </conditionalFormatting>
  <conditionalFormatting sqref="V1">
    <cfRule type="duplicateValues" dxfId="28" priority="29"/>
  </conditionalFormatting>
  <conditionalFormatting sqref="X1">
    <cfRule type="duplicateValues" dxfId="27" priority="28"/>
  </conditionalFormatting>
  <conditionalFormatting sqref="Y1">
    <cfRule type="duplicateValues" dxfId="26" priority="27"/>
  </conditionalFormatting>
  <conditionalFormatting sqref="BH1">
    <cfRule type="duplicateValues" dxfId="25" priority="26"/>
  </conditionalFormatting>
  <conditionalFormatting sqref="Z1">
    <cfRule type="duplicateValues" dxfId="24" priority="25"/>
  </conditionalFormatting>
  <conditionalFormatting sqref="BQ1">
    <cfRule type="duplicateValues" dxfId="23" priority="24"/>
  </conditionalFormatting>
  <conditionalFormatting sqref="AA1">
    <cfRule type="duplicateValues" dxfId="22" priority="23"/>
  </conditionalFormatting>
  <conditionalFormatting sqref="AB1">
    <cfRule type="duplicateValues" dxfId="21" priority="22"/>
  </conditionalFormatting>
  <conditionalFormatting sqref="AC1">
    <cfRule type="duplicateValues" dxfId="20" priority="21"/>
  </conditionalFormatting>
  <conditionalFormatting sqref="AD1">
    <cfRule type="duplicateValues" dxfId="19" priority="20"/>
  </conditionalFormatting>
  <conditionalFormatting sqref="AE1">
    <cfRule type="duplicateValues" dxfId="18" priority="19"/>
  </conditionalFormatting>
  <conditionalFormatting sqref="AF1">
    <cfRule type="duplicateValues" dxfId="17" priority="18"/>
  </conditionalFormatting>
  <conditionalFormatting sqref="AG1">
    <cfRule type="duplicateValues" dxfId="16" priority="17"/>
  </conditionalFormatting>
  <conditionalFormatting sqref="AH1">
    <cfRule type="duplicateValues" dxfId="15" priority="16"/>
  </conditionalFormatting>
  <conditionalFormatting sqref="AI1">
    <cfRule type="duplicateValues" dxfId="14" priority="15"/>
  </conditionalFormatting>
  <conditionalFormatting sqref="AJ1">
    <cfRule type="duplicateValues" dxfId="13" priority="14"/>
  </conditionalFormatting>
  <conditionalFormatting sqref="AK1">
    <cfRule type="duplicateValues" dxfId="12" priority="13"/>
  </conditionalFormatting>
  <conditionalFormatting sqref="AL1">
    <cfRule type="duplicateValues" dxfId="11" priority="12"/>
  </conditionalFormatting>
  <conditionalFormatting sqref="AM1">
    <cfRule type="duplicateValues" dxfId="10" priority="11"/>
  </conditionalFormatting>
  <conditionalFormatting sqref="AN1">
    <cfRule type="duplicateValues" dxfId="9" priority="10"/>
  </conditionalFormatting>
  <conditionalFormatting sqref="AO1">
    <cfRule type="duplicateValues" dxfId="8" priority="9"/>
  </conditionalFormatting>
  <conditionalFormatting sqref="AP1">
    <cfRule type="duplicateValues" dxfId="7" priority="8"/>
  </conditionalFormatting>
  <conditionalFormatting sqref="AQ1">
    <cfRule type="duplicateValues" dxfId="6" priority="7"/>
  </conditionalFormatting>
  <conditionalFormatting sqref="AR1">
    <cfRule type="duplicateValues" dxfId="5" priority="6"/>
  </conditionalFormatting>
  <conditionalFormatting sqref="AS1">
    <cfRule type="duplicateValues" dxfId="4" priority="5"/>
  </conditionalFormatting>
  <conditionalFormatting sqref="AT1">
    <cfRule type="duplicateValues" dxfId="3" priority="4"/>
  </conditionalFormatting>
  <conditionalFormatting sqref="AV1">
    <cfRule type="duplicateValues" dxfId="2" priority="3"/>
  </conditionalFormatting>
  <conditionalFormatting sqref="AW1">
    <cfRule type="duplicateValues" dxfId="1" priority="2"/>
  </conditionalFormatting>
  <conditionalFormatting sqref="BR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B1:AP430"/>
  <sheetViews>
    <sheetView topLeftCell="A5" zoomScale="90" zoomScaleNormal="90" workbookViewId="0">
      <selection activeCell="H28" sqref="H28"/>
    </sheetView>
  </sheetViews>
  <sheetFormatPr defaultColWidth="8.75" defaultRowHeight="14.25"/>
  <cols>
    <col min="1" max="1" width="3.625" style="7" customWidth="1"/>
    <col min="2" max="2" width="46.75" style="2" customWidth="1"/>
    <col min="3" max="3" width="22.125" style="2" customWidth="1"/>
    <col min="4" max="4" width="20.375" style="2" customWidth="1"/>
    <col min="5" max="5" width="23.875" style="2" customWidth="1"/>
    <col min="6" max="6" width="18.875" style="2" customWidth="1"/>
    <col min="7" max="7" width="15.5" style="2" customWidth="1"/>
    <col min="8" max="8" width="16.25" style="2" customWidth="1"/>
    <col min="9" max="9" width="14.5" style="2" customWidth="1"/>
    <col min="10" max="10" width="14.125" style="2" customWidth="1"/>
    <col min="11" max="11" width="16.125" style="2" customWidth="1"/>
    <col min="12" max="12" width="13.75" style="2" customWidth="1"/>
    <col min="13" max="13" width="15.125" style="2" customWidth="1"/>
    <col min="14" max="14" width="12" style="2" customWidth="1"/>
    <col min="15" max="15" width="15.75" style="2" customWidth="1"/>
    <col min="16" max="16" width="15.125" style="2" customWidth="1"/>
    <col min="17" max="17" width="11" style="2" customWidth="1"/>
    <col min="18" max="18" width="9.875" style="2" bestFit="1" customWidth="1"/>
    <col min="19" max="19" width="11.625" style="2" customWidth="1"/>
    <col min="20" max="20" width="11.25" style="2" customWidth="1"/>
    <col min="21" max="21" width="10.75" style="2" customWidth="1"/>
    <col min="22" max="22" width="17.125" style="2" bestFit="1" customWidth="1"/>
    <col min="23" max="23" width="14.25" style="2" customWidth="1"/>
    <col min="24" max="24" width="11.75" style="7" customWidth="1"/>
    <col min="25" max="25" width="17.25" style="7" customWidth="1"/>
    <col min="26" max="26" width="12.5" style="7" customWidth="1"/>
    <col min="27" max="27" width="13.75" style="7" customWidth="1"/>
    <col min="28" max="28" width="14.5" style="7" customWidth="1"/>
    <col min="29" max="16384" width="8.75" style="7"/>
  </cols>
  <sheetData>
    <row r="1" spans="2:26" ht="18.600000000000001" customHeight="1"/>
    <row r="2" spans="2:26" s="52" customFormat="1" ht="18.600000000000001" customHeight="1" thickBot="1">
      <c r="B2" s="378" t="s">
        <v>30</v>
      </c>
      <c r="C2" s="378"/>
      <c r="D2" s="378"/>
      <c r="E2" s="378"/>
      <c r="F2" s="378"/>
      <c r="G2" s="378"/>
      <c r="H2" s="378"/>
      <c r="I2" s="378"/>
      <c r="J2" s="378"/>
      <c r="K2" s="51"/>
      <c r="L2" s="51"/>
      <c r="M2" s="51"/>
      <c r="N2" s="51"/>
      <c r="O2" s="51"/>
      <c r="P2" s="51"/>
      <c r="Q2" s="51"/>
      <c r="R2" s="51"/>
      <c r="S2" s="51"/>
      <c r="T2" s="51"/>
      <c r="U2" s="51"/>
      <c r="V2" s="51"/>
      <c r="W2" s="51"/>
    </row>
    <row r="3" spans="2:26" ht="18">
      <c r="B3" s="8" t="s">
        <v>37</v>
      </c>
      <c r="E3" s="8" t="s">
        <v>16</v>
      </c>
      <c r="I3" s="8" t="s">
        <v>96</v>
      </c>
      <c r="S3" s="7"/>
      <c r="T3" s="7"/>
      <c r="U3" s="7"/>
      <c r="V3" s="7"/>
      <c r="W3" s="7"/>
    </row>
    <row r="4" spans="2:26" ht="15">
      <c r="B4" s="45" t="s">
        <v>40</v>
      </c>
      <c r="C4" s="45" t="s">
        <v>230</v>
      </c>
      <c r="D4" s="213" t="s">
        <v>452</v>
      </c>
      <c r="E4" s="39" t="s">
        <v>31</v>
      </c>
      <c r="F4" s="39">
        <v>0.13</v>
      </c>
      <c r="G4" s="19" t="s">
        <v>15</v>
      </c>
      <c r="I4" s="264">
        <v>50</v>
      </c>
      <c r="J4" s="19" t="s">
        <v>280</v>
      </c>
      <c r="S4" s="7"/>
      <c r="U4" s="7"/>
      <c r="V4" s="7"/>
      <c r="W4" s="7"/>
    </row>
    <row r="5" spans="2:26">
      <c r="B5" s="45" t="s">
        <v>491</v>
      </c>
      <c r="C5" s="45" t="s">
        <v>38</v>
      </c>
      <c r="D5" s="62" t="s">
        <v>356</v>
      </c>
      <c r="E5" s="39" t="s">
        <v>34</v>
      </c>
      <c r="F5" s="39">
        <v>0.90700000000000003</v>
      </c>
      <c r="G5" s="19" t="s">
        <v>15</v>
      </c>
      <c r="S5" s="7"/>
      <c r="U5" s="7"/>
      <c r="V5" s="7"/>
      <c r="W5" s="7"/>
    </row>
    <row r="6" spans="2:26">
      <c r="B6" s="45" t="s">
        <v>492</v>
      </c>
      <c r="C6" s="45" t="s">
        <v>39</v>
      </c>
      <c r="E6" s="39" t="s">
        <v>32</v>
      </c>
      <c r="F6" s="39">
        <v>8760</v>
      </c>
      <c r="G6" s="19" t="s">
        <v>15</v>
      </c>
      <c r="S6" s="7"/>
      <c r="U6" s="7"/>
      <c r="V6" s="7"/>
      <c r="W6" s="7"/>
    </row>
    <row r="7" spans="2:26" ht="14.25" customHeight="1">
      <c r="L7" s="155"/>
      <c r="M7" s="155"/>
    </row>
    <row r="8" spans="2:26" ht="18">
      <c r="B8" s="8" t="s">
        <v>17</v>
      </c>
      <c r="F8" s="7"/>
      <c r="G8" s="7"/>
      <c r="H8" s="7"/>
      <c r="L8" s="155"/>
      <c r="M8" s="155"/>
      <c r="Q8" s="7"/>
      <c r="R8" s="7"/>
      <c r="S8" s="7"/>
      <c r="T8" s="7"/>
      <c r="U8" s="7"/>
      <c r="V8" s="7"/>
      <c r="W8" s="7"/>
    </row>
    <row r="9" spans="2:26" s="13" customFormat="1" ht="34.15" customHeight="1">
      <c r="B9" s="24" t="s">
        <v>43</v>
      </c>
      <c r="C9" s="24" t="s">
        <v>40</v>
      </c>
      <c r="D9" s="24" t="s">
        <v>230</v>
      </c>
      <c r="E9" s="25" t="str">
        <f>B4</f>
        <v>Control Type</v>
      </c>
      <c r="F9" s="25" t="s">
        <v>36</v>
      </c>
      <c r="G9" s="25" t="s">
        <v>42</v>
      </c>
      <c r="I9" s="2"/>
      <c r="J9" s="2"/>
      <c r="K9" s="2"/>
      <c r="L9" s="155"/>
      <c r="M9" s="155"/>
      <c r="N9" s="7"/>
      <c r="O9" s="7"/>
      <c r="P9" s="7"/>
    </row>
    <row r="10" spans="2:26" ht="14.25" customHeight="1">
      <c r="B10" s="22" t="str">
        <f>CONCATENATE(C10,D10)</f>
        <v>On/Off ControlsRefrigerator</v>
      </c>
      <c r="C10" s="45" t="s">
        <v>491</v>
      </c>
      <c r="D10" s="23" t="s">
        <v>38</v>
      </c>
      <c r="E10" s="44">
        <v>0.58899999999999997</v>
      </c>
      <c r="F10" s="44">
        <v>0.25</v>
      </c>
      <c r="G10" s="23">
        <v>1.25</v>
      </c>
      <c r="H10" s="7"/>
      <c r="L10" s="155"/>
      <c r="M10" s="155"/>
      <c r="N10" s="7"/>
      <c r="O10" s="7"/>
      <c r="P10" s="7"/>
      <c r="Q10" s="7"/>
      <c r="R10" s="7"/>
      <c r="S10" s="7"/>
      <c r="T10" s="7"/>
      <c r="U10" s="7"/>
      <c r="V10" s="7"/>
      <c r="W10" s="7"/>
    </row>
    <row r="11" spans="2:26" ht="14.25" customHeight="1">
      <c r="B11" s="22" t="str">
        <f>CONCATENATE(C11,D11)</f>
        <v>On/Off ControlsFreezer</v>
      </c>
      <c r="C11" s="45" t="s">
        <v>491</v>
      </c>
      <c r="D11" s="23" t="s">
        <v>39</v>
      </c>
      <c r="E11" s="44">
        <v>0.58899999999999997</v>
      </c>
      <c r="F11" s="44">
        <v>0.21</v>
      </c>
      <c r="G11" s="23">
        <v>1.5</v>
      </c>
      <c r="H11" s="7"/>
      <c r="L11" s="155"/>
      <c r="M11" s="155"/>
      <c r="N11" s="7"/>
      <c r="O11" s="7"/>
      <c r="P11" s="7"/>
      <c r="Q11" s="7"/>
      <c r="R11" s="7"/>
      <c r="S11" s="7"/>
      <c r="T11" s="7"/>
      <c r="U11" s="7"/>
      <c r="V11" s="7"/>
      <c r="W11" s="7"/>
    </row>
    <row r="12" spans="2:26" ht="14.25" customHeight="1">
      <c r="B12" s="22" t="str">
        <f>CONCATENATE(C12,D12)</f>
        <v>Micropulse ControlsRefrigerator</v>
      </c>
      <c r="C12" s="45" t="s">
        <v>492</v>
      </c>
      <c r="D12" s="23" t="s">
        <v>38</v>
      </c>
      <c r="E12" s="44">
        <v>0.42799999999999999</v>
      </c>
      <c r="F12" s="44">
        <v>0.36</v>
      </c>
      <c r="G12" s="23">
        <v>1.25</v>
      </c>
      <c r="H12" s="7"/>
      <c r="L12" s="155"/>
      <c r="M12" s="155"/>
      <c r="N12" s="7"/>
      <c r="O12" s="7"/>
      <c r="P12" s="7"/>
      <c r="Q12" s="7"/>
      <c r="R12" s="7"/>
      <c r="S12" s="7"/>
      <c r="T12" s="7"/>
      <c r="U12" s="7"/>
      <c r="V12" s="7"/>
      <c r="W12" s="7"/>
    </row>
    <row r="13" spans="2:26" ht="14.25" customHeight="1">
      <c r="B13" s="22" t="str">
        <f>CONCATENATE(C13,D13)</f>
        <v>Micropulse ControlsFreezer</v>
      </c>
      <c r="C13" s="45" t="s">
        <v>492</v>
      </c>
      <c r="D13" s="23" t="s">
        <v>39</v>
      </c>
      <c r="E13" s="44">
        <v>0.42799999999999999</v>
      </c>
      <c r="F13" s="44">
        <v>0.3</v>
      </c>
      <c r="G13" s="23">
        <v>1.5</v>
      </c>
      <c r="H13" s="7"/>
      <c r="L13" s="155"/>
      <c r="M13" s="155"/>
      <c r="N13" s="7"/>
      <c r="O13" s="7"/>
      <c r="P13" s="7"/>
      <c r="Q13" s="7"/>
      <c r="R13" s="7"/>
      <c r="S13" s="7"/>
      <c r="T13" s="7"/>
      <c r="U13" s="7"/>
      <c r="V13" s="7"/>
      <c r="W13" s="7"/>
    </row>
    <row r="14" spans="2:26" ht="14.25" customHeight="1">
      <c r="L14" s="155"/>
      <c r="M14" s="155"/>
    </row>
    <row r="15" spans="2:26" ht="18">
      <c r="B15" s="8" t="s">
        <v>5</v>
      </c>
      <c r="L15" s="155"/>
      <c r="M15" s="155"/>
    </row>
    <row r="16" spans="2:26" s="13" customFormat="1" ht="36" customHeight="1">
      <c r="B16" s="24" t="str">
        <f>Calculator!F6</f>
        <v># of Doors</v>
      </c>
      <c r="C16" s="24" t="str">
        <f>Calculator!G6</f>
        <v>Control Type</v>
      </c>
      <c r="D16" s="24" t="str">
        <f>Calculator!H6</f>
        <v>Temperature</v>
      </c>
      <c r="E16" s="24" t="s">
        <v>43</v>
      </c>
      <c r="F16" s="25" t="s">
        <v>33</v>
      </c>
      <c r="G16" s="25" t="s">
        <v>36</v>
      </c>
      <c r="H16" s="25" t="s">
        <v>42</v>
      </c>
      <c r="I16" s="24" t="s">
        <v>45</v>
      </c>
      <c r="J16" s="24" t="s">
        <v>11</v>
      </c>
      <c r="K16" s="224" t="s">
        <v>416</v>
      </c>
      <c r="M16" s="155"/>
      <c r="N16" s="2"/>
      <c r="O16" s="2"/>
      <c r="P16" s="2"/>
      <c r="Q16" s="2"/>
      <c r="R16" s="2"/>
      <c r="S16" s="2"/>
      <c r="T16" s="2"/>
      <c r="U16" s="7"/>
      <c r="V16" s="7"/>
      <c r="W16" s="7"/>
      <c r="X16" s="7"/>
      <c r="Y16" s="7"/>
      <c r="Z16" s="7"/>
    </row>
    <row r="17" spans="2:24" ht="14.25" customHeight="1">
      <c r="B17" s="22">
        <f>Calculator!F7</f>
        <v>0</v>
      </c>
      <c r="C17" s="23">
        <f>Calculator!G7</f>
        <v>0</v>
      </c>
      <c r="D17" s="23">
        <f>Calculator!H7</f>
        <v>0</v>
      </c>
      <c r="E17" s="23" t="str">
        <f>CONCATENATE(C17,D17)</f>
        <v>00</v>
      </c>
      <c r="F17" s="23" t="e">
        <f>VLOOKUP(E17,$B$10:$G$13,4,FALSE)</f>
        <v>#N/A</v>
      </c>
      <c r="G17" s="23" t="e">
        <f>VLOOKUP(E17,$B$10:$G$13,5,FALSE)</f>
        <v>#N/A</v>
      </c>
      <c r="H17" s="23" t="e">
        <f>VLOOKUP(E17,$B$10:$G$13,6,FALSE)</f>
        <v>#N/A</v>
      </c>
      <c r="I17" s="23">
        <f>IF(B17=0,0,$F$4*G17*H17)</f>
        <v>0</v>
      </c>
      <c r="J17" s="23" t="e">
        <f>$F$4*($F$5-F17)*B17*$F$6*H17</f>
        <v>#N/A</v>
      </c>
      <c r="K17" s="234">
        <f>IFERROR(ROUND(B17*$I$4,2),"")</f>
        <v>0</v>
      </c>
      <c r="L17" s="155"/>
      <c r="M17" s="155"/>
      <c r="U17" s="7"/>
      <c r="V17" s="7"/>
      <c r="W17" s="7"/>
    </row>
    <row r="18" spans="2:24" ht="14.25" customHeight="1">
      <c r="B18" s="22">
        <f>Calculator!F8</f>
        <v>0</v>
      </c>
      <c r="C18" s="23">
        <f>Calculator!G8</f>
        <v>0</v>
      </c>
      <c r="D18" s="23">
        <f>Calculator!H8</f>
        <v>0</v>
      </c>
      <c r="E18" s="23" t="str">
        <f t="shared" ref="E18:E20" si="0">CONCATENATE(C18,D18)</f>
        <v>00</v>
      </c>
      <c r="F18" s="23" t="e">
        <f>VLOOKUP(E18,$B$10:$G$13,4,FALSE)</f>
        <v>#N/A</v>
      </c>
      <c r="G18" s="23" t="e">
        <f>VLOOKUP(E18,$B$10:$G$13,5,FALSE)</f>
        <v>#N/A</v>
      </c>
      <c r="H18" s="23" t="e">
        <f>VLOOKUP(E18,$B$10:$G$13,6,FALSE)</f>
        <v>#N/A</v>
      </c>
      <c r="I18" s="23">
        <f t="shared" ref="I18" si="1">IF(B18=0,0,$F$4*G18*H18)</f>
        <v>0</v>
      </c>
      <c r="J18" s="23" t="e">
        <f>$F$4*($F$5-F18)*B18*$F$6*H18</f>
        <v>#N/A</v>
      </c>
      <c r="K18" s="234">
        <f t="shared" ref="K18:K20" si="2">IFERROR(ROUND(B18*$I$4,2),"")</f>
        <v>0</v>
      </c>
      <c r="L18" s="155"/>
      <c r="M18" s="155"/>
      <c r="U18" s="7"/>
      <c r="V18" s="7"/>
      <c r="W18" s="7"/>
    </row>
    <row r="19" spans="2:24" ht="14.25" customHeight="1">
      <c r="B19" s="22">
        <f>Calculator!F9</f>
        <v>0</v>
      </c>
      <c r="C19" s="23">
        <f>Calculator!G9</f>
        <v>0</v>
      </c>
      <c r="D19" s="23">
        <f>Calculator!H9</f>
        <v>0</v>
      </c>
      <c r="E19" s="23" t="str">
        <f t="shared" si="0"/>
        <v>00</v>
      </c>
      <c r="F19" s="23" t="e">
        <f>VLOOKUP(E19,$B$10:$G$13,4,FALSE)</f>
        <v>#N/A</v>
      </c>
      <c r="G19" s="23" t="e">
        <f>VLOOKUP(E19,$B$10:$G$13,5,FALSE)</f>
        <v>#N/A</v>
      </c>
      <c r="H19" s="23" t="e">
        <f>VLOOKUP(E19,$B$10:$G$13,6,FALSE)</f>
        <v>#N/A</v>
      </c>
      <c r="I19" s="23">
        <f>IF(B19=0,0,$F$4*G19*H19)</f>
        <v>0</v>
      </c>
      <c r="J19" s="23" t="e">
        <f>$F$4*($F$5-F19)*B19*$F$6*H19</f>
        <v>#N/A</v>
      </c>
      <c r="K19" s="234">
        <f t="shared" si="2"/>
        <v>0</v>
      </c>
      <c r="L19" s="155"/>
      <c r="M19" s="155"/>
      <c r="U19" s="7"/>
      <c r="V19" s="7"/>
      <c r="W19" s="7"/>
    </row>
    <row r="20" spans="2:24" ht="14.25" customHeight="1">
      <c r="B20" s="22">
        <f>Calculator!F10</f>
        <v>0</v>
      </c>
      <c r="C20" s="23">
        <f>Calculator!G10</f>
        <v>0</v>
      </c>
      <c r="D20" s="23">
        <f>Calculator!H10</f>
        <v>0</v>
      </c>
      <c r="E20" s="23" t="str">
        <f t="shared" si="0"/>
        <v>00</v>
      </c>
      <c r="F20" s="23" t="e">
        <f>VLOOKUP(E20,$B$10:$G$13,4,FALSE)</f>
        <v>#N/A</v>
      </c>
      <c r="G20" s="23" t="e">
        <f>VLOOKUP(E20,$B$10:$G$13,5,FALSE)</f>
        <v>#N/A</v>
      </c>
      <c r="H20" s="23" t="e">
        <f>VLOOKUP(E20,$B$10:$G$13,6,FALSE)</f>
        <v>#N/A</v>
      </c>
      <c r="I20" s="23">
        <f>IF(B20=0,0,$F$4*G20*H20)</f>
        <v>0</v>
      </c>
      <c r="J20" s="23" t="e">
        <f>$F$4*($F$5-F20)*B20*$F$6*H20</f>
        <v>#N/A</v>
      </c>
      <c r="K20" s="234">
        <f t="shared" si="2"/>
        <v>0</v>
      </c>
      <c r="L20" s="155"/>
      <c r="M20" s="155"/>
      <c r="U20" s="7"/>
      <c r="V20" s="7"/>
      <c r="W20" s="7"/>
    </row>
    <row r="22" spans="2:24" s="52" customFormat="1" ht="18.600000000000001" customHeight="1" thickBot="1">
      <c r="B22" s="378" t="s">
        <v>47</v>
      </c>
      <c r="C22" s="378"/>
      <c r="D22" s="378"/>
      <c r="E22" s="378"/>
      <c r="F22" s="378"/>
      <c r="G22" s="378"/>
      <c r="H22" s="378"/>
      <c r="I22" s="378"/>
      <c r="J22" s="378"/>
      <c r="K22" s="51"/>
      <c r="L22" s="51"/>
      <c r="M22" s="51"/>
      <c r="N22" s="51"/>
      <c r="O22" s="51"/>
      <c r="P22" s="51"/>
      <c r="Q22" s="51"/>
      <c r="R22" s="51"/>
      <c r="S22" s="51"/>
      <c r="T22" s="51"/>
      <c r="U22" s="51"/>
      <c r="V22" s="51"/>
      <c r="W22" s="51"/>
    </row>
    <row r="23" spans="2:24" ht="18">
      <c r="B23" s="8" t="s">
        <v>16</v>
      </c>
      <c r="F23" s="8" t="s">
        <v>96</v>
      </c>
      <c r="P23" s="7"/>
      <c r="Q23" s="7"/>
      <c r="R23" s="7"/>
      <c r="S23" s="7"/>
      <c r="T23" s="7"/>
      <c r="U23" s="7"/>
      <c r="V23" s="7"/>
      <c r="W23" s="7"/>
    </row>
    <row r="24" spans="2:24" ht="15">
      <c r="B24" s="43" t="s">
        <v>50</v>
      </c>
      <c r="C24" s="43">
        <v>2.2000000000000002</v>
      </c>
      <c r="D24" s="19" t="s">
        <v>48</v>
      </c>
      <c r="E24" s="213" t="s">
        <v>452</v>
      </c>
      <c r="F24" s="264">
        <v>8</v>
      </c>
      <c r="G24" s="19" t="s">
        <v>540</v>
      </c>
      <c r="H24" s="2" t="s">
        <v>539</v>
      </c>
      <c r="P24" s="7"/>
      <c r="R24" s="7"/>
      <c r="S24" s="7"/>
      <c r="T24" s="7"/>
      <c r="U24" s="7"/>
      <c r="V24" s="7"/>
      <c r="W24" s="7"/>
    </row>
    <row r="25" spans="2:24">
      <c r="E25" s="62" t="s">
        <v>356</v>
      </c>
      <c r="K25" s="108"/>
    </row>
    <row r="26" spans="2:24" ht="18">
      <c r="B26" s="8" t="s">
        <v>5</v>
      </c>
      <c r="K26" s="108"/>
    </row>
    <row r="27" spans="2:24" s="13" customFormat="1" ht="36" customHeight="1">
      <c r="B27" s="109" t="str">
        <f>Calculator!F14</f>
        <v>QTY</v>
      </c>
      <c r="C27" s="25" t="str">
        <f>Calculator!G14</f>
        <v>Length per Case (ft)</v>
      </c>
      <c r="D27" s="109" t="s">
        <v>221</v>
      </c>
      <c r="E27" s="24" t="s">
        <v>45</v>
      </c>
      <c r="F27" s="24" t="s">
        <v>11</v>
      </c>
      <c r="G27" s="224" t="s">
        <v>416</v>
      </c>
      <c r="H27" s="2"/>
      <c r="I27" s="2"/>
      <c r="J27" s="2"/>
      <c r="K27" s="2"/>
      <c r="L27" s="2"/>
      <c r="M27" s="2"/>
      <c r="N27" s="2"/>
      <c r="O27" s="2"/>
      <c r="P27" s="2"/>
      <c r="Q27" s="2"/>
      <c r="R27" s="2"/>
      <c r="S27" s="7"/>
      <c r="T27" s="7"/>
      <c r="U27" s="7"/>
      <c r="V27" s="7"/>
      <c r="W27" s="7"/>
      <c r="X27" s="7"/>
    </row>
    <row r="28" spans="2:24">
      <c r="B28" s="23">
        <f>Calculator!F15</f>
        <v>0</v>
      </c>
      <c r="C28" s="23">
        <f>Calculator!G15</f>
        <v>0</v>
      </c>
      <c r="D28" s="23">
        <f>B28*C28</f>
        <v>0</v>
      </c>
      <c r="E28" s="23">
        <v>0</v>
      </c>
      <c r="F28" s="23">
        <f>D28*346.5/$C$24</f>
        <v>0</v>
      </c>
      <c r="G28" s="234">
        <f>IFERROR(MIN(ROUND(C28*$F$24*B28,2),500*B28),"")</f>
        <v>0</v>
      </c>
      <c r="S28" s="7"/>
      <c r="T28" s="7"/>
      <c r="U28" s="7"/>
      <c r="V28" s="7"/>
      <c r="W28" s="7"/>
    </row>
    <row r="29" spans="2:24">
      <c r="B29" s="23">
        <f>Calculator!F16</f>
        <v>0</v>
      </c>
      <c r="C29" s="23">
        <f>Calculator!G16</f>
        <v>0</v>
      </c>
      <c r="D29" s="23">
        <f t="shared" ref="D29:D31" si="3">B29*C29</f>
        <v>0</v>
      </c>
      <c r="E29" s="23">
        <v>0</v>
      </c>
      <c r="F29" s="23">
        <f t="shared" ref="F29:F31" si="4">D29*346.5/$C$24</f>
        <v>0</v>
      </c>
      <c r="G29" s="234">
        <f t="shared" ref="G29:G31" si="5">IFERROR(MIN(ROUND(C29*$F$24*B29,2),500*B29),"")</f>
        <v>0</v>
      </c>
      <c r="S29" s="7"/>
      <c r="T29" s="7"/>
      <c r="U29" s="7"/>
      <c r="V29" s="7"/>
      <c r="W29" s="7"/>
    </row>
    <row r="30" spans="2:24">
      <c r="B30" s="23">
        <f>Calculator!F17</f>
        <v>0</v>
      </c>
      <c r="C30" s="23">
        <f>Calculator!G17</f>
        <v>0</v>
      </c>
      <c r="D30" s="23">
        <f t="shared" si="3"/>
        <v>0</v>
      </c>
      <c r="E30" s="23">
        <v>0</v>
      </c>
      <c r="F30" s="23">
        <f t="shared" si="4"/>
        <v>0</v>
      </c>
      <c r="G30" s="234">
        <f t="shared" si="5"/>
        <v>0</v>
      </c>
      <c r="S30" s="7"/>
      <c r="T30" s="7"/>
      <c r="U30" s="7"/>
      <c r="V30" s="7"/>
      <c r="W30" s="7"/>
    </row>
    <row r="31" spans="2:24">
      <c r="B31" s="23">
        <f>Calculator!F18</f>
        <v>0</v>
      </c>
      <c r="C31" s="23">
        <f>Calculator!G18</f>
        <v>0</v>
      </c>
      <c r="D31" s="23">
        <f t="shared" si="3"/>
        <v>0</v>
      </c>
      <c r="E31" s="23">
        <v>0</v>
      </c>
      <c r="F31" s="23">
        <f t="shared" si="4"/>
        <v>0</v>
      </c>
      <c r="G31" s="234">
        <f t="shared" si="5"/>
        <v>0</v>
      </c>
      <c r="S31" s="7"/>
      <c r="T31" s="7"/>
      <c r="U31" s="7"/>
      <c r="V31" s="7"/>
      <c r="W31" s="7"/>
    </row>
    <row r="33" spans="2:23" s="52" customFormat="1" ht="18.600000000000001" customHeight="1" thickBot="1">
      <c r="B33" s="378" t="s">
        <v>51</v>
      </c>
      <c r="C33" s="378"/>
      <c r="D33" s="378"/>
      <c r="E33" s="378"/>
      <c r="F33" s="378"/>
      <c r="G33" s="378"/>
      <c r="H33" s="378"/>
      <c r="I33" s="378"/>
      <c r="J33" s="378"/>
      <c r="K33" s="51"/>
      <c r="L33" s="51"/>
      <c r="M33" s="51"/>
      <c r="N33" s="51"/>
      <c r="O33" s="51"/>
      <c r="P33" s="51"/>
      <c r="Q33" s="51"/>
      <c r="R33" s="51"/>
      <c r="S33" s="51"/>
      <c r="T33" s="51"/>
      <c r="U33" s="51"/>
      <c r="V33" s="51"/>
      <c r="W33" s="51"/>
    </row>
    <row r="34" spans="2:23" ht="18">
      <c r="B34" s="8" t="s">
        <v>37</v>
      </c>
      <c r="F34" s="8" t="s">
        <v>96</v>
      </c>
      <c r="T34" s="7"/>
      <c r="U34" s="7"/>
      <c r="V34" s="7"/>
      <c r="W34" s="7"/>
    </row>
    <row r="35" spans="2:23" ht="15">
      <c r="B35" s="213" t="s">
        <v>116</v>
      </c>
      <c r="C35" s="213" t="s">
        <v>230</v>
      </c>
      <c r="D35" s="213" t="s">
        <v>452</v>
      </c>
      <c r="E35" s="213" t="s">
        <v>459</v>
      </c>
      <c r="F35" s="264">
        <v>5</v>
      </c>
      <c r="G35" s="19" t="s">
        <v>417</v>
      </c>
      <c r="H35" s="215"/>
      <c r="T35" s="7"/>
      <c r="V35" s="7"/>
      <c r="W35" s="7"/>
    </row>
    <row r="36" spans="2:23">
      <c r="B36" s="62" t="s">
        <v>289</v>
      </c>
      <c r="C36" s="62" t="s">
        <v>334</v>
      </c>
      <c r="D36" s="62" t="s">
        <v>356</v>
      </c>
      <c r="E36" s="62" t="s">
        <v>460</v>
      </c>
      <c r="F36" s="214"/>
      <c r="G36" s="216"/>
      <c r="H36" s="215"/>
      <c r="T36" s="7"/>
      <c r="V36" s="7"/>
      <c r="W36" s="7"/>
    </row>
    <row r="37" spans="2:23">
      <c r="B37" s="62" t="s">
        <v>118</v>
      </c>
      <c r="C37" s="62" t="s">
        <v>39</v>
      </c>
      <c r="D37" s="212"/>
      <c r="E37" s="62" t="s">
        <v>461</v>
      </c>
      <c r="F37" s="214"/>
      <c r="G37" s="216"/>
      <c r="H37" s="215"/>
      <c r="T37" s="7"/>
      <c r="V37" s="7"/>
      <c r="W37" s="7"/>
    </row>
    <row r="38" spans="2:23">
      <c r="B38" s="62" t="s">
        <v>119</v>
      </c>
      <c r="C38" s="62"/>
      <c r="D38" s="212"/>
      <c r="F38" s="214"/>
      <c r="G38" s="216"/>
      <c r="H38" s="215"/>
      <c r="T38" s="7"/>
      <c r="V38" s="7"/>
      <c r="W38" s="7"/>
    </row>
    <row r="39" spans="2:23">
      <c r="B39" s="62" t="s">
        <v>120</v>
      </c>
      <c r="C39" s="62"/>
      <c r="D39" s="212"/>
      <c r="F39" s="214"/>
      <c r="G39" s="214"/>
      <c r="H39" s="215"/>
      <c r="T39" s="7"/>
      <c r="V39" s="7"/>
      <c r="W39" s="7"/>
    </row>
    <row r="42" spans="2:23" ht="18">
      <c r="B42" s="8" t="s">
        <v>328</v>
      </c>
    </row>
    <row r="43" spans="2:23" ht="45">
      <c r="B43" s="179" t="s">
        <v>116</v>
      </c>
      <c r="C43" s="179" t="s">
        <v>333</v>
      </c>
      <c r="D43" s="179" t="s">
        <v>335</v>
      </c>
      <c r="E43" s="179" t="s">
        <v>336</v>
      </c>
      <c r="F43" s="179" t="s">
        <v>338</v>
      </c>
      <c r="G43" s="179" t="s">
        <v>337</v>
      </c>
    </row>
    <row r="44" spans="2:23">
      <c r="B44" s="22" t="s">
        <v>329</v>
      </c>
      <c r="C44" s="22">
        <v>21</v>
      </c>
      <c r="D44" s="22">
        <v>123</v>
      </c>
      <c r="E44" s="22">
        <v>1.6E-2</v>
      </c>
      <c r="F44" s="22">
        <f>D44*C44</f>
        <v>2583</v>
      </c>
      <c r="G44" s="22">
        <f>E44*C44</f>
        <v>0.33600000000000002</v>
      </c>
    </row>
    <row r="45" spans="2:23">
      <c r="B45" s="22" t="s">
        <v>330</v>
      </c>
      <c r="C45" s="22">
        <v>21</v>
      </c>
      <c r="D45" s="22">
        <v>535</v>
      </c>
      <c r="E45" s="22">
        <v>6.59E-2</v>
      </c>
      <c r="F45" s="22">
        <f t="shared" ref="F45:F50" si="6">D45*C45</f>
        <v>11235</v>
      </c>
      <c r="G45" s="22">
        <f t="shared" ref="G45:G50" si="7">E45*C45</f>
        <v>1.3838999999999999</v>
      </c>
    </row>
    <row r="46" spans="2:23">
      <c r="B46" s="22" t="s">
        <v>331</v>
      </c>
      <c r="C46" s="22">
        <v>21</v>
      </c>
      <c r="D46" s="22">
        <v>19</v>
      </c>
      <c r="E46" s="22">
        <v>2.5000000000000001E-3</v>
      </c>
      <c r="F46" s="22">
        <f t="shared" si="6"/>
        <v>399</v>
      </c>
      <c r="G46" s="22">
        <f t="shared" si="7"/>
        <v>5.2499999999999998E-2</v>
      </c>
    </row>
    <row r="47" spans="2:23">
      <c r="B47" s="22" t="s">
        <v>332</v>
      </c>
      <c r="C47" s="22">
        <v>21</v>
      </c>
      <c r="D47" s="22">
        <v>31</v>
      </c>
      <c r="E47" s="22">
        <v>3.8E-3</v>
      </c>
      <c r="F47" s="22">
        <f t="shared" si="6"/>
        <v>651</v>
      </c>
      <c r="G47" s="22">
        <f t="shared" si="7"/>
        <v>7.9799999999999996E-2</v>
      </c>
    </row>
    <row r="48" spans="2:23">
      <c r="B48" s="22" t="s">
        <v>339</v>
      </c>
      <c r="C48" s="22">
        <v>21</v>
      </c>
      <c r="D48" s="22">
        <v>24</v>
      </c>
      <c r="E48" s="22">
        <v>3.0999999999999999E-3</v>
      </c>
      <c r="F48" s="22">
        <f t="shared" si="6"/>
        <v>504</v>
      </c>
      <c r="G48" s="22">
        <f t="shared" si="7"/>
        <v>6.5099999999999991E-2</v>
      </c>
    </row>
    <row r="49" spans="2:25">
      <c r="B49" s="22" t="s">
        <v>340</v>
      </c>
      <c r="C49" s="22">
        <v>21</v>
      </c>
      <c r="D49" s="22">
        <v>129</v>
      </c>
      <c r="E49" s="22">
        <v>1.5800000000000002E-2</v>
      </c>
      <c r="F49" s="22">
        <f t="shared" si="6"/>
        <v>2709</v>
      </c>
      <c r="G49" s="22">
        <f t="shared" si="7"/>
        <v>0.33180000000000004</v>
      </c>
    </row>
    <row r="50" spans="2:25">
      <c r="B50" s="22" t="s">
        <v>341</v>
      </c>
      <c r="C50" s="22">
        <v>120</v>
      </c>
      <c r="D50" s="22">
        <v>410</v>
      </c>
      <c r="E50" s="22">
        <v>5.3199999999999997E-2</v>
      </c>
      <c r="F50" s="22">
        <f t="shared" si="6"/>
        <v>49200</v>
      </c>
      <c r="G50" s="22">
        <f t="shared" si="7"/>
        <v>6.3839999999999995</v>
      </c>
    </row>
    <row r="52" spans="2:25" ht="18">
      <c r="B52" s="8" t="s">
        <v>5</v>
      </c>
    </row>
    <row r="53" spans="2:25" s="13" customFormat="1" ht="36" customHeight="1">
      <c r="B53" s="24" t="s">
        <v>43</v>
      </c>
      <c r="C53" s="24" t="s">
        <v>342</v>
      </c>
      <c r="D53" s="24" t="s">
        <v>343</v>
      </c>
      <c r="E53" s="24" t="s">
        <v>344</v>
      </c>
      <c r="F53" s="24" t="s">
        <v>346</v>
      </c>
      <c r="G53" s="24" t="s">
        <v>345</v>
      </c>
      <c r="H53" s="179" t="s">
        <v>347</v>
      </c>
      <c r="I53" s="224" t="s">
        <v>416</v>
      </c>
      <c r="J53" s="2"/>
      <c r="K53" s="2"/>
      <c r="L53" s="2"/>
      <c r="M53" s="2"/>
      <c r="N53" s="2"/>
      <c r="O53" s="2"/>
      <c r="P53" s="2"/>
      <c r="Q53" s="2"/>
      <c r="R53" s="2"/>
      <c r="S53" s="2"/>
      <c r="T53" s="7"/>
      <c r="U53" s="7"/>
      <c r="V53" s="7"/>
      <c r="W53" s="7"/>
      <c r="X53" s="7"/>
      <c r="Y53" s="7"/>
    </row>
    <row r="54" spans="2:25">
      <c r="B54" s="22" t="str">
        <f>CONCATENATE(Calculator!G23,Calculator!H23)</f>
        <v/>
      </c>
      <c r="C54" s="23">
        <f>Calculator!F23</f>
        <v>0</v>
      </c>
      <c r="D54" s="217" t="e">
        <f>INDEX($E$44:$E$50,MATCH(B54,$B$44:$B$50,0))</f>
        <v>#N/A</v>
      </c>
      <c r="E54" s="217" t="e">
        <f>INDEX($F$44:$F$50,MATCH(B54,$B$44:$B$50,0))</f>
        <v>#N/A</v>
      </c>
      <c r="F54" s="23" t="e">
        <f>C54*D54</f>
        <v>#N/A</v>
      </c>
      <c r="G54" s="23" t="e">
        <f>C54*E54</f>
        <v>#N/A</v>
      </c>
      <c r="H54" s="23" t="str">
        <f>IFERROR(C54*INDEX($C$44:$C$50,MATCH(B54,$B$44:$B$50,0)),"")</f>
        <v/>
      </c>
      <c r="I54" s="234" t="str">
        <f>IFERROR(ROUND(H54*$F$35,2),"")</f>
        <v/>
      </c>
      <c r="T54" s="7"/>
      <c r="U54" s="7"/>
      <c r="V54" s="7"/>
      <c r="W54" s="7"/>
    </row>
    <row r="55" spans="2:25">
      <c r="B55" s="22" t="str">
        <f>CONCATENATE(Calculator!G24,Calculator!H24)</f>
        <v/>
      </c>
      <c r="C55" s="23">
        <f>Calculator!F24</f>
        <v>0</v>
      </c>
      <c r="D55" s="217" t="e">
        <f t="shared" ref="D55:D61" si="8">INDEX($E$44:$E$50,MATCH(B55,$B$44:$B$50,0))</f>
        <v>#N/A</v>
      </c>
      <c r="E55" s="217" t="e">
        <f t="shared" ref="E55:E61" si="9">INDEX($F$44:$F$50,MATCH(B55,$B$44:$B$50,0))</f>
        <v>#N/A</v>
      </c>
      <c r="F55" s="23" t="e">
        <f t="shared" ref="F55:F57" si="10">C55*D55</f>
        <v>#N/A</v>
      </c>
      <c r="G55" s="23" t="e">
        <f t="shared" ref="G55:G57" si="11">C55*E55</f>
        <v>#N/A</v>
      </c>
      <c r="H55" s="23" t="str">
        <f t="shared" ref="H55:H61" si="12">IFERROR(C55*INDEX($C$44:$C$50,MATCH(B55,$B$44:$B$50,0)),"")</f>
        <v/>
      </c>
      <c r="I55" s="234" t="str">
        <f t="shared" ref="I55:I61" si="13">IFERROR(ROUND(H55*$F$35,2),"")</f>
        <v/>
      </c>
      <c r="T55" s="7"/>
      <c r="U55" s="7"/>
      <c r="V55" s="7"/>
      <c r="W55" s="7"/>
    </row>
    <row r="56" spans="2:25">
      <c r="B56" s="22" t="str">
        <f>CONCATENATE(Calculator!G25,Calculator!H25)</f>
        <v/>
      </c>
      <c r="C56" s="23">
        <f>Calculator!F25</f>
        <v>0</v>
      </c>
      <c r="D56" s="217" t="e">
        <f t="shared" si="8"/>
        <v>#N/A</v>
      </c>
      <c r="E56" s="217" t="e">
        <f t="shared" si="9"/>
        <v>#N/A</v>
      </c>
      <c r="F56" s="23" t="e">
        <f t="shared" si="10"/>
        <v>#N/A</v>
      </c>
      <c r="G56" s="23" t="e">
        <f t="shared" si="11"/>
        <v>#N/A</v>
      </c>
      <c r="H56" s="23" t="str">
        <f t="shared" si="12"/>
        <v/>
      </c>
      <c r="I56" s="234" t="str">
        <f t="shared" si="13"/>
        <v/>
      </c>
      <c r="T56" s="7"/>
      <c r="U56" s="7"/>
      <c r="V56" s="7"/>
      <c r="W56" s="7"/>
    </row>
    <row r="57" spans="2:25">
      <c r="B57" s="22" t="str">
        <f>CONCATENATE(Calculator!G26,Calculator!H26)</f>
        <v/>
      </c>
      <c r="C57" s="23">
        <f>Calculator!F26</f>
        <v>0</v>
      </c>
      <c r="D57" s="217" t="e">
        <f t="shared" si="8"/>
        <v>#N/A</v>
      </c>
      <c r="E57" s="217" t="e">
        <f t="shared" si="9"/>
        <v>#N/A</v>
      </c>
      <c r="F57" s="23" t="e">
        <f t="shared" si="10"/>
        <v>#N/A</v>
      </c>
      <c r="G57" s="23" t="e">
        <f t="shared" si="11"/>
        <v>#N/A</v>
      </c>
      <c r="H57" s="23" t="str">
        <f t="shared" si="12"/>
        <v/>
      </c>
      <c r="I57" s="234" t="str">
        <f t="shared" si="13"/>
        <v/>
      </c>
      <c r="T57" s="7"/>
      <c r="U57" s="7"/>
      <c r="V57" s="7"/>
      <c r="W57" s="7"/>
    </row>
    <row r="58" spans="2:25">
      <c r="B58" s="22" t="str">
        <f>CONCATENATE(Calculator!G27,Calculator!H27)</f>
        <v/>
      </c>
      <c r="C58" s="23">
        <f>Calculator!F27</f>
        <v>0</v>
      </c>
      <c r="D58" s="217" t="e">
        <f t="shared" si="8"/>
        <v>#N/A</v>
      </c>
      <c r="E58" s="217" t="e">
        <f t="shared" si="9"/>
        <v>#N/A</v>
      </c>
      <c r="F58" s="23" t="e">
        <f t="shared" ref="F58:F61" si="14">C58*D58</f>
        <v>#N/A</v>
      </c>
      <c r="G58" s="23" t="e">
        <f t="shared" ref="G58:G61" si="15">C58*E58</f>
        <v>#N/A</v>
      </c>
      <c r="H58" s="23" t="str">
        <f t="shared" si="12"/>
        <v/>
      </c>
      <c r="I58" s="234" t="str">
        <f t="shared" si="13"/>
        <v/>
      </c>
      <c r="T58" s="7"/>
      <c r="U58" s="7"/>
      <c r="V58" s="7"/>
      <c r="W58" s="7"/>
    </row>
    <row r="59" spans="2:25">
      <c r="B59" s="22" t="str">
        <f>CONCATENATE(Calculator!G28,Calculator!H28)</f>
        <v/>
      </c>
      <c r="C59" s="23">
        <f>Calculator!F28</f>
        <v>0</v>
      </c>
      <c r="D59" s="217" t="e">
        <f t="shared" si="8"/>
        <v>#N/A</v>
      </c>
      <c r="E59" s="217" t="e">
        <f t="shared" si="9"/>
        <v>#N/A</v>
      </c>
      <c r="F59" s="23" t="e">
        <f t="shared" si="14"/>
        <v>#N/A</v>
      </c>
      <c r="G59" s="23" t="e">
        <f t="shared" si="15"/>
        <v>#N/A</v>
      </c>
      <c r="H59" s="23" t="str">
        <f t="shared" si="12"/>
        <v/>
      </c>
      <c r="I59" s="234" t="str">
        <f t="shared" si="13"/>
        <v/>
      </c>
      <c r="T59" s="7"/>
      <c r="U59" s="7"/>
      <c r="V59" s="7"/>
      <c r="W59" s="7"/>
    </row>
    <row r="60" spans="2:25">
      <c r="B60" s="22" t="str">
        <f>CONCATENATE(Calculator!G29,Calculator!H29)</f>
        <v/>
      </c>
      <c r="C60" s="23">
        <f>Calculator!F29</f>
        <v>0</v>
      </c>
      <c r="D60" s="217" t="e">
        <f t="shared" si="8"/>
        <v>#N/A</v>
      </c>
      <c r="E60" s="217" t="e">
        <f t="shared" si="9"/>
        <v>#N/A</v>
      </c>
      <c r="F60" s="23" t="e">
        <f t="shared" si="14"/>
        <v>#N/A</v>
      </c>
      <c r="G60" s="23" t="e">
        <f t="shared" si="15"/>
        <v>#N/A</v>
      </c>
      <c r="H60" s="23" t="str">
        <f t="shared" si="12"/>
        <v/>
      </c>
      <c r="I60" s="234" t="str">
        <f t="shared" si="13"/>
        <v/>
      </c>
      <c r="T60" s="7"/>
      <c r="U60" s="7"/>
      <c r="V60" s="7"/>
      <c r="W60" s="7"/>
    </row>
    <row r="61" spans="2:25">
      <c r="B61" s="22" t="str">
        <f>CONCATENATE(Calculator!G30,Calculator!H30)</f>
        <v/>
      </c>
      <c r="C61" s="23">
        <f>Calculator!F30</f>
        <v>0</v>
      </c>
      <c r="D61" s="217" t="e">
        <f t="shared" si="8"/>
        <v>#N/A</v>
      </c>
      <c r="E61" s="217" t="e">
        <f t="shared" si="9"/>
        <v>#N/A</v>
      </c>
      <c r="F61" s="23" t="e">
        <f t="shared" si="14"/>
        <v>#N/A</v>
      </c>
      <c r="G61" s="23" t="e">
        <f t="shared" si="15"/>
        <v>#N/A</v>
      </c>
      <c r="H61" s="23" t="str">
        <f t="shared" si="12"/>
        <v/>
      </c>
      <c r="I61" s="234" t="str">
        <f t="shared" si="13"/>
        <v/>
      </c>
      <c r="T61" s="7"/>
      <c r="U61" s="7"/>
      <c r="V61" s="7"/>
      <c r="W61" s="7"/>
    </row>
    <row r="63" spans="2:25" s="52" customFormat="1" ht="18.600000000000001" customHeight="1" thickBot="1">
      <c r="B63" s="378" t="s">
        <v>63</v>
      </c>
      <c r="C63" s="378"/>
      <c r="D63" s="378"/>
      <c r="E63" s="378"/>
      <c r="F63" s="378"/>
      <c r="G63" s="378"/>
      <c r="H63" s="378"/>
      <c r="I63" s="378"/>
      <c r="J63" s="378"/>
      <c r="K63" s="51"/>
      <c r="L63" s="51"/>
      <c r="M63" s="51"/>
      <c r="N63" s="51"/>
      <c r="O63" s="51"/>
      <c r="P63" s="51"/>
      <c r="Q63" s="51"/>
      <c r="R63" s="51"/>
      <c r="S63" s="51"/>
      <c r="T63" s="51"/>
      <c r="U63" s="51"/>
      <c r="V63" s="51"/>
      <c r="W63" s="51"/>
    </row>
    <row r="64" spans="2:25" ht="18">
      <c r="B64" s="8" t="s">
        <v>37</v>
      </c>
      <c r="D64" s="8" t="s">
        <v>16</v>
      </c>
      <c r="H64" s="8" t="s">
        <v>96</v>
      </c>
      <c r="R64" s="7"/>
      <c r="S64" s="7"/>
      <c r="T64" s="7"/>
      <c r="U64" s="7"/>
      <c r="V64" s="7"/>
      <c r="W64" s="7"/>
    </row>
    <row r="65" spans="2:30" ht="15">
      <c r="B65" s="45" t="s">
        <v>52</v>
      </c>
      <c r="C65" s="213" t="s">
        <v>452</v>
      </c>
      <c r="D65" s="43" t="s">
        <v>57</v>
      </c>
      <c r="E65" s="43">
        <v>0.16700000000000001</v>
      </c>
      <c r="F65" s="19" t="s">
        <v>58</v>
      </c>
      <c r="G65" s="213" t="s">
        <v>471</v>
      </c>
      <c r="H65" s="264">
        <v>250</v>
      </c>
      <c r="I65" s="19" t="s">
        <v>282</v>
      </c>
      <c r="R65" s="7"/>
      <c r="T65" s="7"/>
      <c r="U65" s="7"/>
      <c r="V65" s="7"/>
      <c r="W65" s="7"/>
    </row>
    <row r="66" spans="2:30">
      <c r="B66" s="45" t="s">
        <v>506</v>
      </c>
      <c r="C66" s="62" t="s">
        <v>356</v>
      </c>
      <c r="D66" s="43" t="s">
        <v>64</v>
      </c>
      <c r="E66" s="43">
        <v>150</v>
      </c>
      <c r="F66" s="19" t="s">
        <v>59</v>
      </c>
      <c r="G66" s="62" t="s">
        <v>460</v>
      </c>
      <c r="R66" s="7"/>
      <c r="T66" s="7"/>
      <c r="U66" s="7"/>
      <c r="V66" s="7"/>
      <c r="W66" s="7"/>
    </row>
    <row r="67" spans="2:30" ht="15">
      <c r="B67" s="45" t="s">
        <v>507</v>
      </c>
      <c r="C67" s="213" t="s">
        <v>369</v>
      </c>
      <c r="D67" s="43" t="s">
        <v>60</v>
      </c>
      <c r="E67" s="43">
        <v>365</v>
      </c>
      <c r="F67" s="19"/>
      <c r="R67" s="7"/>
      <c r="T67" s="7"/>
      <c r="U67" s="7"/>
      <c r="V67" s="7"/>
      <c r="W67" s="7"/>
    </row>
    <row r="68" spans="2:30">
      <c r="C68" s="62" t="s">
        <v>367</v>
      </c>
    </row>
    <row r="69" spans="2:30" ht="18">
      <c r="B69" s="8" t="s">
        <v>61</v>
      </c>
      <c r="F69" s="7"/>
      <c r="G69" s="7"/>
      <c r="H69" s="8" t="s">
        <v>62</v>
      </c>
      <c r="L69" s="7"/>
      <c r="N69" s="156"/>
      <c r="O69" s="7"/>
      <c r="P69" s="7"/>
      <c r="Q69" s="7"/>
      <c r="R69" s="7"/>
      <c r="S69" s="7"/>
      <c r="T69" s="7"/>
      <c r="U69" s="7"/>
      <c r="V69" s="7"/>
      <c r="W69" s="7"/>
    </row>
    <row r="70" spans="2:30" s="13" customFormat="1" ht="34.15" customHeight="1">
      <c r="B70" s="24" t="s">
        <v>52</v>
      </c>
      <c r="C70" s="25" t="s">
        <v>54</v>
      </c>
      <c r="D70" s="25" t="s">
        <v>55</v>
      </c>
      <c r="E70" s="25" t="s">
        <v>56</v>
      </c>
      <c r="F70" s="25" t="s">
        <v>49</v>
      </c>
      <c r="G70" s="2"/>
      <c r="H70" s="24" t="s">
        <v>43</v>
      </c>
      <c r="I70" s="25" t="s">
        <v>54</v>
      </c>
      <c r="J70" s="25" t="s">
        <v>55</v>
      </c>
      <c r="K70" s="25" t="s">
        <v>56</v>
      </c>
      <c r="L70" s="25" t="s">
        <v>49</v>
      </c>
      <c r="M70" s="7"/>
      <c r="N70" s="157"/>
      <c r="O70" s="157"/>
    </row>
    <row r="71" spans="2:30">
      <c r="B71" s="45" t="s">
        <v>506</v>
      </c>
      <c r="C71" s="57">
        <v>1.05</v>
      </c>
      <c r="D71" s="44">
        <v>0.75</v>
      </c>
      <c r="E71" s="56">
        <v>65</v>
      </c>
      <c r="F71" s="56">
        <v>16</v>
      </c>
      <c r="H71" s="45" t="s">
        <v>506</v>
      </c>
      <c r="I71" s="57">
        <v>0.8</v>
      </c>
      <c r="J71" s="44">
        <v>0.83</v>
      </c>
      <c r="K71" s="56">
        <v>70</v>
      </c>
      <c r="L71" s="56">
        <v>16</v>
      </c>
      <c r="M71" s="7"/>
      <c r="N71" s="158"/>
      <c r="O71" s="159"/>
      <c r="P71" s="7"/>
      <c r="Q71" s="7"/>
      <c r="R71" s="7"/>
      <c r="S71" s="7"/>
      <c r="T71" s="7"/>
      <c r="U71" s="7"/>
      <c r="V71" s="7"/>
      <c r="W71" s="7"/>
    </row>
    <row r="72" spans="2:30">
      <c r="B72" s="45" t="s">
        <v>507</v>
      </c>
      <c r="C72" s="57">
        <v>1.35</v>
      </c>
      <c r="D72" s="44">
        <v>0.7</v>
      </c>
      <c r="E72" s="56">
        <v>100</v>
      </c>
      <c r="F72" s="56">
        <v>12</v>
      </c>
      <c r="H72" s="45" t="s">
        <v>507</v>
      </c>
      <c r="I72" s="57">
        <v>1.1000000000000001</v>
      </c>
      <c r="J72" s="44">
        <v>0.8</v>
      </c>
      <c r="K72" s="56">
        <v>110</v>
      </c>
      <c r="L72" s="56">
        <v>12</v>
      </c>
      <c r="M72" s="7"/>
      <c r="N72" s="158"/>
      <c r="O72" s="159"/>
      <c r="P72" s="7"/>
      <c r="Q72" s="7"/>
      <c r="R72" s="7"/>
      <c r="S72" s="7"/>
      <c r="T72" s="7"/>
      <c r="U72" s="7"/>
      <c r="V72" s="7"/>
      <c r="W72" s="7"/>
    </row>
    <row r="73" spans="2:30">
      <c r="N73" s="212"/>
      <c r="O73" s="7"/>
      <c r="P73" s="7"/>
    </row>
    <row r="74" spans="2:30" ht="18">
      <c r="B74" s="8" t="s">
        <v>5</v>
      </c>
      <c r="N74" s="7"/>
      <c r="O74" s="7"/>
      <c r="P74" s="7"/>
    </row>
    <row r="75" spans="2:30" s="13" customFormat="1" ht="30" customHeight="1">
      <c r="B75" s="377" t="s">
        <v>52</v>
      </c>
      <c r="C75" s="396" t="s">
        <v>67</v>
      </c>
      <c r="D75" s="375" t="s">
        <v>49</v>
      </c>
      <c r="E75" s="375" t="s">
        <v>65</v>
      </c>
      <c r="F75" s="375"/>
      <c r="G75" s="375"/>
      <c r="H75" s="375" t="s">
        <v>66</v>
      </c>
      <c r="I75" s="375"/>
      <c r="J75" s="375"/>
      <c r="K75" s="377" t="s">
        <v>465</v>
      </c>
      <c r="L75" s="377" t="s">
        <v>466</v>
      </c>
      <c r="M75" s="377" t="s">
        <v>467</v>
      </c>
      <c r="N75" s="377" t="s">
        <v>468</v>
      </c>
      <c r="O75" s="377" t="s">
        <v>45</v>
      </c>
      <c r="P75" s="377" t="s">
        <v>11</v>
      </c>
      <c r="Q75" s="401" t="s">
        <v>416</v>
      </c>
      <c r="R75" s="2"/>
      <c r="S75" s="2"/>
      <c r="T75" s="2"/>
      <c r="U75" s="2"/>
      <c r="V75" s="2"/>
      <c r="W75" s="2"/>
      <c r="X75" s="2"/>
      <c r="Y75" s="7"/>
      <c r="Z75" s="7"/>
      <c r="AA75" s="7"/>
      <c r="AB75" s="7"/>
      <c r="AC75" s="7"/>
      <c r="AD75" s="7"/>
    </row>
    <row r="76" spans="2:30" s="13" customFormat="1" ht="15">
      <c r="B76" s="377"/>
      <c r="C76" s="397"/>
      <c r="D76" s="375"/>
      <c r="E76" s="58" t="s">
        <v>54</v>
      </c>
      <c r="F76" s="58" t="s">
        <v>55</v>
      </c>
      <c r="G76" s="58" t="s">
        <v>56</v>
      </c>
      <c r="H76" s="58" t="s">
        <v>54</v>
      </c>
      <c r="I76" s="58" t="s">
        <v>55</v>
      </c>
      <c r="J76" s="58" t="s">
        <v>56</v>
      </c>
      <c r="K76" s="377"/>
      <c r="L76" s="377"/>
      <c r="M76" s="377"/>
      <c r="N76" s="377"/>
      <c r="O76" s="377"/>
      <c r="P76" s="377"/>
      <c r="Q76" s="386"/>
      <c r="R76" s="2"/>
      <c r="S76" s="2"/>
      <c r="T76" s="2"/>
      <c r="U76" s="2"/>
      <c r="V76" s="2"/>
      <c r="W76" s="2"/>
      <c r="X76" s="2"/>
      <c r="Y76" s="7"/>
      <c r="Z76" s="7"/>
      <c r="AA76" s="7"/>
      <c r="AB76" s="7"/>
      <c r="AC76" s="7"/>
      <c r="AD76" s="7"/>
    </row>
    <row r="77" spans="2:30">
      <c r="B77" s="22">
        <f>IFERROR(Calculator!G35," ")</f>
        <v>0</v>
      </c>
      <c r="C77" s="23">
        <f>Calculator!F35</f>
        <v>0</v>
      </c>
      <c r="D77" s="23" t="str">
        <f>IFERROR(VLOOKUP(B77,$B$71:$F$72,5,FALSE),"0")</f>
        <v>0</v>
      </c>
      <c r="E77" s="23">
        <f>IFERROR(VLOOKUP(B77,$B$71:$F$72,2,FALSE),0)</f>
        <v>0</v>
      </c>
      <c r="F77" s="23">
        <f>IFERROR(VLOOKUP(B77,$B$71:$F$72,3,FALSE),0)</f>
        <v>0</v>
      </c>
      <c r="G77" s="23">
        <f>IFERROR(VLOOKUP(B77,$B$71:$F$72,4,FALSE),0)</f>
        <v>0</v>
      </c>
      <c r="H77" s="23">
        <f>IFERROR(VLOOKUP(B77,$H$71:$L$72,2,FALSE),0)</f>
        <v>0</v>
      </c>
      <c r="I77" s="23">
        <f>IFERROR(VLOOKUP(B77,$H$71:$L$72,3,FALSE),0)</f>
        <v>0</v>
      </c>
      <c r="J77" s="23">
        <f>IFERROR(VLOOKUP(B77,$H$71:$L$72,4,FALSE),0)</f>
        <v>0</v>
      </c>
      <c r="K77" s="23">
        <f>IFERROR(L77/$E$67/D77,0)</f>
        <v>0</v>
      </c>
      <c r="L77" s="23" t="e">
        <f>C77*($E$67*(($E$66*$E$65/F77+E77*(D77-$E$66/G77))))</f>
        <v>#DIV/0!</v>
      </c>
      <c r="M77" s="23">
        <f>IFERROR(N77/$E$67/D77,0)</f>
        <v>0</v>
      </c>
      <c r="N77" s="23" t="e">
        <f>C77*($E$67*(($E$66*$E$65/I77+H77*(D77-$E$66/J77))))</f>
        <v>#DIV/0!</v>
      </c>
      <c r="O77" s="23">
        <f>IFERROR(P77/$E$67/D77,0)</f>
        <v>0</v>
      </c>
      <c r="P77" s="23" t="e">
        <f>L77-N77</f>
        <v>#DIV/0!</v>
      </c>
      <c r="Q77" s="234">
        <f>IFERROR(ROUND(C77*$H$65,2),"")</f>
        <v>0</v>
      </c>
      <c r="X77" s="2"/>
    </row>
    <row r="78" spans="2:30">
      <c r="B78" s="22">
        <f>IFERROR(Calculator!G36,"")</f>
        <v>0</v>
      </c>
      <c r="C78" s="23">
        <f>Calculator!F36</f>
        <v>0</v>
      </c>
      <c r="D78" s="23" t="str">
        <f>IFERROR(VLOOKUP(B78,$B$71:$F$72,5,FALSE),"0")</f>
        <v>0</v>
      </c>
      <c r="E78" s="23">
        <f>IFERROR(VLOOKUP(B78,$B$71:$F$72,2,FALSE),0)</f>
        <v>0</v>
      </c>
      <c r="F78" s="23">
        <f>IFERROR(VLOOKUP(B78,$B$71:$F$72,3,FALSE),0)</f>
        <v>0</v>
      </c>
      <c r="G78" s="23">
        <f>IFERROR(VLOOKUP(B78,$B$71:$F$72,4,FALSE),0)</f>
        <v>0</v>
      </c>
      <c r="H78" s="23">
        <f>IFERROR(VLOOKUP(B78,$H$71:$L$72,2,FALSE),0)</f>
        <v>0</v>
      </c>
      <c r="I78" s="23">
        <f>IFERROR(VLOOKUP(B78,$H$71:$L$72,3,FALSE),0)</f>
        <v>0</v>
      </c>
      <c r="J78" s="23">
        <f>IFERROR(VLOOKUP(B78,$H$71:$L$72,4,FALSE),0)</f>
        <v>0</v>
      </c>
      <c r="K78" s="23">
        <f>IFERROR(L78/$E$67/D78,0)</f>
        <v>0</v>
      </c>
      <c r="L78" s="23" t="e">
        <f>C78*($E$67*(($E$66*$E$65/F78+E78*(D78-$E$66/G78))))</f>
        <v>#DIV/0!</v>
      </c>
      <c r="M78" s="23">
        <f>IFERROR(N78/$E$67/D78,0)</f>
        <v>0</v>
      </c>
      <c r="N78" s="23" t="e">
        <f>C78*($E$67*(($E$66*$E$65/I78+H78*(D78-$E$66/J78))))</f>
        <v>#DIV/0!</v>
      </c>
      <c r="O78" s="23">
        <f>IFERROR(P78/$E$67/D78,0)</f>
        <v>0</v>
      </c>
      <c r="P78" s="23" t="e">
        <f>L78-N78</f>
        <v>#DIV/0!</v>
      </c>
      <c r="Q78" s="234">
        <f>IFERROR(ROUND(C78*$H$65,2),"")</f>
        <v>0</v>
      </c>
      <c r="X78" s="2"/>
    </row>
    <row r="80" spans="2:30" s="52" customFormat="1" ht="18.600000000000001" customHeight="1" thickBot="1">
      <c r="B80" s="378" t="s">
        <v>68</v>
      </c>
      <c r="C80" s="378"/>
      <c r="D80" s="378"/>
      <c r="E80" s="378"/>
      <c r="F80" s="378"/>
      <c r="G80" s="378"/>
      <c r="H80" s="378"/>
      <c r="I80" s="378"/>
      <c r="J80" s="378"/>
      <c r="K80" s="51"/>
      <c r="L80" s="51"/>
      <c r="M80" s="51"/>
      <c r="N80" s="51"/>
      <c r="O80" s="51"/>
      <c r="P80" s="51"/>
      <c r="Q80" s="51"/>
      <c r="R80" s="51"/>
      <c r="S80" s="51"/>
      <c r="T80" s="51"/>
      <c r="U80" s="51"/>
      <c r="V80" s="51"/>
      <c r="W80" s="51"/>
    </row>
    <row r="81" spans="2:29" ht="18">
      <c r="B81" s="8" t="s">
        <v>37</v>
      </c>
      <c r="D81" s="8" t="s">
        <v>16</v>
      </c>
      <c r="H81" s="8" t="s">
        <v>96</v>
      </c>
      <c r="R81" s="7"/>
      <c r="S81" s="7"/>
      <c r="T81" s="7"/>
      <c r="U81" s="7"/>
      <c r="V81" s="7"/>
      <c r="W81" s="7"/>
    </row>
    <row r="82" spans="2:29" ht="15">
      <c r="B82" s="45"/>
      <c r="C82" s="213" t="s">
        <v>369</v>
      </c>
      <c r="D82" s="43" t="s">
        <v>57</v>
      </c>
      <c r="E82" s="43">
        <v>0.13900000000000001</v>
      </c>
      <c r="F82" s="19" t="s">
        <v>58</v>
      </c>
      <c r="G82" s="213" t="s">
        <v>452</v>
      </c>
      <c r="H82" s="264">
        <v>300</v>
      </c>
      <c r="I82" s="19" t="s">
        <v>282</v>
      </c>
      <c r="R82" s="7"/>
      <c r="T82" s="7"/>
      <c r="U82" s="7"/>
      <c r="V82" s="7"/>
      <c r="W82" s="7"/>
    </row>
    <row r="83" spans="2:29">
      <c r="B83" s="45"/>
      <c r="C83" s="62" t="s">
        <v>367</v>
      </c>
      <c r="D83" s="43" t="s">
        <v>64</v>
      </c>
      <c r="E83" s="43">
        <v>100</v>
      </c>
      <c r="F83" s="19" t="s">
        <v>59</v>
      </c>
      <c r="G83" s="62" t="s">
        <v>356</v>
      </c>
      <c r="R83" s="7"/>
      <c r="T83" s="7"/>
      <c r="U83" s="7"/>
      <c r="V83" s="7"/>
      <c r="W83" s="7"/>
    </row>
    <row r="84" spans="2:29" ht="15">
      <c r="B84" s="45"/>
      <c r="D84" s="43" t="s">
        <v>60</v>
      </c>
      <c r="E84" s="43">
        <v>365</v>
      </c>
      <c r="F84" s="19"/>
      <c r="G84" s="213" t="s">
        <v>471</v>
      </c>
      <c r="R84" s="7"/>
      <c r="T84" s="7"/>
      <c r="U84" s="7"/>
      <c r="V84" s="7"/>
      <c r="W84" s="7"/>
    </row>
    <row r="85" spans="2:29">
      <c r="G85" s="62" t="s">
        <v>460</v>
      </c>
    </row>
    <row r="86" spans="2:29" ht="18">
      <c r="B86" s="8" t="s">
        <v>61</v>
      </c>
      <c r="F86" s="7"/>
      <c r="G86" s="7"/>
      <c r="H86" s="8" t="s">
        <v>62</v>
      </c>
      <c r="L86" s="7"/>
      <c r="Q86" s="7"/>
      <c r="R86" s="7"/>
      <c r="S86" s="7"/>
      <c r="T86" s="7"/>
      <c r="U86" s="7"/>
      <c r="V86" s="7"/>
      <c r="W86" s="7"/>
    </row>
    <row r="87" spans="2:29" s="13" customFormat="1" ht="34.15" customHeight="1">
      <c r="B87" s="24" t="s">
        <v>52</v>
      </c>
      <c r="C87" s="25" t="s">
        <v>54</v>
      </c>
      <c r="D87" s="25" t="s">
        <v>55</v>
      </c>
      <c r="E87" s="25" t="s">
        <v>56</v>
      </c>
      <c r="F87" s="25" t="s">
        <v>49</v>
      </c>
      <c r="G87" s="2"/>
      <c r="H87" s="24" t="s">
        <v>43</v>
      </c>
      <c r="I87" s="25" t="s">
        <v>54</v>
      </c>
      <c r="J87" s="25" t="s">
        <v>55</v>
      </c>
      <c r="K87" s="25" t="s">
        <v>56</v>
      </c>
      <c r="L87" s="7"/>
    </row>
    <row r="88" spans="2:29">
      <c r="B88" s="22" t="s">
        <v>53</v>
      </c>
      <c r="C88" s="57">
        <v>0.4</v>
      </c>
      <c r="D88" s="44">
        <v>0.65</v>
      </c>
      <c r="E88" s="57">
        <v>5.83</v>
      </c>
      <c r="F88" s="56">
        <v>12</v>
      </c>
      <c r="H88" s="22" t="s">
        <v>53</v>
      </c>
      <c r="I88" s="57">
        <v>0.32</v>
      </c>
      <c r="J88" s="44">
        <v>0.7</v>
      </c>
      <c r="K88" s="57">
        <v>6.67</v>
      </c>
      <c r="L88" s="7"/>
      <c r="M88" s="7"/>
      <c r="N88" s="7"/>
      <c r="O88" s="7"/>
      <c r="P88" s="7"/>
      <c r="Q88" s="7"/>
      <c r="R88" s="7"/>
      <c r="S88" s="7"/>
      <c r="T88" s="7"/>
      <c r="U88" s="7"/>
      <c r="V88" s="7"/>
      <c r="W88" s="7"/>
    </row>
    <row r="90" spans="2:29" ht="18">
      <c r="B90" s="8" t="s">
        <v>5</v>
      </c>
    </row>
    <row r="91" spans="2:29" s="13" customFormat="1" ht="15">
      <c r="B91" s="377" t="s">
        <v>52</v>
      </c>
      <c r="C91" s="396" t="s">
        <v>155</v>
      </c>
      <c r="D91" s="375" t="s">
        <v>49</v>
      </c>
      <c r="E91" s="375" t="s">
        <v>65</v>
      </c>
      <c r="F91" s="375"/>
      <c r="G91" s="375"/>
      <c r="H91" s="375" t="s">
        <v>66</v>
      </c>
      <c r="I91" s="375"/>
      <c r="J91" s="375"/>
      <c r="K91" s="377" t="s">
        <v>466</v>
      </c>
      <c r="L91" s="377" t="s">
        <v>468</v>
      </c>
      <c r="M91" s="377" t="s">
        <v>45</v>
      </c>
      <c r="N91" s="377" t="s">
        <v>11</v>
      </c>
      <c r="O91" s="401" t="s">
        <v>416</v>
      </c>
      <c r="P91" s="2"/>
      <c r="Q91" s="2"/>
      <c r="R91" s="2"/>
      <c r="S91" s="2"/>
      <c r="T91" s="2"/>
      <c r="U91" s="2"/>
      <c r="V91" s="2"/>
      <c r="W91" s="2"/>
      <c r="X91" s="7"/>
      <c r="Y91" s="7"/>
      <c r="Z91" s="7"/>
      <c r="AA91" s="7"/>
      <c r="AB91" s="7"/>
      <c r="AC91" s="7"/>
    </row>
    <row r="92" spans="2:29" s="13" customFormat="1" ht="15">
      <c r="B92" s="377"/>
      <c r="C92" s="397"/>
      <c r="D92" s="375"/>
      <c r="E92" s="58" t="s">
        <v>54</v>
      </c>
      <c r="F92" s="58" t="s">
        <v>55</v>
      </c>
      <c r="G92" s="58" t="s">
        <v>56</v>
      </c>
      <c r="H92" s="58" t="s">
        <v>54</v>
      </c>
      <c r="I92" s="58" t="s">
        <v>55</v>
      </c>
      <c r="J92" s="58" t="s">
        <v>56</v>
      </c>
      <c r="K92" s="377"/>
      <c r="L92" s="377"/>
      <c r="M92" s="377"/>
      <c r="N92" s="377"/>
      <c r="O92" s="386"/>
      <c r="P92" s="2"/>
      <c r="Q92" s="2"/>
      <c r="R92" s="2"/>
      <c r="S92" s="2"/>
      <c r="T92" s="2"/>
      <c r="U92" s="2"/>
      <c r="V92" s="2"/>
      <c r="W92" s="2"/>
      <c r="X92" s="7"/>
      <c r="Y92" s="7"/>
      <c r="Z92" s="7"/>
      <c r="AA92" s="7"/>
      <c r="AB92" s="7"/>
      <c r="AC92" s="7"/>
    </row>
    <row r="93" spans="2:29">
      <c r="B93" s="22">
        <f>Calculator!G41</f>
        <v>0</v>
      </c>
      <c r="C93" s="23">
        <f>Calculator!F41</f>
        <v>0</v>
      </c>
      <c r="D93" s="23">
        <v>12</v>
      </c>
      <c r="E93" s="23">
        <v>0.4</v>
      </c>
      <c r="F93" s="23">
        <v>0.65</v>
      </c>
      <c r="G93" s="23">
        <v>5.83</v>
      </c>
      <c r="H93" s="23">
        <v>0.32</v>
      </c>
      <c r="I93" s="23">
        <v>0.7</v>
      </c>
      <c r="J93" s="23">
        <v>6.67</v>
      </c>
      <c r="K93" s="23" t="e">
        <f>C93*($E$84*(($E$83*$E$82/F93+E93*B93*(D93-$E$83/(G93*B93)))))</f>
        <v>#DIV/0!</v>
      </c>
      <c r="L93" s="23" t="e">
        <f>C93*($E$84*($E$83*$E$82/I93+H93*B93*(D93-$E$83/(J93*B93))))</f>
        <v>#DIV/0!</v>
      </c>
      <c r="M93" s="23">
        <f>IFERROR(N93/$E$84/D93,0)</f>
        <v>0</v>
      </c>
      <c r="N93" s="23" t="e">
        <f>K93-L93</f>
        <v>#DIV/0!</v>
      </c>
      <c r="O93" s="234">
        <f>IFERROR(ROUND(C93*$H$82,2),"")</f>
        <v>0</v>
      </c>
    </row>
    <row r="94" spans="2:29">
      <c r="B94" s="22">
        <f>Calculator!G42</f>
        <v>0</v>
      </c>
      <c r="C94" s="23">
        <f>Calculator!F42</f>
        <v>0</v>
      </c>
      <c r="D94" s="23">
        <v>12</v>
      </c>
      <c r="E94" s="23">
        <v>0.4</v>
      </c>
      <c r="F94" s="23">
        <v>0.65</v>
      </c>
      <c r="G94" s="23">
        <v>5.83</v>
      </c>
      <c r="H94" s="23">
        <v>0.32</v>
      </c>
      <c r="I94" s="23">
        <v>0.7</v>
      </c>
      <c r="J94" s="23">
        <v>6.67</v>
      </c>
      <c r="K94" s="23" t="e">
        <f>C94*($E$84*(($E$83*$E$82/F94+E94*B94*(D94-$E$83/(G94*B94)))))</f>
        <v>#DIV/0!</v>
      </c>
      <c r="L94" s="23" t="e">
        <f>C94*($E$84*($E$83*$E$82/I94+H94*B94*(D94-$E$83/(J94*B94))))</f>
        <v>#DIV/0!</v>
      </c>
      <c r="M94" s="23">
        <f>IFERROR(N94/$E$84/D94,0)</f>
        <v>0</v>
      </c>
      <c r="N94" s="23" t="e">
        <f>K94-L94</f>
        <v>#DIV/0!</v>
      </c>
      <c r="O94" s="234">
        <f>IFERROR(ROUND(C94*$H$82,2),"")</f>
        <v>0</v>
      </c>
      <c r="W94" s="7"/>
    </row>
    <row r="96" spans="2:29" s="52" customFormat="1" ht="18.600000000000001" customHeight="1" thickBot="1">
      <c r="B96" s="378" t="s">
        <v>69</v>
      </c>
      <c r="C96" s="378"/>
      <c r="D96" s="378"/>
      <c r="E96" s="378"/>
      <c r="F96" s="378"/>
      <c r="G96" s="378"/>
      <c r="H96" s="378"/>
      <c r="I96" s="378"/>
      <c r="J96" s="378"/>
      <c r="K96" s="51"/>
      <c r="L96" s="51"/>
      <c r="M96" s="51"/>
      <c r="N96" s="51"/>
      <c r="O96" s="51"/>
      <c r="P96" s="51"/>
      <c r="Q96" s="51"/>
      <c r="R96" s="51"/>
      <c r="S96" s="51"/>
      <c r="T96" s="51"/>
      <c r="U96" s="51"/>
      <c r="V96" s="51"/>
      <c r="W96" s="51"/>
    </row>
    <row r="97" spans="2:23" ht="18">
      <c r="B97" s="8" t="s">
        <v>37</v>
      </c>
      <c r="F97" s="8" t="s">
        <v>16</v>
      </c>
      <c r="T97" s="7"/>
      <c r="U97" s="7"/>
      <c r="V97" s="7"/>
      <c r="W97" s="7"/>
    </row>
    <row r="98" spans="2:23" ht="15">
      <c r="B98" s="45" t="s">
        <v>129</v>
      </c>
      <c r="C98" s="45" t="s">
        <v>35</v>
      </c>
      <c r="D98" s="62" t="s">
        <v>173</v>
      </c>
      <c r="E98" s="213" t="s">
        <v>452</v>
      </c>
      <c r="F98" s="43" t="s">
        <v>125</v>
      </c>
      <c r="G98" s="43">
        <v>0.4</v>
      </c>
      <c r="H98" s="19"/>
      <c r="T98" s="7"/>
      <c r="V98" s="7"/>
      <c r="W98" s="7"/>
    </row>
    <row r="99" spans="2:23">
      <c r="B99" s="45" t="s">
        <v>130</v>
      </c>
      <c r="C99" s="45" t="s">
        <v>128</v>
      </c>
      <c r="D99" s="62" t="s">
        <v>174</v>
      </c>
      <c r="E99" s="62" t="s">
        <v>356</v>
      </c>
      <c r="F99" s="43" t="s">
        <v>60</v>
      </c>
      <c r="G99" s="43">
        <v>365</v>
      </c>
      <c r="H99" s="19" t="s">
        <v>126</v>
      </c>
      <c r="T99" s="7"/>
      <c r="V99" s="7"/>
      <c r="W99" s="7"/>
    </row>
    <row r="100" spans="2:23">
      <c r="B100" s="45" t="s">
        <v>131</v>
      </c>
      <c r="C100" s="45" t="s">
        <v>481</v>
      </c>
      <c r="D100" s="62" t="s">
        <v>175</v>
      </c>
      <c r="F100" s="43" t="s">
        <v>36</v>
      </c>
      <c r="G100" s="43">
        <v>0.77200000000000002</v>
      </c>
      <c r="H100" s="19"/>
      <c r="T100" s="7"/>
      <c r="V100" s="7"/>
      <c r="W100" s="7"/>
    </row>
    <row r="101" spans="2:23">
      <c r="B101" s="45"/>
      <c r="C101" s="45" t="s">
        <v>482</v>
      </c>
      <c r="D101" s="62" t="s">
        <v>176</v>
      </c>
      <c r="F101" s="54"/>
      <c r="G101" s="54"/>
      <c r="H101" s="55"/>
      <c r="T101" s="7"/>
      <c r="V101" s="7"/>
      <c r="W101" s="7"/>
    </row>
    <row r="102" spans="2:23">
      <c r="B102" s="45"/>
      <c r="C102" s="45" t="s">
        <v>483</v>
      </c>
      <c r="D102" s="195"/>
      <c r="F102" s="54"/>
      <c r="G102" s="54"/>
      <c r="H102" s="55"/>
      <c r="T102" s="7"/>
      <c r="V102" s="7"/>
      <c r="W102" s="7"/>
    </row>
    <row r="104" spans="2:23" ht="18">
      <c r="B104" s="8" t="s">
        <v>322</v>
      </c>
      <c r="F104" s="7"/>
      <c r="G104" s="7"/>
      <c r="H104" s="7"/>
      <c r="K104" s="8"/>
      <c r="O104" s="7"/>
      <c r="P104" s="7"/>
      <c r="R104" s="7"/>
      <c r="S104" s="7"/>
      <c r="T104" s="7"/>
      <c r="U104" s="7"/>
      <c r="V104" s="7"/>
      <c r="W104" s="7"/>
    </row>
    <row r="105" spans="2:23" s="13" customFormat="1" ht="34.15" customHeight="1">
      <c r="B105" s="24" t="s">
        <v>43</v>
      </c>
      <c r="C105" s="24"/>
      <c r="D105" s="24"/>
      <c r="E105" s="25"/>
      <c r="F105" s="25" t="s">
        <v>136</v>
      </c>
      <c r="G105" s="25" t="s">
        <v>137</v>
      </c>
      <c r="H105" s="176" t="s">
        <v>320</v>
      </c>
      <c r="I105" s="176" t="s">
        <v>321</v>
      </c>
      <c r="K105" s="180"/>
      <c r="L105" s="180"/>
      <c r="M105" s="180"/>
      <c r="N105" s="181"/>
      <c r="O105" s="181"/>
      <c r="P105" s="181"/>
      <c r="Q105" s="181"/>
    </row>
    <row r="106" spans="2:23">
      <c r="B106" s="188" t="str">
        <f>CONCATENATE(C106,D106,E106)</f>
        <v>BatchIce Making Head&lt; 300</v>
      </c>
      <c r="C106" s="188" t="s">
        <v>130</v>
      </c>
      <c r="D106" s="188" t="s">
        <v>128</v>
      </c>
      <c r="E106" s="189" t="s">
        <v>127</v>
      </c>
      <c r="F106" s="190">
        <v>10</v>
      </c>
      <c r="G106" s="191">
        <v>-1.2330000000000001E-2</v>
      </c>
      <c r="H106" s="193">
        <v>9.1999999999999993</v>
      </c>
      <c r="I106" s="194">
        <v>-1.1339999999999999E-2</v>
      </c>
      <c r="K106" s="184"/>
      <c r="L106" s="184"/>
      <c r="M106" s="184"/>
      <c r="N106" s="185"/>
      <c r="O106" s="186"/>
      <c r="P106" s="187"/>
      <c r="Q106" s="187"/>
      <c r="R106" s="7"/>
      <c r="S106" s="7"/>
      <c r="T106" s="7"/>
      <c r="U106" s="7"/>
      <c r="V106" s="7"/>
      <c r="W106" s="7"/>
    </row>
    <row r="107" spans="2:23" ht="15">
      <c r="B107" s="188" t="str">
        <f t="shared" ref="B107:B126" si="16">CONCATENATE(C107,D107,E107)</f>
        <v>BatchIce Making Head300 ≤ H &lt; 800</v>
      </c>
      <c r="C107" s="188" t="s">
        <v>130</v>
      </c>
      <c r="D107" s="188" t="s">
        <v>128</v>
      </c>
      <c r="E107" s="189" t="s">
        <v>306</v>
      </c>
      <c r="F107" s="190">
        <v>7.05</v>
      </c>
      <c r="G107" s="191">
        <v>-2.5000000000000001E-3</v>
      </c>
      <c r="H107" s="193">
        <v>6.49</v>
      </c>
      <c r="I107" s="194">
        <v>-2.3E-3</v>
      </c>
      <c r="K107" s="184"/>
      <c r="L107" s="184"/>
      <c r="M107" s="184"/>
      <c r="N107" s="185"/>
      <c r="O107" s="186"/>
      <c r="P107" s="187"/>
      <c r="Q107" s="187"/>
      <c r="R107" s="7"/>
      <c r="S107" s="7"/>
      <c r="T107" s="7"/>
      <c r="U107" s="7"/>
      <c r="V107" s="7"/>
      <c r="W107" s="7"/>
    </row>
    <row r="108" spans="2:23" ht="15">
      <c r="B108" s="188" t="str">
        <f t="shared" si="16"/>
        <v>BatchIce Making Head800 ≤ H &lt; 1,500</v>
      </c>
      <c r="C108" s="188" t="s">
        <v>130</v>
      </c>
      <c r="D108" s="188" t="s">
        <v>128</v>
      </c>
      <c r="E108" s="189" t="s">
        <v>307</v>
      </c>
      <c r="F108" s="190">
        <v>5.55</v>
      </c>
      <c r="G108" s="191">
        <v>-6.3000000000000003E-4</v>
      </c>
      <c r="H108" s="193">
        <v>5.1100000000000003</v>
      </c>
      <c r="I108" s="194">
        <v>-5.8E-4</v>
      </c>
      <c r="K108" s="184"/>
      <c r="L108" s="184"/>
      <c r="M108" s="184"/>
      <c r="N108" s="185"/>
      <c r="O108" s="186"/>
      <c r="P108" s="187"/>
      <c r="Q108" s="187"/>
      <c r="R108" s="7"/>
      <c r="S108" s="7"/>
      <c r="T108" s="7"/>
      <c r="U108" s="7"/>
      <c r="V108" s="7"/>
      <c r="W108" s="7"/>
    </row>
    <row r="109" spans="2:23" ht="15">
      <c r="B109" s="188" t="str">
        <f t="shared" si="16"/>
        <v>BatchIce Making Head1,500 ≤ H &lt; 4,000</v>
      </c>
      <c r="C109" s="188" t="s">
        <v>130</v>
      </c>
      <c r="D109" s="188" t="s">
        <v>128</v>
      </c>
      <c r="E109" s="189" t="s">
        <v>308</v>
      </c>
      <c r="F109" s="190">
        <v>4.6100000000000003</v>
      </c>
      <c r="G109" s="191">
        <v>0</v>
      </c>
      <c r="H109" s="193">
        <v>4.24</v>
      </c>
      <c r="I109" s="194">
        <v>0</v>
      </c>
      <c r="K109" s="184"/>
      <c r="L109" s="184"/>
      <c r="M109" s="184"/>
      <c r="N109" s="185"/>
      <c r="O109" s="186"/>
      <c r="P109" s="187"/>
      <c r="Q109" s="187"/>
      <c r="R109" s="7"/>
      <c r="S109" s="7"/>
      <c r="T109" s="7"/>
      <c r="U109" s="7"/>
      <c r="V109" s="7"/>
      <c r="W109" s="7"/>
    </row>
    <row r="110" spans="2:23" ht="28.5">
      <c r="B110" s="192" t="str">
        <f t="shared" si="16"/>
        <v>BatchRemote Condensing w/out Remote Compressor&lt; 988</v>
      </c>
      <c r="C110" s="188" t="s">
        <v>130</v>
      </c>
      <c r="D110" s="45" t="s">
        <v>481</v>
      </c>
      <c r="E110" s="189" t="s">
        <v>309</v>
      </c>
      <c r="F110" s="190">
        <v>7.97</v>
      </c>
      <c r="G110" s="191">
        <v>-3.4199999999999999E-3</v>
      </c>
      <c r="H110" s="193">
        <v>7.17</v>
      </c>
      <c r="I110" s="194">
        <v>-3.0799999999999998E-3</v>
      </c>
      <c r="K110" s="184"/>
      <c r="L110" s="184"/>
      <c r="M110" s="184"/>
      <c r="N110" s="185"/>
      <c r="O110" s="186"/>
      <c r="P110" s="187"/>
      <c r="Q110" s="187"/>
      <c r="R110" s="7"/>
      <c r="S110" s="7"/>
      <c r="T110" s="7"/>
      <c r="U110" s="7"/>
      <c r="V110" s="7"/>
      <c r="W110" s="7"/>
    </row>
    <row r="111" spans="2:23" ht="28.5">
      <c r="B111" s="192" t="str">
        <f t="shared" si="16"/>
        <v>BatchRemote Condensing w/out Remote Compressor988 ≤ H &lt; 4,000</v>
      </c>
      <c r="C111" s="188" t="s">
        <v>130</v>
      </c>
      <c r="D111" s="45" t="s">
        <v>481</v>
      </c>
      <c r="E111" s="189" t="s">
        <v>310</v>
      </c>
      <c r="F111" s="190">
        <v>4.59</v>
      </c>
      <c r="G111" s="191">
        <v>0</v>
      </c>
      <c r="H111" s="193">
        <v>4.13</v>
      </c>
      <c r="I111" s="194">
        <v>0</v>
      </c>
      <c r="K111" s="184"/>
      <c r="L111" s="184"/>
      <c r="M111" s="184"/>
      <c r="N111" s="185"/>
      <c r="O111" s="186"/>
      <c r="P111" s="187"/>
      <c r="Q111" s="187"/>
      <c r="R111" s="7"/>
      <c r="S111" s="7"/>
      <c r="T111" s="7"/>
      <c r="U111" s="7"/>
      <c r="V111" s="7"/>
      <c r="W111" s="7"/>
    </row>
    <row r="112" spans="2:23" ht="28.5">
      <c r="B112" s="192" t="str">
        <f t="shared" si="16"/>
        <v>BatchRemote Condensing with Remote Compressor&lt; 930</v>
      </c>
      <c r="C112" s="188" t="s">
        <v>130</v>
      </c>
      <c r="D112" s="45" t="s">
        <v>482</v>
      </c>
      <c r="E112" s="189" t="s">
        <v>311</v>
      </c>
      <c r="F112" s="190">
        <v>7.97</v>
      </c>
      <c r="G112" s="191">
        <v>-3.4199999999999999E-3</v>
      </c>
      <c r="H112" s="193">
        <v>7.17</v>
      </c>
      <c r="I112" s="194">
        <v>-3.0799999999999998E-3</v>
      </c>
      <c r="K112" s="184"/>
      <c r="L112" s="184"/>
      <c r="M112" s="184"/>
      <c r="N112" s="185"/>
      <c r="O112" s="186"/>
      <c r="P112" s="187"/>
      <c r="Q112" s="187"/>
      <c r="R112" s="7"/>
      <c r="S112" s="7"/>
      <c r="T112" s="7"/>
      <c r="U112" s="7"/>
      <c r="V112" s="7"/>
      <c r="W112" s="7"/>
    </row>
    <row r="113" spans="2:23" ht="28.5">
      <c r="B113" s="192" t="str">
        <f t="shared" si="16"/>
        <v>BatchRemote Condensing with Remote Compressor930 ≤ H &lt; 4,000</v>
      </c>
      <c r="C113" s="188" t="s">
        <v>130</v>
      </c>
      <c r="D113" s="45" t="s">
        <v>482</v>
      </c>
      <c r="E113" s="189" t="s">
        <v>312</v>
      </c>
      <c r="F113" s="190">
        <v>4.79</v>
      </c>
      <c r="G113" s="191">
        <v>0</v>
      </c>
      <c r="H113" s="193">
        <v>4.13</v>
      </c>
      <c r="I113" s="194">
        <v>0</v>
      </c>
      <c r="K113" s="184"/>
      <c r="L113" s="184"/>
      <c r="M113" s="184"/>
      <c r="N113" s="185"/>
      <c r="O113" s="186"/>
      <c r="P113" s="187"/>
      <c r="Q113" s="187"/>
      <c r="R113" s="7"/>
      <c r="S113" s="7"/>
      <c r="T113" s="7"/>
      <c r="U113" s="7"/>
      <c r="V113" s="7"/>
      <c r="W113" s="7"/>
    </row>
    <row r="114" spans="2:23">
      <c r="B114" s="188" t="str">
        <f t="shared" si="16"/>
        <v>BatchSelf Contained Unit&lt; 110</v>
      </c>
      <c r="C114" s="188" t="s">
        <v>130</v>
      </c>
      <c r="D114" s="45" t="s">
        <v>483</v>
      </c>
      <c r="E114" s="189" t="s">
        <v>132</v>
      </c>
      <c r="F114" s="190">
        <v>14.79</v>
      </c>
      <c r="G114" s="191">
        <v>-4.6899999999999997E-2</v>
      </c>
      <c r="H114" s="193">
        <v>12.57</v>
      </c>
      <c r="I114" s="194">
        <v>-3.9899999999999998E-2</v>
      </c>
      <c r="K114" s="184"/>
      <c r="L114" s="184"/>
      <c r="M114" s="184"/>
      <c r="N114" s="185"/>
      <c r="O114" s="186"/>
      <c r="P114" s="187"/>
      <c r="Q114" s="187"/>
      <c r="R114" s="7"/>
      <c r="S114" s="7"/>
      <c r="T114" s="7"/>
      <c r="U114" s="7"/>
      <c r="V114" s="7"/>
      <c r="W114" s="7"/>
    </row>
    <row r="115" spans="2:23" ht="15">
      <c r="B115" s="188" t="str">
        <f t="shared" si="16"/>
        <v>BatchSelf Contained Unit110 ≤ H &lt; 200</v>
      </c>
      <c r="C115" s="188" t="s">
        <v>130</v>
      </c>
      <c r="D115" s="45" t="s">
        <v>483</v>
      </c>
      <c r="E115" s="189" t="s">
        <v>313</v>
      </c>
      <c r="F115" s="190">
        <v>12.42</v>
      </c>
      <c r="G115" s="191">
        <v>-2.5329999999999998E-2</v>
      </c>
      <c r="H115" s="193">
        <v>10.56</v>
      </c>
      <c r="I115" s="194">
        <v>-2.1499999999999998E-2</v>
      </c>
      <c r="K115" s="184"/>
      <c r="L115" s="184"/>
      <c r="M115" s="184"/>
      <c r="N115" s="185"/>
      <c r="O115" s="186"/>
      <c r="P115" s="187"/>
      <c r="Q115" s="187"/>
      <c r="R115" s="7"/>
      <c r="S115" s="7"/>
      <c r="T115" s="7"/>
      <c r="U115" s="7"/>
      <c r="V115" s="7"/>
      <c r="W115" s="7"/>
    </row>
    <row r="116" spans="2:23" ht="15">
      <c r="B116" s="188" t="str">
        <f t="shared" si="16"/>
        <v>BatchSelf Contained Unit200 ≤ H &lt; 4,000</v>
      </c>
      <c r="C116" s="188" t="s">
        <v>130</v>
      </c>
      <c r="D116" s="45" t="s">
        <v>483</v>
      </c>
      <c r="E116" s="189" t="s">
        <v>314</v>
      </c>
      <c r="F116" s="190">
        <v>7.35</v>
      </c>
      <c r="G116" s="191">
        <v>0</v>
      </c>
      <c r="H116" s="193">
        <v>6.25</v>
      </c>
      <c r="I116" s="194">
        <v>0</v>
      </c>
      <c r="J116" s="184"/>
      <c r="K116" s="184"/>
      <c r="L116" s="185"/>
      <c r="M116" s="186"/>
      <c r="N116" s="187"/>
      <c r="O116" s="187"/>
      <c r="P116" s="7"/>
      <c r="Q116" s="7"/>
      <c r="R116" s="7"/>
      <c r="S116" s="7"/>
      <c r="T116" s="7"/>
      <c r="U116" s="7"/>
      <c r="V116" s="7"/>
      <c r="W116" s="7"/>
    </row>
    <row r="117" spans="2:23">
      <c r="B117" s="188" t="str">
        <f t="shared" si="16"/>
        <v>ContinuousIce Making Head&lt; 310</v>
      </c>
      <c r="C117" s="188" t="s">
        <v>131</v>
      </c>
      <c r="D117" s="188" t="s">
        <v>128</v>
      </c>
      <c r="E117" s="189" t="s">
        <v>133</v>
      </c>
      <c r="F117" s="190">
        <v>9.19</v>
      </c>
      <c r="G117" s="191">
        <v>-6.2899999999999996E-3</v>
      </c>
      <c r="H117" s="193">
        <v>7.9</v>
      </c>
      <c r="I117" s="194">
        <v>-5.4089999999999997E-3</v>
      </c>
      <c r="J117" s="184"/>
      <c r="K117" s="184"/>
      <c r="L117" s="185"/>
      <c r="M117" s="186"/>
      <c r="N117" s="187"/>
      <c r="O117" s="187"/>
      <c r="P117" s="7"/>
      <c r="Q117" s="7"/>
      <c r="R117" s="7"/>
      <c r="S117" s="7"/>
      <c r="T117" s="7"/>
      <c r="U117" s="7"/>
      <c r="V117" s="7"/>
      <c r="W117" s="7"/>
    </row>
    <row r="118" spans="2:23" ht="15">
      <c r="B118" s="188" t="str">
        <f t="shared" si="16"/>
        <v>ContinuousIce Making Head310 ≤ H &lt; 820</v>
      </c>
      <c r="C118" s="188" t="s">
        <v>131</v>
      </c>
      <c r="D118" s="188" t="s">
        <v>128</v>
      </c>
      <c r="E118" s="189" t="s">
        <v>315</v>
      </c>
      <c r="F118" s="190">
        <v>8.23</v>
      </c>
      <c r="G118" s="191">
        <v>-3.2000000000000002E-3</v>
      </c>
      <c r="H118" s="193">
        <v>7.08</v>
      </c>
      <c r="I118" s="194">
        <v>-2.7520000000000001E-3</v>
      </c>
      <c r="J118" s="184"/>
      <c r="K118" s="184"/>
      <c r="L118" s="185"/>
      <c r="M118" s="186"/>
      <c r="N118" s="187"/>
      <c r="O118" s="187"/>
      <c r="P118" s="7"/>
      <c r="Q118" s="7"/>
      <c r="R118" s="7"/>
      <c r="S118" s="7"/>
      <c r="T118" s="7"/>
      <c r="U118" s="7"/>
      <c r="V118" s="7"/>
      <c r="W118" s="7"/>
    </row>
    <row r="119" spans="2:23" ht="15">
      <c r="B119" s="188" t="str">
        <f t="shared" si="16"/>
        <v>ContinuousIce Making Head820 ≤ H &lt; 4,000</v>
      </c>
      <c r="C119" s="188" t="s">
        <v>131</v>
      </c>
      <c r="D119" s="188" t="s">
        <v>128</v>
      </c>
      <c r="E119" s="189" t="s">
        <v>316</v>
      </c>
      <c r="F119" s="190">
        <v>5.61</v>
      </c>
      <c r="G119" s="191">
        <v>0</v>
      </c>
      <c r="H119" s="193">
        <v>4.82</v>
      </c>
      <c r="I119" s="194">
        <v>0</v>
      </c>
      <c r="J119" s="184"/>
      <c r="K119" s="184"/>
      <c r="L119" s="185"/>
      <c r="M119" s="186"/>
      <c r="N119" s="187"/>
      <c r="O119" s="187"/>
      <c r="P119" s="7"/>
      <c r="Q119" s="7"/>
      <c r="R119" s="7"/>
      <c r="S119" s="7"/>
      <c r="T119" s="7"/>
      <c r="U119" s="7"/>
      <c r="V119" s="7"/>
      <c r="W119" s="7"/>
    </row>
    <row r="120" spans="2:23" ht="28.5">
      <c r="B120" s="192" t="str">
        <f t="shared" si="16"/>
        <v>ContinuousRemote Condensing w/out Remote Compressor&lt; 800</v>
      </c>
      <c r="C120" s="188" t="s">
        <v>131</v>
      </c>
      <c r="D120" s="45" t="s">
        <v>481</v>
      </c>
      <c r="E120" s="189" t="s">
        <v>134</v>
      </c>
      <c r="F120" s="190">
        <v>9.6999999999999993</v>
      </c>
      <c r="G120" s="191">
        <v>-5.7999999999999996E-3</v>
      </c>
      <c r="H120" s="193">
        <v>7.76</v>
      </c>
      <c r="I120" s="194">
        <v>-4.64E-3</v>
      </c>
      <c r="J120" s="184"/>
      <c r="K120" s="184"/>
      <c r="L120" s="185"/>
      <c r="M120" s="186"/>
      <c r="N120" s="187"/>
      <c r="O120" s="187"/>
      <c r="P120" s="7"/>
      <c r="Q120" s="7"/>
      <c r="R120" s="7"/>
      <c r="S120" s="7"/>
      <c r="T120" s="7"/>
      <c r="U120" s="7"/>
      <c r="V120" s="7"/>
      <c r="W120" s="7"/>
    </row>
    <row r="121" spans="2:23" ht="28.5">
      <c r="B121" s="192" t="str">
        <f t="shared" si="16"/>
        <v>ContinuousRemote Condensing w/out Remote Compressor800 ≤ H &lt; 4,000</v>
      </c>
      <c r="C121" s="188" t="s">
        <v>131</v>
      </c>
      <c r="D121" s="45" t="s">
        <v>481</v>
      </c>
      <c r="E121" s="189" t="s">
        <v>317</v>
      </c>
      <c r="F121" s="190">
        <v>5.0599999999999996</v>
      </c>
      <c r="G121" s="191">
        <v>0</v>
      </c>
      <c r="H121" s="193">
        <v>4.05</v>
      </c>
      <c r="I121" s="194">
        <v>0</v>
      </c>
      <c r="J121" s="184"/>
      <c r="K121" s="184"/>
      <c r="L121" s="185"/>
      <c r="M121" s="186"/>
      <c r="N121" s="187"/>
      <c r="O121" s="187"/>
      <c r="P121" s="7"/>
      <c r="Q121" s="7"/>
      <c r="R121" s="7"/>
      <c r="S121" s="7"/>
      <c r="T121" s="7"/>
      <c r="U121" s="7"/>
      <c r="V121" s="7"/>
      <c r="W121" s="7"/>
    </row>
    <row r="122" spans="2:23" ht="28.5">
      <c r="B122" s="192" t="str">
        <f t="shared" si="16"/>
        <v>ContinuousRemote Condensing with Remote Compressor&lt; 800</v>
      </c>
      <c r="C122" s="188" t="s">
        <v>131</v>
      </c>
      <c r="D122" s="45" t="s">
        <v>482</v>
      </c>
      <c r="E122" s="189" t="s">
        <v>134</v>
      </c>
      <c r="F122" s="190">
        <v>9.9</v>
      </c>
      <c r="G122" s="191">
        <v>-5.7999999999999996E-3</v>
      </c>
      <c r="H122" s="193">
        <v>7.76</v>
      </c>
      <c r="I122" s="194">
        <v>-4.64E-3</v>
      </c>
      <c r="J122" s="184"/>
      <c r="K122" s="184"/>
      <c r="L122" s="185"/>
      <c r="M122" s="186"/>
      <c r="N122" s="187"/>
      <c r="O122" s="187"/>
      <c r="P122" s="7"/>
      <c r="Q122" s="7"/>
      <c r="R122" s="7"/>
      <c r="S122" s="7"/>
      <c r="T122" s="7"/>
      <c r="U122" s="7"/>
      <c r="V122" s="7"/>
      <c r="W122" s="7"/>
    </row>
    <row r="123" spans="2:23" ht="28.5">
      <c r="B123" s="192" t="str">
        <f t="shared" si="16"/>
        <v>ContinuousRemote Condensing with Remote Compressor800 ≤ H &lt; 4,000</v>
      </c>
      <c r="C123" s="188" t="s">
        <v>131</v>
      </c>
      <c r="D123" s="45" t="s">
        <v>482</v>
      </c>
      <c r="E123" s="189" t="s">
        <v>317</v>
      </c>
      <c r="F123" s="190">
        <v>5.26</v>
      </c>
      <c r="G123" s="191">
        <v>0</v>
      </c>
      <c r="H123" s="193">
        <v>4.05</v>
      </c>
      <c r="I123" s="194">
        <v>0</v>
      </c>
      <c r="J123" s="184"/>
      <c r="K123" s="184"/>
      <c r="L123" s="185"/>
      <c r="M123" s="186"/>
      <c r="N123" s="187"/>
      <c r="O123" s="187"/>
      <c r="P123" s="7"/>
      <c r="Q123" s="7"/>
      <c r="R123" s="7"/>
      <c r="S123" s="7"/>
      <c r="T123" s="7"/>
      <c r="U123" s="7"/>
      <c r="V123" s="7"/>
      <c r="W123" s="7"/>
    </row>
    <row r="124" spans="2:23">
      <c r="B124" s="188" t="str">
        <f t="shared" si="16"/>
        <v>ContinuousSelf Contained Unit&lt; 200</v>
      </c>
      <c r="C124" s="188" t="s">
        <v>131</v>
      </c>
      <c r="D124" s="45" t="s">
        <v>483</v>
      </c>
      <c r="E124" s="189" t="s">
        <v>135</v>
      </c>
      <c r="F124" s="190">
        <v>14.22</v>
      </c>
      <c r="G124" s="191">
        <v>-0.03</v>
      </c>
      <c r="H124" s="193">
        <v>12.37</v>
      </c>
      <c r="I124" s="194">
        <v>-2.6100000000000002E-2</v>
      </c>
      <c r="J124" s="184"/>
      <c r="K124" s="184"/>
      <c r="L124" s="185"/>
      <c r="M124" s="186"/>
      <c r="N124" s="187"/>
      <c r="O124" s="187"/>
      <c r="P124" s="7"/>
      <c r="Q124" s="7"/>
      <c r="R124" s="7"/>
      <c r="S124" s="7"/>
      <c r="T124" s="7"/>
      <c r="U124" s="7"/>
      <c r="V124" s="7"/>
      <c r="W124" s="7"/>
    </row>
    <row r="125" spans="2:23" ht="15">
      <c r="B125" s="188" t="str">
        <f t="shared" si="16"/>
        <v>ContinuousSelf Contained Unit200 ≤ H &lt; 700</v>
      </c>
      <c r="C125" s="188" t="s">
        <v>131</v>
      </c>
      <c r="D125" s="45" t="s">
        <v>483</v>
      </c>
      <c r="E125" s="189" t="s">
        <v>318</v>
      </c>
      <c r="F125" s="190">
        <v>9.4700000000000006</v>
      </c>
      <c r="G125" s="191">
        <v>-6.2399999999999999E-3</v>
      </c>
      <c r="H125" s="193">
        <v>8.24</v>
      </c>
      <c r="I125" s="194">
        <v>-5.4289999999999998E-3</v>
      </c>
      <c r="J125" s="184"/>
      <c r="K125" s="184"/>
      <c r="L125" s="185"/>
      <c r="M125" s="186"/>
      <c r="N125" s="187"/>
      <c r="O125" s="187"/>
      <c r="P125" s="7"/>
      <c r="Q125" s="7"/>
      <c r="R125" s="7"/>
      <c r="S125" s="7"/>
      <c r="T125" s="7"/>
      <c r="U125" s="75"/>
      <c r="V125" s="7"/>
      <c r="W125" s="7"/>
    </row>
    <row r="126" spans="2:23" ht="15">
      <c r="B126" s="188" t="str">
        <f t="shared" si="16"/>
        <v>ContinuousSelf Contained Unit700 ≤ H &lt; 4,000</v>
      </c>
      <c r="C126" s="188" t="s">
        <v>131</v>
      </c>
      <c r="D126" s="45" t="s">
        <v>483</v>
      </c>
      <c r="E126" s="189" t="s">
        <v>319</v>
      </c>
      <c r="F126" s="190">
        <v>5.0999999999999996</v>
      </c>
      <c r="G126" s="191">
        <v>0</v>
      </c>
      <c r="H126" s="193">
        <v>4.4400000000000004</v>
      </c>
      <c r="I126" s="194">
        <v>0</v>
      </c>
      <c r="J126" s="184"/>
      <c r="K126" s="184"/>
      <c r="L126" s="185"/>
      <c r="M126" s="186"/>
      <c r="N126" s="187"/>
      <c r="O126" s="187"/>
      <c r="P126" s="7"/>
      <c r="Q126" s="7"/>
      <c r="R126" s="7"/>
      <c r="S126" s="7"/>
      <c r="T126" s="7"/>
      <c r="U126" s="7"/>
      <c r="V126" s="7"/>
      <c r="W126" s="7"/>
    </row>
    <row r="128" spans="2:23" ht="18">
      <c r="B128" s="8" t="s">
        <v>5</v>
      </c>
    </row>
    <row r="129" spans="2:40" s="13" customFormat="1" ht="36" customHeight="1">
      <c r="B129" s="393" t="str">
        <f>Calculator!F46</f>
        <v>QTY</v>
      </c>
      <c r="C129" s="398" t="s">
        <v>65</v>
      </c>
      <c r="D129" s="399"/>
      <c r="E129" s="399"/>
      <c r="F129" s="399"/>
      <c r="G129" s="399"/>
      <c r="H129" s="399"/>
      <c r="I129" s="399"/>
      <c r="J129" s="400"/>
      <c r="K129" s="398" t="s">
        <v>66</v>
      </c>
      <c r="L129" s="402"/>
      <c r="M129" s="402"/>
      <c r="N129" s="402"/>
      <c r="O129" s="402"/>
      <c r="P129" s="402"/>
      <c r="Q129" s="402"/>
      <c r="R129" s="402"/>
      <c r="S129" s="402"/>
      <c r="T129" s="400"/>
      <c r="U129" s="24" t="s">
        <v>45</v>
      </c>
      <c r="V129" s="24" t="s">
        <v>11</v>
      </c>
      <c r="W129" s="401" t="s">
        <v>416</v>
      </c>
      <c r="X129" s="403" t="s">
        <v>496</v>
      </c>
      <c r="Y129" s="2"/>
      <c r="Z129" s="2"/>
      <c r="AA129" s="2"/>
      <c r="AB129" s="2"/>
      <c r="AC129" s="2"/>
      <c r="AD129" s="2"/>
      <c r="AE129" s="2"/>
      <c r="AF129" s="2"/>
      <c r="AG129" s="2"/>
      <c r="AH129" s="2"/>
      <c r="AI129" s="7"/>
      <c r="AJ129" s="7"/>
      <c r="AK129" s="7"/>
      <c r="AL129" s="7"/>
      <c r="AM129" s="7"/>
      <c r="AN129" s="7"/>
    </row>
    <row r="130" spans="2:40" s="13" customFormat="1" ht="36" customHeight="1">
      <c r="B130" s="394"/>
      <c r="C130" s="59" t="s">
        <v>43</v>
      </c>
      <c r="D130" s="59" t="str">
        <f>Calculator!H47</f>
        <v>Operation</v>
      </c>
      <c r="E130" s="59" t="str">
        <f>Calculator!I47</f>
        <v>Baseline Type</v>
      </c>
      <c r="F130" s="59" t="s">
        <v>141</v>
      </c>
      <c r="G130" s="59" t="str">
        <f>Calculator!G46</f>
        <v>Harvest Rate (lbs/day)</v>
      </c>
      <c r="H130" s="25" t="s">
        <v>136</v>
      </c>
      <c r="I130" s="25" t="s">
        <v>137</v>
      </c>
      <c r="J130" s="25" t="s">
        <v>142</v>
      </c>
      <c r="K130" s="59" t="s">
        <v>43</v>
      </c>
      <c r="L130" s="59" t="str">
        <f>Calculator!J47</f>
        <v>Operation</v>
      </c>
      <c r="M130" s="59" t="str">
        <f>Calculator!K47</f>
        <v>New Type</v>
      </c>
      <c r="N130" s="59" t="s">
        <v>141</v>
      </c>
      <c r="O130" s="59" t="str">
        <f>G130</f>
        <v>Harvest Rate (lbs/day)</v>
      </c>
      <c r="P130" s="25" t="s">
        <v>136</v>
      </c>
      <c r="Q130" s="25" t="s">
        <v>137</v>
      </c>
      <c r="R130" s="25" t="s">
        <v>243</v>
      </c>
      <c r="S130" s="25" t="s">
        <v>244</v>
      </c>
      <c r="T130" s="25" t="s">
        <v>245</v>
      </c>
      <c r="U130" s="59"/>
      <c r="V130" s="59"/>
      <c r="W130" s="386"/>
      <c r="X130" s="404"/>
      <c r="Y130" s="2"/>
      <c r="Z130" s="2"/>
      <c r="AA130" s="2"/>
      <c r="AB130" s="2"/>
      <c r="AC130" s="2"/>
      <c r="AD130" s="2"/>
      <c r="AE130" s="2"/>
      <c r="AF130" s="2"/>
      <c r="AG130" s="2"/>
      <c r="AH130" s="2"/>
      <c r="AI130" s="7"/>
      <c r="AJ130" s="7"/>
      <c r="AK130" s="7"/>
      <c r="AL130" s="7"/>
      <c r="AM130" s="7"/>
      <c r="AN130" s="7"/>
    </row>
    <row r="131" spans="2:40">
      <c r="B131" s="23">
        <f>Calculator!F48</f>
        <v>0</v>
      </c>
      <c r="C131" s="22" t="str">
        <f>CONCATENATE(D131,E131,F131)</f>
        <v>00</v>
      </c>
      <c r="D131" s="22">
        <f>Calculator!H48</f>
        <v>0</v>
      </c>
      <c r="E131" s="22">
        <f>Calculator!I48</f>
        <v>0</v>
      </c>
      <c r="F131" s="22" t="str">
        <f>IF(AND(D131=$C$106,E131=$D$106,G131&lt;300),"&lt; 300",IF(AND(D131=$C$107,E131=$D$107,G131&gt;299.9,G131&lt;800),"300 ≤ H &lt; 800",IF(AND(D131=$C$108,E131=$D$108,G131&gt;799.9,G131&lt;1500),"800 ≤ H &lt; 1,500",IF(AND(D131=$C$109,E131=$D$109,G131&gt;1499.9,G131&lt;4000),"1,500 ≤ H &lt; 4,000",IF(AND(D131=$C$110,E131=$D$110,G131&lt;988),"&lt; 988",IF(AND(D131=$C$111,E131=$D$111,G131&gt;987.9,G131&lt;4000),"988 ≤ H &lt; 4,000",IF(AND(D131=$C$112,E131=$D$112,G131&lt;930),"&lt; 930",IF(AND(D131=$C$113,E131=$D$113,G131&gt;929.9,G131&lt;4000),"930 ≤ H &lt; 4,000",IF(AND(D131=$C$114,E131=$D$114,G131&lt;110),"&lt; 110",IF(AND(D131=$C$115,E131=$D$115,G131&gt;109.9,G131&lt;200),"110 ≤ H &lt; 200",IF(AND(D131=$C$116,E131=$D$116,G131&gt;199.9,G131&lt;4000),"200 ≤ H &lt; 4,000",IF(AND(D131=$C$117,E131=$D$117,G131&lt;310),"&lt; 310",IF(AND(D131=$C$118,E131=$D$118,G131&gt;309.9,G131&lt;820),"310 ≤ H &lt; 820",IF(AND(D131=$C$119,E131=$D$119,G131&gt;819.9,G131&lt;4000),"820 ≤ H &lt; 4,000",IF(AND(D131=$C$120,E131=$D$120,G131&lt;800),"&lt; 800",IF(AND(D131=$C$121,E131=$D$121,G131&gt;799.9,G131&lt;4000),"800 ≤ H &lt; 4,000",IF(AND(D131=$C$122,E131=$D$122,G131&lt;800),"&lt; 800",IF(AND(D131=$C$123,E131=$D$123,G131&gt;799.9,G131&lt;4000),"800 ≤ H &lt; 4,000",IF(AND(D131=$C$124,E131=$D$124,G131&lt;200),"&lt; 200",IF(AND(D131=$C$125,E131=$D$125,G131&gt;199.9,G131&lt;700),"200 ≤ H &lt; 700",IF(AND(D131=$C$126,E131=$D$126,G131&gt;699.9,G131&lt;4000),"700 ≤ H &lt; 4,000","")))))))))))))))))))))</f>
        <v/>
      </c>
      <c r="G131" s="22">
        <f>Calculator!G48</f>
        <v>0</v>
      </c>
      <c r="H131" s="22" t="e">
        <f>VLOOKUP(C131,$B$106:$G$126,5,FALSE)</f>
        <v>#N/A</v>
      </c>
      <c r="I131" s="22" t="e">
        <f>VLOOKUP(C131,$B$106:$G$126,6,FALSE)</f>
        <v>#N/A</v>
      </c>
      <c r="J131" s="22" t="e">
        <f>(H131+I131*G131)</f>
        <v>#N/A</v>
      </c>
      <c r="K131" s="22" t="str">
        <f>CONCATENATE(L131,M131,N131)</f>
        <v>00</v>
      </c>
      <c r="L131" s="22">
        <f>Calculator!J48</f>
        <v>0</v>
      </c>
      <c r="M131" s="319">
        <f>Calculator!K48</f>
        <v>0</v>
      </c>
      <c r="N131" s="22" t="str">
        <f>IF(AND(L131=$C$106,M131=$D$106,O131&lt;300),"&lt; 300",IF(AND(L131=$C$107,M131=$D$107,O131&gt;299.9,O131&lt;800),"300 ≤ H &lt; 800",IF(AND(L131=$C$108,M131=$D$108,O131&gt;799.9,O131&lt;1500),"800 ≤ H &lt; 1,500",IF(AND(L131=$C$109,M131=$D$109,O131&gt;1499.9,O131&lt;4000),"1,500 ≤ H &lt; 4,000",IF(AND(L131=$C$110,M131=$D$110,O131&gt;49.9,O131&lt;1000),"50 ≤ H &lt; 1,000",IF(AND(L131=$C$111,M131=$D$111,O131&gt;999.9,O131&lt;400),"1,000 ≤ H &lt; 4,000",IF(AND(L131=$C$112,M131=$D$112,O131&lt;942),"&lt; 942",IF(AND(L131=$C$113,M131=$D$113,O131&gt;941.9,O131&lt;4000),"942 ≤ H &lt; 4,000",IF(AND(L131=$C$114,M131=$D$114,O131&lt;110),"&lt; 110",IF(AND(L131=$C$115,M131=$D$115,O131&gt;109.9,O131&lt;200),"110 ≤ H &lt; 200",IF(AND(L131=$C$116,M131=$D$116,O131&gt;199.9,O131&lt;4000),"200 ≤ H &lt; 4,000",IF(AND(L131=$C$117,M131=$D$117,O131&lt;310),"&lt; 310",IF(AND(L131=$C$118,M131=$D$118,O131&gt;309.9,O131&lt;820),"310 ≤ H &lt; 820",IF(AND(L131=$C$119,M131=$D$119,O131&gt;819.9,O131&lt;4000),"820 ≤ H &lt; 4,000",IF(AND(L131=$C$120,M131=$D$120,O131&lt;800),"&lt; 800",IF(AND(L131=$C$121,M131=$D$121,O131&gt;799.9,O131&lt;4000),"800 ≤ H &lt; 4,000",IF(AND(L131=$C$122,M131=$D$122,O131&lt;800),"&lt; 800",IF(AND(L131=$C$123,M131=$D$123,O131&gt;799.9,O131&lt;4000),"800 ≤ H &lt; 4,000",IF(AND(L131=$C$124,M131=$D$124,O131&lt;200),"&lt; 200",IF(AND(L131=$C$125,M131=$D$125,O131&gt;199.9,O131&lt;700),"200 ≤ H &lt; 700",IF(AND(L131=$C$126,M131=$D$126,O131&gt;699.9,O131&lt;4000),"700 ≤ H &lt; 4,000","")))))))))))))))))))))</f>
        <v/>
      </c>
      <c r="O131" s="22">
        <f t="shared" ref="O131:O134" si="17">G131</f>
        <v>0</v>
      </c>
      <c r="P131" s="22" t="e">
        <f>VLOOKUP(K131,$B$106:$I$126,7,FALSE)</f>
        <v>#N/A</v>
      </c>
      <c r="Q131" s="22" t="e">
        <f>VLOOKUP(K131,$B$106:$I$126,8,FALSE)</f>
        <v>#N/A</v>
      </c>
      <c r="R131" s="22" t="e">
        <f>(P131+Q131*O131)</f>
        <v>#N/A</v>
      </c>
      <c r="S131" s="74" t="str">
        <f>IF(Calculator!M48="","",Calculator!M48)</f>
        <v/>
      </c>
      <c r="T131" s="23" t="e">
        <f>IF(R131&gt;=S131,S131,"#N/A")</f>
        <v>#N/A</v>
      </c>
      <c r="U131" s="23" t="e">
        <f>IF(V131="new kWh/lb to high","new kWh/lb to high",(J131-T131)/2400*$G$100*G131)</f>
        <v>#N/A</v>
      </c>
      <c r="V131" s="23" t="e">
        <f>IF(T131="N/A","new kWh/lb to high",B131*(J131*G131-T131*O131)*$G$99*$G$98/100)</f>
        <v>#N/A</v>
      </c>
      <c r="W131" s="270" t="str">
        <f>'Ice Machine Incentive Ref'!E7</f>
        <v/>
      </c>
      <c r="X131" s="22" t="b">
        <f>IF(M131="Ice Making Head","Ice Making Head",IF(M131="Remote Condensing w/out Remote Compressor","Remote Condensing Unit",IF(M131="Remote Condensing with Remote Compressor","Remote Condensing Unit",IF(M131="Self Contained Unit","Self Contained Unit"))))</f>
        <v>0</v>
      </c>
      <c r="Y131" s="2"/>
      <c r="Z131" s="2"/>
      <c r="AA131" s="2"/>
      <c r="AB131" s="2"/>
      <c r="AC131" s="2"/>
      <c r="AD131" s="2"/>
      <c r="AE131" s="2"/>
      <c r="AF131" s="2"/>
      <c r="AG131" s="2"/>
      <c r="AH131" s="2"/>
    </row>
    <row r="132" spans="2:40">
      <c r="B132" s="23">
        <f>Calculator!F49</f>
        <v>0</v>
      </c>
      <c r="C132" s="319" t="str">
        <f t="shared" ref="C132:C134" si="18">CONCATENATE(D132,E132,F132)</f>
        <v>00</v>
      </c>
      <c r="D132" s="22">
        <f>Calculator!H49</f>
        <v>0</v>
      </c>
      <c r="E132" s="22">
        <f>Calculator!I49</f>
        <v>0</v>
      </c>
      <c r="F132" s="22" t="str">
        <f t="shared" ref="F132:F134" si="19">IF(AND(D132=$C$106,E132=$D$106,G132&lt;300),"&lt; 300",IF(AND(D132=$C$107,E132=$D$107,G132&gt;299.9,G132&lt;800),"300 ≤ H &lt; 800",IF(AND(D132=$C$108,E132=$D$108,G132&gt;799.9,G132&lt;1500),"800 ≤ H &lt; 1,500",IF(AND(D132=$C$109,E132=$D$109,G132&gt;1499.9,G132&lt;4000),"1,500 ≤ H &lt; 4,000",IF(AND(D132=$C$110,E132=$D$110,G132&lt;988),"&lt; 988",IF(AND(D132=$C$111,E132=$D$111,G132&gt;987.9,G132&lt;4000),"988 ≤ H &lt; 4,000",IF(AND(D132=$C$112,E132=$D$112,G132&lt;930),"&lt; 930",IF(AND(D132=$C$113,E132=$D$113,G132&gt;929.9,G132&lt;4000),"930 ≤ H &lt; 4,000",IF(AND(D132=$C$114,E132=$D$114,G132&lt;110),"&lt; 110",IF(AND(D132=$C$115,E132=$D$115,G132&gt;109.9,G132&lt;200),"110 ≤ H &lt; 200",IF(AND(D132=$C$116,E132=$D$116,G132&gt;199.9,G132&lt;4000),"200 ≤ H &lt; 4,000",IF(AND(D132=$C$117,E132=$D$117,G132&lt;310),"&lt; 310",IF(AND(D132=$C$118,E132=$D$118,G132&gt;309.9,G132&lt;820),"310 ≤ H &lt; 820",IF(AND(D132=$C$119,E132=$D$119,G132&gt;819.9,G132&lt;4000),"820 ≤ H &lt; 4,000",IF(AND(D132=$C$120,E132=$D$120,G132&lt;800),"&lt; 800",IF(AND(D132=$C$121,E132=$D$121,G132&gt;799.9,G132&lt;4000),"800 ≤ H &lt; 4,000",IF(AND(D132=$C$122,E132=$D$122,G132&lt;800),"&lt; 800",IF(AND(D132=$C$123,E132=$D$123,G132&gt;799.9,G132&lt;4000),"800 ≤ H &lt; 4,000",IF(AND(D132=$C$124,E132=$D$124,G132&lt;200),"&lt; 200",IF(AND(D132=$C$125,E132=$D$125,G132&gt;199.9,G132&lt;700),"200 ≤ H &lt; 700",IF(AND(D132=$C$126,E132=$D$126,G132&gt;699.9,G132&lt;4000),"700 ≤ H &lt; 4,000","")))))))))))))))))))))</f>
        <v/>
      </c>
      <c r="G132" s="22">
        <f>Calculator!G49</f>
        <v>0</v>
      </c>
      <c r="H132" s="22" t="e">
        <f t="shared" ref="H132:H134" si="20">VLOOKUP(C132,$B$106:$G$126,5,FALSE)</f>
        <v>#N/A</v>
      </c>
      <c r="I132" s="22" t="e">
        <f t="shared" ref="I132:I134" si="21">VLOOKUP(C132,$B$106:$G$126,6,FALSE)</f>
        <v>#N/A</v>
      </c>
      <c r="J132" s="22" t="e">
        <f t="shared" ref="J132:J134" si="22">(H132+I132*G132)</f>
        <v>#N/A</v>
      </c>
      <c r="K132" s="22" t="str">
        <f t="shared" ref="K132:K134" si="23">CONCATENATE(L132,M132,N132)</f>
        <v>00</v>
      </c>
      <c r="L132" s="22">
        <f>Calculator!J49</f>
        <v>0</v>
      </c>
      <c r="M132" s="319">
        <f>Calculator!K49</f>
        <v>0</v>
      </c>
      <c r="N132" s="22" t="str">
        <f t="shared" ref="N132:N134" si="24">IF(AND(L132=$C$106,M132=$D$106,O132&lt;300),"&lt; 300",IF(AND(L132=$C$107,M132=$D$107,O132&gt;299.9,O132&lt;800),"300 ≤ H &lt; 800",IF(AND(L132=$C$108,M132=$D$108,O132&gt;799.9,O132&lt;1500),"800 ≤ H &lt; 1,500",IF(AND(L132=$C$109,M132=$D$109,O132&gt;1499.9,O132&lt;4000),"1,500 ≤ H &lt; 4,000",IF(AND(L132=$C$110,M132=$D$110,O132&gt;49.9,O132&lt;1000),"50 ≤ H &lt; 1,000",IF(AND(L132=$C$111,M132=$D$111,O132&gt;999.9,O132&lt;400),"1,000 ≤ H &lt; 4,000",IF(AND(L132=$C$112,M132=$D$112,O132&lt;942),"&lt; 942",IF(AND(L132=$C$113,M132=$D$113,O132&gt;941.9,O132&lt;4000),"942 ≤ H &lt; 4,000",IF(AND(L132=$C$114,M132=$D$114,O132&lt;110),"&lt; 110",IF(AND(L132=$C$115,M132=$D$115,O132&gt;109.9,O132&lt;200),"110 ≤ H &lt; 200",IF(AND(L132=$C$116,M132=$D$116,O132&gt;199.9,O132&lt;4000),"200 ≤ H &lt; 4,000",IF(AND(L132=$C$117,M132=$D$117,O132&lt;310),"&lt; 310",IF(AND(L132=$C$118,M132=$D$118,O132&gt;309.9,O132&lt;820),"310 ≤ H &lt; 820",IF(AND(L132=$C$119,M132=$D$119,O132&gt;819.9,O132&lt;4000),"820 ≤ H &lt; 4,000",IF(AND(L132=$C$120,M132=$D$120,O132&lt;800),"&lt; 800",IF(AND(L132=$C$121,M132=$D$121,O132&gt;799.9,O132&lt;4000),"800 ≤ H &lt; 4,000",IF(AND(L132=$C$122,M132=$D$122,O132&lt;800),"&lt; 800",IF(AND(L132=$C$123,M132=$D$123,O132&gt;799.9,O132&lt;4000),"800 ≤ H &lt; 4,000",IF(AND(L132=$C$124,M132=$D$124,O132&lt;200),"&lt; 200",IF(AND(L132=$C$125,M132=$D$125,O132&gt;199.9,O132&lt;700),"200 ≤ H &lt; 700",IF(AND(L132=$C$126,M132=$D$126,O132&gt;699.9,O132&lt;4000),"700 ≤ H &lt; 4,000","")))))))))))))))))))))</f>
        <v/>
      </c>
      <c r="O132" s="22">
        <f t="shared" si="17"/>
        <v>0</v>
      </c>
      <c r="P132" s="22" t="e">
        <f t="shared" ref="P132:P134" si="25">VLOOKUP(K132,$B$106:$I$126,7,FALSE)</f>
        <v>#N/A</v>
      </c>
      <c r="Q132" s="22" t="e">
        <f t="shared" ref="Q132:Q134" si="26">VLOOKUP(K132,$B$106:$I$126,8,FALSE)</f>
        <v>#N/A</v>
      </c>
      <c r="R132" s="22" t="e">
        <f t="shared" ref="R132:R134" si="27">(P132+Q132*O132)</f>
        <v>#N/A</v>
      </c>
      <c r="S132" s="74" t="str">
        <f>IF(Calculator!M49="","",Calculator!M49)</f>
        <v/>
      </c>
      <c r="T132" s="23" t="e">
        <f t="shared" ref="T132:T134" si="28">IF(R132&gt;=S132,S132,"n/a")</f>
        <v>#N/A</v>
      </c>
      <c r="U132" s="23" t="e">
        <f t="shared" ref="U132:U134" si="29">IF(V132="new kWh/lb to high","new kWh/lb to high",(J132-T132)/2400*$G$100*G132)</f>
        <v>#N/A</v>
      </c>
      <c r="V132" s="23" t="e">
        <f t="shared" ref="V132:V134" si="30">IF(T132="N/A","new kWh/lb to high",B132*(J132*G132-T132*O132)*$G$99*$G$98/100)</f>
        <v>#N/A</v>
      </c>
      <c r="W132" s="270" t="str">
        <f>'Ice Machine Incentive Ref'!E8</f>
        <v/>
      </c>
      <c r="X132" s="22" t="b">
        <f t="shared" ref="X132:X134" si="31">IF(M132="Ice Making Head","Ice Making Head",IF(M132="Remote Condensing w/out Remote Compressor","Remote Condensing Unit",IF(M132="Remote Condensing with Remote Compressor","Remote Condensing Unit",IF(M132="Self Contained Unit","Self Contained Unit"))))</f>
        <v>0</v>
      </c>
      <c r="Y132" s="2"/>
      <c r="Z132" s="2"/>
      <c r="AA132" s="2"/>
      <c r="AB132" s="2"/>
      <c r="AC132" s="2"/>
      <c r="AD132" s="2"/>
      <c r="AE132" s="2"/>
      <c r="AF132" s="2"/>
      <c r="AG132" s="2"/>
      <c r="AH132" s="2"/>
    </row>
    <row r="133" spans="2:40">
      <c r="B133" s="23">
        <f>Calculator!F50</f>
        <v>0</v>
      </c>
      <c r="C133" s="22" t="str">
        <f t="shared" si="18"/>
        <v>00</v>
      </c>
      <c r="D133" s="22">
        <f>Calculator!H50</f>
        <v>0</v>
      </c>
      <c r="E133" s="22">
        <f>Calculator!I50</f>
        <v>0</v>
      </c>
      <c r="F133" s="22" t="str">
        <f t="shared" si="19"/>
        <v/>
      </c>
      <c r="G133" s="22">
        <f>Calculator!G50</f>
        <v>0</v>
      </c>
      <c r="H133" s="22" t="e">
        <f t="shared" si="20"/>
        <v>#N/A</v>
      </c>
      <c r="I133" s="22" t="e">
        <f t="shared" si="21"/>
        <v>#N/A</v>
      </c>
      <c r="J133" s="22" t="e">
        <f t="shared" si="22"/>
        <v>#N/A</v>
      </c>
      <c r="K133" s="22" t="str">
        <f t="shared" si="23"/>
        <v>00</v>
      </c>
      <c r="L133" s="22">
        <f>Calculator!J50</f>
        <v>0</v>
      </c>
      <c r="M133" s="319">
        <f>Calculator!K50</f>
        <v>0</v>
      </c>
      <c r="N133" s="22" t="str">
        <f t="shared" si="24"/>
        <v/>
      </c>
      <c r="O133" s="22">
        <f t="shared" si="17"/>
        <v>0</v>
      </c>
      <c r="P133" s="22" t="e">
        <f t="shared" si="25"/>
        <v>#N/A</v>
      </c>
      <c r="Q133" s="22" t="e">
        <f t="shared" si="26"/>
        <v>#N/A</v>
      </c>
      <c r="R133" s="22" t="e">
        <f t="shared" si="27"/>
        <v>#N/A</v>
      </c>
      <c r="S133" s="74" t="str">
        <f>IF(Calculator!M50="","",Calculator!M50)</f>
        <v/>
      </c>
      <c r="T133" s="23" t="e">
        <f t="shared" si="28"/>
        <v>#N/A</v>
      </c>
      <c r="U133" s="23" t="e">
        <f t="shared" si="29"/>
        <v>#N/A</v>
      </c>
      <c r="V133" s="23" t="e">
        <f t="shared" si="30"/>
        <v>#N/A</v>
      </c>
      <c r="W133" s="270" t="str">
        <f>'Ice Machine Incentive Ref'!E9</f>
        <v/>
      </c>
      <c r="X133" s="22" t="b">
        <f t="shared" si="31"/>
        <v>0</v>
      </c>
      <c r="Y133" s="2"/>
      <c r="Z133" s="2"/>
      <c r="AA133" s="2"/>
      <c r="AB133" s="2"/>
      <c r="AC133" s="2"/>
      <c r="AD133" s="2"/>
      <c r="AE133" s="2"/>
      <c r="AF133" s="2"/>
      <c r="AG133" s="2"/>
      <c r="AH133" s="2"/>
    </row>
    <row r="134" spans="2:40">
      <c r="B134" s="23">
        <f>Calculator!F51</f>
        <v>0</v>
      </c>
      <c r="C134" s="22" t="str">
        <f t="shared" si="18"/>
        <v>00</v>
      </c>
      <c r="D134" s="22">
        <f>Calculator!H51</f>
        <v>0</v>
      </c>
      <c r="E134" s="22">
        <f>Calculator!I51</f>
        <v>0</v>
      </c>
      <c r="F134" s="22" t="str">
        <f t="shared" si="19"/>
        <v/>
      </c>
      <c r="G134" s="22">
        <f>Calculator!G51</f>
        <v>0</v>
      </c>
      <c r="H134" s="22" t="e">
        <f t="shared" si="20"/>
        <v>#N/A</v>
      </c>
      <c r="I134" s="22" t="e">
        <f t="shared" si="21"/>
        <v>#N/A</v>
      </c>
      <c r="J134" s="22" t="e">
        <f t="shared" si="22"/>
        <v>#N/A</v>
      </c>
      <c r="K134" s="22" t="str">
        <f t="shared" si="23"/>
        <v>00</v>
      </c>
      <c r="L134" s="22">
        <f>Calculator!J51</f>
        <v>0</v>
      </c>
      <c r="M134" s="319">
        <f>Calculator!K51</f>
        <v>0</v>
      </c>
      <c r="N134" s="22" t="str">
        <f t="shared" si="24"/>
        <v/>
      </c>
      <c r="O134" s="22">
        <f t="shared" si="17"/>
        <v>0</v>
      </c>
      <c r="P134" s="22" t="e">
        <f t="shared" si="25"/>
        <v>#N/A</v>
      </c>
      <c r="Q134" s="22" t="e">
        <f t="shared" si="26"/>
        <v>#N/A</v>
      </c>
      <c r="R134" s="22" t="e">
        <f t="shared" si="27"/>
        <v>#N/A</v>
      </c>
      <c r="S134" s="74" t="str">
        <f>IF(Calculator!M51="","",Calculator!M51)</f>
        <v/>
      </c>
      <c r="T134" s="23" t="e">
        <f t="shared" si="28"/>
        <v>#N/A</v>
      </c>
      <c r="U134" s="23" t="e">
        <f t="shared" si="29"/>
        <v>#N/A</v>
      </c>
      <c r="V134" s="23" t="e">
        <f t="shared" si="30"/>
        <v>#N/A</v>
      </c>
      <c r="W134" s="270" t="str">
        <f>'Ice Machine Incentive Ref'!E10</f>
        <v/>
      </c>
      <c r="X134" s="22" t="b">
        <f t="shared" si="31"/>
        <v>0</v>
      </c>
      <c r="Y134" s="2"/>
      <c r="Z134" s="2"/>
      <c r="AA134" s="2"/>
      <c r="AB134" s="2"/>
      <c r="AC134" s="2"/>
      <c r="AD134" s="2"/>
      <c r="AE134" s="2"/>
      <c r="AF134" s="2"/>
      <c r="AG134" s="2"/>
      <c r="AH134" s="2"/>
    </row>
    <row r="136" spans="2:40" s="52" customFormat="1" ht="18.600000000000001" customHeight="1" thickBot="1">
      <c r="B136" s="378" t="s">
        <v>70</v>
      </c>
      <c r="C136" s="378"/>
      <c r="D136" s="378"/>
      <c r="E136" s="378"/>
      <c r="F136" s="378"/>
      <c r="G136" s="378"/>
      <c r="H136" s="378"/>
      <c r="I136" s="378"/>
      <c r="J136" s="378"/>
      <c r="K136" s="51"/>
      <c r="L136" s="51"/>
      <c r="M136" s="51"/>
      <c r="N136" s="51"/>
      <c r="O136" s="51"/>
      <c r="P136" s="51"/>
      <c r="Q136" s="51"/>
      <c r="R136" s="51"/>
      <c r="S136" s="51"/>
      <c r="T136" s="51"/>
      <c r="U136" s="51"/>
      <c r="V136" s="51"/>
      <c r="W136" s="51"/>
    </row>
    <row r="137" spans="2:40" ht="18">
      <c r="B137" s="8" t="s">
        <v>37</v>
      </c>
      <c r="D137" s="8" t="s">
        <v>16</v>
      </c>
      <c r="H137" s="8" t="s">
        <v>96</v>
      </c>
      <c r="S137" s="171" t="s">
        <v>300</v>
      </c>
      <c r="V137" s="7"/>
      <c r="W137" s="7"/>
    </row>
    <row r="138" spans="2:40" ht="30">
      <c r="B138" s="45" t="s">
        <v>52</v>
      </c>
      <c r="C138" s="213" t="s">
        <v>452</v>
      </c>
      <c r="D138" s="43" t="s">
        <v>57</v>
      </c>
      <c r="E138" s="43">
        <v>7.3200000000000001E-2</v>
      </c>
      <c r="F138" s="19" t="s">
        <v>58</v>
      </c>
      <c r="G138" s="213" t="s">
        <v>471</v>
      </c>
      <c r="H138" s="264">
        <v>400</v>
      </c>
      <c r="I138" s="19" t="s">
        <v>282</v>
      </c>
      <c r="J138" s="213" t="s">
        <v>453</v>
      </c>
      <c r="S138" s="147" t="s">
        <v>116</v>
      </c>
      <c r="T138" s="147" t="s">
        <v>298</v>
      </c>
      <c r="U138" s="147" t="s">
        <v>299</v>
      </c>
      <c r="V138" s="7"/>
      <c r="W138" s="7"/>
    </row>
    <row r="139" spans="2:40">
      <c r="B139" s="45" t="s">
        <v>515</v>
      </c>
      <c r="C139" s="62" t="s">
        <v>356</v>
      </c>
      <c r="D139" s="43" t="s">
        <v>64</v>
      </c>
      <c r="E139" s="43">
        <v>100</v>
      </c>
      <c r="F139" s="19" t="s">
        <v>59</v>
      </c>
      <c r="G139" s="62" t="s">
        <v>460</v>
      </c>
      <c r="J139" s="62" t="s">
        <v>77</v>
      </c>
      <c r="S139" s="45" t="s">
        <v>286</v>
      </c>
      <c r="T139" s="170">
        <v>11</v>
      </c>
      <c r="U139" s="170">
        <v>283</v>
      </c>
      <c r="V139" s="7"/>
      <c r="W139" s="7"/>
    </row>
    <row r="140" spans="2:40" ht="15">
      <c r="B140" s="45" t="s">
        <v>516</v>
      </c>
      <c r="C140" s="213" t="s">
        <v>369</v>
      </c>
      <c r="D140" s="43"/>
      <c r="E140" s="43"/>
      <c r="F140" s="19"/>
      <c r="S140" s="45" t="s">
        <v>287</v>
      </c>
      <c r="T140" s="170">
        <v>14</v>
      </c>
      <c r="U140" s="170">
        <v>363</v>
      </c>
      <c r="V140" s="7"/>
      <c r="W140" s="7"/>
    </row>
    <row r="141" spans="2:40">
      <c r="C141" s="62" t="s">
        <v>367</v>
      </c>
      <c r="S141" s="45" t="s">
        <v>288</v>
      </c>
      <c r="T141" s="170">
        <v>12</v>
      </c>
      <c r="U141" s="170">
        <v>321</v>
      </c>
    </row>
    <row r="142" spans="2:40" ht="18">
      <c r="B142" s="8" t="s">
        <v>61</v>
      </c>
      <c r="F142" s="7"/>
      <c r="G142" s="8" t="s">
        <v>62</v>
      </c>
      <c r="K142" s="7"/>
      <c r="S142" s="45" t="s">
        <v>289</v>
      </c>
      <c r="T142" s="170">
        <v>12</v>
      </c>
      <c r="U142" s="170">
        <v>365</v>
      </c>
      <c r="V142" s="7"/>
      <c r="W142" s="7"/>
    </row>
    <row r="143" spans="2:40" s="13" customFormat="1" ht="34.15" customHeight="1">
      <c r="B143" s="24" t="s">
        <v>52</v>
      </c>
      <c r="C143" s="25" t="s">
        <v>54</v>
      </c>
      <c r="D143" s="25" t="s">
        <v>55</v>
      </c>
      <c r="E143" s="25" t="s">
        <v>56</v>
      </c>
      <c r="F143" s="2"/>
      <c r="G143" s="24" t="s">
        <v>43</v>
      </c>
      <c r="H143" s="25" t="s">
        <v>54</v>
      </c>
      <c r="I143" s="25" t="s">
        <v>55</v>
      </c>
      <c r="J143" s="25" t="s">
        <v>56</v>
      </c>
      <c r="K143" s="7"/>
      <c r="S143" s="45" t="s">
        <v>290</v>
      </c>
      <c r="T143" s="170">
        <v>11</v>
      </c>
      <c r="U143" s="170">
        <v>365</v>
      </c>
    </row>
    <row r="144" spans="2:40">
      <c r="B144" s="45" t="s">
        <v>515</v>
      </c>
      <c r="C144" s="57">
        <v>1.03</v>
      </c>
      <c r="D144" s="44">
        <v>0.68</v>
      </c>
      <c r="E144" s="57">
        <v>45</v>
      </c>
      <c r="G144" s="45" t="s">
        <v>515</v>
      </c>
      <c r="H144" s="57">
        <v>1</v>
      </c>
      <c r="I144" s="44">
        <v>0.71</v>
      </c>
      <c r="J144" s="57">
        <v>50</v>
      </c>
      <c r="K144" s="7"/>
      <c r="L144" s="7"/>
      <c r="M144" s="7"/>
      <c r="S144" s="45" t="s">
        <v>291</v>
      </c>
      <c r="T144" s="170">
        <v>20</v>
      </c>
      <c r="U144" s="170">
        <v>365</v>
      </c>
      <c r="V144" s="7"/>
      <c r="W144" s="7"/>
    </row>
    <row r="145" spans="2:30">
      <c r="B145" s="45" t="s">
        <v>516</v>
      </c>
      <c r="C145" s="57">
        <v>2</v>
      </c>
      <c r="D145" s="44">
        <v>0.65</v>
      </c>
      <c r="E145" s="57">
        <v>90</v>
      </c>
      <c r="G145" s="45" t="s">
        <v>516</v>
      </c>
      <c r="H145" s="57">
        <v>1.6</v>
      </c>
      <c r="I145" s="44">
        <v>0.71</v>
      </c>
      <c r="J145" s="57">
        <v>90</v>
      </c>
      <c r="K145" s="7"/>
      <c r="L145" s="7"/>
      <c r="M145" s="7"/>
      <c r="S145" s="45" t="s">
        <v>292</v>
      </c>
      <c r="T145" s="170">
        <v>9</v>
      </c>
      <c r="U145" s="170">
        <v>325</v>
      </c>
      <c r="V145" s="7"/>
      <c r="W145" s="7"/>
    </row>
    <row r="146" spans="2:30">
      <c r="S146" s="45" t="s">
        <v>293</v>
      </c>
      <c r="T146" s="170">
        <v>20</v>
      </c>
      <c r="U146" s="170">
        <v>365</v>
      </c>
    </row>
    <row r="147" spans="2:30" ht="18">
      <c r="B147" s="8" t="s">
        <v>5</v>
      </c>
      <c r="S147" s="45" t="s">
        <v>294</v>
      </c>
      <c r="T147" s="170">
        <v>5</v>
      </c>
      <c r="U147" s="170">
        <v>180</v>
      </c>
    </row>
    <row r="148" spans="2:30" s="13" customFormat="1" ht="15" customHeight="1">
      <c r="B148" s="377" t="s">
        <v>52</v>
      </c>
      <c r="C148" s="396" t="s">
        <v>71</v>
      </c>
      <c r="D148" s="396" t="s">
        <v>116</v>
      </c>
      <c r="E148" s="396" t="s">
        <v>301</v>
      </c>
      <c r="F148" s="396" t="s">
        <v>302</v>
      </c>
      <c r="G148" s="99" t="s">
        <v>65</v>
      </c>
      <c r="H148" s="99"/>
      <c r="I148" s="99"/>
      <c r="J148" s="66" t="s">
        <v>66</v>
      </c>
      <c r="K148" s="67"/>
      <c r="L148" s="172"/>
      <c r="M148" s="63" t="s">
        <v>466</v>
      </c>
      <c r="N148" s="63" t="s">
        <v>468</v>
      </c>
      <c r="O148" s="63" t="s">
        <v>45</v>
      </c>
      <c r="P148" s="63" t="s">
        <v>11</v>
      </c>
      <c r="Q148" s="401" t="s">
        <v>416</v>
      </c>
      <c r="S148" s="45" t="s">
        <v>295</v>
      </c>
      <c r="T148" s="170">
        <v>8</v>
      </c>
      <c r="U148" s="170">
        <v>180</v>
      </c>
      <c r="V148" s="2"/>
      <c r="W148" s="2"/>
      <c r="X148" s="2"/>
      <c r="Y148" s="7"/>
      <c r="Z148" s="7"/>
      <c r="AA148" s="7"/>
      <c r="AB148" s="7"/>
      <c r="AC148" s="7"/>
      <c r="AD148" s="7"/>
    </row>
    <row r="149" spans="2:30" s="13" customFormat="1" ht="15">
      <c r="B149" s="377"/>
      <c r="C149" s="397"/>
      <c r="D149" s="397"/>
      <c r="E149" s="397"/>
      <c r="F149" s="397"/>
      <c r="G149" s="146" t="s">
        <v>54</v>
      </c>
      <c r="H149" s="146" t="s">
        <v>55</v>
      </c>
      <c r="I149" s="146" t="s">
        <v>56</v>
      </c>
      <c r="J149" s="146" t="s">
        <v>54</v>
      </c>
      <c r="K149" s="146" t="s">
        <v>55</v>
      </c>
      <c r="L149" s="146" t="s">
        <v>56</v>
      </c>
      <c r="M149" s="63"/>
      <c r="N149" s="63"/>
      <c r="O149" s="63"/>
      <c r="P149" s="63"/>
      <c r="Q149" s="386"/>
      <c r="S149" s="45" t="s">
        <v>296</v>
      </c>
      <c r="T149" s="170">
        <v>12</v>
      </c>
      <c r="U149" s="170">
        <v>250</v>
      </c>
      <c r="V149" s="2"/>
      <c r="W149" s="2"/>
      <c r="X149" s="2"/>
      <c r="Y149" s="7"/>
      <c r="Z149" s="7"/>
      <c r="AA149" s="7"/>
      <c r="AB149" s="7"/>
      <c r="AC149" s="7"/>
      <c r="AD149" s="7"/>
    </row>
    <row r="150" spans="2:30">
      <c r="B150" s="22">
        <f>Calculator!G56</f>
        <v>0</v>
      </c>
      <c r="C150" s="23">
        <f>Calculator!F56</f>
        <v>0</v>
      </c>
      <c r="D150" s="23">
        <f>Calculator!H56</f>
        <v>0</v>
      </c>
      <c r="E150" s="23" t="e">
        <f>INDEX($T$139:$T$150,MATCH(D150,BuildingTypeOven,0))</f>
        <v>#N/A</v>
      </c>
      <c r="F150" s="23" t="e">
        <f>INDEX($U$139:$U$150,MATCH(D150,BuildingTypeOven,0))</f>
        <v>#N/A</v>
      </c>
      <c r="G150" s="23" t="e">
        <f>VLOOKUP(B150,$B$144:$E$145,2,FALSE)</f>
        <v>#N/A</v>
      </c>
      <c r="H150" s="23" t="e">
        <f>VLOOKUP(B150,$B$144:$E$145,3,FALSE)</f>
        <v>#N/A</v>
      </c>
      <c r="I150" s="23" t="e">
        <f>VLOOKUP(B150,$B$144:$E$145,4,FALSE)</f>
        <v>#N/A</v>
      </c>
      <c r="J150" s="23" t="e">
        <f>VLOOKUP(B150,$G$144:$J$145,2,FALSE)</f>
        <v>#N/A</v>
      </c>
      <c r="K150" s="23" t="e">
        <f>VLOOKUP(B150,$G$144:$J$145,3,FALSE)</f>
        <v>#N/A</v>
      </c>
      <c r="L150" s="23" t="e">
        <f>VLOOKUP(B150,$G$144:$J$145,4,FALSE)</f>
        <v>#N/A</v>
      </c>
      <c r="M150" s="23" t="e">
        <f>C150*(F150*(($E$139*$E$138/H150+G150*(E150-$E$139/I150))))</f>
        <v>#N/A</v>
      </c>
      <c r="N150" s="23" t="e">
        <f>C150*(F150*(($E$139*$E$138/K150+J150*(E150-$E$83/L150))))</f>
        <v>#N/A</v>
      </c>
      <c r="O150" s="23">
        <f>IFERROR(P150/F150/E150,0)</f>
        <v>0</v>
      </c>
      <c r="P150" s="23" t="e">
        <f>M150-N150</f>
        <v>#N/A</v>
      </c>
      <c r="Q150" s="234">
        <f>IFERROR(ROUND(C150*$H$138,2),"")</f>
        <v>0</v>
      </c>
      <c r="S150" s="45" t="s">
        <v>297</v>
      </c>
      <c r="T150" s="170">
        <v>11</v>
      </c>
      <c r="U150" s="170">
        <v>283</v>
      </c>
      <c r="X150" s="2"/>
    </row>
    <row r="151" spans="2:30">
      <c r="B151" s="22">
        <f>Calculator!G57</f>
        <v>0</v>
      </c>
      <c r="C151" s="23">
        <f>Calculator!F57</f>
        <v>0</v>
      </c>
      <c r="D151" s="23">
        <f>Calculator!H57</f>
        <v>0</v>
      </c>
      <c r="E151" s="23" t="e">
        <f>INDEX($T$139:$T$150,MATCH(D151,BuildingTypeOven,0))</f>
        <v>#N/A</v>
      </c>
      <c r="F151" s="23" t="e">
        <f>INDEX($U$139:$U$150,MATCH(D151,BuildingTypeOven,0))</f>
        <v>#N/A</v>
      </c>
      <c r="G151" s="23" t="e">
        <f>VLOOKUP(B151,$B$144:$E$145,2,FALSE)</f>
        <v>#N/A</v>
      </c>
      <c r="H151" s="23" t="e">
        <f>VLOOKUP(B151,$B$144:$E$145,3,FALSE)</f>
        <v>#N/A</v>
      </c>
      <c r="I151" s="23" t="e">
        <f>VLOOKUP(B151,$B$144:$E$145,4,FALSE)</f>
        <v>#N/A</v>
      </c>
      <c r="J151" s="23" t="e">
        <f>VLOOKUP(B151,$G$144:$J$145,2,FALSE)</f>
        <v>#N/A</v>
      </c>
      <c r="K151" s="23" t="e">
        <f>VLOOKUP(B151,$G$144:$J$145,3,FALSE)</f>
        <v>#N/A</v>
      </c>
      <c r="L151" s="23" t="e">
        <f>VLOOKUP(B151,$G$144:$J$145,4,FALSE)</f>
        <v>#N/A</v>
      </c>
      <c r="M151" s="23" t="e">
        <f>C151*(F151*(($E$139*$E$138/H151+G151*(E151-$E$139/I151))))</f>
        <v>#N/A</v>
      </c>
      <c r="N151" s="23" t="e">
        <f>C151*(F151*(($E$139*$E$138/K151+J151*(E151-$E$83/L151))))</f>
        <v>#N/A</v>
      </c>
      <c r="O151" s="23">
        <f>IFERROR(P151/F151/E151,0)</f>
        <v>0</v>
      </c>
      <c r="P151" s="23" t="e">
        <f>M151-N151</f>
        <v>#N/A</v>
      </c>
      <c r="Q151" s="234">
        <f>IFERROR(ROUND(C151*$H$138,2),"")</f>
        <v>0</v>
      </c>
    </row>
    <row r="152" spans="2:30">
      <c r="F152" s="169"/>
    </row>
    <row r="153" spans="2:30" s="52" customFormat="1" ht="18.600000000000001" customHeight="1" thickBot="1">
      <c r="B153" s="378" t="s">
        <v>72</v>
      </c>
      <c r="C153" s="378"/>
      <c r="D153" s="378"/>
      <c r="E153" s="378"/>
      <c r="F153" s="378"/>
      <c r="G153" s="378"/>
      <c r="H153" s="378"/>
      <c r="I153" s="378"/>
      <c r="J153" s="378"/>
      <c r="K153" s="51"/>
      <c r="L153" s="51"/>
      <c r="M153" s="51"/>
      <c r="N153" s="51"/>
      <c r="O153" s="51"/>
      <c r="P153" s="51"/>
      <c r="Q153" s="51"/>
      <c r="R153" s="51"/>
      <c r="S153" s="51"/>
      <c r="T153" s="51"/>
      <c r="U153" s="51"/>
      <c r="V153" s="51"/>
      <c r="W153" s="51"/>
    </row>
    <row r="154" spans="2:30" ht="18">
      <c r="B154" s="8" t="s">
        <v>37</v>
      </c>
      <c r="D154" s="8" t="s">
        <v>16</v>
      </c>
      <c r="H154" s="8" t="s">
        <v>96</v>
      </c>
      <c r="J154" s="213" t="s">
        <v>453</v>
      </c>
      <c r="R154" s="7"/>
      <c r="S154" s="7"/>
      <c r="T154" s="7"/>
      <c r="U154" s="7"/>
      <c r="V154" s="7"/>
      <c r="W154" s="7"/>
    </row>
    <row r="155" spans="2:30" ht="15">
      <c r="B155" s="45" t="s">
        <v>73</v>
      </c>
      <c r="C155" s="213" t="s">
        <v>452</v>
      </c>
      <c r="D155" s="43" t="s">
        <v>80</v>
      </c>
      <c r="E155" s="43">
        <v>7.3200000000000001E-2</v>
      </c>
      <c r="F155" s="19" t="s">
        <v>58</v>
      </c>
      <c r="G155" s="213" t="s">
        <v>471</v>
      </c>
      <c r="H155" s="264">
        <v>1200</v>
      </c>
      <c r="I155" s="19" t="s">
        <v>282</v>
      </c>
      <c r="J155" s="62" t="s">
        <v>462</v>
      </c>
      <c r="R155" s="7"/>
      <c r="T155" s="7"/>
      <c r="U155" s="7"/>
      <c r="V155" s="7"/>
      <c r="W155" s="7"/>
    </row>
    <row r="156" spans="2:30">
      <c r="B156" s="45" t="s">
        <v>74</v>
      </c>
      <c r="C156" s="62" t="s">
        <v>356</v>
      </c>
      <c r="D156" s="43" t="s">
        <v>81</v>
      </c>
      <c r="E156" s="43">
        <v>3.0800000000000001E-2</v>
      </c>
      <c r="F156" s="19" t="s">
        <v>58</v>
      </c>
      <c r="G156" s="62" t="s">
        <v>460</v>
      </c>
      <c r="R156" s="7"/>
      <c r="T156" s="7"/>
      <c r="U156" s="7"/>
      <c r="V156" s="7"/>
      <c r="W156" s="7"/>
    </row>
    <row r="157" spans="2:30" ht="15">
      <c r="B157" s="45" t="s">
        <v>76</v>
      </c>
      <c r="C157" s="213" t="s">
        <v>369</v>
      </c>
      <c r="D157" s="43" t="s">
        <v>64</v>
      </c>
      <c r="E157" s="43">
        <v>200</v>
      </c>
      <c r="F157" s="19" t="s">
        <v>59</v>
      </c>
      <c r="R157" s="7"/>
      <c r="T157" s="7"/>
      <c r="U157" s="7"/>
      <c r="V157" s="7"/>
      <c r="W157" s="7"/>
    </row>
    <row r="158" spans="2:30">
      <c r="C158" s="62" t="s">
        <v>367</v>
      </c>
      <c r="D158" s="43"/>
      <c r="E158" s="43"/>
      <c r="F158" s="19"/>
      <c r="R158" s="7"/>
      <c r="T158" s="7"/>
      <c r="U158" s="7"/>
      <c r="V158" s="7"/>
      <c r="W158" s="7"/>
    </row>
    <row r="159" spans="2:30">
      <c r="D159" s="43" t="s">
        <v>82</v>
      </c>
      <c r="E159" s="53">
        <v>0.5</v>
      </c>
      <c r="F159" s="19"/>
      <c r="R159" s="7"/>
      <c r="T159" s="7"/>
      <c r="U159" s="7"/>
      <c r="V159" s="7"/>
      <c r="W159" s="7"/>
    </row>
    <row r="161" spans="2:42" ht="18">
      <c r="B161" s="8" t="s">
        <v>61</v>
      </c>
      <c r="F161" s="7"/>
      <c r="H161" s="8" t="s">
        <v>62</v>
      </c>
      <c r="K161" s="7"/>
      <c r="P161" s="7"/>
      <c r="Q161" s="7"/>
      <c r="R161" s="7"/>
      <c r="S161" s="7"/>
      <c r="T161" s="7"/>
      <c r="U161" s="7"/>
      <c r="V161" s="7"/>
      <c r="W161" s="7"/>
    </row>
    <row r="162" spans="2:42" s="13" customFormat="1" ht="34.15" customHeight="1">
      <c r="B162" s="24" t="s">
        <v>73</v>
      </c>
      <c r="C162" s="24" t="s">
        <v>79</v>
      </c>
      <c r="D162" s="25" t="s">
        <v>54</v>
      </c>
      <c r="E162" s="25" t="s">
        <v>55</v>
      </c>
      <c r="F162" s="25" t="s">
        <v>56</v>
      </c>
      <c r="G162" s="2"/>
      <c r="H162" s="24" t="s">
        <v>43</v>
      </c>
      <c r="I162" s="24" t="s">
        <v>79</v>
      </c>
      <c r="J162" s="25" t="s">
        <v>214</v>
      </c>
      <c r="K162" s="25" t="s">
        <v>215</v>
      </c>
      <c r="L162" s="25" t="s">
        <v>55</v>
      </c>
      <c r="M162" s="25" t="s">
        <v>56</v>
      </c>
      <c r="N162" s="7"/>
    </row>
    <row r="163" spans="2:42">
      <c r="B163" s="45" t="s">
        <v>74</v>
      </c>
      <c r="C163" s="45" t="s">
        <v>77</v>
      </c>
      <c r="D163" s="57">
        <v>1.32</v>
      </c>
      <c r="E163" s="44">
        <v>0.72</v>
      </c>
      <c r="F163" s="57">
        <v>79</v>
      </c>
      <c r="H163" s="45" t="s">
        <v>74</v>
      </c>
      <c r="I163" s="45" t="s">
        <v>77</v>
      </c>
      <c r="J163" s="45">
        <v>0.08</v>
      </c>
      <c r="K163" s="105">
        <v>0.49890000000000001</v>
      </c>
      <c r="L163" s="44">
        <v>0.76</v>
      </c>
      <c r="M163" s="57">
        <v>119</v>
      </c>
      <c r="N163" s="7"/>
      <c r="O163" s="7"/>
      <c r="P163" s="7"/>
      <c r="Q163" s="7"/>
      <c r="R163" s="7"/>
      <c r="S163" s="7"/>
      <c r="T163" s="7"/>
      <c r="U163" s="7"/>
      <c r="V163" s="7"/>
      <c r="W163" s="7"/>
    </row>
    <row r="164" spans="2:42" ht="15">
      <c r="B164" s="60" t="s">
        <v>75</v>
      </c>
      <c r="C164" s="45" t="s">
        <v>77</v>
      </c>
      <c r="D164" s="57">
        <v>2.2799999999999998</v>
      </c>
      <c r="E164" s="44">
        <v>0.72</v>
      </c>
      <c r="F164" s="57">
        <v>166</v>
      </c>
      <c r="H164" s="60" t="s">
        <v>75</v>
      </c>
      <c r="I164" s="45" t="s">
        <v>77</v>
      </c>
      <c r="J164" s="45">
        <v>0.08</v>
      </c>
      <c r="K164" s="105">
        <v>0.49890000000000001</v>
      </c>
      <c r="L164" s="44">
        <v>0.76</v>
      </c>
      <c r="M164" s="57">
        <v>201</v>
      </c>
      <c r="N164" s="7"/>
      <c r="O164" s="7"/>
      <c r="P164" s="7"/>
      <c r="Q164" s="7"/>
      <c r="R164" s="7"/>
      <c r="S164" s="7"/>
      <c r="T164" s="7"/>
      <c r="U164" s="7"/>
      <c r="V164" s="7"/>
      <c r="W164" s="7"/>
    </row>
    <row r="165" spans="2:42">
      <c r="B165" s="45" t="s">
        <v>74</v>
      </c>
      <c r="C165" s="45" t="s">
        <v>78</v>
      </c>
      <c r="D165" s="57">
        <v>5.26</v>
      </c>
      <c r="E165" s="44">
        <v>0.49</v>
      </c>
      <c r="F165" s="57">
        <v>126</v>
      </c>
      <c r="H165" s="45" t="s">
        <v>74</v>
      </c>
      <c r="I165" s="45" t="s">
        <v>78</v>
      </c>
      <c r="J165" s="45">
        <v>0.13300000000000001</v>
      </c>
      <c r="K165" s="57">
        <v>0.64</v>
      </c>
      <c r="L165" s="44">
        <v>0.55000000000000004</v>
      </c>
      <c r="M165" s="57">
        <v>177</v>
      </c>
      <c r="N165" s="7"/>
      <c r="O165" s="7"/>
      <c r="P165" s="7"/>
      <c r="Q165" s="7"/>
      <c r="R165" s="7"/>
      <c r="S165" s="7"/>
      <c r="T165" s="7"/>
      <c r="U165" s="7"/>
      <c r="V165" s="7"/>
      <c r="W165" s="7"/>
    </row>
    <row r="166" spans="2:42" ht="15">
      <c r="B166" s="60" t="s">
        <v>75</v>
      </c>
      <c r="C166" s="45" t="s">
        <v>78</v>
      </c>
      <c r="D166" s="57">
        <v>8.7100000000000009</v>
      </c>
      <c r="E166" s="44">
        <v>0.49</v>
      </c>
      <c r="F166" s="57">
        <v>295</v>
      </c>
      <c r="H166" s="60" t="s">
        <v>75</v>
      </c>
      <c r="I166" s="45" t="s">
        <v>78</v>
      </c>
      <c r="J166" s="45">
        <v>0.13300000000000001</v>
      </c>
      <c r="K166" s="57">
        <v>0.64</v>
      </c>
      <c r="L166" s="44">
        <v>0.55000000000000004</v>
      </c>
      <c r="M166" s="57">
        <v>349</v>
      </c>
      <c r="N166" s="7"/>
      <c r="O166" s="7"/>
      <c r="P166" s="7"/>
      <c r="Q166" s="7"/>
      <c r="R166" s="7"/>
      <c r="S166" s="7"/>
      <c r="T166" s="7"/>
      <c r="U166" s="7"/>
      <c r="V166" s="7"/>
      <c r="W166" s="7"/>
    </row>
    <row r="167" spans="2:42">
      <c r="Y167" s="301"/>
    </row>
    <row r="168" spans="2:42" ht="18">
      <c r="B168" s="8" t="s">
        <v>5</v>
      </c>
    </row>
    <row r="169" spans="2:42" s="13" customFormat="1" ht="15">
      <c r="B169" s="385" t="s">
        <v>303</v>
      </c>
      <c r="C169" s="385" t="s">
        <v>73</v>
      </c>
      <c r="D169" s="385" t="s">
        <v>73</v>
      </c>
      <c r="E169" s="401" t="s">
        <v>116</v>
      </c>
      <c r="F169" s="375" t="s">
        <v>49</v>
      </c>
      <c r="G169" s="375" t="s">
        <v>302</v>
      </c>
      <c r="H169" s="388" t="s">
        <v>65</v>
      </c>
      <c r="I169" s="389"/>
      <c r="J169" s="389"/>
      <c r="K169" s="389"/>
      <c r="L169" s="389"/>
      <c r="M169" s="389"/>
      <c r="N169" s="389"/>
      <c r="O169" s="390"/>
      <c r="P169" s="388" t="s">
        <v>66</v>
      </c>
      <c r="Q169" s="389"/>
      <c r="R169" s="389"/>
      <c r="S169" s="389"/>
      <c r="T169" s="389"/>
      <c r="U169" s="389"/>
      <c r="V169" s="389"/>
      <c r="W169" s="390"/>
      <c r="X169" s="377" t="s">
        <v>466</v>
      </c>
      <c r="Y169" s="377" t="s">
        <v>468</v>
      </c>
      <c r="Z169" s="377" t="s">
        <v>45</v>
      </c>
      <c r="AA169" s="377" t="s">
        <v>11</v>
      </c>
      <c r="AB169" s="403" t="s">
        <v>416</v>
      </c>
      <c r="AC169" s="2"/>
      <c r="AD169" s="2"/>
      <c r="AE169" s="2"/>
      <c r="AF169" s="2"/>
      <c r="AG169" s="2"/>
      <c r="AH169" s="2"/>
      <c r="AI169" s="2"/>
      <c r="AJ169" s="2"/>
      <c r="AK169" s="7"/>
      <c r="AL169" s="7"/>
      <c r="AM169" s="7"/>
      <c r="AN169" s="7"/>
      <c r="AO169" s="7"/>
      <c r="AP169" s="7"/>
    </row>
    <row r="170" spans="2:42" s="13" customFormat="1" ht="15" customHeight="1">
      <c r="B170" s="395"/>
      <c r="C170" s="395"/>
      <c r="D170" s="395"/>
      <c r="E170" s="395"/>
      <c r="F170" s="375"/>
      <c r="G170" s="375"/>
      <c r="H170" s="388" t="s">
        <v>77</v>
      </c>
      <c r="I170" s="389"/>
      <c r="J170" s="389"/>
      <c r="K170" s="390"/>
      <c r="L170" s="388" t="s">
        <v>78</v>
      </c>
      <c r="M170" s="389"/>
      <c r="N170" s="389"/>
      <c r="O170" s="390"/>
      <c r="P170" s="388" t="s">
        <v>77</v>
      </c>
      <c r="Q170" s="389"/>
      <c r="R170" s="389"/>
      <c r="S170" s="390"/>
      <c r="T170" s="388" t="s">
        <v>78</v>
      </c>
      <c r="U170" s="389"/>
      <c r="V170" s="389"/>
      <c r="W170" s="390"/>
      <c r="X170" s="377"/>
      <c r="Y170" s="377"/>
      <c r="Z170" s="377"/>
      <c r="AA170" s="377"/>
      <c r="AB170" s="403"/>
      <c r="AC170" s="2"/>
      <c r="AD170" s="2"/>
      <c r="AE170" s="2"/>
      <c r="AF170" s="2"/>
      <c r="AG170" s="2"/>
      <c r="AH170" s="2"/>
      <c r="AI170" s="2"/>
      <c r="AJ170" s="2"/>
      <c r="AK170" s="7"/>
      <c r="AL170" s="7"/>
      <c r="AM170" s="7"/>
      <c r="AN170" s="7"/>
      <c r="AO170" s="7"/>
      <c r="AP170" s="7"/>
    </row>
    <row r="171" spans="2:42" s="13" customFormat="1" ht="15">
      <c r="B171" s="386"/>
      <c r="C171" s="386"/>
      <c r="D171" s="386"/>
      <c r="E171" s="386"/>
      <c r="F171" s="375"/>
      <c r="G171" s="375"/>
      <c r="H171" s="58" t="s">
        <v>54</v>
      </c>
      <c r="I171" s="58" t="s">
        <v>55</v>
      </c>
      <c r="J171" s="58" t="s">
        <v>56</v>
      </c>
      <c r="K171" s="101" t="s">
        <v>11</v>
      </c>
      <c r="L171" s="58" t="s">
        <v>54</v>
      </c>
      <c r="M171" s="58" t="s">
        <v>55</v>
      </c>
      <c r="N171" s="58" t="s">
        <v>56</v>
      </c>
      <c r="O171" s="101" t="s">
        <v>11</v>
      </c>
      <c r="P171" s="58" t="s">
        <v>54</v>
      </c>
      <c r="Q171" s="58" t="s">
        <v>55</v>
      </c>
      <c r="R171" s="58" t="s">
        <v>56</v>
      </c>
      <c r="S171" s="101" t="s">
        <v>11</v>
      </c>
      <c r="T171" s="58" t="s">
        <v>54</v>
      </c>
      <c r="U171" s="58" t="s">
        <v>55</v>
      </c>
      <c r="V171" s="58" t="s">
        <v>56</v>
      </c>
      <c r="W171" s="101" t="s">
        <v>11</v>
      </c>
      <c r="X171" s="377"/>
      <c r="Y171" s="377"/>
      <c r="Z171" s="377"/>
      <c r="AA171" s="377"/>
      <c r="AB171" s="404"/>
      <c r="AC171" s="2"/>
      <c r="AD171" s="2"/>
      <c r="AE171" s="2"/>
      <c r="AF171" s="2"/>
      <c r="AG171" s="2"/>
      <c r="AH171" s="2"/>
      <c r="AI171" s="2"/>
      <c r="AJ171" s="2"/>
      <c r="AK171" s="7"/>
      <c r="AL171" s="7"/>
      <c r="AM171" s="7"/>
      <c r="AN171" s="7"/>
      <c r="AO171" s="7"/>
      <c r="AP171" s="7"/>
    </row>
    <row r="172" spans="2:42">
      <c r="B172" s="61">
        <f>Calculator!F62</f>
        <v>0</v>
      </c>
      <c r="C172" s="61">
        <f>Calculator!G62</f>
        <v>0</v>
      </c>
      <c r="D172" s="22" t="str">
        <f>IF(C172&lt;15,"&lt; 15","≥ 15")</f>
        <v>&lt; 15</v>
      </c>
      <c r="E172" s="57">
        <f>Calculator!H62</f>
        <v>0</v>
      </c>
      <c r="F172" s="23" t="e">
        <f>INDEX($T$139:$T$150,MATCH(E172,BuildingTypeOven,0))</f>
        <v>#N/A</v>
      </c>
      <c r="G172" s="23" t="e">
        <f>INDEX($U$139:$U$150,MATCH(E172,BuildingTypeOven,0))</f>
        <v>#N/A</v>
      </c>
      <c r="H172" s="23">
        <f>VLOOKUP(D172,$B$163:$F$164,3,FALSE)</f>
        <v>1.32</v>
      </c>
      <c r="I172" s="23">
        <f>VLOOKUP(D172,$B$163:$F$164,4,FALSE)</f>
        <v>0.72</v>
      </c>
      <c r="J172" s="23">
        <f>VLOOKUP(D172,$B$163:$F$164,5,FALSE)</f>
        <v>79</v>
      </c>
      <c r="K172" s="23" t="e">
        <f>B172*($E$157*$E$155/I172+H172*(F172-$E$157/J172))*$E$159*$G$172</f>
        <v>#N/A</v>
      </c>
      <c r="L172" s="23">
        <f>VLOOKUP(D172,$B$165:$F$166,3,FALSE)</f>
        <v>5.26</v>
      </c>
      <c r="M172" s="23">
        <f>VLOOKUP(D172,$B$165:$F$166,4,FALSE)</f>
        <v>0.49</v>
      </c>
      <c r="N172" s="23">
        <f>VLOOKUP(D172,$B$165:$F$166,5,FALSE)</f>
        <v>126</v>
      </c>
      <c r="O172" s="23" t="e">
        <f>B172*($E$157*$E$156/M172+L172*($F172-$E$157/N172))*$E$159*$G$172</f>
        <v>#N/A</v>
      </c>
      <c r="P172" s="23">
        <f>VLOOKUP(D172,$H$163:$M$164,3,FALSE)*C172+VLOOKUP(D172,$H$163:$M$164,4,FALSE)</f>
        <v>0.49890000000000001</v>
      </c>
      <c r="Q172" s="23">
        <f>VLOOKUP(D172,$H$163:$M$164,5,FALSE)</f>
        <v>0.76</v>
      </c>
      <c r="R172" s="23">
        <f>VLOOKUP(D172,$H$163:$M$164,6,FALSE)</f>
        <v>119</v>
      </c>
      <c r="S172" s="23" t="e">
        <f>B172*($E$157*$E$155/Q172+P172*($F172-$E$157/R172))*$E$159*$G$172</f>
        <v>#N/A</v>
      </c>
      <c r="T172" s="23">
        <f>VLOOKUP(D172,$H$165:$M$166,3,FALSE)*C172+VLOOKUP(D172,$H$165:$M$166,4,FALSE)</f>
        <v>0.64</v>
      </c>
      <c r="U172" s="23">
        <f>VLOOKUP(D172,$H$165:$M$166,5,FALSE)</f>
        <v>0.55000000000000004</v>
      </c>
      <c r="V172" s="23">
        <f>VLOOKUP(D172,$H$165:$M$166,6,FALSE)</f>
        <v>177</v>
      </c>
      <c r="W172" s="23" t="e">
        <f>B172*($E$157*$E$156/U172+T172*($F172-$E$157/V172))*$E$159*$G$172</f>
        <v>#N/A</v>
      </c>
      <c r="X172" s="23">
        <f>IF(B172=0,0,K172+O172)</f>
        <v>0</v>
      </c>
      <c r="Y172" s="23">
        <f>IF(B172=0,0,S172+W172)</f>
        <v>0</v>
      </c>
      <c r="Z172" s="23">
        <f>IFERROR(AA172/F172/G172,0)</f>
        <v>0</v>
      </c>
      <c r="AA172" s="300">
        <f>X172-Y172</f>
        <v>0</v>
      </c>
      <c r="AB172" s="234">
        <f>IFERROR(ROUND(B172*$H$155,2),"")</f>
        <v>0</v>
      </c>
      <c r="AC172" s="2"/>
      <c r="AD172" s="2"/>
      <c r="AE172" s="2"/>
      <c r="AF172" s="2"/>
      <c r="AG172" s="2"/>
      <c r="AH172" s="2"/>
      <c r="AI172" s="2"/>
      <c r="AJ172" s="2"/>
    </row>
    <row r="173" spans="2:42">
      <c r="B173" s="61">
        <f>Calculator!F63</f>
        <v>0</v>
      </c>
      <c r="C173" s="61">
        <f>Calculator!G63</f>
        <v>0</v>
      </c>
      <c r="D173" s="22" t="str">
        <f>IF(C173&lt;15,"&lt; 15","≥ 15")</f>
        <v>&lt; 15</v>
      </c>
      <c r="E173" s="57">
        <f>Calculator!H63</f>
        <v>0</v>
      </c>
      <c r="F173" s="23" t="e">
        <f>INDEX($T$139:$T$150,MATCH(E173,BuildingTypeOven,0))</f>
        <v>#N/A</v>
      </c>
      <c r="G173" s="23" t="e">
        <f>INDEX($U$139:$U$150,MATCH(E173,BuildingTypeOven,0))</f>
        <v>#N/A</v>
      </c>
      <c r="H173" s="23">
        <f>VLOOKUP(D173,$B$163:$F$164,3,FALSE)</f>
        <v>1.32</v>
      </c>
      <c r="I173" s="23">
        <f>VLOOKUP(D173,$B$163:$F$164,4,FALSE)</f>
        <v>0.72</v>
      </c>
      <c r="J173" s="23">
        <f>VLOOKUP(D173,$B$163:$F$164,5,FALSE)</f>
        <v>79</v>
      </c>
      <c r="K173" s="23" t="e">
        <f>($E$157*$E$155/I173+H173*(F173-$E$157/J173))*$E$159*$G$173</f>
        <v>#N/A</v>
      </c>
      <c r="L173" s="23">
        <f>VLOOKUP(D173,$B$165:$F$166,3,FALSE)</f>
        <v>5.26</v>
      </c>
      <c r="M173" s="23">
        <f>VLOOKUP(D173,$B$165:$F$166,4,FALSE)</f>
        <v>0.49</v>
      </c>
      <c r="N173" s="23">
        <f>VLOOKUP(D173,$B$165:$F$166,5,FALSE)</f>
        <v>126</v>
      </c>
      <c r="O173" s="23" t="e">
        <f>($E$157*$E$156/M173+L173*($F173-$E$157/N173))*$E$159*$G$173</f>
        <v>#N/A</v>
      </c>
      <c r="P173" s="23">
        <f>VLOOKUP(D173,$H$163:$M$164,3,FALSE)*C173+VLOOKUP(D173,$H$163:$M$164,4,FALSE)</f>
        <v>0.49890000000000001</v>
      </c>
      <c r="Q173" s="23">
        <f>VLOOKUP(D173,$H$163:$M$164,5,FALSE)</f>
        <v>0.76</v>
      </c>
      <c r="R173" s="23">
        <f>VLOOKUP(D173,$H$163:$M$164,6,FALSE)</f>
        <v>119</v>
      </c>
      <c r="S173" s="23" t="e">
        <f>($E$157*$E$155/Q173+P173*($F173-$E$157/R173))*$E$159*$G$173</f>
        <v>#N/A</v>
      </c>
      <c r="T173" s="23">
        <f>VLOOKUP(D173,$H$165:$M$166,3,FALSE)*C173+VLOOKUP(D173,$H$165:$M$166,4,FALSE)</f>
        <v>0.64</v>
      </c>
      <c r="U173" s="23">
        <f>VLOOKUP(D173,$H$165:$M$166,5,FALSE)</f>
        <v>0.55000000000000004</v>
      </c>
      <c r="V173" s="23">
        <f>VLOOKUP(D173,$H$165:$M$166,6,FALSE)</f>
        <v>177</v>
      </c>
      <c r="W173" s="23" t="e">
        <f>($E$157*$E$156/U173+T173*($F173-$E$157/V173))*$E$159*$G$173</f>
        <v>#N/A</v>
      </c>
      <c r="X173" s="23">
        <f t="shared" ref="X173:X175" si="32">IF(B173=0,0,K173+O173)</f>
        <v>0</v>
      </c>
      <c r="Y173" s="23">
        <f t="shared" ref="Y173:Y175" si="33">IF(B173=0,0,S173+W173)</f>
        <v>0</v>
      </c>
      <c r="Z173" s="23">
        <f>IFERROR(AA173/F173/G173,0)</f>
        <v>0</v>
      </c>
      <c r="AA173" s="300">
        <f t="shared" ref="AA173:AA175" si="34">X173-Y173</f>
        <v>0</v>
      </c>
      <c r="AB173" s="234">
        <f t="shared" ref="AB173:AB175" si="35">IFERROR(ROUND(B173*$H$155,2),"")</f>
        <v>0</v>
      </c>
      <c r="AC173" s="2"/>
      <c r="AD173" s="2"/>
      <c r="AE173" s="2"/>
      <c r="AF173" s="2"/>
      <c r="AG173" s="2"/>
      <c r="AH173" s="2"/>
      <c r="AI173" s="2"/>
      <c r="AJ173" s="2"/>
    </row>
    <row r="174" spans="2:42">
      <c r="B174" s="61">
        <f>Calculator!F64</f>
        <v>0</v>
      </c>
      <c r="C174" s="61">
        <f>Calculator!G64</f>
        <v>0</v>
      </c>
      <c r="D174" s="22" t="str">
        <f>IF(C174&lt;15,"&lt; 15","≥ 15")</f>
        <v>&lt; 15</v>
      </c>
      <c r="E174" s="57">
        <f>Calculator!H64</f>
        <v>0</v>
      </c>
      <c r="F174" s="23" t="e">
        <f>INDEX($T$139:$T$150,MATCH(E174,BuildingTypeOven,0))</f>
        <v>#N/A</v>
      </c>
      <c r="G174" s="23" t="e">
        <f>INDEX($U$139:$U$150,MATCH(E174,BuildingTypeOven,0))</f>
        <v>#N/A</v>
      </c>
      <c r="H174" s="23">
        <f>VLOOKUP(D174,$B$163:$F$164,3,FALSE)</f>
        <v>1.32</v>
      </c>
      <c r="I174" s="23">
        <f>VLOOKUP(D174,$B$163:$F$164,4,FALSE)</f>
        <v>0.72</v>
      </c>
      <c r="J174" s="23">
        <f>VLOOKUP(D174,$B$163:$F$164,5,FALSE)</f>
        <v>79</v>
      </c>
      <c r="K174" s="23" t="e">
        <f>($E$157*$E$155/I174+H174*(F174-$E$157/J174))*$E$159*$G$174</f>
        <v>#N/A</v>
      </c>
      <c r="L174" s="23">
        <f>VLOOKUP(D174,$B$165:$F$166,3,FALSE)</f>
        <v>5.26</v>
      </c>
      <c r="M174" s="23">
        <f>VLOOKUP(D174,$B$165:$F$166,4,FALSE)</f>
        <v>0.49</v>
      </c>
      <c r="N174" s="23">
        <f>VLOOKUP(D174,$B$165:$F$166,5,FALSE)</f>
        <v>126</v>
      </c>
      <c r="O174" s="23" t="e">
        <f>($E$157*$E$156/M174+L174*($F174-$E$157/N174))*$E$159*$G$174</f>
        <v>#N/A</v>
      </c>
      <c r="P174" s="23">
        <f>VLOOKUP(D174,$H$163:$M$164,3,FALSE)*C174+VLOOKUP(D174,$H$163:$M$164,4,FALSE)</f>
        <v>0.49890000000000001</v>
      </c>
      <c r="Q174" s="23">
        <f>VLOOKUP(D174,$H$163:$M$164,5,FALSE)</f>
        <v>0.76</v>
      </c>
      <c r="R174" s="23">
        <f>VLOOKUP(D174,$H$163:$M$164,6,FALSE)</f>
        <v>119</v>
      </c>
      <c r="S174" s="23" t="e">
        <f>($E$157*$E$155/Q174+P174*($F174-$E$157/R174))*$E$159*$G$174</f>
        <v>#N/A</v>
      </c>
      <c r="T174" s="23">
        <f>VLOOKUP(D174,$H$165:$M$166,3,FALSE)*C174+VLOOKUP(D174,$H$165:$M$166,4,FALSE)</f>
        <v>0.64</v>
      </c>
      <c r="U174" s="23">
        <f>VLOOKUP(D174,$H$165:$M$166,5,FALSE)</f>
        <v>0.55000000000000004</v>
      </c>
      <c r="V174" s="23">
        <f>VLOOKUP(D174,$H$165:$M$166,6,FALSE)</f>
        <v>177</v>
      </c>
      <c r="W174" s="23" t="e">
        <f>($E$157*$E$156/U174+T174*($F174-$E$157/V174))*$E$159*$G$174</f>
        <v>#N/A</v>
      </c>
      <c r="X174" s="23">
        <f t="shared" si="32"/>
        <v>0</v>
      </c>
      <c r="Y174" s="23">
        <f t="shared" si="33"/>
        <v>0</v>
      </c>
      <c r="Z174" s="23">
        <f>IFERROR(AA174/F174/G174,0)</f>
        <v>0</v>
      </c>
      <c r="AA174" s="300">
        <f t="shared" si="34"/>
        <v>0</v>
      </c>
      <c r="AB174" s="234">
        <f t="shared" si="35"/>
        <v>0</v>
      </c>
      <c r="AC174" s="2"/>
      <c r="AD174" s="2"/>
      <c r="AE174" s="2"/>
      <c r="AF174" s="2"/>
      <c r="AG174" s="2"/>
      <c r="AH174" s="2"/>
      <c r="AI174" s="2"/>
      <c r="AJ174" s="2"/>
    </row>
    <row r="175" spans="2:42">
      <c r="B175" s="61">
        <f>Calculator!F65</f>
        <v>0</v>
      </c>
      <c r="C175" s="61">
        <f>Calculator!G65</f>
        <v>0</v>
      </c>
      <c r="D175" s="22" t="str">
        <f t="shared" ref="D175" si="36">IF(C175&lt;15,"&lt; 15","≥ 15")</f>
        <v>&lt; 15</v>
      </c>
      <c r="E175" s="57">
        <f>Calculator!H65</f>
        <v>0</v>
      </c>
      <c r="F175" s="23" t="e">
        <f>INDEX($T$139:$T$150,MATCH(E175,BuildingTypeOven,0))</f>
        <v>#N/A</v>
      </c>
      <c r="G175" s="23" t="e">
        <f>INDEX($U$139:$U$150,MATCH(E175,BuildingTypeOven,0))</f>
        <v>#N/A</v>
      </c>
      <c r="H175" s="23">
        <f>VLOOKUP(D175,$B$163:$F$164,3,FALSE)</f>
        <v>1.32</v>
      </c>
      <c r="I175" s="23">
        <f>VLOOKUP(D175,$B$163:$F$164,4,FALSE)</f>
        <v>0.72</v>
      </c>
      <c r="J175" s="23">
        <f>VLOOKUP(D175,$B$163:$F$164,5,FALSE)</f>
        <v>79</v>
      </c>
      <c r="K175" s="23" t="e">
        <f>($E$157*$E$155/I175+H175*(F175-$E$157/J175))*$E$159*$G$175</f>
        <v>#N/A</v>
      </c>
      <c r="L175" s="23">
        <f>VLOOKUP(D175,$B$165:$F$166,3,FALSE)</f>
        <v>5.26</v>
      </c>
      <c r="M175" s="23">
        <f>VLOOKUP(D175,$B$165:$F$166,4,FALSE)</f>
        <v>0.49</v>
      </c>
      <c r="N175" s="23">
        <f>VLOOKUP(D175,$B$165:$F$166,5,FALSE)</f>
        <v>126</v>
      </c>
      <c r="O175" s="23" t="e">
        <f>($E$157*$E$156/M175+L175*($F175-$E$157/N175))*$E$159*$G$175</f>
        <v>#N/A</v>
      </c>
      <c r="P175" s="23">
        <f>VLOOKUP(D175,$H$163:$M$164,3,FALSE)*C175+VLOOKUP(D175,$H$163:$M$164,4,FALSE)</f>
        <v>0.49890000000000001</v>
      </c>
      <c r="Q175" s="23">
        <f>VLOOKUP(D175,$H$163:$M$164,5,FALSE)</f>
        <v>0.76</v>
      </c>
      <c r="R175" s="23">
        <f>VLOOKUP(D175,$H$163:$M$164,6,FALSE)</f>
        <v>119</v>
      </c>
      <c r="S175" s="23" t="e">
        <f>($E$157*$E$155/Q175+P175*($F175-$E$157/R175))*$G$175*$E$158</f>
        <v>#N/A</v>
      </c>
      <c r="T175" s="23">
        <f>VLOOKUP(D175,$H$165:$M$166,3,FALSE)*C175+VLOOKUP(D175,$H$165:$M$166,4,FALSE)</f>
        <v>0.64</v>
      </c>
      <c r="U175" s="23">
        <f>VLOOKUP(D175,$H$165:$M$166,5,FALSE)</f>
        <v>0.55000000000000004</v>
      </c>
      <c r="V175" s="23">
        <f>VLOOKUP(D175,$H$165:$M$166,6,FALSE)</f>
        <v>177</v>
      </c>
      <c r="W175" s="23" t="e">
        <f>($E$157*$E$156/U175+T175*($F175-$E$157/V175))*$E$159*$G$175</f>
        <v>#N/A</v>
      </c>
      <c r="X175" s="23">
        <f t="shared" si="32"/>
        <v>0</v>
      </c>
      <c r="Y175" s="23">
        <f t="shared" si="33"/>
        <v>0</v>
      </c>
      <c r="Z175" s="23">
        <f>IFERROR(AA175/F175/G175,0)</f>
        <v>0</v>
      </c>
      <c r="AA175" s="300">
        <f t="shared" si="34"/>
        <v>0</v>
      </c>
      <c r="AB175" s="234">
        <f t="shared" si="35"/>
        <v>0</v>
      </c>
      <c r="AC175" s="2"/>
      <c r="AD175" s="2"/>
      <c r="AE175" s="2"/>
      <c r="AF175" s="2"/>
      <c r="AG175" s="2"/>
      <c r="AH175" s="2"/>
      <c r="AI175" s="2"/>
      <c r="AJ175" s="2"/>
    </row>
    <row r="177" spans="2:24" s="52" customFormat="1" ht="18.600000000000001" customHeight="1" thickBot="1">
      <c r="B177" s="378" t="s">
        <v>83</v>
      </c>
      <c r="C177" s="378"/>
      <c r="D177" s="378"/>
      <c r="E177" s="378"/>
      <c r="F177" s="378"/>
      <c r="G177" s="378"/>
      <c r="H177" s="378"/>
      <c r="I177" s="378"/>
      <c r="J177" s="378"/>
      <c r="K177" s="51"/>
      <c r="L177" s="51"/>
      <c r="M177" s="51"/>
      <c r="N177" s="51"/>
      <c r="O177" s="51"/>
      <c r="P177" s="51"/>
      <c r="Q177" s="51"/>
      <c r="R177" s="51"/>
      <c r="S177" s="51"/>
      <c r="T177" s="51"/>
      <c r="U177" s="51"/>
      <c r="V177" s="51"/>
      <c r="W177" s="51"/>
    </row>
    <row r="178" spans="2:24" ht="18">
      <c r="B178" s="8" t="s">
        <v>37</v>
      </c>
      <c r="D178" s="8" t="s">
        <v>16</v>
      </c>
      <c r="H178" s="8" t="s">
        <v>96</v>
      </c>
      <c r="R178" s="7"/>
      <c r="S178" s="7"/>
      <c r="T178" s="7"/>
      <c r="U178" s="7"/>
      <c r="V178" s="7"/>
      <c r="W178" s="7"/>
    </row>
    <row r="179" spans="2:24" ht="15">
      <c r="B179" s="45" t="s">
        <v>84</v>
      </c>
      <c r="C179" s="213" t="s">
        <v>369</v>
      </c>
      <c r="D179" s="43" t="s">
        <v>81</v>
      </c>
      <c r="E179" s="43">
        <v>3.0800000000000001E-2</v>
      </c>
      <c r="F179" s="19" t="s">
        <v>58</v>
      </c>
      <c r="H179" s="264">
        <v>125</v>
      </c>
      <c r="I179" s="19" t="s">
        <v>418</v>
      </c>
      <c r="R179" s="7"/>
      <c r="T179" s="7"/>
      <c r="U179" s="7"/>
      <c r="V179" s="7"/>
      <c r="W179" s="7"/>
    </row>
    <row r="180" spans="2:24">
      <c r="B180" s="45" t="s">
        <v>85</v>
      </c>
      <c r="C180" s="62" t="s">
        <v>367</v>
      </c>
      <c r="D180" s="43"/>
      <c r="E180" s="43"/>
      <c r="F180" s="19" t="s">
        <v>58</v>
      </c>
      <c r="R180" s="7"/>
      <c r="T180" s="7"/>
      <c r="U180" s="7"/>
      <c r="V180" s="7"/>
      <c r="W180" s="7"/>
    </row>
    <row r="181" spans="2:24" ht="15">
      <c r="B181" s="45" t="s">
        <v>86</v>
      </c>
      <c r="C181" s="213" t="s">
        <v>452</v>
      </c>
      <c r="D181" s="43" t="s">
        <v>64</v>
      </c>
      <c r="E181" s="43">
        <v>100</v>
      </c>
      <c r="F181" s="19" t="s">
        <v>90</v>
      </c>
      <c r="R181" s="7"/>
      <c r="T181" s="7"/>
      <c r="U181" s="7"/>
      <c r="V181" s="7"/>
      <c r="W181" s="7"/>
    </row>
    <row r="182" spans="2:24">
      <c r="C182" s="62" t="s">
        <v>356</v>
      </c>
      <c r="D182" s="43" t="s">
        <v>60</v>
      </c>
      <c r="E182" s="43">
        <v>365</v>
      </c>
      <c r="F182" s="19" t="s">
        <v>89</v>
      </c>
      <c r="R182" s="7"/>
      <c r="T182" s="7"/>
      <c r="U182" s="7"/>
      <c r="V182" s="7"/>
      <c r="W182" s="7"/>
    </row>
    <row r="183" spans="2:24" ht="15">
      <c r="C183" s="213" t="s">
        <v>471</v>
      </c>
      <c r="D183" s="43" t="s">
        <v>49</v>
      </c>
      <c r="E183" s="43">
        <v>12</v>
      </c>
      <c r="F183" s="19" t="s">
        <v>88</v>
      </c>
      <c r="R183" s="7"/>
      <c r="T183" s="7"/>
      <c r="U183" s="7"/>
      <c r="V183" s="7"/>
      <c r="W183" s="7"/>
    </row>
    <row r="184" spans="2:24">
      <c r="C184" s="62" t="s">
        <v>460</v>
      </c>
      <c r="D184" s="43" t="s">
        <v>91</v>
      </c>
      <c r="E184" s="43">
        <v>23.3</v>
      </c>
      <c r="F184" s="19" t="s">
        <v>219</v>
      </c>
      <c r="R184" s="7"/>
      <c r="T184" s="7"/>
      <c r="U184" s="7"/>
      <c r="V184" s="7"/>
      <c r="W184" s="7"/>
    </row>
    <row r="185" spans="2:24">
      <c r="D185" s="43" t="s">
        <v>92</v>
      </c>
      <c r="E185" s="43">
        <v>16.7</v>
      </c>
      <c r="F185" s="19" t="s">
        <v>219</v>
      </c>
      <c r="R185" s="7"/>
      <c r="T185" s="7"/>
      <c r="U185" s="7"/>
      <c r="V185" s="7"/>
      <c r="W185" s="7"/>
    </row>
    <row r="186" spans="2:24">
      <c r="D186" s="43" t="s">
        <v>93</v>
      </c>
      <c r="E186" s="53">
        <v>0.4</v>
      </c>
      <c r="F186" s="19"/>
      <c r="R186" s="7"/>
      <c r="T186" s="7"/>
      <c r="U186" s="7"/>
      <c r="V186" s="7"/>
      <c r="W186" s="7"/>
    </row>
    <row r="188" spans="2:24" ht="18">
      <c r="B188" s="8" t="s">
        <v>61</v>
      </c>
      <c r="C188" s="7"/>
      <c r="H188" s="8" t="s">
        <v>62</v>
      </c>
      <c r="K188" s="7"/>
      <c r="P188" s="7"/>
      <c r="Q188" s="7"/>
      <c r="R188" s="7"/>
      <c r="S188" s="7"/>
      <c r="T188" s="7"/>
      <c r="U188" s="7"/>
      <c r="V188" s="8"/>
      <c r="W188" s="7"/>
    </row>
    <row r="189" spans="2:24" s="13" customFormat="1" ht="34.15" customHeight="1">
      <c r="B189" s="64" t="s">
        <v>43</v>
      </c>
      <c r="C189" s="24" t="s">
        <v>84</v>
      </c>
      <c r="D189" s="24" t="s">
        <v>73</v>
      </c>
      <c r="E189" s="25" t="s">
        <v>54</v>
      </c>
      <c r="F189" s="25" t="s">
        <v>55</v>
      </c>
      <c r="G189" s="2"/>
      <c r="H189" s="24" t="s">
        <v>73</v>
      </c>
      <c r="I189" s="25" t="s">
        <v>54</v>
      </c>
      <c r="J189" s="25" t="s">
        <v>55</v>
      </c>
      <c r="K189" s="25" t="s">
        <v>56</v>
      </c>
      <c r="L189" s="7"/>
      <c r="V189" s="180"/>
      <c r="W189" s="181"/>
    </row>
    <row r="190" spans="2:24" ht="14.25" customHeight="1">
      <c r="B190" s="65" t="str">
        <f>CONCATENATE(C190,D190)</f>
        <v>Steam Generator3</v>
      </c>
      <c r="C190" s="45" t="s">
        <v>85</v>
      </c>
      <c r="D190" s="45">
        <v>3</v>
      </c>
      <c r="E190" s="57">
        <v>1.2</v>
      </c>
      <c r="F190" s="44">
        <v>0.3</v>
      </c>
      <c r="H190" s="45">
        <v>3</v>
      </c>
      <c r="I190" s="57">
        <v>0.4</v>
      </c>
      <c r="J190" s="44">
        <v>0.5</v>
      </c>
      <c r="K190" s="57"/>
      <c r="L190" s="7"/>
      <c r="M190" s="7"/>
      <c r="N190" s="7"/>
      <c r="O190" s="7"/>
      <c r="P190" s="7"/>
      <c r="Q190" s="7"/>
      <c r="R190" s="7"/>
      <c r="S190" s="7"/>
      <c r="T190" s="7"/>
      <c r="U190" s="7"/>
      <c r="W190" s="182"/>
    </row>
    <row r="191" spans="2:24" ht="15">
      <c r="B191" s="65" t="str">
        <f t="shared" ref="B191:B197" si="37">CONCATENATE(C191,D191)</f>
        <v>Steam Generator4</v>
      </c>
      <c r="C191" s="45" t="s">
        <v>85</v>
      </c>
      <c r="D191" s="45">
        <v>4</v>
      </c>
      <c r="E191" s="57">
        <v>1.2</v>
      </c>
      <c r="F191" s="44">
        <v>0.3</v>
      </c>
      <c r="H191" s="45">
        <v>4</v>
      </c>
      <c r="I191" s="57">
        <v>0.53</v>
      </c>
      <c r="J191" s="44">
        <v>0.5</v>
      </c>
      <c r="K191" s="57"/>
      <c r="L191" s="7"/>
      <c r="M191" s="7"/>
      <c r="N191" s="7"/>
      <c r="O191" s="7"/>
      <c r="P191" s="7"/>
      <c r="Q191" s="7"/>
      <c r="R191" s="7"/>
      <c r="S191" s="7"/>
      <c r="T191" s="7"/>
      <c r="U191" s="7"/>
      <c r="W191" s="182"/>
    </row>
    <row r="192" spans="2:24" ht="15">
      <c r="B192" s="65" t="str">
        <f t="shared" si="37"/>
        <v>Steam Generator5</v>
      </c>
      <c r="C192" s="45" t="s">
        <v>85</v>
      </c>
      <c r="D192" s="45">
        <v>5</v>
      </c>
      <c r="E192" s="57">
        <v>1.2</v>
      </c>
      <c r="F192" s="44">
        <v>0.3</v>
      </c>
      <c r="H192" s="45">
        <v>5</v>
      </c>
      <c r="I192" s="57">
        <v>0.67</v>
      </c>
      <c r="J192" s="44">
        <v>0.5</v>
      </c>
      <c r="K192" s="57"/>
      <c r="L192" s="7"/>
      <c r="M192" s="7"/>
      <c r="N192" s="7"/>
      <c r="O192" s="7"/>
      <c r="P192" s="7"/>
      <c r="Q192" s="7"/>
      <c r="R192" s="7"/>
      <c r="S192" s="7"/>
      <c r="T192" s="7"/>
      <c r="U192" s="7"/>
      <c r="W192" s="182"/>
      <c r="X192" s="183"/>
    </row>
    <row r="193" spans="2:38" ht="15">
      <c r="B193" s="65" t="str">
        <f t="shared" si="37"/>
        <v>Steam Generator6+</v>
      </c>
      <c r="C193" s="45" t="s">
        <v>85</v>
      </c>
      <c r="D193" s="45" t="s">
        <v>87</v>
      </c>
      <c r="E193" s="57">
        <v>1.2</v>
      </c>
      <c r="F193" s="44">
        <v>0.3</v>
      </c>
      <c r="H193" s="45" t="s">
        <v>87</v>
      </c>
      <c r="I193" s="57">
        <v>0.8</v>
      </c>
      <c r="J193" s="44">
        <v>0.5</v>
      </c>
      <c r="K193" s="57"/>
      <c r="L193" s="7"/>
      <c r="M193" s="7"/>
      <c r="N193" s="7"/>
      <c r="O193" s="7"/>
      <c r="P193" s="7"/>
      <c r="Q193" s="7"/>
      <c r="R193" s="7"/>
      <c r="S193" s="7"/>
      <c r="T193" s="7"/>
      <c r="U193" s="7"/>
      <c r="W193" s="182"/>
      <c r="X193" s="183"/>
    </row>
    <row r="194" spans="2:38" ht="15">
      <c r="B194" s="65" t="str">
        <f t="shared" si="37"/>
        <v>Boiler Based3</v>
      </c>
      <c r="C194" s="60" t="s">
        <v>86</v>
      </c>
      <c r="D194" s="45">
        <v>3</v>
      </c>
      <c r="E194" s="57">
        <v>1</v>
      </c>
      <c r="F194" s="44">
        <v>0.26</v>
      </c>
      <c r="I194" s="77"/>
      <c r="J194" s="76"/>
      <c r="K194" s="77"/>
      <c r="L194" s="7"/>
      <c r="M194" s="7"/>
      <c r="N194" s="7"/>
      <c r="O194" s="7"/>
      <c r="P194" s="7"/>
      <c r="Q194" s="7"/>
      <c r="R194" s="7"/>
      <c r="S194" s="7"/>
      <c r="T194" s="7"/>
      <c r="U194" s="7"/>
      <c r="V194" s="7"/>
      <c r="W194" s="7"/>
    </row>
    <row r="195" spans="2:38" ht="15">
      <c r="B195" s="65" t="str">
        <f t="shared" si="37"/>
        <v>Boiler Based4</v>
      </c>
      <c r="C195" s="60" t="s">
        <v>86</v>
      </c>
      <c r="D195" s="45">
        <v>4</v>
      </c>
      <c r="E195" s="57">
        <v>1</v>
      </c>
      <c r="F195" s="44">
        <v>0.26</v>
      </c>
      <c r="I195" s="77"/>
      <c r="J195" s="76"/>
      <c r="K195" s="77"/>
      <c r="L195" s="7"/>
      <c r="M195" s="7"/>
      <c r="N195" s="7"/>
      <c r="O195" s="7"/>
      <c r="P195" s="7"/>
      <c r="Q195" s="7"/>
      <c r="R195" s="7"/>
      <c r="S195" s="7"/>
      <c r="T195" s="7"/>
      <c r="U195" s="7"/>
      <c r="V195" s="7"/>
      <c r="W195" s="7"/>
    </row>
    <row r="196" spans="2:38" ht="15">
      <c r="B196" s="65" t="str">
        <f t="shared" si="37"/>
        <v>Boiler Based5</v>
      </c>
      <c r="C196" s="60" t="s">
        <v>86</v>
      </c>
      <c r="D196" s="45">
        <v>5</v>
      </c>
      <c r="E196" s="57">
        <v>1</v>
      </c>
      <c r="F196" s="44">
        <v>0.26</v>
      </c>
      <c r="I196" s="77"/>
      <c r="J196" s="76"/>
      <c r="K196" s="77"/>
      <c r="L196" s="7"/>
      <c r="M196" s="7"/>
      <c r="N196" s="7"/>
      <c r="O196" s="7"/>
      <c r="P196" s="7"/>
      <c r="Q196" s="7"/>
      <c r="R196" s="7"/>
      <c r="S196" s="7"/>
      <c r="T196" s="7"/>
      <c r="U196" s="7"/>
      <c r="V196" s="7"/>
      <c r="W196" s="7"/>
    </row>
    <row r="197" spans="2:38" ht="15">
      <c r="B197" s="65" t="str">
        <f t="shared" si="37"/>
        <v>Boiler Based6+</v>
      </c>
      <c r="C197" s="60" t="s">
        <v>86</v>
      </c>
      <c r="D197" s="45" t="s">
        <v>87</v>
      </c>
      <c r="E197" s="57">
        <v>1</v>
      </c>
      <c r="F197" s="44">
        <v>0.26</v>
      </c>
      <c r="I197" s="77"/>
      <c r="J197" s="76"/>
      <c r="K197" s="77"/>
      <c r="L197" s="7"/>
      <c r="M197" s="7"/>
      <c r="N197" s="7"/>
      <c r="O197" s="7"/>
      <c r="P197" s="7"/>
      <c r="Q197" s="7"/>
      <c r="R197" s="7"/>
      <c r="S197" s="7"/>
      <c r="T197" s="7"/>
      <c r="U197" s="7"/>
      <c r="V197" s="7"/>
      <c r="W197" s="7"/>
    </row>
    <row r="199" spans="2:38" ht="18" customHeight="1">
      <c r="B199" s="8" t="s">
        <v>5</v>
      </c>
    </row>
    <row r="200" spans="2:38" s="13" customFormat="1" ht="30" customHeight="1">
      <c r="B200" s="387" t="s">
        <v>155</v>
      </c>
      <c r="C200" s="387" t="s">
        <v>43</v>
      </c>
      <c r="D200" s="377" t="str">
        <f>Calculator!H69</f>
        <v>Baseline Type</v>
      </c>
      <c r="E200" s="385" t="s">
        <v>73</v>
      </c>
      <c r="F200" s="385" t="s">
        <v>73</v>
      </c>
      <c r="G200" s="388" t="s">
        <v>65</v>
      </c>
      <c r="H200" s="389"/>
      <c r="I200" s="389"/>
      <c r="J200" s="389"/>
      <c r="K200" s="389"/>
      <c r="L200" s="390"/>
      <c r="M200" s="388" t="s">
        <v>66</v>
      </c>
      <c r="N200" s="389"/>
      <c r="O200" s="389"/>
      <c r="P200" s="389"/>
      <c r="Q200" s="389"/>
      <c r="R200" s="390"/>
      <c r="S200" s="385" t="s">
        <v>45</v>
      </c>
      <c r="T200" s="385" t="s">
        <v>466</v>
      </c>
      <c r="U200" s="385" t="s">
        <v>468</v>
      </c>
      <c r="V200" s="385" t="s">
        <v>11</v>
      </c>
      <c r="W200" s="403" t="s">
        <v>416</v>
      </c>
      <c r="X200" s="2"/>
      <c r="Y200" s="2"/>
      <c r="Z200" s="2"/>
      <c r="AA200" s="2"/>
      <c r="AB200" s="2"/>
      <c r="AC200" s="2"/>
      <c r="AD200" s="2"/>
      <c r="AE200" s="2"/>
      <c r="AF200" s="2"/>
      <c r="AG200" s="7"/>
      <c r="AH200" s="7"/>
      <c r="AI200" s="7"/>
      <c r="AJ200" s="7"/>
      <c r="AK200" s="7"/>
      <c r="AL200" s="7"/>
    </row>
    <row r="201" spans="2:38" s="13" customFormat="1" ht="15">
      <c r="B201" s="387"/>
      <c r="C201" s="387"/>
      <c r="D201" s="377"/>
      <c r="E201" s="386"/>
      <c r="F201" s="386"/>
      <c r="G201" s="58" t="s">
        <v>54</v>
      </c>
      <c r="H201" s="58" t="s">
        <v>55</v>
      </c>
      <c r="I201" s="58" t="s">
        <v>56</v>
      </c>
      <c r="J201" s="101" t="s">
        <v>218</v>
      </c>
      <c r="K201" s="101" t="s">
        <v>216</v>
      </c>
      <c r="L201" s="101" t="s">
        <v>217</v>
      </c>
      <c r="M201" s="58" t="s">
        <v>54</v>
      </c>
      <c r="N201" s="58" t="s">
        <v>55</v>
      </c>
      <c r="O201" s="58" t="s">
        <v>56</v>
      </c>
      <c r="P201" s="101" t="s">
        <v>218</v>
      </c>
      <c r="Q201" s="101" t="s">
        <v>216</v>
      </c>
      <c r="R201" s="101" t="s">
        <v>217</v>
      </c>
      <c r="S201" s="386"/>
      <c r="T201" s="386"/>
      <c r="U201" s="386"/>
      <c r="V201" s="386"/>
      <c r="W201" s="404"/>
      <c r="X201" s="2"/>
      <c r="Y201" s="2"/>
      <c r="Z201" s="2"/>
      <c r="AA201" s="2"/>
      <c r="AB201" s="2"/>
      <c r="AC201" s="2"/>
      <c r="AD201" s="2"/>
      <c r="AE201" s="2"/>
      <c r="AF201" s="2"/>
      <c r="AG201" s="7"/>
      <c r="AH201" s="7"/>
      <c r="AI201" s="7"/>
      <c r="AJ201" s="7"/>
      <c r="AK201" s="7"/>
      <c r="AL201" s="7"/>
    </row>
    <row r="202" spans="2:38" ht="14.25" customHeight="1">
      <c r="B202" s="62">
        <f>Calculator!F70</f>
        <v>0</v>
      </c>
      <c r="C202" s="62" t="str">
        <f>CONCATENATE(D202,F202)</f>
        <v>00</v>
      </c>
      <c r="D202" s="62">
        <f>Calculator!H70</f>
        <v>0</v>
      </c>
      <c r="E202" s="62">
        <f>Calculator!G70</f>
        <v>0</v>
      </c>
      <c r="F202" s="22">
        <f>IF(E202&gt;5,"6+",E202)</f>
        <v>0</v>
      </c>
      <c r="G202" s="23" t="e">
        <f>VLOOKUP(C202,$B$190:$F$197,4,FALSE)</f>
        <v>#N/A</v>
      </c>
      <c r="H202" s="23" t="e">
        <f>VLOOKUP(C202,$B$190:$F$197,5,FALSE)</f>
        <v>#N/A</v>
      </c>
      <c r="I202" s="23">
        <f>$E$184</f>
        <v>23.3</v>
      </c>
      <c r="J202" s="23">
        <f>IFERROR($E$183-$E$181/($E$184*E202),0)</f>
        <v>0</v>
      </c>
      <c r="K202" s="23" t="e">
        <f>$E$181*$E$179/H202</f>
        <v>#N/A</v>
      </c>
      <c r="L202" s="23" t="e">
        <f>((1-$E$186)*G202+$E$186*I202*E202*$E$179/H202)*J202</f>
        <v>#N/A</v>
      </c>
      <c r="M202" s="23" t="e">
        <f>VLOOKUP(F202,$H$190:$J$193,2,FALSE)</f>
        <v>#N/A</v>
      </c>
      <c r="N202" s="23">
        <v>0.5</v>
      </c>
      <c r="O202" s="23">
        <f>$E$185</f>
        <v>16.7</v>
      </c>
      <c r="P202" s="23">
        <f>IFERROR($E$183-$E$181/($E$185*E202),0)</f>
        <v>0</v>
      </c>
      <c r="Q202" s="23">
        <f>$E$181*$E$179/N202</f>
        <v>6.16</v>
      </c>
      <c r="R202" s="23" t="e">
        <f>((1-$E$186)*M202+$E$186*O202*E202*$E$179/N202)*P202</f>
        <v>#N/A</v>
      </c>
      <c r="S202" s="23">
        <f>IF(V202="Ineligible Gas Boiler","Ineligible Gas Boiler",V202/$E$183/$E$182)</f>
        <v>0</v>
      </c>
      <c r="T202" s="23">
        <f>IF(D202=$C$194,"Ineligible Gas Boiler",IFERROR((K202+L202)*$E$182*B202,0))</f>
        <v>0</v>
      </c>
      <c r="U202" s="23">
        <f>IF(D202=$C$194,"Ineligible Gas Boiler",IFERROR(((Q202+R202))*$E$182*B202,0))</f>
        <v>0</v>
      </c>
      <c r="V202" s="23">
        <f>IF(D202=$C$194,"Ineligible Gas Boiler",IFERROR(((K202+L202)-(Q202+R202))*$E$182*B202,0))</f>
        <v>0</v>
      </c>
      <c r="W202" s="234">
        <f>IFERROR(ROUND(E202*B202*$H$179,2),"")</f>
        <v>0</v>
      </c>
      <c r="X202" s="2"/>
      <c r="Y202" s="2"/>
      <c r="Z202" s="2"/>
      <c r="AA202" s="2"/>
      <c r="AB202" s="2"/>
      <c r="AC202" s="2"/>
      <c r="AD202" s="2"/>
      <c r="AE202" s="2"/>
      <c r="AF202" s="2"/>
    </row>
    <row r="203" spans="2:38" ht="14.25" customHeight="1">
      <c r="B203" s="62">
        <f>Calculator!F71</f>
        <v>0</v>
      </c>
      <c r="C203" s="62" t="str">
        <f t="shared" ref="C203:C205" si="38">CONCATENATE(D203,F203)</f>
        <v>00</v>
      </c>
      <c r="D203" s="62">
        <f>Calculator!H71</f>
        <v>0</v>
      </c>
      <c r="E203" s="62">
        <f>Calculator!G71</f>
        <v>0</v>
      </c>
      <c r="F203" s="22">
        <f t="shared" ref="F203:F205" si="39">IF(E203&gt;5,"6+",E203)</f>
        <v>0</v>
      </c>
      <c r="G203" s="23" t="e">
        <f>VLOOKUP(C203,$B$190:$F$197,4,FALSE)</f>
        <v>#N/A</v>
      </c>
      <c r="H203" s="23" t="e">
        <f>VLOOKUP(C203,$B$190:$F$197,5,FALSE)</f>
        <v>#N/A</v>
      </c>
      <c r="I203" s="23">
        <f t="shared" ref="I203:I205" si="40">$E$184</f>
        <v>23.3</v>
      </c>
      <c r="J203" s="23">
        <f t="shared" ref="J203:J204" si="41">IFERROR($E$183-$E$181/($E$184*E203),0)</f>
        <v>0</v>
      </c>
      <c r="K203" s="23" t="e">
        <f t="shared" ref="K203:K205" si="42">$E$181*$E$179/H203</f>
        <v>#N/A</v>
      </c>
      <c r="L203" s="23" t="e">
        <f t="shared" ref="L203:L205" si="43">((1-$E$186)*G203+$E$186*I203*E203*$E$179/H203)*J203</f>
        <v>#N/A</v>
      </c>
      <c r="M203" s="23" t="e">
        <f>VLOOKUP(F203,$H$190:$J$193,2,FALSE)</f>
        <v>#N/A</v>
      </c>
      <c r="N203" s="23">
        <v>0.5</v>
      </c>
      <c r="O203" s="23">
        <f t="shared" ref="O203:O205" si="44">$E$185</f>
        <v>16.7</v>
      </c>
      <c r="P203" s="23">
        <f t="shared" ref="P203:P205" si="45">IFERROR($E$183-$E$181/($E$185*E203),0)</f>
        <v>0</v>
      </c>
      <c r="Q203" s="23">
        <f t="shared" ref="Q203:Q205" si="46">$E$181*$E$179/N203</f>
        <v>6.16</v>
      </c>
      <c r="R203" s="23" t="e">
        <f t="shared" ref="R203:R205" si="47">((1-$E$186)*M203+$E$186*O203*E203*$E$179/N203)*P203</f>
        <v>#N/A</v>
      </c>
      <c r="S203" s="23">
        <f>IF(V203="Ineligible Gas Boiler","Ineligible Gas Boiler",V203/$E$183/$E$182)</f>
        <v>0</v>
      </c>
      <c r="T203" s="23">
        <f t="shared" ref="T203:T205" si="48">IF(D203=$C$194,"Ineligible Gas Boiler",IFERROR((K203+L203)*$E$182*B203,0))</f>
        <v>0</v>
      </c>
      <c r="U203" s="23">
        <f t="shared" ref="U203:U205" si="49">IF(D203=$C$194,"Ineligible Gas Boiler",IFERROR(((Q203+R203))*$E$182*B203,0))</f>
        <v>0</v>
      </c>
      <c r="V203" s="23">
        <f>IF(D203=$C$194,"Ineligible Gas Boiler",IFERROR(((K203+L203)-(Q203+R203))*$E$182*B203,0))</f>
        <v>0</v>
      </c>
      <c r="W203" s="234">
        <f t="shared" ref="W203:W204" si="50">IFERROR(ROUND(E203*B203*$H$179,2),"")</f>
        <v>0</v>
      </c>
      <c r="X203" s="2"/>
      <c r="Y203" s="2"/>
      <c r="Z203" s="2"/>
      <c r="AA203" s="2"/>
      <c r="AB203" s="2"/>
      <c r="AC203" s="2"/>
      <c r="AD203" s="2"/>
      <c r="AE203" s="2"/>
      <c r="AF203" s="2"/>
    </row>
    <row r="204" spans="2:38" ht="14.25" customHeight="1">
      <c r="B204" s="62">
        <f>Calculator!F72</f>
        <v>0</v>
      </c>
      <c r="C204" s="62" t="str">
        <f t="shared" si="38"/>
        <v>00</v>
      </c>
      <c r="D204" s="62">
        <f>Calculator!H72</f>
        <v>0</v>
      </c>
      <c r="E204" s="62">
        <f>Calculator!G72</f>
        <v>0</v>
      </c>
      <c r="F204" s="22">
        <f t="shared" si="39"/>
        <v>0</v>
      </c>
      <c r="G204" s="23" t="e">
        <f>VLOOKUP(C204,$B$190:$F$197,4,FALSE)</f>
        <v>#N/A</v>
      </c>
      <c r="H204" s="23" t="e">
        <f>VLOOKUP(C204,$B$190:$F$197,5,FALSE)</f>
        <v>#N/A</v>
      </c>
      <c r="I204" s="23">
        <f t="shared" si="40"/>
        <v>23.3</v>
      </c>
      <c r="J204" s="23">
        <f t="shared" si="41"/>
        <v>0</v>
      </c>
      <c r="K204" s="23" t="e">
        <f t="shared" si="42"/>
        <v>#N/A</v>
      </c>
      <c r="L204" s="23" t="e">
        <f t="shared" si="43"/>
        <v>#N/A</v>
      </c>
      <c r="M204" s="23" t="e">
        <f>VLOOKUP(F204,$H$190:$J$193,2,FALSE)</f>
        <v>#N/A</v>
      </c>
      <c r="N204" s="23">
        <v>0.5</v>
      </c>
      <c r="O204" s="23">
        <f t="shared" si="44"/>
        <v>16.7</v>
      </c>
      <c r="P204" s="23">
        <f t="shared" si="45"/>
        <v>0</v>
      </c>
      <c r="Q204" s="23">
        <f t="shared" si="46"/>
        <v>6.16</v>
      </c>
      <c r="R204" s="23" t="e">
        <f t="shared" si="47"/>
        <v>#N/A</v>
      </c>
      <c r="S204" s="23">
        <f>IF(V204="Ineligible Gas Boiler","Ineligible Gas Boiler",V204/$E$183/$E$182)</f>
        <v>0</v>
      </c>
      <c r="T204" s="23">
        <f t="shared" si="48"/>
        <v>0</v>
      </c>
      <c r="U204" s="23">
        <f t="shared" si="49"/>
        <v>0</v>
      </c>
      <c r="V204" s="23">
        <f>IF(D204=$C$194,"Ineligible Gas Boiler",IFERROR(((K204+L204)-(Q204+R204))*$E$182*B204,0))</f>
        <v>0</v>
      </c>
      <c r="W204" s="234">
        <f t="shared" si="50"/>
        <v>0</v>
      </c>
      <c r="X204" s="2"/>
      <c r="Y204" s="2"/>
      <c r="Z204" s="2"/>
      <c r="AA204" s="2"/>
      <c r="AB204" s="2"/>
      <c r="AC204" s="2"/>
      <c r="AD204" s="2"/>
      <c r="AE204" s="2"/>
      <c r="AF204" s="2"/>
    </row>
    <row r="205" spans="2:38" ht="14.25" customHeight="1">
      <c r="B205" s="62">
        <f>Calculator!F73</f>
        <v>0</v>
      </c>
      <c r="C205" s="62" t="str">
        <f t="shared" si="38"/>
        <v>00</v>
      </c>
      <c r="D205" s="62">
        <f>Calculator!H73</f>
        <v>0</v>
      </c>
      <c r="E205" s="62">
        <f>Calculator!G73</f>
        <v>0</v>
      </c>
      <c r="F205" s="22">
        <f t="shared" si="39"/>
        <v>0</v>
      </c>
      <c r="G205" s="23" t="e">
        <f>VLOOKUP(C205,$B$190:$F$197,4,FALSE)</f>
        <v>#N/A</v>
      </c>
      <c r="H205" s="23" t="e">
        <f>VLOOKUP(C205,$B$190:$F$197,5,FALSE)</f>
        <v>#N/A</v>
      </c>
      <c r="I205" s="23">
        <f t="shared" si="40"/>
        <v>23.3</v>
      </c>
      <c r="J205" s="23">
        <f>IFERROR($E$183-$E$181/($E$184*E205),0)</f>
        <v>0</v>
      </c>
      <c r="K205" s="23" t="e">
        <f t="shared" si="42"/>
        <v>#N/A</v>
      </c>
      <c r="L205" s="23" t="e">
        <f t="shared" si="43"/>
        <v>#N/A</v>
      </c>
      <c r="M205" s="23" t="e">
        <f>VLOOKUP(F205,$H$190:$J$193,2,FALSE)</f>
        <v>#N/A</v>
      </c>
      <c r="N205" s="23">
        <v>0.5</v>
      </c>
      <c r="O205" s="23">
        <f t="shared" si="44"/>
        <v>16.7</v>
      </c>
      <c r="P205" s="23">
        <f t="shared" si="45"/>
        <v>0</v>
      </c>
      <c r="Q205" s="23">
        <f t="shared" si="46"/>
        <v>6.16</v>
      </c>
      <c r="R205" s="23" t="e">
        <f t="shared" si="47"/>
        <v>#N/A</v>
      </c>
      <c r="S205" s="23">
        <f>IF(V205="Ineligible Gas Boiler","Ineligible Gas Boiler",V205/$E$183/$E$182)</f>
        <v>0</v>
      </c>
      <c r="T205" s="23">
        <f t="shared" si="48"/>
        <v>0</v>
      </c>
      <c r="U205" s="23">
        <f t="shared" si="49"/>
        <v>0</v>
      </c>
      <c r="V205" s="23">
        <f>IF(D205=$C$194,"Ineligible Gas Boiler",IFERROR(((K205+L205)-(Q205+R205))*$E$182*B205,0))</f>
        <v>0</v>
      </c>
      <c r="W205" s="234">
        <f>IFERROR(ROUND(E205*B205*$H$179,2),"")</f>
        <v>0</v>
      </c>
      <c r="X205" s="2"/>
      <c r="Y205" s="2"/>
      <c r="Z205" s="2"/>
      <c r="AA205" s="2"/>
      <c r="AB205" s="2"/>
      <c r="AC205" s="2"/>
      <c r="AD205" s="2"/>
      <c r="AE205" s="2"/>
      <c r="AF205" s="2"/>
    </row>
    <row r="207" spans="2:38" s="52" customFormat="1" ht="18.600000000000001" customHeight="1" thickBot="1">
      <c r="B207" s="378" t="s">
        <v>247</v>
      </c>
      <c r="C207" s="378"/>
      <c r="D207" s="378"/>
      <c r="E207" s="378"/>
      <c r="F207" s="378"/>
      <c r="G207" s="378"/>
      <c r="H207" s="378"/>
      <c r="I207" s="378"/>
      <c r="J207" s="378"/>
      <c r="K207" s="51"/>
      <c r="L207" s="51"/>
      <c r="M207" s="51"/>
      <c r="N207" s="51"/>
      <c r="O207" s="51"/>
      <c r="P207" s="51"/>
      <c r="Q207" s="51"/>
      <c r="R207" s="51"/>
      <c r="S207" s="51"/>
      <c r="T207" s="51"/>
      <c r="U207" s="51"/>
      <c r="V207" s="51"/>
      <c r="W207" s="51"/>
    </row>
    <row r="208" spans="2:38" ht="18">
      <c r="B208" s="8" t="s">
        <v>37</v>
      </c>
      <c r="D208" s="8" t="s">
        <v>96</v>
      </c>
      <c r="O208" s="7"/>
      <c r="P208" s="7"/>
      <c r="Q208" s="7"/>
      <c r="R208" s="7"/>
      <c r="S208" s="7"/>
      <c r="T208" s="7"/>
      <c r="U208" s="7"/>
      <c r="V208" s="7"/>
      <c r="W208" s="7"/>
    </row>
    <row r="209" spans="2:23" ht="15">
      <c r="B209" s="45" t="s">
        <v>248</v>
      </c>
      <c r="C209" s="213" t="s">
        <v>452</v>
      </c>
      <c r="D209" s="264">
        <v>75</v>
      </c>
      <c r="E209" s="19" t="s">
        <v>282</v>
      </c>
      <c r="O209" s="7"/>
      <c r="Q209" s="7"/>
      <c r="R209" s="7"/>
      <c r="S209" s="7"/>
      <c r="T209" s="7"/>
      <c r="U209" s="7"/>
      <c r="V209" s="7"/>
      <c r="W209" s="7"/>
    </row>
    <row r="210" spans="2:23">
      <c r="B210" s="45" t="s">
        <v>249</v>
      </c>
      <c r="C210" s="62" t="s">
        <v>356</v>
      </c>
      <c r="O210" s="7"/>
      <c r="Q210" s="7"/>
      <c r="R210" s="7"/>
      <c r="S210" s="7"/>
      <c r="T210" s="7"/>
      <c r="U210" s="7"/>
      <c r="V210" s="7"/>
      <c r="W210" s="7"/>
    </row>
    <row r="211" spans="2:23" ht="15">
      <c r="B211" s="45" t="s">
        <v>250</v>
      </c>
      <c r="C211" s="213" t="s">
        <v>471</v>
      </c>
      <c r="O211" s="7"/>
      <c r="Q211" s="7"/>
      <c r="R211" s="7"/>
      <c r="S211" s="7"/>
      <c r="T211" s="7"/>
      <c r="U211" s="7"/>
      <c r="V211" s="7"/>
      <c r="W211" s="7"/>
    </row>
    <row r="212" spans="2:23">
      <c r="C212" s="62" t="s">
        <v>460</v>
      </c>
      <c r="O212" s="7"/>
      <c r="Q212" s="7"/>
      <c r="R212" s="7"/>
      <c r="S212" s="7"/>
      <c r="T212" s="7"/>
      <c r="U212" s="7"/>
      <c r="V212" s="7"/>
      <c r="W212" s="7"/>
    </row>
    <row r="213" spans="2:23" ht="18">
      <c r="B213" s="8" t="s">
        <v>147</v>
      </c>
      <c r="C213" s="7"/>
      <c r="L213" s="7"/>
      <c r="M213" s="7"/>
      <c r="N213" s="7"/>
      <c r="O213" s="7"/>
      <c r="P213" s="7"/>
      <c r="Q213" s="7"/>
      <c r="R213" s="7"/>
      <c r="S213" s="7"/>
      <c r="T213" s="7"/>
      <c r="U213" s="7"/>
      <c r="V213" s="7"/>
      <c r="W213" s="7"/>
    </row>
    <row r="214" spans="2:23" s="13" customFormat="1" ht="15">
      <c r="B214" s="64" t="s">
        <v>146</v>
      </c>
      <c r="C214" s="136" t="s">
        <v>148</v>
      </c>
      <c r="D214" s="2"/>
      <c r="E214" s="7"/>
    </row>
    <row r="215" spans="2:23" ht="14.25" customHeight="1">
      <c r="B215" s="45" t="s">
        <v>249</v>
      </c>
      <c r="C215" s="45">
        <v>71</v>
      </c>
      <c r="E215" s="7"/>
      <c r="F215" s="7"/>
      <c r="G215" s="7"/>
      <c r="H215" s="7"/>
      <c r="I215" s="7"/>
      <c r="J215" s="7"/>
      <c r="K215" s="7"/>
      <c r="L215" s="7"/>
      <c r="M215" s="7"/>
      <c r="N215" s="7"/>
      <c r="O215" s="7"/>
      <c r="P215" s="7"/>
      <c r="Q215" s="7"/>
      <c r="R215" s="7"/>
      <c r="S215" s="7"/>
      <c r="T215" s="7"/>
      <c r="U215" s="7"/>
      <c r="V215" s="7"/>
      <c r="W215" s="7"/>
    </row>
    <row r="216" spans="2:23">
      <c r="B216" s="45" t="s">
        <v>250</v>
      </c>
      <c r="C216" s="45">
        <v>180</v>
      </c>
      <c r="E216" s="7"/>
      <c r="F216" s="7"/>
      <c r="G216" s="7"/>
      <c r="H216" s="7"/>
      <c r="I216" s="7"/>
      <c r="J216" s="7"/>
      <c r="K216" s="7"/>
      <c r="L216" s="7"/>
      <c r="M216" s="7"/>
      <c r="N216" s="7"/>
      <c r="O216" s="7"/>
      <c r="P216" s="7"/>
      <c r="Q216" s="7"/>
      <c r="R216" s="7"/>
      <c r="S216" s="7"/>
      <c r="T216" s="7"/>
      <c r="U216" s="7"/>
      <c r="V216" s="7"/>
      <c r="W216" s="7"/>
    </row>
    <row r="218" spans="2:23" ht="18">
      <c r="B218" s="8" t="s">
        <v>5</v>
      </c>
    </row>
    <row r="219" spans="2:23" s="13" customFormat="1" ht="15">
      <c r="B219" s="64" t="s">
        <v>146</v>
      </c>
      <c r="C219" s="136" t="s">
        <v>148</v>
      </c>
      <c r="D219" s="224" t="s">
        <v>416</v>
      </c>
      <c r="E219" s="2"/>
      <c r="F219" s="2"/>
      <c r="G219" s="2"/>
      <c r="H219" s="2"/>
      <c r="I219" s="2"/>
      <c r="J219" s="2"/>
      <c r="K219" s="2"/>
      <c r="L219" s="2"/>
      <c r="M219" s="2"/>
      <c r="N219" s="2"/>
      <c r="O219" s="2"/>
      <c r="P219" s="7"/>
      <c r="Q219" s="7"/>
      <c r="R219" s="7"/>
      <c r="S219" s="7"/>
      <c r="T219" s="7"/>
      <c r="U219" s="7"/>
    </row>
    <row r="220" spans="2:23" ht="14.25" customHeight="1">
      <c r="B220" s="62">
        <f>Calculator!G78</f>
        <v>0</v>
      </c>
      <c r="C220" s="62" t="e">
        <f>VLOOKUP(B220,$B$215:$C$216,2,FALSE)</f>
        <v>#N/A</v>
      </c>
      <c r="D220" s="234">
        <f>IFERROR(ROUND(Calculator!F78*$D$209,2),"")</f>
        <v>0</v>
      </c>
      <c r="P220" s="7"/>
      <c r="Q220" s="7"/>
      <c r="R220" s="7"/>
      <c r="S220" s="7"/>
      <c r="T220" s="7"/>
      <c r="U220" s="7"/>
      <c r="V220" s="7"/>
      <c r="W220" s="7"/>
    </row>
    <row r="221" spans="2:23" ht="14.25" customHeight="1">
      <c r="B221" s="62">
        <f>Calculator!G79</f>
        <v>0</v>
      </c>
      <c r="C221" s="62" t="e">
        <f>VLOOKUP(B221,$B$215:$C$216,2,FALSE)</f>
        <v>#N/A</v>
      </c>
      <c r="D221" s="234">
        <f>IFERROR(ROUND(Calculator!F79*$D$209,2),"")</f>
        <v>0</v>
      </c>
      <c r="P221" s="7"/>
      <c r="Q221" s="7"/>
      <c r="R221" s="7"/>
      <c r="S221" s="7"/>
      <c r="T221" s="7"/>
      <c r="U221" s="7"/>
      <c r="V221" s="7"/>
      <c r="W221" s="7"/>
    </row>
    <row r="223" spans="2:23" s="52" customFormat="1" ht="18.600000000000001" customHeight="1" thickBot="1">
      <c r="B223" s="378" t="s">
        <v>145</v>
      </c>
      <c r="C223" s="378"/>
      <c r="D223" s="378"/>
      <c r="E223" s="378"/>
      <c r="F223" s="378"/>
      <c r="G223" s="378"/>
      <c r="H223" s="378"/>
      <c r="I223" s="378"/>
      <c r="J223" s="378"/>
      <c r="K223" s="51"/>
      <c r="L223" s="51"/>
      <c r="M223" s="51"/>
      <c r="N223" s="51"/>
      <c r="O223" s="51"/>
      <c r="P223" s="51"/>
      <c r="Q223" s="51"/>
      <c r="R223" s="51"/>
      <c r="S223" s="51"/>
      <c r="T223" s="51"/>
      <c r="U223" s="51"/>
      <c r="V223" s="51"/>
      <c r="W223" s="51"/>
    </row>
    <row r="224" spans="2:23" ht="18">
      <c r="B224" s="8" t="s">
        <v>37</v>
      </c>
      <c r="D224" s="8" t="s">
        <v>96</v>
      </c>
      <c r="O224" s="7"/>
      <c r="P224" s="7"/>
      <c r="Q224" s="7"/>
      <c r="R224" s="7"/>
      <c r="S224" s="7"/>
      <c r="T224" s="7"/>
      <c r="U224" s="7"/>
      <c r="V224" s="7"/>
      <c r="W224" s="7"/>
    </row>
    <row r="225" spans="2:23" ht="15">
      <c r="B225" s="45" t="s">
        <v>35</v>
      </c>
      <c r="C225" s="213" t="s">
        <v>452</v>
      </c>
      <c r="D225" s="264">
        <v>100</v>
      </c>
      <c r="E225" s="19" t="s">
        <v>282</v>
      </c>
      <c r="O225" s="7"/>
      <c r="Q225" s="7"/>
      <c r="R225" s="7"/>
      <c r="S225" s="7"/>
      <c r="T225" s="7"/>
      <c r="U225" s="7"/>
      <c r="V225" s="7"/>
      <c r="W225" s="7"/>
    </row>
    <row r="226" spans="2:23">
      <c r="B226" s="45" t="s">
        <v>324</v>
      </c>
      <c r="C226" s="62" t="s">
        <v>356</v>
      </c>
      <c r="O226" s="7"/>
      <c r="Q226" s="7"/>
      <c r="R226" s="7"/>
      <c r="S226" s="7"/>
      <c r="T226" s="7"/>
      <c r="U226" s="7"/>
      <c r="V226" s="7"/>
      <c r="W226" s="7"/>
    </row>
    <row r="227" spans="2:23">
      <c r="B227" s="45" t="s">
        <v>325</v>
      </c>
      <c r="O227" s="7"/>
      <c r="Q227" s="7"/>
      <c r="R227" s="7"/>
      <c r="S227" s="7"/>
      <c r="T227" s="7"/>
      <c r="U227" s="7"/>
      <c r="V227" s="7"/>
      <c r="W227" s="7"/>
    </row>
    <row r="228" spans="2:23">
      <c r="O228" s="7"/>
      <c r="Q228" s="7"/>
      <c r="R228" s="7"/>
      <c r="S228" s="7"/>
      <c r="T228" s="7"/>
      <c r="U228" s="7"/>
      <c r="V228" s="7"/>
      <c r="W228" s="7"/>
    </row>
    <row r="229" spans="2:23" ht="18">
      <c r="B229" s="8" t="s">
        <v>147</v>
      </c>
      <c r="C229" s="7"/>
      <c r="L229" s="7"/>
      <c r="M229" s="7"/>
      <c r="N229" s="7"/>
      <c r="O229" s="7"/>
      <c r="P229" s="7"/>
      <c r="Q229" s="7"/>
      <c r="R229" s="7"/>
      <c r="S229" s="7"/>
      <c r="T229" s="7"/>
      <c r="U229" s="7"/>
      <c r="V229" s="7"/>
      <c r="W229" s="7"/>
    </row>
    <row r="230" spans="2:23" s="13" customFormat="1" ht="15">
      <c r="B230" s="64" t="s">
        <v>146</v>
      </c>
      <c r="C230" s="24" t="s">
        <v>148</v>
      </c>
      <c r="D230" s="2"/>
      <c r="E230" s="7"/>
    </row>
    <row r="231" spans="2:23" ht="14.25" customHeight="1">
      <c r="B231" s="45" t="s">
        <v>324</v>
      </c>
      <c r="C231" s="45">
        <v>1611.8</v>
      </c>
      <c r="E231" s="7"/>
      <c r="F231" s="7"/>
      <c r="G231" s="7"/>
      <c r="H231" s="7"/>
      <c r="I231" s="7"/>
      <c r="J231" s="7"/>
      <c r="K231" s="7"/>
      <c r="L231" s="7"/>
      <c r="M231" s="7"/>
      <c r="N231" s="7"/>
      <c r="O231" s="7"/>
      <c r="P231" s="7"/>
      <c r="Q231" s="7"/>
      <c r="R231" s="7"/>
      <c r="S231" s="7"/>
      <c r="T231" s="7"/>
      <c r="U231" s="7"/>
      <c r="V231" s="7"/>
      <c r="W231" s="7"/>
    </row>
    <row r="232" spans="2:23">
      <c r="B232" s="45" t="s">
        <v>325</v>
      </c>
      <c r="C232" s="45">
        <v>1208.9000000000001</v>
      </c>
      <c r="E232" s="7"/>
      <c r="F232" s="7"/>
      <c r="G232" s="7"/>
      <c r="H232" s="7"/>
      <c r="I232" s="7"/>
      <c r="J232" s="7"/>
      <c r="K232" s="7"/>
      <c r="L232" s="7"/>
      <c r="M232" s="7"/>
      <c r="N232" s="7"/>
      <c r="O232" s="7"/>
      <c r="P232" s="7"/>
      <c r="Q232" s="7"/>
      <c r="R232" s="7"/>
      <c r="S232" s="7"/>
      <c r="T232" s="7"/>
      <c r="U232" s="7"/>
      <c r="V232" s="7"/>
      <c r="W232" s="7"/>
    </row>
    <row r="234" spans="2:23" ht="18">
      <c r="B234" s="8" t="s">
        <v>5</v>
      </c>
    </row>
    <row r="235" spans="2:23" s="13" customFormat="1" ht="15">
      <c r="B235" s="64" t="s">
        <v>146</v>
      </c>
      <c r="C235" s="59" t="s">
        <v>148</v>
      </c>
      <c r="D235" s="224" t="s">
        <v>416</v>
      </c>
      <c r="E235" s="2"/>
      <c r="F235" s="2"/>
      <c r="G235" s="2"/>
      <c r="H235" s="2"/>
      <c r="I235" s="2"/>
      <c r="J235" s="2"/>
      <c r="K235" s="2"/>
      <c r="L235" s="2"/>
      <c r="M235" s="2"/>
      <c r="N235" s="2"/>
      <c r="O235" s="2"/>
      <c r="P235" s="7"/>
      <c r="Q235" s="7"/>
      <c r="R235" s="7"/>
      <c r="S235" s="7"/>
      <c r="T235" s="7"/>
      <c r="U235" s="7"/>
    </row>
    <row r="236" spans="2:23" ht="14.25" customHeight="1">
      <c r="B236" s="62">
        <f>Calculator!G84</f>
        <v>0</v>
      </c>
      <c r="C236" s="62" t="e">
        <f>VLOOKUP(B236,$B$231:$C$232,2,FALSE)</f>
        <v>#N/A</v>
      </c>
      <c r="D236" s="234">
        <f>IFERROR(ROUND(Calculator!F84*$D$225,2),"")</f>
        <v>0</v>
      </c>
      <c r="P236" s="7"/>
      <c r="Q236" s="7"/>
      <c r="R236" s="7"/>
      <c r="S236" s="7"/>
      <c r="T236" s="7"/>
      <c r="U236" s="7"/>
      <c r="V236" s="7"/>
      <c r="W236" s="7"/>
    </row>
    <row r="237" spans="2:23" ht="14.25" customHeight="1">
      <c r="B237" s="62">
        <f>Calculator!G85</f>
        <v>0</v>
      </c>
      <c r="C237" s="62" t="e">
        <f t="shared" ref="C237:C240" si="51">VLOOKUP(B237,$B$231:$C$232,2,FALSE)</f>
        <v>#N/A</v>
      </c>
      <c r="D237" s="234">
        <f>IFERROR(ROUND(Calculator!F85*$D$225,2),"")</f>
        <v>0</v>
      </c>
      <c r="P237" s="7"/>
      <c r="Q237" s="7"/>
      <c r="R237" s="7"/>
      <c r="S237" s="7"/>
      <c r="T237" s="7"/>
      <c r="U237" s="7"/>
      <c r="V237" s="7"/>
      <c r="W237" s="7"/>
    </row>
    <row r="238" spans="2:23" ht="14.25" customHeight="1">
      <c r="B238" s="62">
        <f>Calculator!G86</f>
        <v>0</v>
      </c>
      <c r="C238" s="62" t="e">
        <f t="shared" si="51"/>
        <v>#N/A</v>
      </c>
      <c r="D238" s="234">
        <f>IFERROR(ROUND(Calculator!F86*$D$225,2),"")</f>
        <v>0</v>
      </c>
      <c r="P238" s="7"/>
      <c r="Q238" s="7"/>
      <c r="R238" s="7"/>
      <c r="S238" s="7"/>
      <c r="T238" s="7"/>
      <c r="U238" s="7"/>
      <c r="V238" s="7"/>
      <c r="W238" s="7"/>
    </row>
    <row r="239" spans="2:23" ht="14.25" customHeight="1">
      <c r="B239" s="62">
        <f>Calculator!G87</f>
        <v>0</v>
      </c>
      <c r="C239" s="62" t="e">
        <f t="shared" si="51"/>
        <v>#N/A</v>
      </c>
      <c r="D239" s="234">
        <f>IFERROR(ROUND(Calculator!F87*$D$225,2),"")</f>
        <v>0</v>
      </c>
      <c r="P239" s="7"/>
      <c r="Q239" s="7"/>
      <c r="R239" s="7"/>
      <c r="S239" s="7"/>
      <c r="T239" s="7"/>
      <c r="U239" s="7"/>
      <c r="V239" s="7"/>
      <c r="W239" s="7"/>
    </row>
    <row r="240" spans="2:23" ht="14.25" customHeight="1">
      <c r="B240" s="62">
        <f>Calculator!G88</f>
        <v>0</v>
      </c>
      <c r="C240" s="62" t="e">
        <f t="shared" si="51"/>
        <v>#N/A</v>
      </c>
      <c r="D240" s="234">
        <f>IFERROR(ROUND(Calculator!F88*$D$225,2),"")</f>
        <v>0</v>
      </c>
      <c r="P240" s="7"/>
      <c r="Q240" s="7"/>
      <c r="R240" s="7"/>
      <c r="S240" s="7"/>
      <c r="T240" s="7"/>
      <c r="U240" s="7"/>
      <c r="V240" s="7"/>
      <c r="W240" s="7"/>
    </row>
    <row r="242" spans="2:23" s="52" customFormat="1" ht="18.600000000000001" customHeight="1" thickBot="1">
      <c r="B242" s="378" t="s">
        <v>149</v>
      </c>
      <c r="C242" s="378"/>
      <c r="D242" s="378"/>
      <c r="E242" s="378"/>
      <c r="F242" s="378"/>
      <c r="G242" s="378"/>
      <c r="H242" s="378"/>
      <c r="I242" s="378"/>
      <c r="J242" s="378"/>
      <c r="K242" s="51"/>
      <c r="L242" s="51"/>
      <c r="M242" s="51"/>
      <c r="N242" s="51"/>
      <c r="O242" s="51"/>
      <c r="P242" s="51"/>
      <c r="Q242" s="51"/>
      <c r="R242" s="51"/>
      <c r="S242" s="51"/>
      <c r="T242" s="51"/>
      <c r="U242" s="51"/>
      <c r="V242" s="51"/>
      <c r="W242" s="51"/>
    </row>
    <row r="243" spans="2:23" ht="18">
      <c r="B243" s="8" t="s">
        <v>16</v>
      </c>
      <c r="E243" s="8" t="s">
        <v>96</v>
      </c>
      <c r="O243" s="7"/>
      <c r="P243" s="7"/>
      <c r="Q243" s="7"/>
      <c r="R243" s="7"/>
      <c r="S243" s="7"/>
      <c r="T243" s="7"/>
      <c r="U243" s="7"/>
      <c r="V243" s="7"/>
      <c r="W243" s="7"/>
    </row>
    <row r="244" spans="2:23" ht="15">
      <c r="B244" s="45" t="s">
        <v>150</v>
      </c>
      <c r="C244" s="45">
        <v>85</v>
      </c>
      <c r="D244" s="213" t="s">
        <v>452</v>
      </c>
      <c r="E244" s="264">
        <v>50</v>
      </c>
      <c r="F244" s="19" t="s">
        <v>282</v>
      </c>
      <c r="O244" s="7"/>
      <c r="Q244" s="7"/>
      <c r="R244" s="7"/>
      <c r="S244" s="7"/>
      <c r="T244" s="7"/>
      <c r="U244" s="7"/>
      <c r="V244" s="7"/>
      <c r="W244" s="7"/>
    </row>
    <row r="245" spans="2:23">
      <c r="B245" s="45" t="s">
        <v>49</v>
      </c>
      <c r="C245" s="45">
        <v>8760</v>
      </c>
      <c r="D245" s="62" t="s">
        <v>356</v>
      </c>
      <c r="O245" s="7"/>
      <c r="Q245" s="7"/>
      <c r="R245" s="7"/>
      <c r="S245" s="7"/>
      <c r="T245" s="7"/>
      <c r="U245" s="7"/>
      <c r="V245" s="7"/>
      <c r="W245" s="7"/>
    </row>
    <row r="246" spans="2:23">
      <c r="B246" s="45" t="s">
        <v>151</v>
      </c>
      <c r="C246" s="78">
        <v>0.46</v>
      </c>
      <c r="O246" s="7"/>
      <c r="Q246" s="7"/>
      <c r="R246" s="7"/>
      <c r="S246" s="7"/>
      <c r="T246" s="7"/>
      <c r="U246" s="7"/>
      <c r="V246" s="7"/>
      <c r="W246" s="7"/>
    </row>
    <row r="247" spans="2:23" ht="18">
      <c r="B247" s="8" t="s">
        <v>5</v>
      </c>
    </row>
    <row r="248" spans="2:23" s="13" customFormat="1" ht="15">
      <c r="B248" s="64" t="s">
        <v>124</v>
      </c>
      <c r="C248" s="59" t="s">
        <v>148</v>
      </c>
      <c r="D248" s="224" t="s">
        <v>416</v>
      </c>
      <c r="E248" s="2"/>
      <c r="F248" s="2"/>
      <c r="G248" s="2"/>
      <c r="H248" s="2"/>
      <c r="I248" s="2"/>
      <c r="J248" s="2"/>
      <c r="K248" s="2"/>
      <c r="L248" s="2"/>
      <c r="M248" s="2"/>
      <c r="N248" s="2"/>
      <c r="O248" s="2"/>
      <c r="P248" s="7"/>
      <c r="Q248" s="7"/>
      <c r="R248" s="7"/>
      <c r="S248" s="7"/>
      <c r="T248" s="7"/>
      <c r="U248" s="7"/>
    </row>
    <row r="249" spans="2:23" ht="14.25" customHeight="1">
      <c r="B249" s="62">
        <f>Calculator!F93</f>
        <v>0</v>
      </c>
      <c r="C249" s="62">
        <f>B249*C244*C245*C246/1000</f>
        <v>0</v>
      </c>
      <c r="D249" s="234">
        <f>IFERROR(ROUND(Calculator!F93*$E$244,2),"")</f>
        <v>0</v>
      </c>
      <c r="P249" s="7"/>
      <c r="Q249" s="7"/>
      <c r="R249" s="7"/>
      <c r="S249" s="7"/>
      <c r="T249" s="7"/>
      <c r="U249" s="7"/>
      <c r="V249" s="7"/>
      <c r="W249" s="7"/>
    </row>
    <row r="251" spans="2:23" s="52" customFormat="1" ht="18.600000000000001" customHeight="1" thickBot="1">
      <c r="B251" s="378" t="s">
        <v>97</v>
      </c>
      <c r="C251" s="378"/>
      <c r="D251" s="378"/>
      <c r="E251" s="378"/>
      <c r="F251" s="378"/>
      <c r="G251" s="378"/>
      <c r="H251" s="378"/>
      <c r="I251" s="378"/>
      <c r="J251" s="378"/>
      <c r="K251" s="51"/>
      <c r="L251" s="51"/>
      <c r="M251" s="51"/>
      <c r="N251" s="51"/>
      <c r="O251" s="51"/>
      <c r="P251" s="51"/>
      <c r="Q251" s="51"/>
      <c r="R251" s="51"/>
      <c r="S251" s="51"/>
      <c r="T251" s="51"/>
      <c r="U251" s="51"/>
      <c r="V251" s="51"/>
      <c r="W251" s="51"/>
    </row>
    <row r="252" spans="2:23" ht="18">
      <c r="B252" s="8" t="s">
        <v>37</v>
      </c>
      <c r="C252" s="8"/>
      <c r="D252" s="8"/>
      <c r="G252" s="8" t="s">
        <v>16</v>
      </c>
      <c r="T252" s="7"/>
      <c r="U252" s="7"/>
      <c r="V252" s="7"/>
      <c r="W252" s="7"/>
    </row>
    <row r="253" spans="2:23" ht="15">
      <c r="B253" s="62" t="s">
        <v>41</v>
      </c>
      <c r="C253" s="62" t="s">
        <v>100</v>
      </c>
      <c r="D253" s="62" t="s">
        <v>103</v>
      </c>
      <c r="E253" s="62" t="s">
        <v>353</v>
      </c>
      <c r="F253" s="62" t="s">
        <v>454</v>
      </c>
      <c r="G253" s="188" t="s">
        <v>109</v>
      </c>
      <c r="H253" s="188">
        <v>5858</v>
      </c>
      <c r="I253" s="225" t="s">
        <v>110</v>
      </c>
      <c r="J253" s="213" t="s">
        <v>452</v>
      </c>
      <c r="K253" s="213" t="s">
        <v>471</v>
      </c>
      <c r="L253" s="212"/>
      <c r="M253" s="212"/>
      <c r="T253" s="7"/>
      <c r="V253" s="7"/>
      <c r="W253" s="7"/>
    </row>
    <row r="254" spans="2:23">
      <c r="B254" s="62" t="s">
        <v>38</v>
      </c>
      <c r="C254" s="62" t="s">
        <v>98</v>
      </c>
      <c r="D254" s="62" t="s">
        <v>102</v>
      </c>
      <c r="E254" s="62" t="s">
        <v>356</v>
      </c>
      <c r="F254" s="62" t="s">
        <v>463</v>
      </c>
      <c r="G254" s="188" t="s">
        <v>36</v>
      </c>
      <c r="H254" s="188">
        <v>0.77</v>
      </c>
      <c r="I254" s="225"/>
      <c r="J254" s="62" t="s">
        <v>356</v>
      </c>
      <c r="K254" s="62" t="s">
        <v>460</v>
      </c>
      <c r="L254" s="212"/>
      <c r="M254" s="212"/>
      <c r="T254" s="7"/>
      <c r="V254" s="7"/>
      <c r="W254" s="7"/>
    </row>
    <row r="255" spans="2:23">
      <c r="B255" s="62" t="s">
        <v>39</v>
      </c>
      <c r="C255" s="62" t="s">
        <v>99</v>
      </c>
      <c r="D255" s="62" t="s">
        <v>104</v>
      </c>
      <c r="E255" s="62" t="s">
        <v>355</v>
      </c>
      <c r="G255" s="188" t="s">
        <v>348</v>
      </c>
      <c r="H255" s="188">
        <v>12</v>
      </c>
      <c r="I255" s="225" t="s">
        <v>349</v>
      </c>
      <c r="J255" s="212"/>
      <c r="K255" s="212"/>
      <c r="L255" s="212"/>
      <c r="M255" s="212"/>
      <c r="T255" s="7"/>
      <c r="V255" s="7"/>
      <c r="W255" s="7"/>
    </row>
    <row r="256" spans="2:23" ht="18">
      <c r="B256" s="212"/>
      <c r="C256" s="183"/>
      <c r="D256" s="183"/>
      <c r="E256" s="62" t="s">
        <v>354</v>
      </c>
      <c r="F256" s="212"/>
      <c r="G256" s="212"/>
      <c r="H256" s="212"/>
      <c r="I256" s="212"/>
      <c r="J256" s="212"/>
      <c r="K256" s="212"/>
      <c r="L256" s="212"/>
      <c r="M256" s="212"/>
      <c r="P256" s="8" t="s">
        <v>96</v>
      </c>
    </row>
    <row r="257" spans="2:23" ht="35.25" customHeight="1">
      <c r="B257" s="8" t="s">
        <v>17</v>
      </c>
      <c r="C257" s="183"/>
      <c r="D257" s="183"/>
      <c r="E257" s="183"/>
      <c r="F257" s="183"/>
      <c r="G257" s="183"/>
      <c r="H257" s="183"/>
      <c r="I257" s="183"/>
      <c r="J257" s="183"/>
      <c r="K257" s="380" t="s">
        <v>361</v>
      </c>
      <c r="L257" s="380"/>
      <c r="M257" s="380" t="s">
        <v>360</v>
      </c>
      <c r="N257" s="380"/>
      <c r="P257" s="225" t="s">
        <v>97</v>
      </c>
      <c r="Q257" s="225"/>
      <c r="R257" s="225"/>
      <c r="U257" s="7"/>
      <c r="V257" s="7"/>
      <c r="W257" s="7"/>
    </row>
    <row r="258" spans="2:23" s="13" customFormat="1" ht="34.15" customHeight="1">
      <c r="B258" s="64" t="s">
        <v>43</v>
      </c>
      <c r="C258" s="229" t="s">
        <v>230</v>
      </c>
      <c r="D258" s="229" t="s">
        <v>100</v>
      </c>
      <c r="E258" s="229" t="s">
        <v>103</v>
      </c>
      <c r="F258" s="229" t="s">
        <v>113</v>
      </c>
      <c r="G258" s="230" t="s">
        <v>105</v>
      </c>
      <c r="H258" s="230" t="s">
        <v>106</v>
      </c>
      <c r="I258" s="230" t="s">
        <v>107</v>
      </c>
      <c r="J258" s="230" t="s">
        <v>108</v>
      </c>
      <c r="K258" s="230" t="s">
        <v>358</v>
      </c>
      <c r="L258" s="230" t="s">
        <v>359</v>
      </c>
      <c r="M258" s="230" t="s">
        <v>358</v>
      </c>
      <c r="N258" s="230" t="s">
        <v>359</v>
      </c>
      <c r="P258" s="225" t="s">
        <v>157</v>
      </c>
      <c r="Q258" s="272">
        <v>100</v>
      </c>
      <c r="R258" s="225" t="s">
        <v>156</v>
      </c>
    </row>
    <row r="259" spans="2:23" ht="15">
      <c r="B259" s="65" t="str">
        <f>CONCATENATE(C259,D259,E259,F259)</f>
        <v>RefrigeratorSolidVertical0&lt;V&lt;15</v>
      </c>
      <c r="C259" s="62" t="s">
        <v>38</v>
      </c>
      <c r="D259" s="62" t="s">
        <v>98</v>
      </c>
      <c r="E259" s="195" t="s">
        <v>102</v>
      </c>
      <c r="F259" s="62" t="s">
        <v>101</v>
      </c>
      <c r="G259" s="217">
        <v>0.05</v>
      </c>
      <c r="H259" s="217">
        <v>1.36</v>
      </c>
      <c r="I259" s="217">
        <v>2.1999999999999999E-2</v>
      </c>
      <c r="J259" s="217">
        <v>0.97</v>
      </c>
      <c r="K259" s="217">
        <v>0.1</v>
      </c>
      <c r="L259" s="217">
        <v>2.04</v>
      </c>
      <c r="M259" s="217">
        <v>0.05</v>
      </c>
      <c r="N259" s="217">
        <v>1.36</v>
      </c>
      <c r="O259" s="7"/>
      <c r="P259" s="225" t="s">
        <v>158</v>
      </c>
      <c r="Q259" s="272">
        <v>100</v>
      </c>
      <c r="R259" s="225" t="s">
        <v>156</v>
      </c>
      <c r="U259" s="7"/>
      <c r="V259" s="7"/>
      <c r="W259" s="7"/>
    </row>
    <row r="260" spans="2:23" ht="15">
      <c r="B260" s="65" t="str">
        <f t="shared" ref="B260:B290" si="52">CONCATENATE(C260,D260,E260,F260)</f>
        <v>RefrigeratorSolidVertical15≤V&lt;30</v>
      </c>
      <c r="C260" s="62" t="s">
        <v>38</v>
      </c>
      <c r="D260" s="62" t="s">
        <v>98</v>
      </c>
      <c r="E260" s="62" t="s">
        <v>102</v>
      </c>
      <c r="F260" s="62" t="s">
        <v>350</v>
      </c>
      <c r="G260" s="217">
        <v>0.05</v>
      </c>
      <c r="H260" s="217">
        <v>1.36</v>
      </c>
      <c r="I260" s="217">
        <v>6.6000000000000003E-2</v>
      </c>
      <c r="J260" s="217">
        <v>0.31</v>
      </c>
      <c r="K260" s="217">
        <v>0.1</v>
      </c>
      <c r="L260" s="217">
        <v>2.04</v>
      </c>
      <c r="M260" s="217">
        <v>0.05</v>
      </c>
      <c r="N260" s="217">
        <v>1.36</v>
      </c>
      <c r="O260" s="7"/>
      <c r="P260" s="225" t="s">
        <v>159</v>
      </c>
      <c r="Q260" s="272">
        <v>150</v>
      </c>
      <c r="R260" s="225" t="s">
        <v>156</v>
      </c>
      <c r="U260" s="7"/>
      <c r="V260" s="7"/>
      <c r="W260" s="7"/>
    </row>
    <row r="261" spans="2:23" ht="15">
      <c r="B261" s="65" t="str">
        <f t="shared" si="52"/>
        <v>RefrigeratorSolidVertical30≤V&lt;50</v>
      </c>
      <c r="C261" s="62" t="s">
        <v>38</v>
      </c>
      <c r="D261" s="62" t="s">
        <v>98</v>
      </c>
      <c r="E261" s="62" t="s">
        <v>102</v>
      </c>
      <c r="F261" s="226" t="s">
        <v>351</v>
      </c>
      <c r="G261" s="217">
        <v>0.05</v>
      </c>
      <c r="H261" s="217">
        <v>1.36</v>
      </c>
      <c r="I261" s="217">
        <v>0.04</v>
      </c>
      <c r="J261" s="217">
        <v>1.0900000000000001</v>
      </c>
      <c r="K261" s="217">
        <v>0.1</v>
      </c>
      <c r="L261" s="217">
        <v>2.04</v>
      </c>
      <c r="M261" s="217">
        <v>0.05</v>
      </c>
      <c r="N261" s="217">
        <v>1.36</v>
      </c>
      <c r="O261" s="183"/>
      <c r="P261" s="225" t="s">
        <v>160</v>
      </c>
      <c r="Q261" s="272">
        <v>225</v>
      </c>
      <c r="R261" s="225" t="s">
        <v>156</v>
      </c>
      <c r="U261" s="7"/>
      <c r="V261" s="7"/>
      <c r="W261" s="7"/>
    </row>
    <row r="262" spans="2:23" ht="15">
      <c r="B262" s="65" t="str">
        <f t="shared" si="52"/>
        <v>RefrigeratorSolidVertical50≤V</v>
      </c>
      <c r="C262" s="62" t="s">
        <v>38</v>
      </c>
      <c r="D262" s="62" t="s">
        <v>98</v>
      </c>
      <c r="E262" s="62" t="s">
        <v>102</v>
      </c>
      <c r="F262" s="226" t="s">
        <v>352</v>
      </c>
      <c r="G262" s="217">
        <v>0.05</v>
      </c>
      <c r="H262" s="217">
        <v>1.36</v>
      </c>
      <c r="I262" s="217">
        <v>2.4E-2</v>
      </c>
      <c r="J262" s="217">
        <v>1.89</v>
      </c>
      <c r="K262" s="217">
        <v>0.1</v>
      </c>
      <c r="L262" s="217">
        <v>2.04</v>
      </c>
      <c r="M262" s="217">
        <v>0.05</v>
      </c>
      <c r="N262" s="217">
        <v>1.36</v>
      </c>
      <c r="O262" s="7"/>
      <c r="P262" s="225" t="s">
        <v>161</v>
      </c>
      <c r="Q262" s="272">
        <v>100</v>
      </c>
      <c r="R262" s="225" t="s">
        <v>156</v>
      </c>
      <c r="U262" s="7"/>
      <c r="V262" s="7"/>
      <c r="W262" s="7"/>
    </row>
    <row r="263" spans="2:23" ht="15">
      <c r="B263" s="65" t="str">
        <f t="shared" si="52"/>
        <v>RefrigeratorTransparentVertical0&lt;V&lt;15</v>
      </c>
      <c r="C263" s="62" t="s">
        <v>38</v>
      </c>
      <c r="D263" s="62" t="s">
        <v>99</v>
      </c>
      <c r="E263" s="62" t="s">
        <v>102</v>
      </c>
      <c r="F263" s="62" t="s">
        <v>101</v>
      </c>
      <c r="G263" s="217">
        <v>0.1</v>
      </c>
      <c r="H263" s="217">
        <v>0.86</v>
      </c>
      <c r="I263" s="217">
        <v>9.5000000000000001E-2</v>
      </c>
      <c r="J263" s="217">
        <v>0.44500000000000001</v>
      </c>
      <c r="K263" s="217">
        <v>0.12</v>
      </c>
      <c r="L263" s="217">
        <v>3.34</v>
      </c>
      <c r="M263" s="217">
        <v>0.1</v>
      </c>
      <c r="N263" s="217">
        <v>0.86</v>
      </c>
      <c r="O263" s="7"/>
      <c r="P263" s="225" t="s">
        <v>162</v>
      </c>
      <c r="Q263" s="272">
        <v>200</v>
      </c>
      <c r="R263" s="225" t="s">
        <v>156</v>
      </c>
      <c r="U263" s="7"/>
      <c r="V263" s="7"/>
      <c r="W263" s="7"/>
    </row>
    <row r="264" spans="2:23" ht="15">
      <c r="B264" s="65" t="str">
        <f t="shared" si="52"/>
        <v>RefrigeratorTransparentVertical15≤V&lt;30</v>
      </c>
      <c r="C264" s="62" t="s">
        <v>38</v>
      </c>
      <c r="D264" s="62" t="s">
        <v>99</v>
      </c>
      <c r="E264" s="62" t="s">
        <v>102</v>
      </c>
      <c r="F264" s="62" t="s">
        <v>350</v>
      </c>
      <c r="G264" s="217">
        <v>0.1</v>
      </c>
      <c r="H264" s="217">
        <v>0.86</v>
      </c>
      <c r="I264" s="217">
        <v>0.05</v>
      </c>
      <c r="J264" s="217">
        <v>1.1200000000000001</v>
      </c>
      <c r="K264" s="217">
        <v>0.12</v>
      </c>
      <c r="L264" s="217">
        <v>3.34</v>
      </c>
      <c r="M264" s="217">
        <v>0.1</v>
      </c>
      <c r="N264" s="217">
        <v>0.86</v>
      </c>
      <c r="O264" s="7"/>
      <c r="P264" s="225" t="s">
        <v>163</v>
      </c>
      <c r="Q264" s="272">
        <v>350</v>
      </c>
      <c r="R264" s="225" t="s">
        <v>156</v>
      </c>
      <c r="U264" s="7"/>
      <c r="V264" s="7"/>
      <c r="W264" s="7"/>
    </row>
    <row r="265" spans="2:23" ht="15">
      <c r="B265" s="65" t="str">
        <f t="shared" si="52"/>
        <v>RefrigeratorTransparentVertical30≤V&lt;50</v>
      </c>
      <c r="C265" s="62" t="s">
        <v>38</v>
      </c>
      <c r="D265" s="62" t="s">
        <v>99</v>
      </c>
      <c r="E265" s="62" t="s">
        <v>102</v>
      </c>
      <c r="F265" s="226" t="s">
        <v>351</v>
      </c>
      <c r="G265" s="217">
        <v>0.1</v>
      </c>
      <c r="H265" s="217">
        <v>0.86</v>
      </c>
      <c r="I265" s="217">
        <v>7.5999999999999998E-2</v>
      </c>
      <c r="J265" s="217">
        <v>0.34</v>
      </c>
      <c r="K265" s="217">
        <v>0.12</v>
      </c>
      <c r="L265" s="217">
        <v>3.34</v>
      </c>
      <c r="M265" s="217">
        <v>0.1</v>
      </c>
      <c r="N265" s="217">
        <v>0.86</v>
      </c>
      <c r="O265" s="7"/>
      <c r="P265" s="225" t="s">
        <v>164</v>
      </c>
      <c r="Q265" s="272">
        <v>500</v>
      </c>
      <c r="R265" s="225" t="s">
        <v>156</v>
      </c>
      <c r="U265" s="7"/>
      <c r="V265" s="7"/>
      <c r="W265" s="7"/>
    </row>
    <row r="266" spans="2:23" ht="15">
      <c r="B266" s="65" t="str">
        <f t="shared" si="52"/>
        <v>RefrigeratorTransparentVertical50≤V</v>
      </c>
      <c r="C266" s="62" t="s">
        <v>38</v>
      </c>
      <c r="D266" s="62" t="s">
        <v>99</v>
      </c>
      <c r="E266" s="62" t="s">
        <v>102</v>
      </c>
      <c r="F266" s="226" t="s">
        <v>352</v>
      </c>
      <c r="G266" s="217">
        <v>0.1</v>
      </c>
      <c r="H266" s="217">
        <v>0.86</v>
      </c>
      <c r="I266" s="217">
        <v>0.105</v>
      </c>
      <c r="J266" s="217">
        <v>-1.1100000000000001</v>
      </c>
      <c r="K266" s="217">
        <v>0.12</v>
      </c>
      <c r="L266" s="217">
        <v>3.34</v>
      </c>
      <c r="M266" s="217">
        <v>0.1</v>
      </c>
      <c r="N266" s="217">
        <v>0.86</v>
      </c>
      <c r="O266" s="7"/>
      <c r="P266" s="225" t="s">
        <v>165</v>
      </c>
      <c r="Q266" s="272">
        <v>75</v>
      </c>
      <c r="R266" s="225" t="s">
        <v>156</v>
      </c>
      <c r="U266" s="7"/>
      <c r="V266" s="7"/>
      <c r="W266" s="7"/>
    </row>
    <row r="267" spans="2:23" ht="15">
      <c r="B267" s="65" t="str">
        <f t="shared" si="52"/>
        <v>RefrigeratorSolidHorizontal0&lt;V&lt;15</v>
      </c>
      <c r="C267" s="227" t="s">
        <v>38</v>
      </c>
      <c r="D267" s="227" t="s">
        <v>98</v>
      </c>
      <c r="E267" s="195" t="s">
        <v>104</v>
      </c>
      <c r="F267" s="227" t="s">
        <v>101</v>
      </c>
      <c r="G267" s="228">
        <v>0.05</v>
      </c>
      <c r="H267" s="228">
        <v>0.91</v>
      </c>
      <c r="I267" s="228">
        <v>0.05</v>
      </c>
      <c r="J267" s="228">
        <v>0.28000000000000003</v>
      </c>
      <c r="K267" s="217">
        <v>0.1</v>
      </c>
      <c r="L267" s="217">
        <v>2.04</v>
      </c>
      <c r="M267" s="217">
        <v>0.05</v>
      </c>
      <c r="N267" s="217">
        <v>0.91</v>
      </c>
      <c r="O267" s="7"/>
      <c r="P267" s="225" t="s">
        <v>166</v>
      </c>
      <c r="Q267" s="272">
        <v>100</v>
      </c>
      <c r="R267" s="225" t="s">
        <v>156</v>
      </c>
      <c r="U267" s="7"/>
      <c r="V267" s="7"/>
      <c r="W267" s="7"/>
    </row>
    <row r="268" spans="2:23" ht="15">
      <c r="B268" s="65" t="str">
        <f t="shared" si="52"/>
        <v>RefrigeratorSolidHorizontal15≤V&lt;30</v>
      </c>
      <c r="C268" s="62" t="s">
        <v>38</v>
      </c>
      <c r="D268" s="62" t="s">
        <v>98</v>
      </c>
      <c r="E268" s="62" t="s">
        <v>104</v>
      </c>
      <c r="F268" s="62" t="s">
        <v>350</v>
      </c>
      <c r="G268" s="228">
        <v>0.05</v>
      </c>
      <c r="H268" s="228">
        <v>0.91</v>
      </c>
      <c r="I268" s="228">
        <v>0.05</v>
      </c>
      <c r="J268" s="228">
        <v>0.28000000000000003</v>
      </c>
      <c r="K268" s="217">
        <v>0.1</v>
      </c>
      <c r="L268" s="217">
        <v>2.04</v>
      </c>
      <c r="M268" s="217">
        <v>0.05</v>
      </c>
      <c r="N268" s="217">
        <v>0.91</v>
      </c>
      <c r="O268" s="7"/>
      <c r="P268" s="225" t="s">
        <v>167</v>
      </c>
      <c r="Q268" s="272">
        <v>125</v>
      </c>
      <c r="R268" s="225" t="s">
        <v>156</v>
      </c>
      <c r="U268" s="7"/>
      <c r="V268" s="7"/>
      <c r="W268" s="7"/>
    </row>
    <row r="269" spans="2:23" ht="15">
      <c r="B269" s="65" t="str">
        <f t="shared" si="52"/>
        <v>RefrigeratorSolidHorizontal30≤V&lt;50</v>
      </c>
      <c r="C269" s="62" t="s">
        <v>38</v>
      </c>
      <c r="D269" s="62" t="s">
        <v>98</v>
      </c>
      <c r="E269" s="62" t="s">
        <v>104</v>
      </c>
      <c r="F269" s="226" t="s">
        <v>351</v>
      </c>
      <c r="G269" s="228">
        <v>0.05</v>
      </c>
      <c r="H269" s="228">
        <v>0.91</v>
      </c>
      <c r="I269" s="228">
        <v>0.05</v>
      </c>
      <c r="J269" s="228">
        <v>0.28000000000000003</v>
      </c>
      <c r="K269" s="217">
        <v>0.1</v>
      </c>
      <c r="L269" s="217">
        <v>2.04</v>
      </c>
      <c r="M269" s="217">
        <v>0.05</v>
      </c>
      <c r="N269" s="217">
        <v>0.91</v>
      </c>
      <c r="O269" s="7"/>
      <c r="P269" s="225" t="s">
        <v>168</v>
      </c>
      <c r="Q269" s="272">
        <v>150</v>
      </c>
      <c r="R269" s="225" t="s">
        <v>156</v>
      </c>
      <c r="U269" s="7"/>
      <c r="V269" s="7"/>
      <c r="W269" s="7"/>
    </row>
    <row r="270" spans="2:23" ht="15">
      <c r="B270" s="65" t="str">
        <f t="shared" si="52"/>
        <v>RefrigeratorSolidHorizontal50≤V</v>
      </c>
      <c r="C270" s="62" t="s">
        <v>38</v>
      </c>
      <c r="D270" s="62" t="s">
        <v>98</v>
      </c>
      <c r="E270" s="62" t="s">
        <v>104</v>
      </c>
      <c r="F270" s="226" t="s">
        <v>352</v>
      </c>
      <c r="G270" s="228">
        <v>0.05</v>
      </c>
      <c r="H270" s="228">
        <v>0.91</v>
      </c>
      <c r="I270" s="228">
        <v>0.05</v>
      </c>
      <c r="J270" s="228">
        <v>0.28000000000000003</v>
      </c>
      <c r="K270" s="217">
        <v>0.1</v>
      </c>
      <c r="L270" s="217">
        <v>2.04</v>
      </c>
      <c r="M270" s="217">
        <v>0.05</v>
      </c>
      <c r="N270" s="217">
        <v>0.91</v>
      </c>
      <c r="O270" s="7"/>
      <c r="P270" s="225" t="s">
        <v>169</v>
      </c>
      <c r="Q270" s="272">
        <v>100</v>
      </c>
      <c r="R270" s="225" t="s">
        <v>156</v>
      </c>
      <c r="U270" s="7"/>
      <c r="V270" s="7"/>
      <c r="W270" s="7"/>
    </row>
    <row r="271" spans="2:23" ht="15.75" customHeight="1">
      <c r="B271" s="65" t="str">
        <f t="shared" si="52"/>
        <v>RefrigeratorTransparentHorizontal0&lt;V&lt;15</v>
      </c>
      <c r="C271" s="62" t="s">
        <v>38</v>
      </c>
      <c r="D271" s="62" t="s">
        <v>99</v>
      </c>
      <c r="E271" s="62" t="s">
        <v>104</v>
      </c>
      <c r="F271" s="62" t="s">
        <v>101</v>
      </c>
      <c r="G271" s="217">
        <v>0.06</v>
      </c>
      <c r="H271" s="217">
        <v>0.37</v>
      </c>
      <c r="I271" s="228">
        <v>0.05</v>
      </c>
      <c r="J271" s="228">
        <v>0.28000000000000003</v>
      </c>
      <c r="K271" s="217">
        <v>0.12</v>
      </c>
      <c r="L271" s="217">
        <v>3.34</v>
      </c>
      <c r="M271" s="217">
        <v>0.06</v>
      </c>
      <c r="N271" s="217">
        <v>0.37</v>
      </c>
      <c r="O271" s="7"/>
      <c r="P271" s="225" t="s">
        <v>170</v>
      </c>
      <c r="Q271" s="272">
        <v>200</v>
      </c>
      <c r="R271" s="225" t="s">
        <v>156</v>
      </c>
      <c r="U271" s="7"/>
      <c r="V271" s="7"/>
      <c r="W271" s="7"/>
    </row>
    <row r="272" spans="2:23" ht="15.75" customHeight="1">
      <c r="B272" s="65" t="str">
        <f t="shared" si="52"/>
        <v>RefrigeratorTransparentHorizontal15≤V&lt;30</v>
      </c>
      <c r="C272" s="62" t="s">
        <v>38</v>
      </c>
      <c r="D272" s="62" t="s">
        <v>99</v>
      </c>
      <c r="E272" s="62" t="s">
        <v>104</v>
      </c>
      <c r="F272" s="62" t="s">
        <v>350</v>
      </c>
      <c r="G272" s="217">
        <v>0.06</v>
      </c>
      <c r="H272" s="217">
        <v>0.37</v>
      </c>
      <c r="I272" s="228">
        <v>0.05</v>
      </c>
      <c r="J272" s="228">
        <v>0.28000000000000003</v>
      </c>
      <c r="K272" s="217">
        <v>0.12</v>
      </c>
      <c r="L272" s="217">
        <v>3.34</v>
      </c>
      <c r="M272" s="217">
        <v>0.06</v>
      </c>
      <c r="N272" s="217">
        <v>0.37</v>
      </c>
      <c r="O272" s="7"/>
      <c r="P272" s="225" t="s">
        <v>171</v>
      </c>
      <c r="Q272" s="272">
        <v>250</v>
      </c>
      <c r="R272" s="225" t="s">
        <v>156</v>
      </c>
      <c r="U272" s="7"/>
      <c r="V272" s="7"/>
      <c r="W272" s="7"/>
    </row>
    <row r="273" spans="2:23" ht="16.5" customHeight="1">
      <c r="B273" s="65" t="str">
        <f t="shared" si="52"/>
        <v>RefrigeratorTransparentHorizontal30≤V&lt;50</v>
      </c>
      <c r="C273" s="62" t="s">
        <v>38</v>
      </c>
      <c r="D273" s="62" t="s">
        <v>99</v>
      </c>
      <c r="E273" s="62" t="s">
        <v>104</v>
      </c>
      <c r="F273" s="226" t="s">
        <v>351</v>
      </c>
      <c r="G273" s="217">
        <v>0.06</v>
      </c>
      <c r="H273" s="217">
        <v>0.37</v>
      </c>
      <c r="I273" s="228">
        <v>0.05</v>
      </c>
      <c r="J273" s="228">
        <v>0.28000000000000003</v>
      </c>
      <c r="K273" s="217">
        <v>0.12</v>
      </c>
      <c r="L273" s="217">
        <v>3.34</v>
      </c>
      <c r="M273" s="217">
        <v>0.06</v>
      </c>
      <c r="N273" s="217">
        <v>0.37</v>
      </c>
      <c r="O273" s="7"/>
      <c r="P273" s="225" t="s">
        <v>172</v>
      </c>
      <c r="Q273" s="272">
        <v>300</v>
      </c>
      <c r="R273" s="225" t="s">
        <v>156</v>
      </c>
      <c r="U273" s="7"/>
      <c r="V273" s="7"/>
      <c r="W273" s="7"/>
    </row>
    <row r="274" spans="2:23" ht="15">
      <c r="B274" s="65" t="str">
        <f t="shared" si="52"/>
        <v>RefrigeratorTransparentHorizontal50≤V</v>
      </c>
      <c r="C274" s="62" t="s">
        <v>38</v>
      </c>
      <c r="D274" s="62" t="s">
        <v>99</v>
      </c>
      <c r="E274" s="62" t="s">
        <v>104</v>
      </c>
      <c r="F274" s="226" t="s">
        <v>352</v>
      </c>
      <c r="G274" s="217">
        <v>0.06</v>
      </c>
      <c r="H274" s="217">
        <v>0.37</v>
      </c>
      <c r="I274" s="228">
        <v>0.05</v>
      </c>
      <c r="J274" s="228">
        <v>0.28000000000000003</v>
      </c>
      <c r="K274" s="217">
        <v>0.12</v>
      </c>
      <c r="L274" s="217">
        <v>3.34</v>
      </c>
      <c r="M274" s="217">
        <v>0.06</v>
      </c>
      <c r="N274" s="217">
        <v>0.37</v>
      </c>
      <c r="O274" s="7"/>
      <c r="P274" s="7"/>
      <c r="Q274" s="7"/>
      <c r="R274" s="7"/>
      <c r="S274" s="7"/>
      <c r="T274" s="7"/>
      <c r="U274" s="7"/>
      <c r="V274" s="7"/>
      <c r="W274" s="7"/>
    </row>
    <row r="275" spans="2:23" ht="15">
      <c r="B275" s="65" t="str">
        <f t="shared" si="52"/>
        <v>FreezerSolidVertical0&lt;V&lt;15</v>
      </c>
      <c r="C275" s="62" t="s">
        <v>39</v>
      </c>
      <c r="D275" s="62" t="s">
        <v>98</v>
      </c>
      <c r="E275" s="62" t="s">
        <v>102</v>
      </c>
      <c r="F275" s="62" t="s">
        <v>101</v>
      </c>
      <c r="G275" s="217">
        <v>0.22</v>
      </c>
      <c r="H275" s="217">
        <v>1.38</v>
      </c>
      <c r="I275" s="217">
        <v>0.21</v>
      </c>
      <c r="J275" s="217">
        <v>0.9</v>
      </c>
      <c r="K275" s="217">
        <v>0.4</v>
      </c>
      <c r="L275" s="217">
        <v>1.38</v>
      </c>
      <c r="M275" s="217">
        <v>0.22</v>
      </c>
      <c r="N275" s="217">
        <v>1.38</v>
      </c>
      <c r="O275" s="7"/>
      <c r="P275" s="7"/>
      <c r="Q275" s="7"/>
      <c r="R275" s="7"/>
      <c r="S275" s="7"/>
      <c r="T275" s="7"/>
      <c r="U275" s="7"/>
      <c r="V275" s="7"/>
      <c r="W275" s="7"/>
    </row>
    <row r="276" spans="2:23" ht="15">
      <c r="B276" s="65" t="str">
        <f t="shared" si="52"/>
        <v>FreezerSolidVertical15≤V&lt;30</v>
      </c>
      <c r="C276" s="62" t="s">
        <v>39</v>
      </c>
      <c r="D276" s="62" t="s">
        <v>98</v>
      </c>
      <c r="E276" s="62" t="s">
        <v>102</v>
      </c>
      <c r="F276" s="62" t="s">
        <v>350</v>
      </c>
      <c r="G276" s="217">
        <v>0.22</v>
      </c>
      <c r="H276" s="217">
        <v>1.38</v>
      </c>
      <c r="I276" s="217">
        <v>0.12</v>
      </c>
      <c r="J276" s="217">
        <v>2.2480000000000002</v>
      </c>
      <c r="K276" s="217">
        <v>0.4</v>
      </c>
      <c r="L276" s="217">
        <v>1.38</v>
      </c>
      <c r="M276" s="217">
        <v>0.22</v>
      </c>
      <c r="N276" s="217">
        <v>1.38</v>
      </c>
      <c r="O276" s="7"/>
      <c r="P276" s="7"/>
      <c r="Q276" s="7"/>
      <c r="R276" s="7"/>
      <c r="S276" s="7"/>
      <c r="T276" s="7"/>
      <c r="U276" s="7"/>
      <c r="V276" s="7"/>
      <c r="W276" s="7"/>
    </row>
    <row r="277" spans="2:23" ht="15">
      <c r="B277" s="65" t="str">
        <f t="shared" si="52"/>
        <v>FreezerSolidVertical30≤V&lt;50</v>
      </c>
      <c r="C277" s="62" t="s">
        <v>39</v>
      </c>
      <c r="D277" s="62" t="s">
        <v>98</v>
      </c>
      <c r="E277" s="62" t="s">
        <v>102</v>
      </c>
      <c r="F277" s="226" t="s">
        <v>351</v>
      </c>
      <c r="G277" s="217">
        <v>0.22</v>
      </c>
      <c r="H277" s="217">
        <v>1.38</v>
      </c>
      <c r="I277" s="217">
        <v>0.28499999999999998</v>
      </c>
      <c r="J277" s="217">
        <v>-2.7029999999999998</v>
      </c>
      <c r="K277" s="217">
        <v>0.4</v>
      </c>
      <c r="L277" s="217">
        <v>1.38</v>
      </c>
      <c r="M277" s="217">
        <v>0.22</v>
      </c>
      <c r="N277" s="217">
        <v>1.38</v>
      </c>
      <c r="O277" s="7"/>
      <c r="P277" s="7"/>
      <c r="Q277" s="7"/>
      <c r="R277" s="7"/>
      <c r="S277" s="7"/>
      <c r="T277" s="7"/>
      <c r="U277" s="7"/>
      <c r="V277" s="7"/>
      <c r="W277" s="7"/>
    </row>
    <row r="278" spans="2:23" ht="15">
      <c r="B278" s="65" t="str">
        <f t="shared" si="52"/>
        <v>FreezerSolidVertical50≤V</v>
      </c>
      <c r="C278" s="62" t="s">
        <v>39</v>
      </c>
      <c r="D278" s="62" t="s">
        <v>98</v>
      </c>
      <c r="E278" s="62" t="s">
        <v>102</v>
      </c>
      <c r="F278" s="226" t="s">
        <v>352</v>
      </c>
      <c r="G278" s="217">
        <v>0.22</v>
      </c>
      <c r="H278" s="217">
        <v>1.38</v>
      </c>
      <c r="I278" s="217">
        <v>0.14199999999999999</v>
      </c>
      <c r="J278" s="217">
        <v>4.4450000000000003</v>
      </c>
      <c r="K278" s="217">
        <v>0.4</v>
      </c>
      <c r="L278" s="217">
        <v>1.38</v>
      </c>
      <c r="M278" s="217">
        <v>0.22</v>
      </c>
      <c r="N278" s="217">
        <v>1.38</v>
      </c>
      <c r="O278" s="7"/>
      <c r="P278" s="7"/>
      <c r="Q278" s="7"/>
      <c r="R278" s="7"/>
      <c r="S278" s="7"/>
      <c r="T278" s="7"/>
      <c r="U278" s="7"/>
      <c r="V278" s="7"/>
      <c r="W278" s="7"/>
    </row>
    <row r="279" spans="2:23" ht="15">
      <c r="B279" s="65" t="str">
        <f t="shared" si="52"/>
        <v>FreezerTransparentVertical0&lt;V&lt;15</v>
      </c>
      <c r="C279" s="62" t="s">
        <v>39</v>
      </c>
      <c r="D279" s="62" t="s">
        <v>99</v>
      </c>
      <c r="E279" s="62" t="s">
        <v>102</v>
      </c>
      <c r="F279" s="62" t="s">
        <v>101</v>
      </c>
      <c r="G279" s="217">
        <v>0.28999999999999998</v>
      </c>
      <c r="H279" s="217">
        <v>2.95</v>
      </c>
      <c r="I279" s="217">
        <v>0.23200000000000001</v>
      </c>
      <c r="J279" s="217">
        <v>2.36</v>
      </c>
      <c r="K279" s="217">
        <v>0.75</v>
      </c>
      <c r="L279" s="217">
        <v>4.0999999999999996</v>
      </c>
      <c r="M279" s="217">
        <v>0.28999999999999998</v>
      </c>
      <c r="N279" s="217">
        <v>2.95</v>
      </c>
      <c r="O279" s="7"/>
      <c r="P279" s="7"/>
      <c r="Q279" s="7"/>
      <c r="R279" s="7"/>
      <c r="S279" s="7"/>
      <c r="T279" s="7"/>
      <c r="U279" s="7"/>
      <c r="V279" s="7"/>
      <c r="W279" s="7"/>
    </row>
    <row r="280" spans="2:23" ht="15">
      <c r="B280" s="65" t="str">
        <f t="shared" si="52"/>
        <v>FreezerTransparentVertical15≤V&lt;30</v>
      </c>
      <c r="C280" s="62" t="s">
        <v>39</v>
      </c>
      <c r="D280" s="62" t="s">
        <v>99</v>
      </c>
      <c r="E280" s="62" t="s">
        <v>102</v>
      </c>
      <c r="F280" s="62" t="s">
        <v>350</v>
      </c>
      <c r="G280" s="217">
        <v>0.28999999999999998</v>
      </c>
      <c r="H280" s="217">
        <v>2.95</v>
      </c>
      <c r="I280" s="217">
        <v>0.23200000000000001</v>
      </c>
      <c r="J280" s="217">
        <v>2.36</v>
      </c>
      <c r="K280" s="217">
        <v>0.75</v>
      </c>
      <c r="L280" s="217">
        <v>4.0999999999999996</v>
      </c>
      <c r="M280" s="217">
        <v>0.28999999999999998</v>
      </c>
      <c r="N280" s="217">
        <v>2.95</v>
      </c>
      <c r="O280" s="7"/>
      <c r="P280" s="7"/>
      <c r="Q280" s="7"/>
      <c r="R280" s="7"/>
      <c r="S280" s="7"/>
      <c r="T280" s="7"/>
      <c r="U280" s="7"/>
      <c r="V280" s="7"/>
      <c r="W280" s="7"/>
    </row>
    <row r="281" spans="2:23" ht="15">
      <c r="B281" s="65" t="str">
        <f t="shared" si="52"/>
        <v>FreezerTransparentVertical30≤V&lt;50</v>
      </c>
      <c r="C281" s="62" t="s">
        <v>39</v>
      </c>
      <c r="D281" s="62" t="s">
        <v>99</v>
      </c>
      <c r="E281" s="62" t="s">
        <v>102</v>
      </c>
      <c r="F281" s="226" t="s">
        <v>351</v>
      </c>
      <c r="G281" s="217">
        <v>0.28999999999999998</v>
      </c>
      <c r="H281" s="217">
        <v>2.95</v>
      </c>
      <c r="I281" s="217">
        <v>0.23200000000000001</v>
      </c>
      <c r="J281" s="217">
        <v>2.36</v>
      </c>
      <c r="K281" s="217">
        <v>0.75</v>
      </c>
      <c r="L281" s="217">
        <v>4.0999999999999996</v>
      </c>
      <c r="M281" s="217">
        <v>0.28999999999999998</v>
      </c>
      <c r="N281" s="217">
        <v>2.95</v>
      </c>
      <c r="O281" s="7"/>
      <c r="P281" s="7"/>
      <c r="Q281" s="7"/>
      <c r="R281" s="7"/>
      <c r="S281" s="7"/>
      <c r="T281" s="7"/>
      <c r="U281" s="7"/>
      <c r="V281" s="7"/>
      <c r="W281" s="7"/>
    </row>
    <row r="282" spans="2:23" ht="15">
      <c r="B282" s="65" t="str">
        <f t="shared" si="52"/>
        <v>FreezerTransparentVertical50≤V</v>
      </c>
      <c r="C282" s="62" t="s">
        <v>39</v>
      </c>
      <c r="D282" s="62" t="s">
        <v>99</v>
      </c>
      <c r="E282" s="62" t="s">
        <v>102</v>
      </c>
      <c r="F282" s="226" t="s">
        <v>352</v>
      </c>
      <c r="G282" s="217">
        <v>0.28999999999999998</v>
      </c>
      <c r="H282" s="217">
        <v>2.95</v>
      </c>
      <c r="I282" s="217">
        <v>0.23200000000000001</v>
      </c>
      <c r="J282" s="217">
        <v>2.36</v>
      </c>
      <c r="K282" s="217">
        <v>0.75</v>
      </c>
      <c r="L282" s="217">
        <v>4.0999999999999996</v>
      </c>
      <c r="M282" s="217">
        <v>0.28999999999999998</v>
      </c>
      <c r="N282" s="217">
        <v>2.95</v>
      </c>
      <c r="O282" s="7"/>
      <c r="P282" s="7"/>
      <c r="Q282" s="7"/>
      <c r="R282" s="7"/>
      <c r="S282" s="7"/>
      <c r="T282" s="7"/>
      <c r="U282" s="7"/>
      <c r="V282" s="7"/>
      <c r="W282" s="7"/>
    </row>
    <row r="283" spans="2:23" ht="15">
      <c r="B283" s="65" t="str">
        <f t="shared" si="52"/>
        <v>FreezerSolidHorizontal0&lt;V&lt;15</v>
      </c>
      <c r="C283" s="62" t="s">
        <v>39</v>
      </c>
      <c r="D283" s="62" t="s">
        <v>98</v>
      </c>
      <c r="E283" s="62" t="s">
        <v>104</v>
      </c>
      <c r="F283" s="62" t="s">
        <v>101</v>
      </c>
      <c r="G283" s="217">
        <v>0.06</v>
      </c>
      <c r="H283" s="217">
        <v>1.1200000000000001</v>
      </c>
      <c r="I283" s="217">
        <v>5.7000000000000002E-2</v>
      </c>
      <c r="J283" s="217">
        <v>0.55000000000000004</v>
      </c>
      <c r="K283" s="217">
        <v>0.4</v>
      </c>
      <c r="L283" s="217">
        <v>1.38</v>
      </c>
      <c r="M283" s="217">
        <v>0.06</v>
      </c>
      <c r="N283" s="217">
        <v>1.1200000000000001</v>
      </c>
      <c r="O283" s="7"/>
      <c r="P283" s="7"/>
      <c r="Q283" s="7"/>
      <c r="R283" s="7"/>
      <c r="S283" s="7"/>
      <c r="T283" s="7"/>
      <c r="U283" s="7"/>
      <c r="V283" s="7"/>
      <c r="W283" s="7"/>
    </row>
    <row r="284" spans="2:23" ht="15">
      <c r="B284" s="65" t="str">
        <f t="shared" si="52"/>
        <v>FreezerSolidHorizontal15≤V&lt;30</v>
      </c>
      <c r="C284" s="62" t="s">
        <v>39</v>
      </c>
      <c r="D284" s="62" t="s">
        <v>98</v>
      </c>
      <c r="E284" s="62" t="s">
        <v>104</v>
      </c>
      <c r="F284" s="62" t="s">
        <v>350</v>
      </c>
      <c r="G284" s="217">
        <v>0.06</v>
      </c>
      <c r="H284" s="217">
        <v>1.1200000000000001</v>
      </c>
      <c r="I284" s="217">
        <v>5.7000000000000002E-2</v>
      </c>
      <c r="J284" s="217">
        <v>0.55000000000000004</v>
      </c>
      <c r="K284" s="217">
        <v>0.4</v>
      </c>
      <c r="L284" s="217">
        <v>1.38</v>
      </c>
      <c r="M284" s="217">
        <v>0.06</v>
      </c>
      <c r="N284" s="217">
        <v>1.1200000000000001</v>
      </c>
      <c r="O284" s="7"/>
      <c r="P284" s="7"/>
      <c r="Q284" s="7"/>
      <c r="R284" s="7"/>
      <c r="S284" s="7"/>
      <c r="T284" s="7"/>
      <c r="U284" s="7"/>
      <c r="V284" s="7"/>
      <c r="W284" s="7"/>
    </row>
    <row r="285" spans="2:23" ht="15">
      <c r="B285" s="65" t="str">
        <f t="shared" si="52"/>
        <v>FreezerSolidHorizontal30≤V&lt;50</v>
      </c>
      <c r="C285" s="62" t="s">
        <v>39</v>
      </c>
      <c r="D285" s="62" t="s">
        <v>98</v>
      </c>
      <c r="E285" s="62" t="s">
        <v>104</v>
      </c>
      <c r="F285" s="226" t="s">
        <v>351</v>
      </c>
      <c r="G285" s="217">
        <v>0.06</v>
      </c>
      <c r="H285" s="217">
        <v>1.1200000000000001</v>
      </c>
      <c r="I285" s="217">
        <v>5.7000000000000002E-2</v>
      </c>
      <c r="J285" s="217">
        <v>0.55000000000000004</v>
      </c>
      <c r="K285" s="217">
        <v>0.4</v>
      </c>
      <c r="L285" s="217">
        <v>1.38</v>
      </c>
      <c r="M285" s="217">
        <v>0.06</v>
      </c>
      <c r="N285" s="217">
        <v>1.1200000000000001</v>
      </c>
      <c r="O285" s="7"/>
      <c r="P285" s="7"/>
      <c r="Q285" s="7"/>
      <c r="R285" s="7"/>
      <c r="S285" s="7"/>
      <c r="T285" s="7"/>
      <c r="U285" s="7"/>
      <c r="V285" s="7"/>
      <c r="W285" s="7"/>
    </row>
    <row r="286" spans="2:23" ht="15">
      <c r="B286" s="65" t="str">
        <f t="shared" si="52"/>
        <v>FreezerSolidHorizontal50≤V</v>
      </c>
      <c r="C286" s="62" t="s">
        <v>39</v>
      </c>
      <c r="D286" s="62" t="s">
        <v>98</v>
      </c>
      <c r="E286" s="62" t="s">
        <v>104</v>
      </c>
      <c r="F286" s="226" t="s">
        <v>352</v>
      </c>
      <c r="G286" s="217">
        <v>0.06</v>
      </c>
      <c r="H286" s="217">
        <v>1.1200000000000001</v>
      </c>
      <c r="I286" s="217">
        <v>5.7000000000000002E-2</v>
      </c>
      <c r="J286" s="217">
        <v>0.55000000000000004</v>
      </c>
      <c r="K286" s="217">
        <v>0.4</v>
      </c>
      <c r="L286" s="217">
        <v>1.38</v>
      </c>
      <c r="M286" s="217">
        <v>0.06</v>
      </c>
      <c r="N286" s="217">
        <v>1.1200000000000001</v>
      </c>
      <c r="O286" s="7"/>
      <c r="P286" s="7"/>
      <c r="Q286" s="7"/>
      <c r="R286" s="7"/>
      <c r="S286" s="7"/>
      <c r="T286" s="7"/>
      <c r="U286" s="7"/>
      <c r="V286" s="7"/>
      <c r="W286" s="7"/>
    </row>
    <row r="287" spans="2:23" ht="15">
      <c r="B287" s="65" t="str">
        <f t="shared" si="52"/>
        <v>FreezerTransparentHorizontal0&lt;V&lt;15</v>
      </c>
      <c r="C287" s="62" t="s">
        <v>39</v>
      </c>
      <c r="D287" s="62" t="s">
        <v>99</v>
      </c>
      <c r="E287" s="62" t="s">
        <v>104</v>
      </c>
      <c r="F287" s="62" t="s">
        <v>101</v>
      </c>
      <c r="G287" s="217">
        <v>0.08</v>
      </c>
      <c r="H287" s="217">
        <v>1.23</v>
      </c>
      <c r="I287" s="217">
        <v>5.7000000000000002E-2</v>
      </c>
      <c r="J287" s="217">
        <v>0.55000000000000004</v>
      </c>
      <c r="K287" s="217">
        <v>0.75</v>
      </c>
      <c r="L287" s="217">
        <v>4.0999999999999996</v>
      </c>
      <c r="M287" s="217">
        <v>0.08</v>
      </c>
      <c r="N287" s="217">
        <v>1.23</v>
      </c>
      <c r="O287" s="7"/>
      <c r="P287" s="7"/>
      <c r="Q287" s="7"/>
      <c r="R287" s="7"/>
      <c r="S287" s="7"/>
      <c r="T287" s="7"/>
      <c r="U287" s="7"/>
      <c r="V287" s="7"/>
      <c r="W287" s="7"/>
    </row>
    <row r="288" spans="2:23" ht="15">
      <c r="B288" s="65" t="str">
        <f t="shared" si="52"/>
        <v>FreezerTransparentHorizontal15≤V&lt;30</v>
      </c>
      <c r="C288" s="62" t="s">
        <v>39</v>
      </c>
      <c r="D288" s="62" t="s">
        <v>99</v>
      </c>
      <c r="E288" s="62" t="s">
        <v>104</v>
      </c>
      <c r="F288" s="62" t="s">
        <v>350</v>
      </c>
      <c r="G288" s="217">
        <v>0.08</v>
      </c>
      <c r="H288" s="217">
        <v>1.23</v>
      </c>
      <c r="I288" s="217">
        <v>5.7000000000000002E-2</v>
      </c>
      <c r="J288" s="217">
        <v>0.55000000000000004</v>
      </c>
      <c r="K288" s="217">
        <v>0.75</v>
      </c>
      <c r="L288" s="217">
        <v>4.0999999999999996</v>
      </c>
      <c r="M288" s="217">
        <v>0.08</v>
      </c>
      <c r="N288" s="217">
        <v>1.23</v>
      </c>
      <c r="O288" s="7"/>
      <c r="P288" s="7"/>
      <c r="Q288" s="7"/>
      <c r="R288" s="7"/>
      <c r="S288" s="7"/>
      <c r="T288" s="7"/>
      <c r="U288" s="7"/>
      <c r="V288" s="7"/>
      <c r="W288" s="7"/>
    </row>
    <row r="289" spans="2:30" ht="15">
      <c r="B289" s="65" t="str">
        <f t="shared" si="52"/>
        <v>FreezerTransparentHorizontal30≤V&lt;50</v>
      </c>
      <c r="C289" s="62" t="s">
        <v>39</v>
      </c>
      <c r="D289" s="62" t="s">
        <v>99</v>
      </c>
      <c r="E289" s="62" t="s">
        <v>104</v>
      </c>
      <c r="F289" s="226" t="s">
        <v>351</v>
      </c>
      <c r="G289" s="217">
        <v>0.08</v>
      </c>
      <c r="H289" s="217">
        <v>1.23</v>
      </c>
      <c r="I289" s="217">
        <v>5.7000000000000002E-2</v>
      </c>
      <c r="J289" s="217">
        <v>0.55000000000000004</v>
      </c>
      <c r="K289" s="217">
        <v>0.75</v>
      </c>
      <c r="L289" s="217">
        <v>4.0999999999999996</v>
      </c>
      <c r="M289" s="217">
        <v>0.08</v>
      </c>
      <c r="N289" s="217">
        <v>1.23</v>
      </c>
      <c r="O289" s="7"/>
      <c r="P289" s="7"/>
      <c r="Q289" s="7"/>
      <c r="R289" s="7"/>
      <c r="S289" s="7"/>
      <c r="T289" s="7"/>
      <c r="U289" s="7"/>
      <c r="V289" s="7"/>
      <c r="W289" s="7"/>
    </row>
    <row r="290" spans="2:30" ht="15">
      <c r="B290" s="65" t="str">
        <f t="shared" si="52"/>
        <v>FreezerTransparentHorizontal50≤V</v>
      </c>
      <c r="C290" s="62" t="s">
        <v>39</v>
      </c>
      <c r="D290" s="62" t="s">
        <v>99</v>
      </c>
      <c r="E290" s="62" t="s">
        <v>104</v>
      </c>
      <c r="F290" s="226" t="s">
        <v>352</v>
      </c>
      <c r="G290" s="217">
        <v>0.08</v>
      </c>
      <c r="H290" s="217">
        <v>1.23</v>
      </c>
      <c r="I290" s="217">
        <v>5.7000000000000002E-2</v>
      </c>
      <c r="J290" s="217">
        <v>0.55000000000000004</v>
      </c>
      <c r="K290" s="217">
        <v>0.75</v>
      </c>
      <c r="L290" s="217">
        <v>4.0999999999999996</v>
      </c>
      <c r="M290" s="217">
        <v>0.08</v>
      </c>
      <c r="N290" s="217">
        <v>1.23</v>
      </c>
      <c r="O290" s="7"/>
      <c r="P290" s="7"/>
      <c r="Q290" s="7"/>
      <c r="R290" s="7"/>
      <c r="S290" s="7"/>
      <c r="T290" s="7"/>
      <c r="U290" s="7"/>
      <c r="V290" s="7"/>
      <c r="W290" s="7"/>
    </row>
    <row r="291" spans="2:30">
      <c r="B291" s="212"/>
      <c r="C291" s="212"/>
      <c r="D291" s="212"/>
      <c r="E291" s="212"/>
      <c r="F291" s="212"/>
      <c r="G291" s="212"/>
      <c r="H291" s="212"/>
      <c r="I291" s="212"/>
      <c r="J291" s="212"/>
      <c r="K291" s="212"/>
      <c r="L291" s="212"/>
      <c r="M291" s="212"/>
      <c r="N291" s="183"/>
    </row>
    <row r="292" spans="2:30" ht="18">
      <c r="B292" s="8" t="s">
        <v>5</v>
      </c>
      <c r="C292" s="183"/>
      <c r="D292" s="183"/>
      <c r="E292" s="183"/>
      <c r="F292" s="183"/>
      <c r="G292" s="183"/>
      <c r="H292" s="183"/>
      <c r="I292" s="183"/>
      <c r="J292" s="183"/>
      <c r="K292" s="183"/>
      <c r="L292" s="183"/>
      <c r="M292" s="183"/>
    </row>
    <row r="293" spans="2:30" s="13" customFormat="1" ht="30" customHeight="1">
      <c r="B293" s="64" t="s">
        <v>43</v>
      </c>
      <c r="C293" s="247" t="s">
        <v>230</v>
      </c>
      <c r="D293" s="248" t="s">
        <v>100</v>
      </c>
      <c r="E293" s="248" t="s">
        <v>103</v>
      </c>
      <c r="F293" s="249" t="s">
        <v>402</v>
      </c>
      <c r="G293" s="249" t="s">
        <v>112</v>
      </c>
      <c r="H293" s="249" t="s">
        <v>111</v>
      </c>
      <c r="I293" s="249" t="s">
        <v>362</v>
      </c>
      <c r="J293" s="255" t="s">
        <v>114</v>
      </c>
      <c r="K293" s="256" t="s">
        <v>115</v>
      </c>
      <c r="L293" s="250" t="s">
        <v>45</v>
      </c>
      <c r="M293" s="250" t="s">
        <v>11</v>
      </c>
      <c r="N293" s="381" t="s">
        <v>422</v>
      </c>
      <c r="O293" s="382"/>
      <c r="P293" s="391" t="s">
        <v>154</v>
      </c>
      <c r="Q293" s="2" t="s">
        <v>35</v>
      </c>
      <c r="R293" s="2"/>
      <c r="S293" s="2"/>
      <c r="T293" s="2"/>
      <c r="U293" s="2"/>
      <c r="V293" s="2"/>
      <c r="W293" s="2"/>
      <c r="X293" s="2"/>
      <c r="Y293" s="7"/>
      <c r="Z293" s="7"/>
      <c r="AA293" s="7"/>
      <c r="AB293" s="7"/>
      <c r="AC293" s="7"/>
      <c r="AD293" s="7"/>
    </row>
    <row r="294" spans="2:30" s="13" customFormat="1" ht="15">
      <c r="B294" s="64"/>
      <c r="C294" s="247"/>
      <c r="D294" s="251"/>
      <c r="E294" s="251"/>
      <c r="F294" s="252"/>
      <c r="G294" s="252"/>
      <c r="H294" s="252"/>
      <c r="I294" s="252"/>
      <c r="J294" s="253"/>
      <c r="K294" s="253"/>
      <c r="L294" s="252"/>
      <c r="M294" s="252"/>
      <c r="N294" s="383"/>
      <c r="O294" s="384"/>
      <c r="P294" s="392"/>
      <c r="Q294" s="2"/>
      <c r="R294" s="2"/>
      <c r="S294" s="2"/>
      <c r="T294" s="2"/>
      <c r="U294" s="2"/>
      <c r="V294" s="2"/>
      <c r="W294" s="2"/>
      <c r="X294" s="2"/>
      <c r="Y294" s="7"/>
      <c r="Z294" s="7"/>
      <c r="AA294" s="7"/>
      <c r="AB294" s="7"/>
      <c r="AC294" s="7"/>
      <c r="AD294" s="7"/>
    </row>
    <row r="295" spans="2:30" ht="14.25" customHeight="1">
      <c r="B295" s="62" t="str">
        <f>CONCATENATE(C295,D295,E295,F295)</f>
        <v>0000&lt;V&lt;15</v>
      </c>
      <c r="C295" s="62">
        <f>Calculator!J98</f>
        <v>0</v>
      </c>
      <c r="D295" s="62">
        <f>Calculator!K98</f>
        <v>0</v>
      </c>
      <c r="E295" s="62">
        <f>Calculator!L98</f>
        <v>0</v>
      </c>
      <c r="F295" s="188" t="str">
        <f>IF(G295&lt;15,"0&lt;V&lt;15",IF(AND(G295&gt;14.99,G295&lt;30),"15≤V&lt;30",IF(AND(G295&gt;29.99,G295&lt;50),"30≤V&lt;50",IF(G295&gt;49.99,"50≤V",""))))</f>
        <v>0&lt;V&lt;15</v>
      </c>
      <c r="G295" s="188">
        <f>Calculator!I98</f>
        <v>0</v>
      </c>
      <c r="H295" s="188">
        <f>Calculator!H98</f>
        <v>0</v>
      </c>
      <c r="I295" s="254" t="str">
        <f>IF(Calculator!D98="Early Replacement",IF(Calculator!E98&lt;2017,VLOOKUP(B295,$B$259:$N$290,10,FALSE)*G295+VLOOKUP(B295,$B$259:$N$290,11,FALSE),IF(Calculator!E98&gt;2016,VLOOKUP(B295,$B$259:$N$290,12,FALSE)*G295+VLOOKUP(B295,$B$259:$N$290,13,FALSE))),"")</f>
        <v/>
      </c>
      <c r="J295" s="254" t="e">
        <f t="shared" ref="J295:J302" si="53">VLOOKUP(B295,$B$259:$J$290,6,FALSE)*G295+VLOOKUP(B295,$B$259:$J$290,7,FALSE)</f>
        <v>#N/A</v>
      </c>
      <c r="K295" s="254" t="e">
        <f t="shared" ref="K295:K302" si="54">VLOOKUP(B295,$B$259:$J$290,8,FALSE)*G295+VLOOKUP(B295,$B$259:$J$290,9,FALSE)</f>
        <v>#N/A</v>
      </c>
      <c r="L295" s="254" t="str">
        <f>IFERROR(M295/$H$253*$H$254,"")</f>
        <v/>
      </c>
      <c r="M295" s="254" t="str">
        <f>IFERROR(IF(Calculator!D98="Early Replacement",(I295-K295)*365*H295,IF(Calculator!D98="Time of Sale",(J295-K295)*365*H295,IF(Calculator!D98="New Construction",(J295-K295)*365*H295,""))),"")</f>
        <v/>
      </c>
      <c r="N295" s="188" t="str">
        <f>IF(G295&lt;19,"&lt; 19 cubic ft",IF(AND(G295&gt;18.99,G295&lt;20),"19-20 cubic ft",IF(AND(G295&gt;20.99,G295&lt;60),"21-60 cubic ft",IF(AND(G295&gt;59.99,G295&lt;90),"60-90 cubic ft",""))))</f>
        <v>&lt; 19 cubic ft</v>
      </c>
      <c r="O295" s="188" t="str">
        <f>CONCATENATE(D295,C295,N295)</f>
        <v>00&lt; 19 cubic ft</v>
      </c>
      <c r="P295" s="273" t="str">
        <f>IFERROR(ROUND(VLOOKUP(O295,$P$258:$Q$273,2,FALSE)*H295,2),"")</f>
        <v/>
      </c>
      <c r="Q295" s="2" t="str">
        <f>_xlfn.CONCAT(E295, " ",D295, " Door ",C295)</f>
        <v>0 0 Door 0</v>
      </c>
      <c r="X295" s="2"/>
    </row>
    <row r="296" spans="2:30" ht="14.25" customHeight="1">
      <c r="B296" s="62" t="str">
        <f t="shared" ref="B296:B302" si="55">CONCATENATE(C296,D296,E296,F296)</f>
        <v>0000&lt;V&lt;15</v>
      </c>
      <c r="C296" s="62">
        <f>Calculator!J99</f>
        <v>0</v>
      </c>
      <c r="D296" s="62">
        <f>Calculator!K99</f>
        <v>0</v>
      </c>
      <c r="E296" s="62">
        <f>Calculator!L99</f>
        <v>0</v>
      </c>
      <c r="F296" s="188" t="str">
        <f t="shared" ref="F296:F302" si="56">IF(G296&lt;15,"0&lt;V&lt;15",IF(AND(G296&gt;14.99,G296&lt;30),"15≤V&lt;30",IF(AND(G296&gt;29.99,G296&lt;50),"30≤V&lt;50",IF(G296&gt;49.99,"50≤V",""))))</f>
        <v>0&lt;V&lt;15</v>
      </c>
      <c r="G296" s="188">
        <f>Calculator!I99</f>
        <v>0</v>
      </c>
      <c r="H296" s="188">
        <f>Calculator!H99</f>
        <v>0</v>
      </c>
      <c r="I296" s="254" t="str">
        <f>IF(Calculator!D99="Early Replacement",IF(Calculator!E99&lt;2017,VLOOKUP(B296,$B$259:$N$290,10,FALSE)*G296+VLOOKUP(B296,$B$259:$N$290,11,FALSE),IF(Calculator!E99&gt;2016,VLOOKUP(B296,$B$259:$N$290,12,FALSE)*G296+VLOOKUP(B296,$B$259:$N$290,13,FALSE))),"")</f>
        <v/>
      </c>
      <c r="J296" s="254" t="e">
        <f t="shared" si="53"/>
        <v>#N/A</v>
      </c>
      <c r="K296" s="254" t="e">
        <f t="shared" si="54"/>
        <v>#N/A</v>
      </c>
      <c r="L296" s="254" t="str">
        <f t="shared" ref="L296:L302" si="57">IFERROR(M296/$H$253*$H$254,"")</f>
        <v/>
      </c>
      <c r="M296" s="254" t="str">
        <f>IFERROR(IF(Calculator!D99="Early Replacement",(I296-K296)*365*H296,IF(Calculator!D99="Time of Sale",(J296-K296)*365*H296,IF(Calculator!D99="New Construction",(J296-K296)*365*H296,""))),"")</f>
        <v/>
      </c>
      <c r="N296" s="188" t="str">
        <f t="shared" ref="N296:N302" si="58">IF(G296&lt;19,"&lt; 19 cubic ft",IF(AND(G296&gt;18.99,G296&lt;20),"19-20 cubic ft",IF(AND(G296&gt;20.99,G296&lt;60),"21-60 cubic ft",IF(AND(G296&gt;59.99,G296&lt;90),"60-90 cubic ft",""))))</f>
        <v>&lt; 19 cubic ft</v>
      </c>
      <c r="O296" s="188" t="str">
        <f t="shared" ref="O296:O302" si="59">CONCATENATE(D296,C296,N296)</f>
        <v>00&lt; 19 cubic ft</v>
      </c>
      <c r="P296" s="273" t="str">
        <f t="shared" ref="P296:P302" si="60">IFERROR(ROUND(VLOOKUP(O296,$P$258:$Q$273,2,FALSE)*H296,2),"")</f>
        <v/>
      </c>
      <c r="Q296" s="2" t="str">
        <f t="shared" ref="Q296:Q302" si="61">_xlfn.CONCAT(E296, " ",D296, " Door ",C296)</f>
        <v>0 0 Door 0</v>
      </c>
      <c r="X296" s="2"/>
    </row>
    <row r="297" spans="2:30" ht="14.25" customHeight="1">
      <c r="B297" s="62" t="str">
        <f t="shared" si="55"/>
        <v>0000&lt;V&lt;15</v>
      </c>
      <c r="C297" s="62">
        <f>Calculator!J100</f>
        <v>0</v>
      </c>
      <c r="D297" s="62">
        <f>Calculator!K100</f>
        <v>0</v>
      </c>
      <c r="E297" s="62">
        <f>Calculator!L100</f>
        <v>0</v>
      </c>
      <c r="F297" s="188" t="str">
        <f t="shared" si="56"/>
        <v>0&lt;V&lt;15</v>
      </c>
      <c r="G297" s="188">
        <f>Calculator!I100</f>
        <v>0</v>
      </c>
      <c r="H297" s="188">
        <f>Calculator!H100</f>
        <v>0</v>
      </c>
      <c r="I297" s="254" t="str">
        <f>IF(Calculator!D100="Early Replacement",IF(Calculator!E100&lt;2017,VLOOKUP(B297,$B$259:$N$290,10,FALSE)*G297+VLOOKUP(B297,$B$259:$N$290,11,FALSE),IF(Calculator!E100&gt;2016,VLOOKUP(B297,$B$259:$N$290,12,FALSE)*G297+VLOOKUP(B297,$B$259:$N$290,13,FALSE))),"")</f>
        <v/>
      </c>
      <c r="J297" s="254" t="e">
        <f t="shared" si="53"/>
        <v>#N/A</v>
      </c>
      <c r="K297" s="254" t="e">
        <f t="shared" si="54"/>
        <v>#N/A</v>
      </c>
      <c r="L297" s="254" t="str">
        <f t="shared" si="57"/>
        <v/>
      </c>
      <c r="M297" s="254" t="str">
        <f>IFERROR(IF(Calculator!D100="Early Replacement",(I297-K297)*365*H297,IF(Calculator!D100="Time of Sale",(J297-K297)*365*H297,IF(Calculator!D100="New Construction",(J297-K297)*365*H297,""))),"")</f>
        <v/>
      </c>
      <c r="N297" s="188" t="str">
        <f t="shared" si="58"/>
        <v>&lt; 19 cubic ft</v>
      </c>
      <c r="O297" s="188" t="str">
        <f t="shared" si="59"/>
        <v>00&lt; 19 cubic ft</v>
      </c>
      <c r="P297" s="273" t="str">
        <f t="shared" si="60"/>
        <v/>
      </c>
      <c r="Q297" s="2" t="str">
        <f t="shared" si="61"/>
        <v>0 0 Door 0</v>
      </c>
      <c r="X297" s="2"/>
    </row>
    <row r="298" spans="2:30" ht="14.25" customHeight="1">
      <c r="B298" s="62" t="str">
        <f t="shared" si="55"/>
        <v>0000&lt;V&lt;15</v>
      </c>
      <c r="C298" s="62">
        <f>Calculator!J101</f>
        <v>0</v>
      </c>
      <c r="D298" s="62">
        <f>Calculator!K101</f>
        <v>0</v>
      </c>
      <c r="E298" s="62">
        <f>Calculator!L101</f>
        <v>0</v>
      </c>
      <c r="F298" s="188" t="str">
        <f t="shared" si="56"/>
        <v>0&lt;V&lt;15</v>
      </c>
      <c r="G298" s="188">
        <f>Calculator!I101</f>
        <v>0</v>
      </c>
      <c r="H298" s="188">
        <f>Calculator!H101</f>
        <v>0</v>
      </c>
      <c r="I298" s="254" t="str">
        <f>IF(Calculator!D101="Early Replacement",IF(Calculator!E101&lt;2017,VLOOKUP(B298,$B$259:$N$290,10,FALSE)*G298+VLOOKUP(B298,$B$259:$N$290,11,FALSE),IF(Calculator!E101&gt;2016,VLOOKUP(B298,$B$259:$N$290,12,FALSE)*G298+VLOOKUP(B298,$B$259:$N$290,13,FALSE))),"")</f>
        <v/>
      </c>
      <c r="J298" s="254" t="e">
        <f t="shared" si="53"/>
        <v>#N/A</v>
      </c>
      <c r="K298" s="254" t="e">
        <f t="shared" si="54"/>
        <v>#N/A</v>
      </c>
      <c r="L298" s="254" t="str">
        <f t="shared" si="57"/>
        <v/>
      </c>
      <c r="M298" s="254" t="str">
        <f>IFERROR(IF(Calculator!D101="Early Replacement",(I298-K298)*365*H298,IF(Calculator!D101="Time of Sale",(J298-K298)*365*H298,IF(Calculator!D101="New Construction",(J298-K298)*365*H298,""))),"")</f>
        <v/>
      </c>
      <c r="N298" s="188" t="str">
        <f t="shared" si="58"/>
        <v>&lt; 19 cubic ft</v>
      </c>
      <c r="O298" s="188" t="str">
        <f t="shared" si="59"/>
        <v>00&lt; 19 cubic ft</v>
      </c>
      <c r="P298" s="273" t="str">
        <f t="shared" si="60"/>
        <v/>
      </c>
      <c r="Q298" s="2" t="str">
        <f t="shared" si="61"/>
        <v>0 0 Door 0</v>
      </c>
      <c r="X298" s="2"/>
    </row>
    <row r="299" spans="2:30" ht="14.25" customHeight="1">
      <c r="B299" s="62" t="str">
        <f t="shared" si="55"/>
        <v>0000&lt;V&lt;15</v>
      </c>
      <c r="C299" s="62">
        <f>Calculator!J102</f>
        <v>0</v>
      </c>
      <c r="D299" s="62">
        <f>Calculator!K102</f>
        <v>0</v>
      </c>
      <c r="E299" s="62">
        <f>Calculator!L102</f>
        <v>0</v>
      </c>
      <c r="F299" s="188" t="str">
        <f t="shared" si="56"/>
        <v>0&lt;V&lt;15</v>
      </c>
      <c r="G299" s="188">
        <f>Calculator!I102</f>
        <v>0</v>
      </c>
      <c r="H299" s="188">
        <f>Calculator!H102</f>
        <v>0</v>
      </c>
      <c r="I299" s="254" t="str">
        <f>IF(Calculator!D102="Early Replacement",IF(Calculator!E102&lt;2017,VLOOKUP(B299,$B$259:$N$290,10,FALSE)*G299+VLOOKUP(B299,$B$259:$N$290,11,FALSE),IF(Calculator!E102&gt;2016,VLOOKUP(B299,$B$259:$N$290,12,FALSE)*G299+VLOOKUP(B299,$B$259:$N$290,13,FALSE))),"")</f>
        <v/>
      </c>
      <c r="J299" s="254" t="e">
        <f t="shared" si="53"/>
        <v>#N/A</v>
      </c>
      <c r="K299" s="254" t="e">
        <f t="shared" si="54"/>
        <v>#N/A</v>
      </c>
      <c r="L299" s="254" t="str">
        <f t="shared" si="57"/>
        <v/>
      </c>
      <c r="M299" s="254" t="str">
        <f>IFERROR(IF(Calculator!D102="Early Replacement",(I299-K299)*365*H299,IF(Calculator!D102="Time of Sale",(J299-K299)*365*H299,IF(Calculator!D102="New Construction",(J299-K299)*365*H299,""))),"")</f>
        <v/>
      </c>
      <c r="N299" s="188" t="str">
        <f t="shared" si="58"/>
        <v>&lt; 19 cubic ft</v>
      </c>
      <c r="O299" s="188" t="str">
        <f t="shared" si="59"/>
        <v>00&lt; 19 cubic ft</v>
      </c>
      <c r="P299" s="273" t="str">
        <f t="shared" si="60"/>
        <v/>
      </c>
      <c r="Q299" s="2" t="str">
        <f t="shared" si="61"/>
        <v>0 0 Door 0</v>
      </c>
      <c r="X299" s="2"/>
    </row>
    <row r="300" spans="2:30" ht="14.25" customHeight="1">
      <c r="B300" s="62" t="str">
        <f t="shared" si="55"/>
        <v>0000&lt;V&lt;15</v>
      </c>
      <c r="C300" s="62">
        <f>Calculator!J103</f>
        <v>0</v>
      </c>
      <c r="D300" s="62">
        <f>Calculator!K103</f>
        <v>0</v>
      </c>
      <c r="E300" s="62">
        <f>Calculator!L103</f>
        <v>0</v>
      </c>
      <c r="F300" s="188" t="str">
        <f t="shared" si="56"/>
        <v>0&lt;V&lt;15</v>
      </c>
      <c r="G300" s="188">
        <f>Calculator!I103</f>
        <v>0</v>
      </c>
      <c r="H300" s="188">
        <f>Calculator!H103</f>
        <v>0</v>
      </c>
      <c r="I300" s="254" t="str">
        <f>IF(Calculator!D103="Early Replacement",IF(Calculator!E103&lt;2017,VLOOKUP(B300,$B$259:$N$290,10,FALSE)*G300+VLOOKUP(B300,$B$259:$N$290,11,FALSE),IF(Calculator!E103&gt;2016,VLOOKUP(B300,$B$259:$N$290,12,FALSE)*G300+VLOOKUP(B300,$B$259:$N$290,13,FALSE))),"")</f>
        <v/>
      </c>
      <c r="J300" s="254" t="e">
        <f t="shared" si="53"/>
        <v>#N/A</v>
      </c>
      <c r="K300" s="254" t="e">
        <f t="shared" si="54"/>
        <v>#N/A</v>
      </c>
      <c r="L300" s="254" t="str">
        <f t="shared" si="57"/>
        <v/>
      </c>
      <c r="M300" s="254" t="str">
        <f>IFERROR(IF(Calculator!D103="Early Replacement",(I300-K300)*365*H300,IF(Calculator!D103="Time of Sale",(J300-K300)*365*H300,IF(Calculator!D103="New Construction",(J300-K300)*365*H300,""))),"")</f>
        <v/>
      </c>
      <c r="N300" s="188" t="str">
        <f t="shared" si="58"/>
        <v>&lt; 19 cubic ft</v>
      </c>
      <c r="O300" s="188" t="str">
        <f t="shared" si="59"/>
        <v>00&lt; 19 cubic ft</v>
      </c>
      <c r="P300" s="273" t="str">
        <f t="shared" si="60"/>
        <v/>
      </c>
      <c r="Q300" s="2" t="str">
        <f t="shared" si="61"/>
        <v>0 0 Door 0</v>
      </c>
      <c r="X300" s="2"/>
    </row>
    <row r="301" spans="2:30" ht="14.25" customHeight="1">
      <c r="B301" s="62" t="str">
        <f t="shared" si="55"/>
        <v>0000&lt;V&lt;15</v>
      </c>
      <c r="C301" s="62">
        <f>Calculator!J104</f>
        <v>0</v>
      </c>
      <c r="D301" s="62">
        <f>Calculator!K104</f>
        <v>0</v>
      </c>
      <c r="E301" s="62">
        <f>Calculator!L104</f>
        <v>0</v>
      </c>
      <c r="F301" s="188" t="str">
        <f t="shared" si="56"/>
        <v>0&lt;V&lt;15</v>
      </c>
      <c r="G301" s="188">
        <f>Calculator!I104</f>
        <v>0</v>
      </c>
      <c r="H301" s="188">
        <f>Calculator!H104</f>
        <v>0</v>
      </c>
      <c r="I301" s="254" t="str">
        <f>IF(Calculator!D104="Early Replacement",IF(Calculator!E104&lt;2017,VLOOKUP(B301,$B$259:$N$290,10,FALSE)*G301+VLOOKUP(B301,$B$259:$N$290,11,FALSE),IF(Calculator!E104&gt;2016,VLOOKUP(B301,$B$259:$N$290,12,FALSE)*G301+VLOOKUP(B301,$B$259:$N$290,13,FALSE))),"")</f>
        <v/>
      </c>
      <c r="J301" s="254" t="e">
        <f t="shared" si="53"/>
        <v>#N/A</v>
      </c>
      <c r="K301" s="254" t="e">
        <f t="shared" si="54"/>
        <v>#N/A</v>
      </c>
      <c r="L301" s="254" t="str">
        <f t="shared" si="57"/>
        <v/>
      </c>
      <c r="M301" s="254" t="str">
        <f>IFERROR(IF(Calculator!D104="Early Replacement",(I301-K301)*365*H301,IF(Calculator!D104="Time of Sale",(J301-K301)*365*H301,IF(Calculator!D104="New Construction",(J301-K301)*365*H301,""))),"")</f>
        <v/>
      </c>
      <c r="N301" s="188" t="str">
        <f t="shared" si="58"/>
        <v>&lt; 19 cubic ft</v>
      </c>
      <c r="O301" s="188" t="str">
        <f t="shared" si="59"/>
        <v>00&lt; 19 cubic ft</v>
      </c>
      <c r="P301" s="273" t="str">
        <f t="shared" si="60"/>
        <v/>
      </c>
      <c r="Q301" s="2" t="str">
        <f t="shared" si="61"/>
        <v>0 0 Door 0</v>
      </c>
      <c r="X301" s="2"/>
    </row>
    <row r="302" spans="2:30" ht="14.25" customHeight="1">
      <c r="B302" s="62" t="str">
        <f t="shared" si="55"/>
        <v>0000&lt;V&lt;15</v>
      </c>
      <c r="C302" s="62">
        <f>Calculator!J105</f>
        <v>0</v>
      </c>
      <c r="D302" s="62">
        <f>Calculator!K105</f>
        <v>0</v>
      </c>
      <c r="E302" s="62">
        <f>Calculator!L105</f>
        <v>0</v>
      </c>
      <c r="F302" s="188" t="str">
        <f t="shared" si="56"/>
        <v>0&lt;V&lt;15</v>
      </c>
      <c r="G302" s="188">
        <f>Calculator!I105</f>
        <v>0</v>
      </c>
      <c r="H302" s="188">
        <f>Calculator!H105</f>
        <v>0</v>
      </c>
      <c r="I302" s="254" t="str">
        <f>IF(Calculator!D105="Early Replacement",IF(Calculator!E105&lt;2017,VLOOKUP(B302,$B$259:$N$290,10,FALSE)*G302+VLOOKUP(B302,$B$259:$N$290,11,FALSE),IF(Calculator!E105&gt;2016,VLOOKUP(B302,$B$259:$N$290,12,FALSE)*G302+VLOOKUP(B302,$B$259:$N$290,13,FALSE))),"")</f>
        <v/>
      </c>
      <c r="J302" s="254" t="e">
        <f t="shared" si="53"/>
        <v>#N/A</v>
      </c>
      <c r="K302" s="254" t="e">
        <f t="shared" si="54"/>
        <v>#N/A</v>
      </c>
      <c r="L302" s="254" t="str">
        <f t="shared" si="57"/>
        <v/>
      </c>
      <c r="M302" s="254" t="str">
        <f>IFERROR(IF(Calculator!D105="Early Replacement",(I302-K302)*365*H302,IF(Calculator!D105="Time of Sale",(J302-K302)*365*H302,IF(Calculator!D105="New Construction",(J302-K302)*365*H302,""))),"")</f>
        <v/>
      </c>
      <c r="N302" s="188" t="str">
        <f t="shared" si="58"/>
        <v>&lt; 19 cubic ft</v>
      </c>
      <c r="O302" s="188" t="str">
        <f t="shared" si="59"/>
        <v>00&lt; 19 cubic ft</v>
      </c>
      <c r="P302" s="273" t="str">
        <f t="shared" si="60"/>
        <v/>
      </c>
      <c r="Q302" s="2" t="str">
        <f t="shared" si="61"/>
        <v>0 0 Door 0</v>
      </c>
      <c r="X302" s="2"/>
    </row>
    <row r="303" spans="2:30">
      <c r="I303" s="183"/>
    </row>
    <row r="304" spans="2:30" s="52" customFormat="1" ht="18.600000000000001" customHeight="1" thickBot="1">
      <c r="B304" s="378" t="s">
        <v>199</v>
      </c>
      <c r="C304" s="378"/>
      <c r="D304" s="378"/>
      <c r="E304" s="378"/>
      <c r="F304" s="378"/>
      <c r="G304" s="378"/>
      <c r="H304" s="378"/>
      <c r="I304" s="378"/>
      <c r="J304" s="378"/>
      <c r="K304" s="51" t="s">
        <v>305</v>
      </c>
      <c r="L304" s="51"/>
      <c r="M304" s="51"/>
      <c r="N304" s="51"/>
      <c r="O304" s="51"/>
      <c r="P304" s="51"/>
      <c r="Q304" s="51"/>
      <c r="R304" s="51"/>
      <c r="S304" s="51"/>
      <c r="T304" s="51"/>
      <c r="U304" s="51"/>
      <c r="V304" s="51"/>
      <c r="W304" s="51"/>
    </row>
    <row r="305" spans="2:31" ht="18">
      <c r="B305" s="8" t="s">
        <v>16</v>
      </c>
      <c r="F305" s="8" t="s">
        <v>96</v>
      </c>
      <c r="P305" s="7"/>
      <c r="Q305" s="7"/>
      <c r="R305" s="7"/>
      <c r="S305" s="7"/>
      <c r="T305" s="7"/>
      <c r="U305" s="7"/>
      <c r="V305" s="7"/>
      <c r="W305" s="7"/>
    </row>
    <row r="306" spans="2:31" ht="15">
      <c r="B306" s="89" t="s">
        <v>60</v>
      </c>
      <c r="C306" s="89">
        <v>365</v>
      </c>
      <c r="D306" s="213" t="s">
        <v>452</v>
      </c>
      <c r="E306" s="213" t="s">
        <v>471</v>
      </c>
      <c r="F306" s="19" t="s">
        <v>200</v>
      </c>
      <c r="G306" s="269">
        <v>250</v>
      </c>
      <c r="H306" s="269" t="s">
        <v>282</v>
      </c>
      <c r="P306" s="7"/>
      <c r="R306" s="7"/>
      <c r="S306" s="7"/>
      <c r="T306" s="7"/>
      <c r="U306" s="7"/>
      <c r="V306" s="7"/>
      <c r="W306" s="7"/>
    </row>
    <row r="307" spans="2:31">
      <c r="B307" s="89" t="s">
        <v>49</v>
      </c>
      <c r="C307" s="100">
        <v>15</v>
      </c>
      <c r="D307" s="62" t="s">
        <v>356</v>
      </c>
      <c r="E307" s="62" t="s">
        <v>460</v>
      </c>
      <c r="F307" s="19" t="s">
        <v>201</v>
      </c>
      <c r="G307" s="269">
        <v>300</v>
      </c>
      <c r="H307" s="269" t="s">
        <v>282</v>
      </c>
      <c r="P307" s="7"/>
      <c r="R307" s="7"/>
      <c r="S307" s="7"/>
      <c r="T307" s="7"/>
      <c r="U307" s="7"/>
      <c r="V307" s="7"/>
      <c r="W307" s="7"/>
    </row>
    <row r="308" spans="2:31">
      <c r="F308" s="19" t="s">
        <v>202</v>
      </c>
      <c r="G308" s="269">
        <v>400</v>
      </c>
      <c r="H308" s="269" t="s">
        <v>282</v>
      </c>
    </row>
    <row r="309" spans="2:31" ht="18">
      <c r="B309" s="8" t="s">
        <v>61</v>
      </c>
      <c r="H309" s="268"/>
      <c r="I309" s="7"/>
      <c r="J309" s="7"/>
      <c r="K309" s="7"/>
      <c r="L309" s="7"/>
      <c r="M309" s="7"/>
      <c r="N309" s="7"/>
      <c r="O309" s="7"/>
      <c r="P309" s="7"/>
      <c r="Q309" s="7"/>
      <c r="R309" s="7"/>
      <c r="S309" s="7"/>
      <c r="T309" s="7"/>
      <c r="U309" s="7"/>
      <c r="V309" s="7"/>
      <c r="W309" s="7"/>
    </row>
    <row r="310" spans="2:31" s="13" customFormat="1" ht="34.15" customHeight="1">
      <c r="B310" s="90" t="s">
        <v>205</v>
      </c>
      <c r="C310" s="25" t="s">
        <v>206</v>
      </c>
      <c r="D310" s="25" t="s">
        <v>207</v>
      </c>
      <c r="F310" s="268"/>
      <c r="G310" s="271"/>
      <c r="H310" s="268"/>
    </row>
    <row r="311" spans="2:31">
      <c r="B311" s="45" t="s">
        <v>200</v>
      </c>
      <c r="C311" s="57">
        <v>21.5</v>
      </c>
      <c r="D311" s="57">
        <v>0</v>
      </c>
      <c r="E311" s="7"/>
      <c r="F311" s="7"/>
      <c r="G311" s="183"/>
      <c r="H311" s="183"/>
      <c r="I311" s="183"/>
      <c r="J311" s="7"/>
      <c r="K311" s="7"/>
      <c r="L311" s="7"/>
      <c r="M311" s="7"/>
      <c r="N311" s="7"/>
      <c r="O311" s="7"/>
      <c r="P311" s="7"/>
      <c r="Q311" s="7"/>
      <c r="R311" s="7"/>
      <c r="S311" s="7"/>
      <c r="T311" s="7"/>
      <c r="U311" s="7"/>
      <c r="V311" s="7"/>
      <c r="W311" s="7"/>
    </row>
    <row r="312" spans="2:31">
      <c r="B312" s="98" t="s">
        <v>201</v>
      </c>
      <c r="C312" s="57">
        <v>2</v>
      </c>
      <c r="D312" s="57">
        <v>254</v>
      </c>
      <c r="E312" s="7"/>
      <c r="F312" s="7"/>
      <c r="G312" s="183"/>
      <c r="H312" s="183"/>
      <c r="I312" s="7"/>
      <c r="J312" s="7"/>
      <c r="K312" s="7"/>
      <c r="L312" s="7"/>
      <c r="M312" s="7"/>
      <c r="N312" s="7"/>
      <c r="O312" s="7"/>
      <c r="P312" s="7"/>
      <c r="Q312" s="7"/>
      <c r="R312" s="7"/>
      <c r="S312" s="7"/>
      <c r="T312" s="7"/>
      <c r="U312" s="7"/>
      <c r="V312" s="7"/>
      <c r="W312" s="7"/>
    </row>
    <row r="313" spans="2:31">
      <c r="B313" s="45" t="s">
        <v>202</v>
      </c>
      <c r="C313" s="57">
        <v>3.8</v>
      </c>
      <c r="D313" s="57">
        <v>203.5</v>
      </c>
      <c r="E313" s="7"/>
      <c r="F313" s="7"/>
      <c r="G313" s="183"/>
      <c r="H313" s="183"/>
      <c r="I313" s="7"/>
      <c r="J313" s="7"/>
      <c r="K313" s="7"/>
      <c r="L313" s="7"/>
      <c r="M313" s="7"/>
      <c r="N313" s="7"/>
      <c r="O313" s="7"/>
      <c r="P313" s="7"/>
      <c r="Q313" s="7"/>
      <c r="R313" s="7"/>
      <c r="S313" s="7"/>
      <c r="T313" s="7"/>
      <c r="U313" s="7"/>
      <c r="V313" s="7"/>
      <c r="W313" s="7"/>
    </row>
    <row r="314" spans="2:31">
      <c r="G314" s="183"/>
      <c r="H314" s="183"/>
    </row>
    <row r="315" spans="2:31" ht="18">
      <c r="B315" s="8" t="s">
        <v>5</v>
      </c>
      <c r="G315" s="183"/>
    </row>
    <row r="316" spans="2:31" s="13" customFormat="1" ht="15">
      <c r="B316" s="68" t="s">
        <v>155</v>
      </c>
      <c r="C316" s="68" t="str">
        <f>Calculator!G109</f>
        <v>Volume per Unit (ft3)</v>
      </c>
      <c r="D316" s="68" t="s">
        <v>213</v>
      </c>
      <c r="E316" s="99" t="s">
        <v>203</v>
      </c>
      <c r="F316" s="91" t="s">
        <v>204</v>
      </c>
      <c r="G316" s="63" t="s">
        <v>45</v>
      </c>
      <c r="H316" s="63" t="s">
        <v>11</v>
      </c>
      <c r="I316" s="64" t="s">
        <v>154</v>
      </c>
      <c r="J316" s="2"/>
      <c r="K316" s="2"/>
      <c r="L316" s="2"/>
      <c r="M316" s="2"/>
      <c r="N316" s="2"/>
      <c r="O316" s="2"/>
      <c r="P316" s="2"/>
      <c r="Q316" s="2"/>
      <c r="R316" s="2"/>
      <c r="S316" s="2"/>
      <c r="T316" s="2"/>
      <c r="U316" s="7"/>
      <c r="V316" s="7"/>
      <c r="W316" s="7"/>
      <c r="X316" s="7"/>
      <c r="Y316" s="7"/>
      <c r="Z316" s="7"/>
    </row>
    <row r="317" spans="2:31" ht="14.25" customHeight="1">
      <c r="B317" s="61">
        <f>Calculator!F110</f>
        <v>0</v>
      </c>
      <c r="C317" s="61">
        <f>Calculator!G110</f>
        <v>0</v>
      </c>
      <c r="D317" s="22" t="str">
        <f>IF(C317&lt;13,"0 &lt; V &lt; 13",IF(AND(C317&gt;12.99,C317&lt;28),"13 ≤ V &lt; 28",IF(C317&gt;27.99,"28 ≤ V",)))</f>
        <v>0 &lt; V &lt; 13</v>
      </c>
      <c r="E317" s="23">
        <f>40*C317</f>
        <v>0</v>
      </c>
      <c r="F317" s="23">
        <f>IF(C317=0,0,VLOOKUP(D317,$B$311:$D$313,2,FALSE)*C317+VLOOKUP(D317,$B$311:$D$313,3,FALSE))</f>
        <v>0</v>
      </c>
      <c r="G317" s="23">
        <f>(E317-F317)/1000</f>
        <v>0</v>
      </c>
      <c r="H317" s="23">
        <f>B317*(E317-F317)*$C$306*$C$307/1000</f>
        <v>0</v>
      </c>
      <c r="I317" s="270">
        <f>IFERROR(ROUND(VLOOKUP(D317,$F$306:$G$308,2,FALSE)*B317,2),"")</f>
        <v>0</v>
      </c>
      <c r="U317" s="7"/>
      <c r="V317" s="7"/>
      <c r="W317" s="7"/>
    </row>
    <row r="318" spans="2:31" ht="14.25" customHeight="1">
      <c r="B318" s="61">
        <f>Calculator!F111</f>
        <v>0</v>
      </c>
      <c r="C318" s="61">
        <f>Calculator!G111</f>
        <v>0</v>
      </c>
      <c r="D318" s="22" t="str">
        <f>IF(C318&lt;13,"0 &lt; V &lt; 13",IF(AND(C318&gt;12.99,C318&lt;28),"13 ≤ V &lt; 28",IF(C318&gt;27.99,"28 ≤ V",)))</f>
        <v>0 &lt; V &lt; 13</v>
      </c>
      <c r="E318" s="23">
        <f>40*C318</f>
        <v>0</v>
      </c>
      <c r="F318" s="23">
        <f t="shared" ref="F318:F319" si="62">IF(C318=0,0,VLOOKUP(D318,$B$311:$D$313,2,FALSE)*C318+VLOOKUP(D318,$B$311:$D$313,3,FALSE))</f>
        <v>0</v>
      </c>
      <c r="G318" s="23">
        <f>(E318-F318)/1000</f>
        <v>0</v>
      </c>
      <c r="H318" s="23">
        <f>B318*(E318-F318)*$C$306*$C$307/1000</f>
        <v>0</v>
      </c>
      <c r="I318" s="270">
        <f t="shared" ref="I318:I319" si="63">IFERROR(ROUND(VLOOKUP(D318,$F$306:$G$308,2,FALSE)*B318,2),"")</f>
        <v>0</v>
      </c>
      <c r="J318" s="104"/>
      <c r="K318" s="104"/>
      <c r="L318" s="104"/>
      <c r="M318" s="104"/>
      <c r="N318" s="104"/>
      <c r="O318" s="104"/>
      <c r="P318" s="104"/>
      <c r="Q318" s="104"/>
      <c r="R318" s="104"/>
      <c r="S318" s="104"/>
      <c r="X318" s="2"/>
      <c r="Y318" s="2"/>
      <c r="Z318" s="2"/>
      <c r="AA318" s="2"/>
      <c r="AB318" s="2"/>
      <c r="AC318" s="2"/>
      <c r="AD318" s="2"/>
      <c r="AE318" s="2"/>
    </row>
    <row r="319" spans="2:31" ht="14.25" customHeight="1">
      <c r="B319" s="61">
        <f>Calculator!F112</f>
        <v>0</v>
      </c>
      <c r="C319" s="61">
        <f>Calculator!G112</f>
        <v>0</v>
      </c>
      <c r="D319" s="22" t="str">
        <f>IF(C319&lt;13,"0 &lt; V &lt; 13",IF(AND(C319&gt;12.99,C319&lt;28),"13 ≤ V &lt; 28",IF(C319&gt;27.99,"28 ≤ V",)))</f>
        <v>0 &lt; V &lt; 13</v>
      </c>
      <c r="E319" s="23">
        <f>40*C319</f>
        <v>0</v>
      </c>
      <c r="F319" s="23">
        <f t="shared" si="62"/>
        <v>0</v>
      </c>
      <c r="G319" s="23">
        <f>(E319-F319)/1000</f>
        <v>0</v>
      </c>
      <c r="H319" s="23">
        <f>B319*(E319-F319)*$C$306*$C$307/1000</f>
        <v>0</v>
      </c>
      <c r="I319" s="270">
        <f t="shared" si="63"/>
        <v>0</v>
      </c>
      <c r="J319" s="104"/>
      <c r="K319" s="104"/>
      <c r="L319" s="104"/>
      <c r="M319" s="104"/>
      <c r="N319" s="104"/>
      <c r="O319" s="104"/>
      <c r="P319" s="104"/>
      <c r="Q319" s="104"/>
      <c r="R319" s="104"/>
      <c r="S319" s="104"/>
      <c r="X319" s="2"/>
      <c r="Y319" s="2"/>
      <c r="Z319" s="2"/>
      <c r="AA319" s="2"/>
      <c r="AB319" s="2"/>
      <c r="AC319" s="2"/>
      <c r="AD319" s="2"/>
      <c r="AE319" s="2"/>
    </row>
    <row r="321" spans="2:11" ht="18.75" thickBot="1">
      <c r="B321" s="378" t="s">
        <v>364</v>
      </c>
      <c r="C321" s="378"/>
      <c r="D321" s="378"/>
      <c r="E321" s="378"/>
      <c r="F321" s="378"/>
      <c r="G321" s="378"/>
      <c r="H321" s="378"/>
      <c r="I321" s="378"/>
      <c r="J321" s="378"/>
    </row>
    <row r="322" spans="2:11" ht="18">
      <c r="B322" s="8" t="s">
        <v>37</v>
      </c>
      <c r="H322" s="8" t="s">
        <v>16</v>
      </c>
    </row>
    <row r="323" spans="2:11" ht="15">
      <c r="B323" s="204" t="s">
        <v>369</v>
      </c>
      <c r="C323" s="204" t="s">
        <v>230</v>
      </c>
      <c r="D323" s="204" t="s">
        <v>381</v>
      </c>
      <c r="E323" s="204" t="s">
        <v>382</v>
      </c>
      <c r="F323" s="213" t="s">
        <v>452</v>
      </c>
      <c r="H323" s="204">
        <v>5634</v>
      </c>
      <c r="I323" s="204" t="s">
        <v>370</v>
      </c>
      <c r="J323" s="204" t="s">
        <v>371</v>
      </c>
      <c r="K323" s="204" t="s">
        <v>348</v>
      </c>
    </row>
    <row r="324" spans="2:11">
      <c r="B324" s="204" t="s">
        <v>367</v>
      </c>
      <c r="C324" s="204" t="s">
        <v>381</v>
      </c>
      <c r="D324" s="204" t="s">
        <v>372</v>
      </c>
      <c r="E324" s="204" t="s">
        <v>372</v>
      </c>
      <c r="F324" s="62" t="s">
        <v>356</v>
      </c>
      <c r="H324" s="204">
        <v>0.9</v>
      </c>
      <c r="I324" s="204" t="s">
        <v>36</v>
      </c>
      <c r="J324" s="204" t="s">
        <v>372</v>
      </c>
      <c r="K324" s="204">
        <v>10</v>
      </c>
    </row>
    <row r="325" spans="2:11">
      <c r="B325" s="204" t="s">
        <v>368</v>
      </c>
      <c r="C325" s="204" t="s">
        <v>382</v>
      </c>
      <c r="D325" s="204" t="s">
        <v>373</v>
      </c>
      <c r="E325" s="204" t="s">
        <v>373</v>
      </c>
      <c r="J325" s="204" t="s">
        <v>373</v>
      </c>
      <c r="K325" s="204">
        <v>15</v>
      </c>
    </row>
    <row r="326" spans="2:11">
      <c r="D326" s="204" t="s">
        <v>374</v>
      </c>
      <c r="E326" s="204" t="s">
        <v>374</v>
      </c>
      <c r="J326" s="204" t="s">
        <v>374</v>
      </c>
      <c r="K326" s="204">
        <v>20</v>
      </c>
    </row>
    <row r="327" spans="2:11">
      <c r="D327" s="204" t="s">
        <v>375</v>
      </c>
      <c r="E327" s="204" t="s">
        <v>375</v>
      </c>
      <c r="J327" s="204" t="s">
        <v>375</v>
      </c>
      <c r="K327" s="204">
        <v>20</v>
      </c>
    </row>
    <row r="328" spans="2:11">
      <c r="D328" s="204" t="s">
        <v>376</v>
      </c>
      <c r="E328" s="204"/>
      <c r="J328" s="204" t="s">
        <v>376</v>
      </c>
      <c r="K328" s="204">
        <v>10</v>
      </c>
    </row>
    <row r="330" spans="2:11" ht="18">
      <c r="B330" s="8" t="s">
        <v>385</v>
      </c>
    </row>
    <row r="331" spans="2:11" ht="30">
      <c r="B331" s="64" t="s">
        <v>384</v>
      </c>
      <c r="C331" s="64" t="s">
        <v>365</v>
      </c>
      <c r="D331" s="64" t="s">
        <v>366</v>
      </c>
      <c r="E331" s="64" t="s">
        <v>230</v>
      </c>
      <c r="F331" s="64" t="s">
        <v>383</v>
      </c>
      <c r="G331" s="64" t="s">
        <v>377</v>
      </c>
      <c r="H331" s="64" t="s">
        <v>378</v>
      </c>
      <c r="I331" s="64" t="s">
        <v>379</v>
      </c>
      <c r="J331" s="64" t="s">
        <v>380</v>
      </c>
      <c r="K331" s="64" t="s">
        <v>154</v>
      </c>
    </row>
    <row r="332" spans="2:11">
      <c r="B332" s="204" t="str">
        <f>CONCATENATE(C332,D332,E332,F332)</f>
        <v>ElectricElectricLowUnder Counter</v>
      </c>
      <c r="C332" s="204" t="s">
        <v>367</v>
      </c>
      <c r="D332" s="204" t="s">
        <v>367</v>
      </c>
      <c r="E332" s="204" t="s">
        <v>382</v>
      </c>
      <c r="F332" s="204" t="s">
        <v>372</v>
      </c>
      <c r="G332" s="204">
        <v>9403</v>
      </c>
      <c r="H332" s="204">
        <v>7225</v>
      </c>
      <c r="I332" s="204">
        <v>0</v>
      </c>
      <c r="J332" s="204">
        <v>0</v>
      </c>
      <c r="K332" s="235">
        <v>75</v>
      </c>
    </row>
    <row r="333" spans="2:11">
      <c r="B333" s="204" t="str">
        <f t="shared" ref="B333:B367" si="64">CONCATENATE(C333,D333,E333,F333)</f>
        <v>ElectricElectricLowStationary Single Tank Door</v>
      </c>
      <c r="C333" s="204" t="s">
        <v>367</v>
      </c>
      <c r="D333" s="204" t="s">
        <v>367</v>
      </c>
      <c r="E333" s="204" t="s">
        <v>382</v>
      </c>
      <c r="F333" s="204" t="s">
        <v>373</v>
      </c>
      <c r="G333" s="204">
        <v>33683</v>
      </c>
      <c r="H333" s="204">
        <v>19832</v>
      </c>
      <c r="I333" s="204">
        <v>0</v>
      </c>
      <c r="J333" s="204">
        <v>0</v>
      </c>
      <c r="K333" s="235">
        <v>400</v>
      </c>
    </row>
    <row r="334" spans="2:11">
      <c r="B334" s="204" t="str">
        <f t="shared" si="64"/>
        <v>ElectricElectricLowSingle Tank Conveyor</v>
      </c>
      <c r="C334" s="204" t="s">
        <v>367</v>
      </c>
      <c r="D334" s="204" t="s">
        <v>367</v>
      </c>
      <c r="E334" s="204" t="s">
        <v>382</v>
      </c>
      <c r="F334" s="204" t="s">
        <v>374</v>
      </c>
      <c r="G334" s="204">
        <v>36189</v>
      </c>
      <c r="H334" s="204">
        <v>24504</v>
      </c>
      <c r="I334" s="204">
        <v>0</v>
      </c>
      <c r="J334" s="204">
        <v>0</v>
      </c>
      <c r="K334" s="235">
        <v>400</v>
      </c>
    </row>
    <row r="335" spans="2:11">
      <c r="B335" s="204" t="str">
        <f t="shared" si="64"/>
        <v>ElectricElectricLowMulti Tank Conveyor</v>
      </c>
      <c r="C335" s="204" t="s">
        <v>367</v>
      </c>
      <c r="D335" s="204" t="s">
        <v>367</v>
      </c>
      <c r="E335" s="204" t="s">
        <v>382</v>
      </c>
      <c r="F335" s="204" t="s">
        <v>375</v>
      </c>
      <c r="G335" s="204">
        <v>42943</v>
      </c>
      <c r="H335" s="204">
        <v>26812</v>
      </c>
      <c r="I335" s="204">
        <v>0</v>
      </c>
      <c r="J335" s="204">
        <v>0</v>
      </c>
      <c r="K335" s="235">
        <v>600</v>
      </c>
    </row>
    <row r="336" spans="2:11">
      <c r="B336" s="204" t="str">
        <f t="shared" si="64"/>
        <v>ElectricElectricHighUnder Counter</v>
      </c>
      <c r="C336" s="204" t="s">
        <v>367</v>
      </c>
      <c r="D336" s="204" t="s">
        <v>367</v>
      </c>
      <c r="E336" s="204" t="s">
        <v>381</v>
      </c>
      <c r="F336" s="204" t="s">
        <v>372</v>
      </c>
      <c r="G336" s="204">
        <v>10595</v>
      </c>
      <c r="H336" s="204">
        <v>7876</v>
      </c>
      <c r="I336" s="204">
        <v>0</v>
      </c>
      <c r="J336" s="204">
        <v>0</v>
      </c>
      <c r="K336" s="235">
        <v>300</v>
      </c>
    </row>
    <row r="337" spans="2:11">
      <c r="B337" s="204" t="str">
        <f t="shared" si="64"/>
        <v>ElectricElectricHighStationary Single Tank Door</v>
      </c>
      <c r="C337" s="204" t="s">
        <v>367</v>
      </c>
      <c r="D337" s="204" t="s">
        <v>367</v>
      </c>
      <c r="E337" s="204" t="s">
        <v>381</v>
      </c>
      <c r="F337" s="204" t="s">
        <v>373</v>
      </c>
      <c r="G337" s="204">
        <v>34151</v>
      </c>
      <c r="H337" s="204">
        <v>23987</v>
      </c>
      <c r="I337" s="204">
        <v>0</v>
      </c>
      <c r="J337" s="204">
        <v>0</v>
      </c>
      <c r="K337" s="235">
        <v>500</v>
      </c>
    </row>
    <row r="338" spans="2:11">
      <c r="B338" s="204" t="str">
        <f t="shared" si="64"/>
        <v>ElectricElectricHighSingle Tank Conveyor</v>
      </c>
      <c r="C338" s="204" t="s">
        <v>367</v>
      </c>
      <c r="D338" s="204" t="s">
        <v>367</v>
      </c>
      <c r="E338" s="204" t="s">
        <v>381</v>
      </c>
      <c r="F338" s="204" t="s">
        <v>374</v>
      </c>
      <c r="G338" s="204">
        <v>39070</v>
      </c>
      <c r="H338" s="204">
        <v>31171</v>
      </c>
      <c r="I338" s="204">
        <v>0</v>
      </c>
      <c r="J338" s="204">
        <v>0</v>
      </c>
      <c r="K338" s="235">
        <v>700</v>
      </c>
    </row>
    <row r="339" spans="2:11">
      <c r="B339" s="204" t="str">
        <f t="shared" si="64"/>
        <v>ElectricElectricHighMulti Tank Conveyor</v>
      </c>
      <c r="C339" s="204" t="s">
        <v>367</v>
      </c>
      <c r="D339" s="204" t="s">
        <v>367</v>
      </c>
      <c r="E339" s="204" t="s">
        <v>381</v>
      </c>
      <c r="F339" s="204" t="s">
        <v>375</v>
      </c>
      <c r="G339" s="204">
        <v>62148</v>
      </c>
      <c r="H339" s="204">
        <v>38645</v>
      </c>
      <c r="I339" s="204">
        <v>0</v>
      </c>
      <c r="J339" s="204">
        <v>0</v>
      </c>
      <c r="K339" s="235">
        <v>1200</v>
      </c>
    </row>
    <row r="340" spans="2:11">
      <c r="B340" s="204" t="str">
        <f t="shared" si="64"/>
        <v>ElectricElectricHighPot, Pan, and Utensil</v>
      </c>
      <c r="C340" s="204" t="s">
        <v>367</v>
      </c>
      <c r="D340" s="204" t="s">
        <v>367</v>
      </c>
      <c r="E340" s="204" t="s">
        <v>381</v>
      </c>
      <c r="F340" s="204" t="s">
        <v>376</v>
      </c>
      <c r="G340" s="204">
        <v>18064</v>
      </c>
      <c r="H340" s="204">
        <v>15225</v>
      </c>
      <c r="I340" s="204">
        <v>0</v>
      </c>
      <c r="J340" s="204">
        <v>0</v>
      </c>
      <c r="K340" s="235">
        <v>500</v>
      </c>
    </row>
    <row r="341" spans="2:11">
      <c r="B341" s="204" t="str">
        <f t="shared" si="64"/>
        <v>ElectricNatural GasLowUnder Counter</v>
      </c>
      <c r="C341" s="204" t="s">
        <v>367</v>
      </c>
      <c r="D341" s="204" t="s">
        <v>368</v>
      </c>
      <c r="E341" s="204" t="s">
        <v>382</v>
      </c>
      <c r="F341" s="204" t="s">
        <v>372</v>
      </c>
      <c r="G341" s="204">
        <v>9403</v>
      </c>
      <c r="H341" s="204">
        <v>7225</v>
      </c>
      <c r="I341" s="204">
        <v>0</v>
      </c>
      <c r="J341" s="204">
        <v>0</v>
      </c>
      <c r="K341" s="235">
        <v>75</v>
      </c>
    </row>
    <row r="342" spans="2:11">
      <c r="B342" s="204" t="str">
        <f t="shared" si="64"/>
        <v>ElectricNatural GasLowStationary Single Tank Door</v>
      </c>
      <c r="C342" s="204" t="s">
        <v>367</v>
      </c>
      <c r="D342" s="204" t="s">
        <v>368</v>
      </c>
      <c r="E342" s="204" t="s">
        <v>382</v>
      </c>
      <c r="F342" s="204" t="s">
        <v>373</v>
      </c>
      <c r="G342" s="204">
        <v>33683</v>
      </c>
      <c r="H342" s="204">
        <v>19832</v>
      </c>
      <c r="I342" s="204">
        <v>0</v>
      </c>
      <c r="J342" s="204">
        <v>0</v>
      </c>
      <c r="K342" s="235">
        <v>400</v>
      </c>
    </row>
    <row r="343" spans="2:11">
      <c r="B343" s="204" t="str">
        <f t="shared" si="64"/>
        <v>ElectricNatural GasLowSingle Tank Conveyor</v>
      </c>
      <c r="C343" s="204" t="s">
        <v>367</v>
      </c>
      <c r="D343" s="204" t="s">
        <v>368</v>
      </c>
      <c r="E343" s="204" t="s">
        <v>382</v>
      </c>
      <c r="F343" s="204" t="s">
        <v>374</v>
      </c>
      <c r="G343" s="204">
        <v>36189</v>
      </c>
      <c r="H343" s="204">
        <v>24504</v>
      </c>
      <c r="I343" s="204">
        <v>0</v>
      </c>
      <c r="J343" s="204">
        <v>0</v>
      </c>
      <c r="K343" s="235">
        <v>400</v>
      </c>
    </row>
    <row r="344" spans="2:11">
      <c r="B344" s="204" t="str">
        <f t="shared" si="64"/>
        <v>ElectricNatural GasLowMulti Tank Conveyor</v>
      </c>
      <c r="C344" s="204" t="s">
        <v>367</v>
      </c>
      <c r="D344" s="204" t="s">
        <v>368</v>
      </c>
      <c r="E344" s="204" t="s">
        <v>382</v>
      </c>
      <c r="F344" s="204" t="s">
        <v>375</v>
      </c>
      <c r="G344" s="204">
        <v>42943</v>
      </c>
      <c r="H344" s="204">
        <v>26812</v>
      </c>
      <c r="I344" s="204">
        <v>0</v>
      </c>
      <c r="J344" s="204">
        <v>0</v>
      </c>
      <c r="K344" s="235">
        <v>600</v>
      </c>
    </row>
    <row r="345" spans="2:11">
      <c r="B345" s="204" t="str">
        <f t="shared" si="64"/>
        <v>ElectricNatural GasHighUnder Counter</v>
      </c>
      <c r="C345" s="204" t="s">
        <v>367</v>
      </c>
      <c r="D345" s="204" t="s">
        <v>368</v>
      </c>
      <c r="E345" s="204" t="s">
        <v>381</v>
      </c>
      <c r="F345" s="204" t="s">
        <v>372</v>
      </c>
      <c r="G345" s="204">
        <v>8083</v>
      </c>
      <c r="H345" s="204">
        <v>5894</v>
      </c>
      <c r="I345" s="204">
        <v>10.5</v>
      </c>
      <c r="J345" s="204">
        <v>8.3000000000000007</v>
      </c>
      <c r="K345" s="235">
        <v>300</v>
      </c>
    </row>
    <row r="346" spans="2:11">
      <c r="B346" s="204" t="str">
        <f t="shared" si="64"/>
        <v>ElectricNatural GasHighStationary Single Tank Door</v>
      </c>
      <c r="C346" s="204" t="s">
        <v>367</v>
      </c>
      <c r="D346" s="204" t="s">
        <v>368</v>
      </c>
      <c r="E346" s="204" t="s">
        <v>381</v>
      </c>
      <c r="F346" s="204" t="s">
        <v>373</v>
      </c>
      <c r="G346" s="204">
        <v>23053</v>
      </c>
      <c r="H346" s="204">
        <v>16321</v>
      </c>
      <c r="I346" s="204">
        <v>46.4</v>
      </c>
      <c r="J346" s="204">
        <v>32</v>
      </c>
      <c r="K346" s="235">
        <v>500</v>
      </c>
    </row>
    <row r="347" spans="2:11">
      <c r="B347" s="204" t="str">
        <f t="shared" si="64"/>
        <v>ElectricNatural GasHighSingle Tank Conveyor</v>
      </c>
      <c r="C347" s="204" t="s">
        <v>367</v>
      </c>
      <c r="D347" s="204" t="s">
        <v>368</v>
      </c>
      <c r="E347" s="204" t="s">
        <v>381</v>
      </c>
      <c r="F347" s="204" t="s">
        <v>374</v>
      </c>
      <c r="G347" s="204">
        <v>28378</v>
      </c>
      <c r="H347" s="204">
        <v>22568</v>
      </c>
      <c r="I347" s="204">
        <v>44.7</v>
      </c>
      <c r="J347" s="204">
        <v>36</v>
      </c>
      <c r="K347" s="235">
        <v>700</v>
      </c>
    </row>
    <row r="348" spans="2:11">
      <c r="B348" s="204" t="str">
        <f t="shared" si="64"/>
        <v>ElectricNatural GasHighMulti Tank Conveyor</v>
      </c>
      <c r="C348" s="204" t="s">
        <v>367</v>
      </c>
      <c r="D348" s="204" t="s">
        <v>368</v>
      </c>
      <c r="E348" s="204" t="s">
        <v>381</v>
      </c>
      <c r="F348" s="204" t="s">
        <v>375</v>
      </c>
      <c r="G348" s="204">
        <v>44265</v>
      </c>
      <c r="H348" s="204">
        <v>28690</v>
      </c>
      <c r="I348" s="204">
        <v>74.8</v>
      </c>
      <c r="J348" s="204">
        <v>41.6</v>
      </c>
      <c r="K348" s="235">
        <v>1200</v>
      </c>
    </row>
    <row r="349" spans="2:11">
      <c r="B349" s="204" t="str">
        <f t="shared" si="64"/>
        <v>ElectricNatural GasHighPot, Pan, and Utensil</v>
      </c>
      <c r="C349" s="204" t="s">
        <v>367</v>
      </c>
      <c r="D349" s="204" t="s">
        <v>368</v>
      </c>
      <c r="E349" s="204" t="s">
        <v>381</v>
      </c>
      <c r="F349" s="204" t="s">
        <v>376</v>
      </c>
      <c r="G349" s="204">
        <v>12041</v>
      </c>
      <c r="H349" s="204">
        <v>10235</v>
      </c>
      <c r="I349" s="204">
        <v>25.2</v>
      </c>
      <c r="J349" s="204">
        <v>20.9</v>
      </c>
      <c r="K349" s="235">
        <v>500</v>
      </c>
    </row>
    <row r="350" spans="2:11">
      <c r="B350" s="204" t="str">
        <f t="shared" si="64"/>
        <v>Natural GasNatural GasLowUnder Counter</v>
      </c>
      <c r="C350" s="204" t="s">
        <v>368</v>
      </c>
      <c r="D350" s="204" t="s">
        <v>368</v>
      </c>
      <c r="E350" s="204" t="s">
        <v>382</v>
      </c>
      <c r="F350" s="204" t="s">
        <v>372</v>
      </c>
      <c r="G350" s="204">
        <v>2426</v>
      </c>
      <c r="H350" s="204">
        <v>2426</v>
      </c>
      <c r="I350" s="204">
        <v>29.2</v>
      </c>
      <c r="J350" s="204">
        <v>20.100000000000001</v>
      </c>
      <c r="K350" s="235">
        <v>0</v>
      </c>
    </row>
    <row r="351" spans="2:11">
      <c r="B351" s="204" t="str">
        <f t="shared" si="64"/>
        <v>Natural GasNatural GasLowStationary Single Tank Door</v>
      </c>
      <c r="C351" s="204" t="s">
        <v>368</v>
      </c>
      <c r="D351" s="204" t="s">
        <v>368</v>
      </c>
      <c r="E351" s="204" t="s">
        <v>382</v>
      </c>
      <c r="F351" s="204" t="s">
        <v>373</v>
      </c>
      <c r="G351" s="204">
        <v>2066</v>
      </c>
      <c r="H351" s="204">
        <v>2066</v>
      </c>
      <c r="I351" s="204">
        <v>132.19999999999999</v>
      </c>
      <c r="J351" s="204">
        <v>74.3</v>
      </c>
      <c r="K351" s="235">
        <v>0</v>
      </c>
    </row>
    <row r="352" spans="2:11">
      <c r="B352" s="204" t="str">
        <f t="shared" si="64"/>
        <v>Natural GasNatural GasLowSingle Tank Conveyor</v>
      </c>
      <c r="C352" s="204" t="s">
        <v>368</v>
      </c>
      <c r="D352" s="204" t="s">
        <v>368</v>
      </c>
      <c r="E352" s="204" t="s">
        <v>382</v>
      </c>
      <c r="F352" s="204" t="s">
        <v>374</v>
      </c>
      <c r="G352" s="204">
        <v>8013</v>
      </c>
      <c r="H352" s="204">
        <v>7512</v>
      </c>
      <c r="I352" s="204">
        <v>117.8</v>
      </c>
      <c r="J352" s="204">
        <v>71</v>
      </c>
      <c r="K352" s="235">
        <v>400</v>
      </c>
    </row>
    <row r="353" spans="2:11">
      <c r="B353" s="204" t="str">
        <f t="shared" si="64"/>
        <v>Natural GasNatural GasLowMulti Tank Conveyor</v>
      </c>
      <c r="C353" s="204" t="s">
        <v>368</v>
      </c>
      <c r="D353" s="204" t="s">
        <v>368</v>
      </c>
      <c r="E353" s="204" t="s">
        <v>382</v>
      </c>
      <c r="F353" s="204" t="s">
        <v>375</v>
      </c>
      <c r="G353" s="204">
        <v>9390</v>
      </c>
      <c r="H353" s="204">
        <v>9390</v>
      </c>
      <c r="I353" s="204">
        <v>140.30000000000001</v>
      </c>
      <c r="J353" s="204">
        <v>72.8</v>
      </c>
      <c r="K353" s="235">
        <v>0</v>
      </c>
    </row>
    <row r="354" spans="2:11">
      <c r="B354" s="204" t="str">
        <f t="shared" si="64"/>
        <v>Natural GasNatural GasHighUnder Counter</v>
      </c>
      <c r="C354" s="204" t="s">
        <v>368</v>
      </c>
      <c r="D354" s="204" t="s">
        <v>368</v>
      </c>
      <c r="E354" s="204" t="s">
        <v>381</v>
      </c>
      <c r="F354" s="204" t="s">
        <v>372</v>
      </c>
      <c r="G354" s="204">
        <v>3687</v>
      </c>
      <c r="H354" s="204">
        <v>2426</v>
      </c>
      <c r="I354" s="204">
        <v>28.9</v>
      </c>
      <c r="J354" s="204">
        <v>22.8</v>
      </c>
      <c r="K354" s="235">
        <v>300</v>
      </c>
    </row>
    <row r="355" spans="2:11">
      <c r="B355" s="204" t="str">
        <f t="shared" si="64"/>
        <v>Natural GasNatural GasHighStationary Single Tank Door</v>
      </c>
      <c r="C355" s="204" t="s">
        <v>368</v>
      </c>
      <c r="D355" s="204" t="s">
        <v>368</v>
      </c>
      <c r="E355" s="204" t="s">
        <v>381</v>
      </c>
      <c r="F355" s="204" t="s">
        <v>373</v>
      </c>
      <c r="G355" s="204">
        <v>3631</v>
      </c>
      <c r="H355" s="204">
        <v>2921</v>
      </c>
      <c r="I355" s="204">
        <v>127.6</v>
      </c>
      <c r="J355" s="204">
        <v>88</v>
      </c>
      <c r="K355" s="235">
        <v>500</v>
      </c>
    </row>
    <row r="356" spans="2:11">
      <c r="B356" s="204" t="str">
        <f t="shared" si="64"/>
        <v>Natural GasNatural GasHighSingle Tank Conveyor</v>
      </c>
      <c r="C356" s="204" t="s">
        <v>368</v>
      </c>
      <c r="D356" s="204" t="s">
        <v>368</v>
      </c>
      <c r="E356" s="204" t="s">
        <v>381</v>
      </c>
      <c r="F356" s="204" t="s">
        <v>374</v>
      </c>
      <c r="G356" s="204">
        <v>9665</v>
      </c>
      <c r="H356" s="204">
        <v>7512</v>
      </c>
      <c r="I356" s="204">
        <v>122.9</v>
      </c>
      <c r="J356" s="204">
        <v>98.9</v>
      </c>
      <c r="K356" s="235">
        <v>700</v>
      </c>
    </row>
    <row r="357" spans="2:11">
      <c r="B357" s="204" t="str">
        <f t="shared" si="64"/>
        <v>Natural GasNatural GasHighMulti Tank Conveyor</v>
      </c>
      <c r="C357" s="204" t="s">
        <v>368</v>
      </c>
      <c r="D357" s="204" t="s">
        <v>368</v>
      </c>
      <c r="E357" s="204" t="s">
        <v>381</v>
      </c>
      <c r="F357" s="204" t="s">
        <v>375</v>
      </c>
      <c r="G357" s="204">
        <v>12971</v>
      </c>
      <c r="H357" s="204">
        <v>11268</v>
      </c>
      <c r="I357" s="204">
        <v>205.6</v>
      </c>
      <c r="J357" s="204">
        <v>114.5</v>
      </c>
      <c r="K357" s="235">
        <v>1200</v>
      </c>
    </row>
    <row r="358" spans="2:11">
      <c r="B358" s="204" t="str">
        <f t="shared" si="64"/>
        <v>Natural GasNatural GasHighPot, Pan, and Utensil</v>
      </c>
      <c r="C358" s="204" t="s">
        <v>368</v>
      </c>
      <c r="D358" s="204" t="s">
        <v>368</v>
      </c>
      <c r="E358" s="204" t="s">
        <v>381</v>
      </c>
      <c r="F358" s="204" t="s">
        <v>376</v>
      </c>
      <c r="G358" s="204">
        <v>1502</v>
      </c>
      <c r="H358" s="204">
        <v>1502</v>
      </c>
      <c r="I358" s="204">
        <v>69.2</v>
      </c>
      <c r="J358" s="204">
        <v>57.4</v>
      </c>
      <c r="K358" s="235">
        <v>0</v>
      </c>
    </row>
    <row r="359" spans="2:11">
      <c r="B359" s="204" t="str">
        <f t="shared" si="64"/>
        <v>Natural GasElectricLowUnder Counter</v>
      </c>
      <c r="C359" s="204" t="s">
        <v>368</v>
      </c>
      <c r="D359" s="204" t="s">
        <v>367</v>
      </c>
      <c r="E359" s="204" t="s">
        <v>382</v>
      </c>
      <c r="F359" s="204" t="s">
        <v>372</v>
      </c>
      <c r="G359" s="204">
        <v>2426</v>
      </c>
      <c r="H359" s="204">
        <v>2426</v>
      </c>
      <c r="I359" s="204">
        <v>29.2</v>
      </c>
      <c r="J359" s="204">
        <v>20.100000000000001</v>
      </c>
      <c r="K359" s="235">
        <v>0</v>
      </c>
    </row>
    <row r="360" spans="2:11">
      <c r="B360" s="204" t="str">
        <f t="shared" si="64"/>
        <v>Natural GasElectricLowStationary Single Tank Door</v>
      </c>
      <c r="C360" s="204" t="s">
        <v>368</v>
      </c>
      <c r="D360" s="204" t="s">
        <v>367</v>
      </c>
      <c r="E360" s="204" t="s">
        <v>382</v>
      </c>
      <c r="F360" s="204" t="s">
        <v>373</v>
      </c>
      <c r="G360" s="204">
        <v>2066</v>
      </c>
      <c r="H360" s="204">
        <v>2066</v>
      </c>
      <c r="I360" s="204">
        <v>132.19999999999999</v>
      </c>
      <c r="J360" s="204">
        <v>74.3</v>
      </c>
      <c r="K360" s="235">
        <v>0</v>
      </c>
    </row>
    <row r="361" spans="2:11">
      <c r="B361" s="204" t="str">
        <f t="shared" si="64"/>
        <v>Natural GasElectricLowSingle Tank Conveyor</v>
      </c>
      <c r="C361" s="204" t="s">
        <v>368</v>
      </c>
      <c r="D361" s="204" t="s">
        <v>367</v>
      </c>
      <c r="E361" s="204" t="s">
        <v>382</v>
      </c>
      <c r="F361" s="204" t="s">
        <v>374</v>
      </c>
      <c r="G361" s="204">
        <v>8013</v>
      </c>
      <c r="H361" s="204">
        <v>7512</v>
      </c>
      <c r="I361" s="204">
        <v>117.8</v>
      </c>
      <c r="J361" s="204">
        <v>71</v>
      </c>
      <c r="K361" s="235">
        <v>400</v>
      </c>
    </row>
    <row r="362" spans="2:11">
      <c r="B362" s="204" t="str">
        <f t="shared" si="64"/>
        <v>Natural GasElectricLowMulti Tank Conveyor</v>
      </c>
      <c r="C362" s="204" t="s">
        <v>368</v>
      </c>
      <c r="D362" s="204" t="s">
        <v>367</v>
      </c>
      <c r="E362" s="204" t="s">
        <v>382</v>
      </c>
      <c r="F362" s="204" t="s">
        <v>375</v>
      </c>
      <c r="G362" s="204">
        <v>9390</v>
      </c>
      <c r="H362" s="204">
        <v>9390</v>
      </c>
      <c r="I362" s="204">
        <v>140.30000000000001</v>
      </c>
      <c r="J362" s="204">
        <v>72.8</v>
      </c>
      <c r="K362" s="235">
        <v>0</v>
      </c>
    </row>
    <row r="363" spans="2:11">
      <c r="B363" s="204" t="str">
        <f t="shared" si="64"/>
        <v>Natural GasElectricHighUnder Counter</v>
      </c>
      <c r="C363" s="204" t="s">
        <v>368</v>
      </c>
      <c r="D363" s="204" t="s">
        <v>367</v>
      </c>
      <c r="E363" s="204" t="s">
        <v>381</v>
      </c>
      <c r="F363" s="204" t="s">
        <v>372</v>
      </c>
      <c r="G363" s="204">
        <v>6199</v>
      </c>
      <c r="H363" s="204">
        <v>4408</v>
      </c>
      <c r="I363" s="204">
        <v>18.399999999999999</v>
      </c>
      <c r="J363" s="204">
        <v>14.5</v>
      </c>
      <c r="K363" s="235">
        <v>300</v>
      </c>
    </row>
    <row r="364" spans="2:11">
      <c r="B364" s="204" t="str">
        <f t="shared" si="64"/>
        <v>Natural GasElectricHighStationary Single Tank Door</v>
      </c>
      <c r="C364" s="204" t="s">
        <v>368</v>
      </c>
      <c r="D364" s="204" t="s">
        <v>367</v>
      </c>
      <c r="E364" s="204" t="s">
        <v>381</v>
      </c>
      <c r="F364" s="204" t="s">
        <v>373</v>
      </c>
      <c r="G364" s="204">
        <v>14729</v>
      </c>
      <c r="H364" s="204">
        <v>10578</v>
      </c>
      <c r="I364" s="204">
        <v>81.2</v>
      </c>
      <c r="J364" s="204">
        <v>56</v>
      </c>
      <c r="K364" s="235">
        <v>500</v>
      </c>
    </row>
    <row r="365" spans="2:11">
      <c r="B365" s="204" t="str">
        <f t="shared" si="64"/>
        <v>Natural GasElectricHighSingle Tank Conveyor</v>
      </c>
      <c r="C365" s="204" t="s">
        <v>368</v>
      </c>
      <c r="D365" s="204" t="s">
        <v>367</v>
      </c>
      <c r="E365" s="204" t="s">
        <v>381</v>
      </c>
      <c r="F365" s="204" t="s">
        <v>374</v>
      </c>
      <c r="G365" s="204">
        <v>20358</v>
      </c>
      <c r="H365" s="204">
        <v>16115</v>
      </c>
      <c r="I365" s="204">
        <v>78.2</v>
      </c>
      <c r="J365" s="204">
        <v>62.9</v>
      </c>
      <c r="K365" s="235">
        <v>700</v>
      </c>
    </row>
    <row r="366" spans="2:11">
      <c r="B366" s="204" t="str">
        <f t="shared" si="64"/>
        <v>Natural GasElectricHighMulti Tank Conveyor</v>
      </c>
      <c r="C366" s="204" t="s">
        <v>368</v>
      </c>
      <c r="D366" s="204" t="s">
        <v>367</v>
      </c>
      <c r="E366" s="204" t="s">
        <v>381</v>
      </c>
      <c r="F366" s="204" t="s">
        <v>375</v>
      </c>
      <c r="G366" s="204">
        <v>30853</v>
      </c>
      <c r="H366" s="204">
        <v>21223</v>
      </c>
      <c r="I366" s="204">
        <v>130.80000000000001</v>
      </c>
      <c r="J366" s="204">
        <v>72.8</v>
      </c>
      <c r="K366" s="235">
        <v>1200</v>
      </c>
    </row>
    <row r="367" spans="2:11">
      <c r="B367" s="204" t="str">
        <f t="shared" si="64"/>
        <v>Natural GasElectricHighPot, Pan, and Utensil</v>
      </c>
      <c r="C367" s="204" t="s">
        <v>368</v>
      </c>
      <c r="D367" s="204" t="s">
        <v>367</v>
      </c>
      <c r="E367" s="204" t="s">
        <v>381</v>
      </c>
      <c r="F367" s="204" t="s">
        <v>376</v>
      </c>
      <c r="G367" s="204">
        <v>7525</v>
      </c>
      <c r="H367" s="204">
        <v>6492</v>
      </c>
      <c r="I367" s="204">
        <v>44.1</v>
      </c>
      <c r="J367" s="204">
        <v>36.5</v>
      </c>
      <c r="K367" s="235">
        <v>500</v>
      </c>
    </row>
    <row r="369" spans="2:12" ht="18">
      <c r="B369" s="8" t="s">
        <v>5</v>
      </c>
    </row>
    <row r="370" spans="2:12" ht="30">
      <c r="B370" s="68" t="s">
        <v>384</v>
      </c>
      <c r="C370" s="68" t="s">
        <v>342</v>
      </c>
      <c r="D370" s="68" t="s">
        <v>114</v>
      </c>
      <c r="E370" s="68" t="s">
        <v>115</v>
      </c>
      <c r="F370" s="68" t="s">
        <v>386</v>
      </c>
      <c r="G370" s="68" t="s">
        <v>387</v>
      </c>
      <c r="H370" s="68" t="s">
        <v>391</v>
      </c>
      <c r="I370" s="68" t="s">
        <v>388</v>
      </c>
      <c r="J370" s="68" t="s">
        <v>389</v>
      </c>
      <c r="K370" s="68" t="s">
        <v>390</v>
      </c>
      <c r="L370" s="68" t="s">
        <v>96</v>
      </c>
    </row>
    <row r="371" spans="2:12">
      <c r="B371" s="204" t="str">
        <f>CONCATENATE(Calculator!G117,Calculator!H117,Calculator!I117,Calculator!J117)</f>
        <v/>
      </c>
      <c r="C371" s="204">
        <f>Calculator!F117</f>
        <v>0</v>
      </c>
      <c r="D371" s="237" t="e">
        <f>VLOOKUP(B371,$B$332:$J$367,6,FALSE)</f>
        <v>#N/A</v>
      </c>
      <c r="E371" s="237" t="e">
        <f>VLOOKUP(B371,$B$332:$J$367,7,FALSE)</f>
        <v>#N/A</v>
      </c>
      <c r="F371" s="238" t="e">
        <f>VLOOKUP(B371,$B$332:$J$367,8,FALSE)</f>
        <v>#N/A</v>
      </c>
      <c r="G371" s="238" t="e">
        <f>VLOOKUP(B371,$B$332:$J$367,9,FALSE)</f>
        <v>#N/A</v>
      </c>
      <c r="H371" s="236">
        <f>IFERROR(I371*$H$324/$H$323,0)</f>
        <v>0</v>
      </c>
      <c r="I371" s="237">
        <f>IFERROR(D371-E371,0)</f>
        <v>0</v>
      </c>
      <c r="J371" s="238">
        <f>IFERROR(F371-G371,0)</f>
        <v>0</v>
      </c>
      <c r="K371" s="238">
        <f>IFERROR(J371*10,0)</f>
        <v>0</v>
      </c>
      <c r="L371" s="240" t="str">
        <f>IFERROR(ROUND(VLOOKUP(B371,$B$332:$K$367,10,FALSE)*C371,2),"")</f>
        <v/>
      </c>
    </row>
    <row r="372" spans="2:12">
      <c r="B372" s="204" t="str">
        <f>CONCATENATE(Calculator!G118,Calculator!H118,Calculator!I118,Calculator!J118)</f>
        <v/>
      </c>
      <c r="C372" s="204">
        <f>Calculator!F118</f>
        <v>0</v>
      </c>
      <c r="D372" s="237" t="e">
        <f t="shared" ref="D372:D375" si="65">VLOOKUP(B372,$B$332:$J$367,6,FALSE)</f>
        <v>#N/A</v>
      </c>
      <c r="E372" s="237" t="e">
        <f t="shared" ref="E372:E375" si="66">VLOOKUP(B372,$B$332:$J$367,7,FALSE)</f>
        <v>#N/A</v>
      </c>
      <c r="F372" s="238" t="e">
        <f>VLOOKUP(B372,$B$332:$J$367,8,FALSE)</f>
        <v>#N/A</v>
      </c>
      <c r="G372" s="238" t="e">
        <f>VLOOKUP(B372,$B$332:$J$367,9,FALSE)</f>
        <v>#N/A</v>
      </c>
      <c r="H372" s="236">
        <f t="shared" ref="H372:H375" si="67">IFERROR(I372*$H$324/$H$323,0)</f>
        <v>0</v>
      </c>
      <c r="I372" s="237">
        <f t="shared" ref="I372:I375" si="68">IFERROR(D372-E372,0)</f>
        <v>0</v>
      </c>
      <c r="J372" s="238">
        <f t="shared" ref="J372:J375" si="69">IFERROR(F372-G372,0)</f>
        <v>0</v>
      </c>
      <c r="K372" s="238">
        <f t="shared" ref="K372:K375" si="70">IFERROR(J372*10,0)</f>
        <v>0</v>
      </c>
      <c r="L372" s="240" t="str">
        <f t="shared" ref="L372:L375" si="71">IFERROR(ROUND(VLOOKUP(B372,$B$332:$K$367,10,FALSE)*C372,2),"")</f>
        <v/>
      </c>
    </row>
    <row r="373" spans="2:12">
      <c r="B373" s="204" t="str">
        <f>CONCATENATE(Calculator!G119,Calculator!H119,Calculator!I119,Calculator!J119)</f>
        <v/>
      </c>
      <c r="C373" s="204">
        <f>Calculator!F119</f>
        <v>0</v>
      </c>
      <c r="D373" s="237" t="e">
        <f t="shared" si="65"/>
        <v>#N/A</v>
      </c>
      <c r="E373" s="237" t="e">
        <f t="shared" si="66"/>
        <v>#N/A</v>
      </c>
      <c r="F373" s="238" t="e">
        <f>VLOOKUP(B373,$B$332:$J$367,8,FALSE)</f>
        <v>#N/A</v>
      </c>
      <c r="G373" s="238" t="e">
        <f>VLOOKUP(B373,$B$332:$J$367,9,FALSE)</f>
        <v>#N/A</v>
      </c>
      <c r="H373" s="236">
        <f t="shared" si="67"/>
        <v>0</v>
      </c>
      <c r="I373" s="237">
        <f t="shared" si="68"/>
        <v>0</v>
      </c>
      <c r="J373" s="238">
        <f t="shared" si="69"/>
        <v>0</v>
      </c>
      <c r="K373" s="238">
        <f t="shared" si="70"/>
        <v>0</v>
      </c>
      <c r="L373" s="240" t="str">
        <f t="shared" si="71"/>
        <v/>
      </c>
    </row>
    <row r="374" spans="2:12">
      <c r="B374" s="204" t="str">
        <f>CONCATENATE(Calculator!G120,Calculator!H120,Calculator!I120,Calculator!J120)</f>
        <v/>
      </c>
      <c r="C374" s="204">
        <f>Calculator!F120</f>
        <v>0</v>
      </c>
      <c r="D374" s="237" t="e">
        <f t="shared" si="65"/>
        <v>#N/A</v>
      </c>
      <c r="E374" s="237" t="e">
        <f t="shared" si="66"/>
        <v>#N/A</v>
      </c>
      <c r="F374" s="238" t="e">
        <f>VLOOKUP(B374,$B$332:$J$367,8,FALSE)</f>
        <v>#N/A</v>
      </c>
      <c r="G374" s="238" t="e">
        <f>VLOOKUP(B374,$B$332:$J$367,9,FALSE)</f>
        <v>#N/A</v>
      </c>
      <c r="H374" s="236">
        <f t="shared" si="67"/>
        <v>0</v>
      </c>
      <c r="I374" s="237">
        <f t="shared" si="68"/>
        <v>0</v>
      </c>
      <c r="J374" s="238">
        <f t="shared" si="69"/>
        <v>0</v>
      </c>
      <c r="K374" s="238">
        <f t="shared" si="70"/>
        <v>0</v>
      </c>
      <c r="L374" s="240" t="str">
        <f t="shared" si="71"/>
        <v/>
      </c>
    </row>
    <row r="375" spans="2:12">
      <c r="B375" s="204" t="str">
        <f>CONCATENATE(Calculator!G121,Calculator!H121,Calculator!I121,Calculator!J121)</f>
        <v/>
      </c>
      <c r="C375" s="204">
        <f>Calculator!F121</f>
        <v>0</v>
      </c>
      <c r="D375" s="237" t="e">
        <f t="shared" si="65"/>
        <v>#N/A</v>
      </c>
      <c r="E375" s="237" t="e">
        <f t="shared" si="66"/>
        <v>#N/A</v>
      </c>
      <c r="F375" s="238" t="e">
        <f>VLOOKUP(B375,$B$332:$J$367,8,FALSE)</f>
        <v>#N/A</v>
      </c>
      <c r="G375" s="238" t="e">
        <f>VLOOKUP(B375,$B$332:$J$367,9,FALSE)</f>
        <v>#N/A</v>
      </c>
      <c r="H375" s="236">
        <f t="shared" si="67"/>
        <v>0</v>
      </c>
      <c r="I375" s="237">
        <f t="shared" si="68"/>
        <v>0</v>
      </c>
      <c r="J375" s="238">
        <f t="shared" si="69"/>
        <v>0</v>
      </c>
      <c r="K375" s="238">
        <f t="shared" si="70"/>
        <v>0</v>
      </c>
      <c r="L375" s="240" t="str">
        <f t="shared" si="71"/>
        <v/>
      </c>
    </row>
    <row r="376" spans="2:12">
      <c r="B376" s="379" t="s">
        <v>46</v>
      </c>
      <c r="C376" s="379"/>
      <c r="D376" s="379"/>
      <c r="E376" s="379"/>
      <c r="F376" s="379"/>
      <c r="G376" s="379"/>
      <c r="H376" s="379"/>
      <c r="I376" s="379"/>
      <c r="J376" s="379"/>
      <c r="K376" s="379"/>
      <c r="L376" s="241">
        <f>SUM(L371:L375)</f>
        <v>0</v>
      </c>
    </row>
    <row r="378" spans="2:12" ht="18.75" thickBot="1">
      <c r="B378" s="378" t="s">
        <v>281</v>
      </c>
      <c r="C378" s="378"/>
      <c r="D378" s="378"/>
      <c r="E378" s="378"/>
      <c r="F378" s="378"/>
      <c r="G378" s="378"/>
      <c r="H378" s="378"/>
      <c r="I378" s="378"/>
      <c r="J378" s="378"/>
    </row>
    <row r="379" spans="2:12" ht="18">
      <c r="B379" s="8" t="s">
        <v>37</v>
      </c>
      <c r="E379" s="8" t="s">
        <v>16</v>
      </c>
      <c r="H379" s="8" t="s">
        <v>96</v>
      </c>
    </row>
    <row r="380" spans="2:12" ht="15">
      <c r="B380" s="204" t="s">
        <v>392</v>
      </c>
      <c r="C380" s="204" t="s">
        <v>230</v>
      </c>
      <c r="D380" s="213" t="s">
        <v>452</v>
      </c>
      <c r="E380" s="204" t="s">
        <v>396</v>
      </c>
      <c r="F380" s="204">
        <v>1.38</v>
      </c>
      <c r="H380" s="234">
        <v>75</v>
      </c>
      <c r="I380" s="204" t="s">
        <v>282</v>
      </c>
    </row>
    <row r="381" spans="2:12">
      <c r="B381" s="204" t="s">
        <v>45</v>
      </c>
      <c r="C381" s="204" t="s">
        <v>334</v>
      </c>
      <c r="D381" s="62" t="s">
        <v>356</v>
      </c>
      <c r="E381" s="204" t="s">
        <v>395</v>
      </c>
      <c r="F381" s="204">
        <v>1.76</v>
      </c>
    </row>
    <row r="382" spans="2:12">
      <c r="B382" s="204" t="s">
        <v>394</v>
      </c>
      <c r="C382" s="204" t="s">
        <v>39</v>
      </c>
      <c r="E382" s="204" t="s">
        <v>36</v>
      </c>
      <c r="F382" s="204">
        <v>1.53</v>
      </c>
    </row>
    <row r="383" spans="2:12">
      <c r="E383" s="204" t="s">
        <v>49</v>
      </c>
      <c r="F383" s="204">
        <v>8760</v>
      </c>
    </row>
    <row r="384" spans="2:12">
      <c r="E384" s="204" t="s">
        <v>397</v>
      </c>
      <c r="F384" s="262">
        <v>0.97799999999999998</v>
      </c>
    </row>
    <row r="385" spans="2:11" ht="15">
      <c r="E385" s="204" t="s">
        <v>398</v>
      </c>
      <c r="F385" s="242">
        <v>1.57</v>
      </c>
    </row>
    <row r="386" spans="2:11">
      <c r="E386" s="204" t="s">
        <v>399</v>
      </c>
      <c r="F386" s="204">
        <v>0.75800000000000001</v>
      </c>
    </row>
    <row r="388" spans="2:11" ht="28.5">
      <c r="B388" s="63" t="s">
        <v>342</v>
      </c>
      <c r="C388" s="205" t="s">
        <v>393</v>
      </c>
      <c r="D388" s="205" t="s">
        <v>392</v>
      </c>
      <c r="E388" s="205" t="s">
        <v>230</v>
      </c>
      <c r="F388" s="294" t="s">
        <v>42</v>
      </c>
      <c r="G388" s="206" t="s">
        <v>400</v>
      </c>
      <c r="H388" s="206" t="s">
        <v>401</v>
      </c>
      <c r="I388" s="206" t="s">
        <v>96</v>
      </c>
      <c r="J388" s="295" t="s">
        <v>469</v>
      </c>
    </row>
    <row r="389" spans="2:11">
      <c r="B389" s="204">
        <f>Calculator!F126</f>
        <v>0</v>
      </c>
      <c r="C389" s="204">
        <f>Calculator!G126</f>
        <v>0</v>
      </c>
      <c r="D389" s="204">
        <f>Calculator!H126</f>
        <v>0</v>
      </c>
      <c r="E389" s="204">
        <f>Calculator!I126</f>
        <v>0</v>
      </c>
      <c r="F389" s="243">
        <f>IF(E389="Cooler",$F$380,IF(E389="Freezer",$F$381,0))</f>
        <v>0</v>
      </c>
      <c r="G389" s="244">
        <f>IFERROR(IF(D389="kW",B389*C389*$F$385*$F$384*$F$383,B389*C389*$F$386*$F$385*$F$384*$F$383)*IF(E389="Cooler",$F$380,IF(E389="Freezer",$F$381,"")),0)</f>
        <v>0</v>
      </c>
      <c r="H389" s="243">
        <f>IFERROR(IF(D389="kW",B389*C389*IF(E389="Cooler",$F$380,IF(E389="Freezer",$F$381,""))*$F$382,IF(D389="HP",B389*C389*$F$386*IF(E389="Cooler",$F$380,IF(E389="Freezer",$F$381,""))*$F$382,0)),0)</f>
        <v>0</v>
      </c>
      <c r="I389" s="239">
        <f>ROUND(B389*$H$380,2)</f>
        <v>0</v>
      </c>
      <c r="J389" s="243">
        <f>IF(D389="kW",C389/$F$386,C389)</f>
        <v>0</v>
      </c>
    </row>
    <row r="390" spans="2:11">
      <c r="B390" s="204">
        <f>Calculator!F127</f>
        <v>0</v>
      </c>
      <c r="C390" s="204">
        <f>Calculator!G127</f>
        <v>0</v>
      </c>
      <c r="D390" s="204">
        <f>Calculator!H127</f>
        <v>0</v>
      </c>
      <c r="E390" s="204">
        <f>Calculator!I127</f>
        <v>0</v>
      </c>
      <c r="F390" s="243">
        <f t="shared" ref="F390:F393" si="72">IF(E390="Cooler",$F$380,IF(E390="Freezer",$F$381,0))</f>
        <v>0</v>
      </c>
      <c r="G390" s="244">
        <f t="shared" ref="G390:G393" si="73">IFERROR(IF(D390="kW",B390*C390*$F$385*$F$384*$F$383,B390*C390*$F$386*$F$385*$F$384*$F$383)*IF(E390="Cooler",$F$380,IF(E390="Freezer",$F$381,"")),0)</f>
        <v>0</v>
      </c>
      <c r="H390" s="243">
        <f t="shared" ref="H390:H393" si="74">IFERROR(IF(D390="kW",B390*C390*IF(E390="Cooler",$F$380,IF(E390="Freezer",$F$381,""))*$F$382,IF(D390="HP",B390*C390*$F$386*IF(E390="Cooler",$F$380,IF(E390="Freezer",$F$381,""))*$F$382,0)),0)</f>
        <v>0</v>
      </c>
      <c r="I390" s="239">
        <f t="shared" ref="I390:I393" si="75">ROUND(B390*$H$380,2)</f>
        <v>0</v>
      </c>
      <c r="J390" s="243">
        <f>IF(D390="kW",C390/$F$386,C390)</f>
        <v>0</v>
      </c>
    </row>
    <row r="391" spans="2:11">
      <c r="B391" s="204">
        <f>Calculator!F128</f>
        <v>0</v>
      </c>
      <c r="C391" s="204">
        <f>Calculator!G128</f>
        <v>0</v>
      </c>
      <c r="D391" s="204">
        <f>Calculator!H128</f>
        <v>0</v>
      </c>
      <c r="E391" s="204">
        <f>Calculator!I128</f>
        <v>0</v>
      </c>
      <c r="F391" s="243">
        <f t="shared" si="72"/>
        <v>0</v>
      </c>
      <c r="G391" s="244">
        <f t="shared" si="73"/>
        <v>0</v>
      </c>
      <c r="H391" s="243">
        <f t="shared" si="74"/>
        <v>0</v>
      </c>
      <c r="I391" s="239">
        <f t="shared" si="75"/>
        <v>0</v>
      </c>
      <c r="J391" s="243">
        <f>IF(D391="kW",C391/$F$386,C391)</f>
        <v>0</v>
      </c>
    </row>
    <row r="392" spans="2:11">
      <c r="B392" s="204">
        <f>Calculator!F129</f>
        <v>0</v>
      </c>
      <c r="C392" s="204">
        <f>Calculator!G129</f>
        <v>0</v>
      </c>
      <c r="D392" s="204">
        <f>Calculator!H129</f>
        <v>0</v>
      </c>
      <c r="E392" s="204">
        <f>Calculator!I129</f>
        <v>0</v>
      </c>
      <c r="F392" s="243">
        <f t="shared" si="72"/>
        <v>0</v>
      </c>
      <c r="G392" s="244">
        <f t="shared" si="73"/>
        <v>0</v>
      </c>
      <c r="H392" s="243">
        <f t="shared" si="74"/>
        <v>0</v>
      </c>
      <c r="I392" s="239">
        <f t="shared" si="75"/>
        <v>0</v>
      </c>
      <c r="J392" s="243">
        <f>IF(D392="kW",C392/$F$386,C392)</f>
        <v>0</v>
      </c>
    </row>
    <row r="393" spans="2:11">
      <c r="B393" s="204">
        <f>Calculator!F130</f>
        <v>0</v>
      </c>
      <c r="C393" s="204">
        <f>Calculator!G130</f>
        <v>0</v>
      </c>
      <c r="D393" s="204">
        <f>Calculator!H130</f>
        <v>0</v>
      </c>
      <c r="E393" s="204">
        <f>Calculator!I130</f>
        <v>0</v>
      </c>
      <c r="F393" s="243">
        <f t="shared" si="72"/>
        <v>0</v>
      </c>
      <c r="G393" s="244">
        <f t="shared" si="73"/>
        <v>0</v>
      </c>
      <c r="H393" s="243">
        <f t="shared" si="74"/>
        <v>0</v>
      </c>
      <c r="I393" s="239">
        <f t="shared" si="75"/>
        <v>0</v>
      </c>
      <c r="J393" s="243">
        <f>IF(D393="kW",C393/$F$386,C393)</f>
        <v>0</v>
      </c>
    </row>
    <row r="394" spans="2:11">
      <c r="B394" s="302" t="s">
        <v>46</v>
      </c>
      <c r="C394" s="302"/>
      <c r="D394" s="302"/>
      <c r="E394" s="302"/>
      <c r="G394" s="302"/>
      <c r="H394" s="302"/>
      <c r="I394" s="257">
        <f>SUM(I389:I393)</f>
        <v>0</v>
      </c>
    </row>
    <row r="396" spans="2:11" ht="18.75" thickBot="1">
      <c r="B396" s="378" t="s">
        <v>403</v>
      </c>
      <c r="C396" s="378"/>
      <c r="D396" s="378"/>
      <c r="E396" s="378"/>
      <c r="F396" s="378"/>
      <c r="G396" s="378"/>
      <c r="H396" s="378"/>
      <c r="I396" s="378"/>
      <c r="J396" s="378"/>
    </row>
    <row r="397" spans="2:11" ht="18">
      <c r="B397" s="8" t="s">
        <v>37</v>
      </c>
      <c r="G397" s="8" t="s">
        <v>16</v>
      </c>
      <c r="J397" s="8" t="s">
        <v>96</v>
      </c>
    </row>
    <row r="398" spans="2:11" ht="15">
      <c r="B398" s="218" t="s">
        <v>392</v>
      </c>
      <c r="C398" s="218" t="s">
        <v>230</v>
      </c>
      <c r="D398" s="218" t="s">
        <v>40</v>
      </c>
      <c r="E398" s="218" t="s">
        <v>411</v>
      </c>
      <c r="F398" s="213" t="s">
        <v>452</v>
      </c>
      <c r="G398" s="218" t="s">
        <v>408</v>
      </c>
      <c r="H398" s="218">
        <v>1.38</v>
      </c>
      <c r="J398" s="234">
        <v>100</v>
      </c>
      <c r="K398" s="218" t="s">
        <v>282</v>
      </c>
    </row>
    <row r="399" spans="2:11">
      <c r="B399" s="218" t="s">
        <v>45</v>
      </c>
      <c r="C399" s="218" t="s">
        <v>334</v>
      </c>
      <c r="D399" s="218" t="s">
        <v>404</v>
      </c>
      <c r="E399" s="218" t="s">
        <v>412</v>
      </c>
      <c r="F399" s="62" t="s">
        <v>356</v>
      </c>
      <c r="G399" s="218" t="s">
        <v>409</v>
      </c>
      <c r="H399" s="218">
        <v>1.76</v>
      </c>
    </row>
    <row r="400" spans="2:11">
      <c r="B400" s="218" t="s">
        <v>394</v>
      </c>
      <c r="C400" s="218" t="s">
        <v>39</v>
      </c>
      <c r="D400" s="218" t="s">
        <v>405</v>
      </c>
      <c r="E400" s="218" t="s">
        <v>413</v>
      </c>
      <c r="G400" s="218" t="s">
        <v>36</v>
      </c>
      <c r="H400" s="218">
        <v>0.26</v>
      </c>
    </row>
    <row r="401" spans="2:14">
      <c r="G401" s="218" t="s">
        <v>49</v>
      </c>
      <c r="H401" s="218">
        <v>8760</v>
      </c>
    </row>
    <row r="402" spans="2:14">
      <c r="G402" s="218" t="s">
        <v>397</v>
      </c>
      <c r="H402" s="262">
        <v>0.97799999999999998</v>
      </c>
    </row>
    <row r="403" spans="2:14">
      <c r="G403" s="218" t="s">
        <v>406</v>
      </c>
      <c r="H403" s="262">
        <v>0.63600000000000001</v>
      </c>
    </row>
    <row r="404" spans="2:14">
      <c r="G404" s="218" t="s">
        <v>407</v>
      </c>
      <c r="H404" s="262">
        <v>0.69199999999999995</v>
      </c>
    </row>
    <row r="405" spans="2:14">
      <c r="G405" s="218" t="s">
        <v>414</v>
      </c>
      <c r="H405" s="218">
        <v>0.75800000000000001</v>
      </c>
    </row>
    <row r="406" spans="2:14">
      <c r="G406" s="218" t="s">
        <v>415</v>
      </c>
      <c r="H406" s="218">
        <v>2.0880000000000001</v>
      </c>
    </row>
    <row r="408" spans="2:14" ht="28.5">
      <c r="B408" s="63" t="s">
        <v>342</v>
      </c>
      <c r="C408" s="63" t="s">
        <v>411</v>
      </c>
      <c r="D408" s="222" t="s">
        <v>393</v>
      </c>
      <c r="E408" s="222" t="s">
        <v>392</v>
      </c>
      <c r="F408" s="222" t="s">
        <v>230</v>
      </c>
      <c r="G408" s="222" t="s">
        <v>40</v>
      </c>
      <c r="H408" s="223" t="s">
        <v>400</v>
      </c>
      <c r="I408" s="223" t="s">
        <v>401</v>
      </c>
      <c r="J408" s="223" t="s">
        <v>96</v>
      </c>
      <c r="K408" s="295" t="s">
        <v>42</v>
      </c>
      <c r="L408" s="295" t="s">
        <v>469</v>
      </c>
      <c r="M408" s="295" t="s">
        <v>470</v>
      </c>
      <c r="N408" s="295" t="s">
        <v>399</v>
      </c>
    </row>
    <row r="409" spans="2:14">
      <c r="B409" s="263">
        <f>Calculator!F135</f>
        <v>0</v>
      </c>
      <c r="C409" s="263">
        <f>Calculator!G135</f>
        <v>0</v>
      </c>
      <c r="D409" s="263">
        <f>Calculator!H135</f>
        <v>0</v>
      </c>
      <c r="E409" s="263">
        <f>Calculator!I135</f>
        <v>0</v>
      </c>
      <c r="F409" s="263">
        <f>Calculator!J135</f>
        <v>0</v>
      </c>
      <c r="G409" s="263">
        <f>Calculator!K135</f>
        <v>0</v>
      </c>
      <c r="H409" s="244">
        <f>IF(E409="HP",B409*D409*IF(C409="ECM",$H$405,IF(C409="Shaded Pole",$H$406,""))*($H$402-IF(G409="ON/OFF",$H$403,IF(G409="Multi-speed",$H$404,"")))*$H$401*IF(F409="Cooler",$H$398,IF(F409="Freezer",$H$399,"")),IF(E409="kW",B409*D409*($H$402-IF(G409="ON/OFF",$H$403,IF(G409="Multi-speed",$H$404,"")))*$H$401*IF(F409="Cooler",$H$398,IF(F409="Freezer",$H$399,0)),0))</f>
        <v>0</v>
      </c>
      <c r="I409" s="244">
        <f>IF(E409="HP",B409*D409*IF(C409="ECM",$H$405,IF(C409="Shaded Pole",$H$406,""))*IF(F409="Cooler",$H$398,IF(F409="Freezer",$H$399,""))*$H$400,IF(E409="kW",B409*D409*IF(F409="Cooler",$H$398,IF(F409="Freezer",$H$399,""))*$H$400,0))</f>
        <v>0</v>
      </c>
      <c r="J409" s="239">
        <f>ROUND(B409*$J$398,2)</f>
        <v>0</v>
      </c>
      <c r="K409" s="243">
        <f>IF(F409="Cooler",$H$398,IF(F409="Freezer",$H$399,0))</f>
        <v>0</v>
      </c>
      <c r="L409" s="243" t="str">
        <f>IF(C409="Shaded Pole",IF(E409="kW",D409/$H$406,D409),IF(C409="ECM",IF(E409="kW",D409/$H$405,D409),""))</f>
        <v/>
      </c>
      <c r="M409" s="303">
        <f>IF(G409="ON/OFF",$H$403,IF(G409="Multi-speed",$H$404,0))</f>
        <v>0</v>
      </c>
      <c r="N409" s="303">
        <f>IF(C409="Shaded Pole",$H$406,IF(C409="ECM",$H$405,0))</f>
        <v>0</v>
      </c>
    </row>
    <row r="410" spans="2:14">
      <c r="B410" s="263">
        <f>Calculator!F136</f>
        <v>0</v>
      </c>
      <c r="C410" s="263">
        <f>Calculator!G136</f>
        <v>0</v>
      </c>
      <c r="D410" s="263">
        <f>Calculator!H136</f>
        <v>0</v>
      </c>
      <c r="E410" s="263">
        <f>Calculator!I136</f>
        <v>0</v>
      </c>
      <c r="F410" s="263">
        <f>Calculator!J136</f>
        <v>0</v>
      </c>
      <c r="G410" s="263">
        <f>Calculator!K136</f>
        <v>0</v>
      </c>
      <c r="H410" s="244">
        <f t="shared" ref="H410:H413" si="76">IF(E410="HP",B410*D410*IF(C410="ECM",$H$405,IF(C410="Shaded Pole",$H$406,""))*($H$402-IF(G410="ON/OFF",$H$403,IF(G410="Multi-speed",$H$404,"")))*$H$401*IF(F410="Cooler",$H$398,IF(F410="Freezer",$H$399,"")),IF(E410="kW",B410*D410*($H$402-IF(G410="ON/OFF",$H$403,IF(G410="Multi-speed",$H$404,"")))*$H$401*IF(F410="Cooler",$H$398,IF(F410="Freezer",$H$399,0)),0))</f>
        <v>0</v>
      </c>
      <c r="I410" s="244">
        <f t="shared" ref="I410:I413" si="77">IF(E410="HP",B410*D410*IF(C410="ECM",$H$405,IF(C410="Shaded Pole",$H$406,""))*IF(F410="Cooler",$H$398,IF(F410="Freezer",$H$399,""))*$H$400,IF(E410="kW",B410*D410*IF(F410="Cooler",$H$398,IF(F410="Freezer",$H$399,""))*$H$400,0))</f>
        <v>0</v>
      </c>
      <c r="J410" s="239">
        <f t="shared" ref="J410:J413" si="78">ROUND(B410*$J$398,2)</f>
        <v>0</v>
      </c>
      <c r="K410" s="243">
        <f t="shared" ref="K410:K413" si="79">IF(F410="Cooler",$H$398,IF(F410="Freezer",$H$399,0))</f>
        <v>0</v>
      </c>
      <c r="L410" s="243" t="str">
        <f t="shared" ref="L410:L413" si="80">IF(C410="Shaded Pole",IF(E410="kW",D410/$H$406,D410),IF(C410="ECM",IF(E410="kW",D410/$H$405,D410),""))</f>
        <v/>
      </c>
      <c r="M410" s="303">
        <f t="shared" ref="M410:M413" si="81">IF(G410="ON/OFF",$H$403,IF(G410="Multi-speed",$H$404,0))</f>
        <v>0</v>
      </c>
      <c r="N410" s="303">
        <f t="shared" ref="N410:N413" si="82">IF(C410="Shaded Pole",$H$406,IF(C410="ECM",$H$405,0))</f>
        <v>0</v>
      </c>
    </row>
    <row r="411" spans="2:14">
      <c r="B411" s="263">
        <f>Calculator!F137</f>
        <v>0</v>
      </c>
      <c r="C411" s="263">
        <f>Calculator!G137</f>
        <v>0</v>
      </c>
      <c r="D411" s="263">
        <f>Calculator!H137</f>
        <v>0</v>
      </c>
      <c r="E411" s="263">
        <f>Calculator!I137</f>
        <v>0</v>
      </c>
      <c r="F411" s="263">
        <f>Calculator!J137</f>
        <v>0</v>
      </c>
      <c r="G411" s="263">
        <f>Calculator!K137</f>
        <v>0</v>
      </c>
      <c r="H411" s="244">
        <f t="shared" si="76"/>
        <v>0</v>
      </c>
      <c r="I411" s="244">
        <f t="shared" si="77"/>
        <v>0</v>
      </c>
      <c r="J411" s="239">
        <f t="shared" si="78"/>
        <v>0</v>
      </c>
      <c r="K411" s="243">
        <f t="shared" si="79"/>
        <v>0</v>
      </c>
      <c r="L411" s="243" t="str">
        <f t="shared" si="80"/>
        <v/>
      </c>
      <c r="M411" s="303">
        <f t="shared" si="81"/>
        <v>0</v>
      </c>
      <c r="N411" s="303">
        <f t="shared" si="82"/>
        <v>0</v>
      </c>
    </row>
    <row r="412" spans="2:14">
      <c r="B412" s="263">
        <f>Calculator!F138</f>
        <v>0</v>
      </c>
      <c r="C412" s="263">
        <f>Calculator!G138</f>
        <v>0</v>
      </c>
      <c r="D412" s="263">
        <f>Calculator!H138</f>
        <v>0</v>
      </c>
      <c r="E412" s="263">
        <f>Calculator!I138</f>
        <v>0</v>
      </c>
      <c r="F412" s="263">
        <f>Calculator!J138</f>
        <v>0</v>
      </c>
      <c r="G412" s="263">
        <f>Calculator!K138</f>
        <v>0</v>
      </c>
      <c r="H412" s="244">
        <f t="shared" si="76"/>
        <v>0</v>
      </c>
      <c r="I412" s="244">
        <f t="shared" si="77"/>
        <v>0</v>
      </c>
      <c r="J412" s="239">
        <f t="shared" si="78"/>
        <v>0</v>
      </c>
      <c r="K412" s="243">
        <f t="shared" si="79"/>
        <v>0</v>
      </c>
      <c r="L412" s="243" t="str">
        <f t="shared" si="80"/>
        <v/>
      </c>
      <c r="M412" s="303">
        <f t="shared" si="81"/>
        <v>0</v>
      </c>
      <c r="N412" s="303">
        <f t="shared" si="82"/>
        <v>0</v>
      </c>
    </row>
    <row r="413" spans="2:14">
      <c r="B413" s="263">
        <f>Calculator!F139</f>
        <v>0</v>
      </c>
      <c r="C413" s="263">
        <f>Calculator!G139</f>
        <v>0</v>
      </c>
      <c r="D413" s="263">
        <f>Calculator!H139</f>
        <v>0</v>
      </c>
      <c r="E413" s="263">
        <f>Calculator!I139</f>
        <v>0</v>
      </c>
      <c r="F413" s="263">
        <f>Calculator!J139</f>
        <v>0</v>
      </c>
      <c r="G413" s="263">
        <f>Calculator!K139</f>
        <v>0</v>
      </c>
      <c r="H413" s="244">
        <f t="shared" si="76"/>
        <v>0</v>
      </c>
      <c r="I413" s="244">
        <f t="shared" si="77"/>
        <v>0</v>
      </c>
      <c r="J413" s="239">
        <f t="shared" si="78"/>
        <v>0</v>
      </c>
      <c r="K413" s="243">
        <f t="shared" si="79"/>
        <v>0</v>
      </c>
      <c r="L413" s="243" t="str">
        <f t="shared" si="80"/>
        <v/>
      </c>
      <c r="M413" s="303">
        <f t="shared" si="81"/>
        <v>0</v>
      </c>
      <c r="N413" s="303">
        <f t="shared" si="82"/>
        <v>0</v>
      </c>
    </row>
    <row r="414" spans="2:14">
      <c r="B414" s="379" t="s">
        <v>46</v>
      </c>
      <c r="C414" s="379"/>
      <c r="D414" s="379"/>
      <c r="E414" s="379"/>
      <c r="F414" s="379"/>
      <c r="G414" s="379"/>
      <c r="J414" s="257">
        <f>SUM(J409:J413)</f>
        <v>0</v>
      </c>
    </row>
    <row r="417" spans="2:24" ht="18.75" thickBot="1">
      <c r="B417" s="378" t="s">
        <v>424</v>
      </c>
      <c r="C417" s="378"/>
      <c r="D417" s="378"/>
      <c r="E417" s="378"/>
      <c r="F417" s="378"/>
      <c r="G417" s="378"/>
      <c r="H417" s="378"/>
      <c r="I417" s="378"/>
      <c r="J417" s="378"/>
    </row>
    <row r="418" spans="2:24" ht="18">
      <c r="B418" s="8" t="s">
        <v>37</v>
      </c>
      <c r="F418" s="8" t="s">
        <v>16</v>
      </c>
      <c r="I418" s="8" t="s">
        <v>96</v>
      </c>
      <c r="O418" s="8" t="s">
        <v>438</v>
      </c>
      <c r="X418" s="2"/>
    </row>
    <row r="419" spans="2:24">
      <c r="B419" s="260" t="s">
        <v>392</v>
      </c>
      <c r="C419" s="260" t="s">
        <v>230</v>
      </c>
      <c r="D419" s="260" t="s">
        <v>432</v>
      </c>
      <c r="F419" s="260" t="s">
        <v>434</v>
      </c>
      <c r="G419" s="260">
        <v>1696</v>
      </c>
      <c r="I419" s="234">
        <v>1000</v>
      </c>
      <c r="J419" s="260" t="s">
        <v>283</v>
      </c>
      <c r="O419" s="260" t="s">
        <v>439</v>
      </c>
      <c r="P419" s="260">
        <v>2.04</v>
      </c>
      <c r="X419" s="2"/>
    </row>
    <row r="420" spans="2:24">
      <c r="B420" s="260" t="s">
        <v>426</v>
      </c>
      <c r="C420" s="260" t="s">
        <v>334</v>
      </c>
      <c r="D420" s="260" t="s">
        <v>430</v>
      </c>
      <c r="F420" s="260" t="s">
        <v>435</v>
      </c>
      <c r="G420" s="260">
        <v>0.22</v>
      </c>
      <c r="O420" s="260" t="s">
        <v>440</v>
      </c>
      <c r="P420" s="260">
        <v>1.25</v>
      </c>
      <c r="X420" s="2"/>
    </row>
    <row r="421" spans="2:24">
      <c r="B421" s="260" t="s">
        <v>394</v>
      </c>
      <c r="C421" s="260" t="s">
        <v>39</v>
      </c>
      <c r="D421" s="260" t="s">
        <v>431</v>
      </c>
      <c r="F421" s="260" t="s">
        <v>436</v>
      </c>
      <c r="G421" s="260">
        <v>0.21199999999999999</v>
      </c>
      <c r="O421" s="260" t="s">
        <v>441</v>
      </c>
      <c r="P421" s="260">
        <v>1.8</v>
      </c>
      <c r="X421" s="2"/>
    </row>
    <row r="422" spans="2:24">
      <c r="C422" s="260" t="s">
        <v>429</v>
      </c>
      <c r="O422" s="260" t="s">
        <v>442</v>
      </c>
      <c r="P422" s="260">
        <v>3.42</v>
      </c>
      <c r="X422" s="2"/>
    </row>
    <row r="423" spans="2:24">
      <c r="O423" s="260" t="s">
        <v>443</v>
      </c>
      <c r="P423" s="260">
        <v>1</v>
      </c>
      <c r="X423" s="2"/>
    </row>
    <row r="424" spans="2:24" ht="30">
      <c r="B424" s="63" t="str">
        <f>Calculator!F143</f>
        <v>Cooler QTY</v>
      </c>
      <c r="C424" s="63" t="str">
        <f>Calculator!G143</f>
        <v>Refrigeration System Rating Units</v>
      </c>
      <c r="D424" s="261" t="str">
        <f>Calculator!H143</f>
        <v>Refrigeration tonnage of system</v>
      </c>
      <c r="E424" s="261" t="str">
        <f>Calculator!I143</f>
        <v>Compressor Quantity</v>
      </c>
      <c r="F424" s="261" t="str">
        <f>Calculator!J143</f>
        <v>Rated HP per Compressor</v>
      </c>
      <c r="G424" s="261" t="str">
        <f>Calculator!K143</f>
        <v>Temperature</v>
      </c>
      <c r="H424" s="261" t="str">
        <f>Calculator!L143</f>
        <v>Cooler/Freezer Configuration</v>
      </c>
      <c r="I424" s="261" t="s">
        <v>384</v>
      </c>
      <c r="J424" s="261" t="s">
        <v>50</v>
      </c>
      <c r="K424" s="261" t="s">
        <v>400</v>
      </c>
      <c r="L424" s="261" t="s">
        <v>401</v>
      </c>
      <c r="M424" s="261" t="s">
        <v>96</v>
      </c>
      <c r="O424" s="260" t="s">
        <v>444</v>
      </c>
      <c r="P424" s="260">
        <v>2.67</v>
      </c>
      <c r="X424" s="2"/>
    </row>
    <row r="425" spans="2:24">
      <c r="B425" s="263">
        <f>Calculator!F144</f>
        <v>0</v>
      </c>
      <c r="C425" s="263">
        <f>Calculator!G144</f>
        <v>0</v>
      </c>
      <c r="D425" s="263">
        <f>Calculator!H144</f>
        <v>0</v>
      </c>
      <c r="E425" s="263">
        <f>Calculator!I144</f>
        <v>0</v>
      </c>
      <c r="F425" s="263">
        <f>Calculator!J144</f>
        <v>0</v>
      </c>
      <c r="G425" s="263">
        <f>Calculator!K144</f>
        <v>0</v>
      </c>
      <c r="H425" s="244">
        <f>Calculator!L144</f>
        <v>0</v>
      </c>
      <c r="I425" s="244" t="str">
        <f>_xlfn.CONCAT(G425,H425)</f>
        <v>00</v>
      </c>
      <c r="J425" s="244" t="e">
        <f>VLOOKUP(I425,$O$419:$P$424,2,FALSE)</f>
        <v>#N/A</v>
      </c>
      <c r="K425" s="244">
        <f>IF(C425="Tons",D425*$G$419,IF(C425="HP",$G$421*(1/J425)*F425*E425*$G$419,0))</f>
        <v>0</v>
      </c>
      <c r="L425" s="244">
        <f>IF(C425="Tons",D425*$G$420,IF(C425="HP",$G$421*(1/J425)*E425*F425*$G$420,0))</f>
        <v>0</v>
      </c>
      <c r="M425" s="239">
        <f>ROUND(B425*$I$419,2)</f>
        <v>0</v>
      </c>
    </row>
    <row r="426" spans="2:24">
      <c r="B426" s="263">
        <f>Calculator!F145</f>
        <v>0</v>
      </c>
      <c r="C426" s="263">
        <f>Calculator!G145</f>
        <v>0</v>
      </c>
      <c r="D426" s="263">
        <f>Calculator!H145</f>
        <v>0</v>
      </c>
      <c r="E426" s="263">
        <f>Calculator!I145</f>
        <v>0</v>
      </c>
      <c r="F426" s="263">
        <f>Calculator!J145</f>
        <v>0</v>
      </c>
      <c r="G426" s="263">
        <f>Calculator!K145</f>
        <v>0</v>
      </c>
      <c r="H426" s="244">
        <f>Calculator!L145</f>
        <v>0</v>
      </c>
      <c r="I426" s="244" t="str">
        <f t="shared" ref="I426:I429" si="83">_xlfn.CONCAT(G426,H426)</f>
        <v>00</v>
      </c>
      <c r="J426" s="244" t="e">
        <f t="shared" ref="J426:J429" si="84">VLOOKUP(I426,$O$419:$P$424,2,FALSE)</f>
        <v>#N/A</v>
      </c>
      <c r="K426" s="244">
        <f t="shared" ref="K426:K429" si="85">IF(C426="Tons",D426*$G$419,IF(C426="HP",$G$421*(1/J426)*F426*E426*$G$419,0))</f>
        <v>0</v>
      </c>
      <c r="L426" s="244">
        <f t="shared" ref="L426:L429" si="86">IF(C426="Tons",D426*$G$420,IF(C426="HP",$G$421*(1/J426)*E426*F426*$G$420,0))</f>
        <v>0</v>
      </c>
      <c r="M426" s="239">
        <f t="shared" ref="M426:M429" si="87">ROUND(B426*$I$419,2)</f>
        <v>0</v>
      </c>
    </row>
    <row r="427" spans="2:24">
      <c r="B427" s="263">
        <f>Calculator!F146</f>
        <v>0</v>
      </c>
      <c r="C427" s="263">
        <f>Calculator!G146</f>
        <v>0</v>
      </c>
      <c r="D427" s="263">
        <f>Calculator!H146</f>
        <v>0</v>
      </c>
      <c r="E427" s="263">
        <f>Calculator!I146</f>
        <v>0</v>
      </c>
      <c r="F427" s="263">
        <f>Calculator!J146</f>
        <v>0</v>
      </c>
      <c r="G427" s="263">
        <f>Calculator!K146</f>
        <v>0</v>
      </c>
      <c r="H427" s="244">
        <f>Calculator!L146</f>
        <v>0</v>
      </c>
      <c r="I427" s="244" t="str">
        <f t="shared" si="83"/>
        <v>00</v>
      </c>
      <c r="J427" s="244" t="e">
        <f t="shared" si="84"/>
        <v>#N/A</v>
      </c>
      <c r="K427" s="244">
        <f t="shared" si="85"/>
        <v>0</v>
      </c>
      <c r="L427" s="244">
        <f t="shared" si="86"/>
        <v>0</v>
      </c>
      <c r="M427" s="239">
        <f t="shared" si="87"/>
        <v>0</v>
      </c>
    </row>
    <row r="428" spans="2:24">
      <c r="B428" s="263">
        <f>Calculator!F147</f>
        <v>0</v>
      </c>
      <c r="C428" s="263">
        <f>Calculator!G147</f>
        <v>0</v>
      </c>
      <c r="D428" s="263">
        <f>Calculator!H147</f>
        <v>0</v>
      </c>
      <c r="E428" s="263">
        <f>Calculator!I147</f>
        <v>0</v>
      </c>
      <c r="F428" s="263">
        <f>Calculator!J147</f>
        <v>0</v>
      </c>
      <c r="G428" s="263">
        <f>Calculator!K147</f>
        <v>0</v>
      </c>
      <c r="H428" s="244">
        <f>Calculator!L147</f>
        <v>0</v>
      </c>
      <c r="I428" s="244" t="str">
        <f t="shared" si="83"/>
        <v>00</v>
      </c>
      <c r="J428" s="244" t="e">
        <f t="shared" si="84"/>
        <v>#N/A</v>
      </c>
      <c r="K428" s="244">
        <f t="shared" si="85"/>
        <v>0</v>
      </c>
      <c r="L428" s="244">
        <f t="shared" si="86"/>
        <v>0</v>
      </c>
      <c r="M428" s="239">
        <f t="shared" si="87"/>
        <v>0</v>
      </c>
    </row>
    <row r="429" spans="2:24">
      <c r="B429" s="263">
        <f>Calculator!F148</f>
        <v>0</v>
      </c>
      <c r="C429" s="263">
        <f>Calculator!G148</f>
        <v>0</v>
      </c>
      <c r="D429" s="263">
        <f>Calculator!H148</f>
        <v>0</v>
      </c>
      <c r="E429" s="263">
        <f>Calculator!I148</f>
        <v>0</v>
      </c>
      <c r="F429" s="263">
        <f>Calculator!J148</f>
        <v>0</v>
      </c>
      <c r="G429" s="263">
        <f>Calculator!K148</f>
        <v>0</v>
      </c>
      <c r="H429" s="244">
        <f>Calculator!L148</f>
        <v>0</v>
      </c>
      <c r="I429" s="244" t="str">
        <f t="shared" si="83"/>
        <v>00</v>
      </c>
      <c r="J429" s="244" t="e">
        <f t="shared" si="84"/>
        <v>#N/A</v>
      </c>
      <c r="K429" s="244">
        <f t="shared" si="85"/>
        <v>0</v>
      </c>
      <c r="L429" s="244">
        <f t="shared" si="86"/>
        <v>0</v>
      </c>
      <c r="M429" s="239">
        <f t="shared" si="87"/>
        <v>0</v>
      </c>
    </row>
    <row r="430" spans="2:24">
      <c r="B430" s="379" t="s">
        <v>46</v>
      </c>
      <c r="C430" s="379"/>
      <c r="D430" s="379"/>
      <c r="E430" s="379"/>
      <c r="F430" s="379"/>
      <c r="G430" s="379"/>
      <c r="H430" s="379"/>
      <c r="I430" s="379"/>
      <c r="J430" s="379"/>
      <c r="K430" s="379"/>
      <c r="L430" s="379"/>
      <c r="M430" s="257">
        <f>SUM(M425:M429)</f>
        <v>0</v>
      </c>
    </row>
  </sheetData>
  <mergeCells count="87">
    <mergeCell ref="U200:U201"/>
    <mergeCell ref="W129:W130"/>
    <mergeCell ref="AB169:AB171"/>
    <mergeCell ref="W200:W201"/>
    <mergeCell ref="AA169:AA171"/>
    <mergeCell ref="Z169:Z171"/>
    <mergeCell ref="X169:X171"/>
    <mergeCell ref="Y169:Y171"/>
    <mergeCell ref="X129:X130"/>
    <mergeCell ref="Q75:Q76"/>
    <mergeCell ref="O91:O92"/>
    <mergeCell ref="Q148:Q149"/>
    <mergeCell ref="B169:B171"/>
    <mergeCell ref="F148:F149"/>
    <mergeCell ref="P75:P76"/>
    <mergeCell ref="O75:O76"/>
    <mergeCell ref="N91:N92"/>
    <mergeCell ref="B80:J80"/>
    <mergeCell ref="D91:D92"/>
    <mergeCell ref="E91:G91"/>
    <mergeCell ref="H91:J91"/>
    <mergeCell ref="B91:B92"/>
    <mergeCell ref="C91:C92"/>
    <mergeCell ref="K129:T129"/>
    <mergeCell ref="H170:K170"/>
    <mergeCell ref="B2:J2"/>
    <mergeCell ref="B22:J22"/>
    <mergeCell ref="B33:J33"/>
    <mergeCell ref="B63:J63"/>
    <mergeCell ref="B75:B76"/>
    <mergeCell ref="D75:D76"/>
    <mergeCell ref="C75:C76"/>
    <mergeCell ref="E75:G75"/>
    <mergeCell ref="H75:J75"/>
    <mergeCell ref="L170:O170"/>
    <mergeCell ref="H169:O169"/>
    <mergeCell ref="P169:W169"/>
    <mergeCell ref="T170:W170"/>
    <mergeCell ref="P170:S170"/>
    <mergeCell ref="B96:J96"/>
    <mergeCell ref="B129:B130"/>
    <mergeCell ref="B177:J177"/>
    <mergeCell ref="B153:J153"/>
    <mergeCell ref="D169:D171"/>
    <mergeCell ref="F169:F171"/>
    <mergeCell ref="C169:C171"/>
    <mergeCell ref="B136:J136"/>
    <mergeCell ref="B148:B149"/>
    <mergeCell ref="C148:C149"/>
    <mergeCell ref="C129:J129"/>
    <mergeCell ref="D148:D149"/>
    <mergeCell ref="E148:E149"/>
    <mergeCell ref="E169:E171"/>
    <mergeCell ref="G169:G171"/>
    <mergeCell ref="B207:J207"/>
    <mergeCell ref="B304:J304"/>
    <mergeCell ref="B223:J223"/>
    <mergeCell ref="B251:J251"/>
    <mergeCell ref="V200:V201"/>
    <mergeCell ref="B242:J242"/>
    <mergeCell ref="D200:D201"/>
    <mergeCell ref="E200:E201"/>
    <mergeCell ref="F200:F201"/>
    <mergeCell ref="C200:C201"/>
    <mergeCell ref="S200:S201"/>
    <mergeCell ref="B200:B201"/>
    <mergeCell ref="G200:L200"/>
    <mergeCell ref="M200:R200"/>
    <mergeCell ref="P293:P294"/>
    <mergeCell ref="T200:T201"/>
    <mergeCell ref="B417:J417"/>
    <mergeCell ref="B430:L430"/>
    <mergeCell ref="K257:L257"/>
    <mergeCell ref="M257:N257"/>
    <mergeCell ref="B321:J321"/>
    <mergeCell ref="B376:K376"/>
    <mergeCell ref="B378:J378"/>
    <mergeCell ref="B396:J396"/>
    <mergeCell ref="B414:G414"/>
    <mergeCell ref="N293:O294"/>
    <mergeCell ref="K75:K76"/>
    <mergeCell ref="L75:L76"/>
    <mergeCell ref="M75:M76"/>
    <mergeCell ref="N75:N76"/>
    <mergeCell ref="K91:K92"/>
    <mergeCell ref="L91:L92"/>
    <mergeCell ref="M91:M9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4724-3D8D-40CB-8A3F-A9D451AE7031}">
  <dimension ref="B4:AU38"/>
  <sheetViews>
    <sheetView workbookViewId="0">
      <selection activeCell="F10" sqref="F10"/>
    </sheetView>
  </sheetViews>
  <sheetFormatPr defaultRowHeight="14.25"/>
  <cols>
    <col min="1" max="1" width="9" style="149"/>
    <col min="2" max="2" width="40.375" style="149" bestFit="1" customWidth="1"/>
    <col min="3" max="3" width="12.375" style="149" bestFit="1" customWidth="1"/>
    <col min="4" max="4" width="9" style="149"/>
    <col min="5" max="5" width="13" style="149" bestFit="1" customWidth="1"/>
    <col min="6" max="6" width="13.625" style="149" customWidth="1"/>
    <col min="7" max="7" width="5.75" style="149" customWidth="1"/>
    <col min="8" max="8" width="14.25" style="149" bestFit="1" customWidth="1"/>
    <col min="9" max="9" width="13.875" style="149" bestFit="1" customWidth="1"/>
    <col min="10" max="10" width="19.25" style="149" bestFit="1" customWidth="1"/>
    <col min="11" max="25" width="19.25" style="149" customWidth="1"/>
    <col min="26" max="26" width="9" style="149" bestFit="1" customWidth="1"/>
    <col min="27" max="28" width="10.75" style="149" customWidth="1"/>
    <col min="29" max="29" width="13.625" style="149" customWidth="1"/>
    <col min="30" max="30" width="38.5" style="149" bestFit="1" customWidth="1"/>
    <col min="31" max="31" width="18.25" style="149" customWidth="1"/>
    <col min="32" max="36" width="9" style="149"/>
    <col min="37" max="37" width="16.875" style="149" customWidth="1"/>
    <col min="38" max="38" width="10.625" style="149" customWidth="1"/>
    <col min="39" max="39" width="11.5" style="149" bestFit="1" customWidth="1"/>
    <col min="40" max="40" width="11.5" style="149" customWidth="1"/>
    <col min="41" max="16384" width="9" style="149"/>
  </cols>
  <sheetData>
    <row r="4" spans="2:47">
      <c r="B4" s="152" t="s">
        <v>94</v>
      </c>
      <c r="C4" s="152" t="s">
        <v>154</v>
      </c>
      <c r="D4" s="152" t="s">
        <v>155</v>
      </c>
      <c r="E4" s="153"/>
    </row>
    <row r="5" spans="2:47" ht="15" thickBot="1">
      <c r="B5" s="152"/>
      <c r="C5" s="152"/>
      <c r="D5" s="152"/>
      <c r="E5" s="152" t="s">
        <v>96</v>
      </c>
      <c r="AD5" s="152" t="s">
        <v>183</v>
      </c>
      <c r="AE5" s="152"/>
      <c r="AF5" s="152"/>
      <c r="AG5" s="152"/>
      <c r="AH5" s="152"/>
      <c r="AI5" s="152"/>
      <c r="AJ5" s="152"/>
      <c r="AK5" s="152"/>
      <c r="AL5" s="152"/>
      <c r="AN5" s="152" t="s">
        <v>184</v>
      </c>
    </row>
    <row r="6" spans="2:47" s="152" customFormat="1" ht="15">
      <c r="B6" s="196" t="s">
        <v>69</v>
      </c>
      <c r="C6" s="161"/>
      <c r="D6" s="161"/>
      <c r="E6" s="162"/>
      <c r="AE6" s="152" t="s">
        <v>43</v>
      </c>
      <c r="AI6" s="152" t="s">
        <v>179</v>
      </c>
      <c r="AJ6" s="152" t="s">
        <v>180</v>
      </c>
      <c r="AK6" s="152" t="s">
        <v>181</v>
      </c>
      <c r="AL6" s="152" t="s">
        <v>182</v>
      </c>
      <c r="AN6" s="152" t="s">
        <v>43</v>
      </c>
      <c r="AR6" s="152" t="s">
        <v>179</v>
      </c>
      <c r="AS6" s="152" t="s">
        <v>180</v>
      </c>
    </row>
    <row r="7" spans="2:47">
      <c r="B7" s="150"/>
      <c r="C7" s="164" t="e">
        <f>X14</f>
        <v>#N/A</v>
      </c>
      <c r="D7" s="165">
        <f>Calculator!F48</f>
        <v>0</v>
      </c>
      <c r="E7" s="178" t="str">
        <f>IFERROR(ROUND(C7*D7,2),"")</f>
        <v/>
      </c>
      <c r="AD7" s="152" t="s">
        <v>177</v>
      </c>
      <c r="AE7" s="152" t="str">
        <f>CONCATENATE(AF7,AG7,AH7)</f>
        <v>Cube/NuggetIce Making HeadH &lt; 450</v>
      </c>
      <c r="AF7" s="152" t="s">
        <v>174</v>
      </c>
      <c r="AG7" s="152" t="s">
        <v>128</v>
      </c>
      <c r="AH7" s="152" t="s">
        <v>185</v>
      </c>
      <c r="AI7" s="152">
        <v>0</v>
      </c>
      <c r="AJ7" s="152">
        <v>450</v>
      </c>
      <c r="AK7" s="152">
        <v>9.23</v>
      </c>
      <c r="AL7" s="152">
        <v>-7.7000000000000002E-3</v>
      </c>
      <c r="AN7" s="152" t="str">
        <f>CONCATENATE(AO7,AP7,AQ7)</f>
        <v>CEE Tier ICube/NuggetH &lt; 450</v>
      </c>
      <c r="AO7" s="152" t="s">
        <v>177</v>
      </c>
      <c r="AP7" s="152" t="s">
        <v>174</v>
      </c>
      <c r="AQ7" s="152" t="s">
        <v>185</v>
      </c>
      <c r="AR7" s="152">
        <v>0</v>
      </c>
      <c r="AS7" s="152">
        <v>450</v>
      </c>
      <c r="AT7" s="152">
        <v>75</v>
      </c>
      <c r="AU7" s="152" t="s">
        <v>156</v>
      </c>
    </row>
    <row r="8" spans="2:47">
      <c r="B8" s="150"/>
      <c r="C8" s="164" t="e">
        <f t="shared" ref="C8:C10" si="0">X15</f>
        <v>#N/A</v>
      </c>
      <c r="D8" s="165">
        <f>Calculator!F49</f>
        <v>0</v>
      </c>
      <c r="E8" s="178" t="str">
        <f t="shared" ref="E8:E10" si="1">IFERROR(ROUND(C8*D8,2),"")</f>
        <v/>
      </c>
      <c r="AD8" s="152" t="s">
        <v>177</v>
      </c>
      <c r="AE8" s="152" t="str">
        <f t="shared" ref="AE8:AE12" si="2">CONCATENATE(AF8,AG8,AH8)</f>
        <v>Cube/NuggetIce Making Head450 ≤ H</v>
      </c>
      <c r="AF8" s="152" t="s">
        <v>174</v>
      </c>
      <c r="AG8" s="152" t="s">
        <v>128</v>
      </c>
      <c r="AH8" s="152" t="s">
        <v>186</v>
      </c>
      <c r="AI8" s="152">
        <v>449.99</v>
      </c>
      <c r="AJ8" s="152"/>
      <c r="AK8" s="152">
        <v>6.2</v>
      </c>
      <c r="AL8" s="152">
        <v>-1E-3</v>
      </c>
      <c r="AN8" s="152" t="str">
        <f t="shared" ref="AN8:AN12" si="3">CONCATENATE(AO8,AP8,AQ8)</f>
        <v>CEE Tier ICube/Nugget450 ≤ H &lt; 1,000</v>
      </c>
      <c r="AO8" s="152" t="s">
        <v>177</v>
      </c>
      <c r="AP8" s="152" t="s">
        <v>174</v>
      </c>
      <c r="AQ8" s="152" t="s">
        <v>194</v>
      </c>
      <c r="AR8" s="152">
        <v>449.99</v>
      </c>
      <c r="AS8" s="152">
        <v>1000</v>
      </c>
      <c r="AT8" s="152">
        <v>150</v>
      </c>
      <c r="AU8" s="152" t="s">
        <v>156</v>
      </c>
    </row>
    <row r="9" spans="2:47">
      <c r="B9" s="150"/>
      <c r="C9" s="164" t="e">
        <f t="shared" si="0"/>
        <v>#N/A</v>
      </c>
      <c r="D9" s="165">
        <f>Calculator!F50</f>
        <v>0</v>
      </c>
      <c r="E9" s="178" t="str">
        <f t="shared" si="1"/>
        <v/>
      </c>
      <c r="AD9" s="152" t="s">
        <v>177</v>
      </c>
      <c r="AE9" s="152" t="str">
        <f t="shared" si="2"/>
        <v>Cube/NuggetRemote Condensing w/out Remote CompressorH &lt; 1,000</v>
      </c>
      <c r="AF9" s="152" t="s">
        <v>174</v>
      </c>
      <c r="AG9" s="45" t="s">
        <v>481</v>
      </c>
      <c r="AH9" s="152" t="s">
        <v>188</v>
      </c>
      <c r="AI9" s="152">
        <v>0</v>
      </c>
      <c r="AJ9" s="152">
        <v>1000</v>
      </c>
      <c r="AK9" s="152">
        <v>8.0500000000000007</v>
      </c>
      <c r="AL9" s="152">
        <v>-3.5000000000000001E-3</v>
      </c>
      <c r="AN9" s="152" t="str">
        <f t="shared" si="3"/>
        <v>CEE Tier ICube/Nugget1,000 ≤ H</v>
      </c>
      <c r="AO9" s="152" t="s">
        <v>177</v>
      </c>
      <c r="AP9" s="152" t="s">
        <v>174</v>
      </c>
      <c r="AQ9" s="152" t="s">
        <v>189</v>
      </c>
      <c r="AR9" s="152">
        <v>999.99</v>
      </c>
      <c r="AS9" s="152"/>
      <c r="AT9" s="152">
        <v>200</v>
      </c>
      <c r="AU9" s="152" t="s">
        <v>156</v>
      </c>
    </row>
    <row r="10" spans="2:47" ht="15" thickBot="1">
      <c r="B10" s="151"/>
      <c r="C10" s="167" t="e">
        <f t="shared" si="0"/>
        <v>#N/A</v>
      </c>
      <c r="D10" s="168">
        <f>Calculator!F51</f>
        <v>0</v>
      </c>
      <c r="E10" s="178" t="str">
        <f t="shared" si="1"/>
        <v/>
      </c>
      <c r="AD10" s="152" t="s">
        <v>177</v>
      </c>
      <c r="AE10" s="152" t="str">
        <f t="shared" si="2"/>
        <v>Cube/NuggetRemote Condensing w/out Remote Compressor1,000 ≤ H</v>
      </c>
      <c r="AF10" s="152" t="s">
        <v>174</v>
      </c>
      <c r="AG10" s="45" t="s">
        <v>481</v>
      </c>
      <c r="AH10" s="152" t="s">
        <v>189</v>
      </c>
      <c r="AI10" s="152">
        <v>999.99</v>
      </c>
      <c r="AJ10" s="152"/>
      <c r="AK10" s="152">
        <v>4.6399999999999997</v>
      </c>
      <c r="AL10" s="152">
        <v>0</v>
      </c>
      <c r="AN10" s="152" t="str">
        <f t="shared" si="3"/>
        <v>CEE Tier IICube/NuggetH &lt; 450</v>
      </c>
      <c r="AO10" s="152" t="s">
        <v>178</v>
      </c>
      <c r="AP10" s="152" t="s">
        <v>174</v>
      </c>
      <c r="AQ10" s="152" t="s">
        <v>185</v>
      </c>
      <c r="AR10" s="152">
        <v>0</v>
      </c>
      <c r="AS10" s="152">
        <v>450</v>
      </c>
      <c r="AT10" s="152">
        <v>100</v>
      </c>
      <c r="AU10" s="152" t="s">
        <v>156</v>
      </c>
    </row>
    <row r="11" spans="2:47">
      <c r="B11" s="173"/>
      <c r="C11" s="173"/>
      <c r="D11" s="173"/>
      <c r="E11" s="174"/>
      <c r="AD11" s="152" t="s">
        <v>177</v>
      </c>
      <c r="AE11" s="152" t="str">
        <f t="shared" si="2"/>
        <v>Cube/NuggetRemote Condensing with Remote CompressorH &lt; 934</v>
      </c>
      <c r="AF11" s="152" t="s">
        <v>174</v>
      </c>
      <c r="AG11" s="45" t="s">
        <v>482</v>
      </c>
      <c r="AH11" s="152" t="s">
        <v>190</v>
      </c>
      <c r="AI11" s="152">
        <v>0</v>
      </c>
      <c r="AJ11" s="152">
        <v>934</v>
      </c>
      <c r="AK11" s="152">
        <v>8.0500000000000007</v>
      </c>
      <c r="AL11" s="152">
        <v>-3.5000000000000001E-3</v>
      </c>
      <c r="AN11" s="152" t="str">
        <f t="shared" si="3"/>
        <v>CEE Tier IICube/Nugget450 ≤ H &lt; 1,000</v>
      </c>
      <c r="AO11" s="152" t="s">
        <v>178</v>
      </c>
      <c r="AP11" s="152" t="s">
        <v>174</v>
      </c>
      <c r="AQ11" s="152" t="s">
        <v>194</v>
      </c>
      <c r="AR11" s="152">
        <v>449.99</v>
      </c>
      <c r="AS11" s="152">
        <v>1000</v>
      </c>
      <c r="AT11" s="152">
        <v>150</v>
      </c>
      <c r="AU11" s="152" t="s">
        <v>156</v>
      </c>
    </row>
    <row r="12" spans="2:47" ht="15" thickBot="1">
      <c r="B12" s="152"/>
      <c r="C12" s="152"/>
      <c r="D12" s="177"/>
      <c r="E12" s="154"/>
      <c r="G12" s="152"/>
      <c r="H12" s="197"/>
      <c r="I12" s="197"/>
      <c r="J12" s="197"/>
      <c r="K12" s="197"/>
      <c r="L12" s="197"/>
      <c r="M12" s="197"/>
      <c r="N12" s="197"/>
      <c r="O12" s="198" t="s">
        <v>183</v>
      </c>
      <c r="P12" s="198"/>
      <c r="Q12" s="198"/>
      <c r="R12" s="198"/>
      <c r="S12" s="198"/>
      <c r="T12" s="198"/>
      <c r="U12" s="198"/>
      <c r="V12" s="198"/>
      <c r="W12" s="198"/>
      <c r="X12" s="198"/>
      <c r="Y12" s="198"/>
      <c r="Z12" s="199" t="s">
        <v>184</v>
      </c>
      <c r="AA12" s="199"/>
      <c r="AB12" s="199"/>
      <c r="AD12" s="152" t="s">
        <v>177</v>
      </c>
      <c r="AE12" s="152" t="str">
        <f t="shared" si="2"/>
        <v>Cube/NuggetRemote Condensing with Remote Compressor934 ≤ H</v>
      </c>
      <c r="AF12" s="152" t="s">
        <v>174</v>
      </c>
      <c r="AG12" s="45" t="s">
        <v>482</v>
      </c>
      <c r="AH12" s="152" t="s">
        <v>191</v>
      </c>
      <c r="AI12" s="152">
        <v>933.99</v>
      </c>
      <c r="AJ12" s="152"/>
      <c r="AK12" s="152">
        <v>4.82</v>
      </c>
      <c r="AL12" s="152">
        <v>0</v>
      </c>
      <c r="AN12" s="152" t="str">
        <f t="shared" si="3"/>
        <v>CEE Tier IICube/Nugget1,000 ≤ H</v>
      </c>
      <c r="AO12" s="152" t="s">
        <v>178</v>
      </c>
      <c r="AP12" s="152" t="s">
        <v>174</v>
      </c>
      <c r="AQ12" s="152" t="s">
        <v>189</v>
      </c>
      <c r="AR12" s="152">
        <v>999.99</v>
      </c>
      <c r="AS12" s="152"/>
      <c r="AT12" s="152">
        <v>200</v>
      </c>
      <c r="AU12" s="152" t="s">
        <v>156</v>
      </c>
    </row>
    <row r="13" spans="2:47">
      <c r="C13" s="160"/>
      <c r="D13" s="161" t="str">
        <f>Calculations!K130</f>
        <v>CONCATENATE</v>
      </c>
      <c r="E13" s="161" t="s">
        <v>173</v>
      </c>
      <c r="F13" s="161" t="str">
        <f>Calculations!L130</f>
        <v>Operation</v>
      </c>
      <c r="G13" s="161" t="str">
        <f>Calculations!M130</f>
        <v>New Type</v>
      </c>
      <c r="H13" s="161" t="str">
        <f>Calculations!N130</f>
        <v>HR</v>
      </c>
      <c r="I13" s="161" t="str">
        <f>Calculations!O130</f>
        <v>Harvest Rate (lbs/day)</v>
      </c>
      <c r="J13" s="200" t="str">
        <f>Calculations!T130</f>
        <v>Use kWh/100lbs</v>
      </c>
      <c r="K13" s="161" t="s">
        <v>195</v>
      </c>
      <c r="L13" s="161" t="s">
        <v>43</v>
      </c>
      <c r="M13" s="161"/>
      <c r="N13" s="161"/>
      <c r="O13" s="161" t="s">
        <v>142</v>
      </c>
      <c r="P13" s="161" t="s">
        <v>196</v>
      </c>
      <c r="Q13" s="161" t="s">
        <v>43</v>
      </c>
      <c r="R13" s="161"/>
      <c r="S13" s="161"/>
      <c r="T13" s="161" t="s">
        <v>142</v>
      </c>
      <c r="U13" s="161"/>
      <c r="V13" s="161"/>
      <c r="W13" s="161"/>
      <c r="X13" s="201" t="s">
        <v>197</v>
      </c>
      <c r="AD13" s="152" t="s">
        <v>177</v>
      </c>
      <c r="AE13" s="152" t="str">
        <f t="shared" ref="AE13:AE38" si="4">CONCATENATE(AF13,AG13,AH13)</f>
        <v>Cube/NuggetSelf Contained UnitH &lt; 175</v>
      </c>
      <c r="AF13" s="152" t="s">
        <v>174</v>
      </c>
      <c r="AG13" s="152" t="s">
        <v>483</v>
      </c>
      <c r="AH13" s="152" t="s">
        <v>192</v>
      </c>
      <c r="AI13" s="152">
        <v>0</v>
      </c>
      <c r="AJ13" s="152">
        <v>175</v>
      </c>
      <c r="AK13" s="152">
        <v>16.7</v>
      </c>
      <c r="AL13" s="152">
        <v>-4.36E-2</v>
      </c>
      <c r="AN13" s="152" t="str">
        <f>CONCATENATE(AO13,AP13,AQ13)</f>
        <v>CEE Tier IIFlakeH &lt; 450</v>
      </c>
      <c r="AO13" s="152" t="s">
        <v>178</v>
      </c>
      <c r="AP13" s="152" t="s">
        <v>175</v>
      </c>
      <c r="AQ13" s="152" t="s">
        <v>185</v>
      </c>
      <c r="AR13" s="152">
        <v>0</v>
      </c>
      <c r="AS13" s="152">
        <v>450</v>
      </c>
      <c r="AT13" s="152">
        <v>150</v>
      </c>
      <c r="AU13" s="152" t="s">
        <v>156</v>
      </c>
    </row>
    <row r="14" spans="2:47">
      <c r="C14" s="163">
        <f>Calculator!L48</f>
        <v>0</v>
      </c>
      <c r="D14" s="164" t="str">
        <f>Calculations!K131</f>
        <v>00</v>
      </c>
      <c r="E14" s="164">
        <f>Calculator!L48</f>
        <v>0</v>
      </c>
      <c r="F14" s="164">
        <f>Calculations!L131</f>
        <v>0</v>
      </c>
      <c r="G14" s="164">
        <f>Calculations!M131</f>
        <v>0</v>
      </c>
      <c r="H14" s="164" t="str">
        <f>Calculations!N131</f>
        <v/>
      </c>
      <c r="I14" s="164">
        <f>Calculations!O131</f>
        <v>0</v>
      </c>
      <c r="J14" s="164" t="e">
        <f>Calculations!T131</f>
        <v>#N/A</v>
      </c>
      <c r="K14" s="164">
        <f>IF(AND(E14=$AF$7,G14=$AG$7,I14&gt;$AI$7,I14&lt;$AJ$7),$AH$7,IF(AND(E14=$AF$8,G14=$AG$8,I14&gt;$AI$8),$AH$8,IF(AND(E14=$AF$9,G14=$AG$9,I14&gt;$AI$9,I14&lt;$AJ$9),$AH$9,IF(AND(E14=$AF$10,G14=$AG$10,I14&gt;$AI$10),$AH$10,IF(AND(E14=$AF$11,G14=$AG$11,I14&gt;$AI$11,I14&lt;$AJ$11),$AH$11,IF(AND(E14=$AF$12,G14=$AG$12,I14&gt;$AI$12),$AH$12,IF(AND(E14=$AF$13,G14=$AG$13,I14&gt;$AI$13),$AH$13,IF(AND(E14=$AF$14,G14=$AG$14,I14&gt;$AI$14),$AH$14,))))))))</f>
        <v>0</v>
      </c>
      <c r="L14" s="165" t="str">
        <f>CONCATENATE(E14,G14,K14)</f>
        <v>000</v>
      </c>
      <c r="M14" s="165" t="e">
        <f>VLOOKUP(L14,$AE$7:$AL$14,7,FALSE)</f>
        <v>#N/A</v>
      </c>
      <c r="N14" s="165" t="e">
        <f>VLOOKUP(L14,$AE$7:$AL$14,8,FALSE)</f>
        <v>#N/A</v>
      </c>
      <c r="O14" s="165" t="e">
        <f>M14+N14*I14</f>
        <v>#N/A</v>
      </c>
      <c r="P14" s="164">
        <f>IF(AND(E14=$AF$15,G14=$AG$15,I14&gt;$AI$15,I14&lt;$AJ$15),$AH$15,IF(AND(E14=$AF$16,G14=$AG$16,I14&gt;$AI$16,I14&lt;$AJ$16),$AH$16,IF(AND(E14=$AF$17,G14=$AG$17,I14&gt;$AI$17,I14&lt;$AJ$17),$AH$17,IF(AND(E14=$AF$18,G14=$AG$18,I14&gt;$AI$18),$AH$18,IF(AND(E14=$AF$19,G14=$AG$19,I14&gt;$AI$19,I14&lt;$AJ$19),$AH$19,IF(AND(E14=$AF$20,G14=$AG$20,I14&gt;$AI$20,I14&lt;$AJ$20),$AH$20,IF(AND(E14=$AF$21,G14=$AG$21,I14&gt;$AI$21,I14&lt;$AJ$21),$AH$21,IF(AND(E14=$AF$22,G14=$AG$22,I14&gt;$AI$22),$AH$22,IF(AND(E14=$AF$23,G14=$AG$23,I14&gt;$AI$23,I14&lt;$AJ$23),$AH$23,IF(AND(E14=$AF$24,G14=$AG$24,I14&gt;$AI$24,I14&lt;$AJ$24),$AH$24,IF(AND(E14=$AF$25,G14=$AG$25,I14&gt;$AI$25,I14&lt;$AJ$25),$AH$25,IF(AND(E14=$AF$26,G14=$AG$26,I14&gt;$AI$26),$AH$26,IF(AND(E14=$AF$27,G14=$AG$27,I14&gt;$AI$27,I14&lt;$AJ$27),$AH$27,IF(AND(E14=$AF$28,G14=$AG$28,I14&gt;$AI$28,I14&lt;$AJ$28),$AH$28,IF(AND(E14=$AF$29,G14=$AG$29,I14&gt;$AI$29,I14&lt;$AJ$29),$AH$29,IF(AND(E14=$AF$30,G14=$AG$30,I14&gt;$AI$30),$AH$30,IF(AND(E14=$AF$31,G14=$AG$31,I14&gt;$AI$31,I14&lt;$AJ$31),$AH$31,IF(AND(E14=$AF$32,G14=$AG$32,I14&gt;$AI$32),$AH$32,IF(AND(E14=$AF$33,G14=$AG$33,I14&gt;$AI$33,I14&lt;$AJ$33),$AH$33,IF(AND(E14=$AF$34,G14=$AG$34,I14&gt;$AI$34),$AH$34,IF(AND(E14=$AF$35,G14=$AG$35,I14&gt;$AI$35,I14&lt;$AJ$35),$AH$35,IF(AND(E14=$AF$36,G14=$AG$36,I14&gt;$AI$36),$AH$36,IF(AND(E14=$AF$37,G14=$AG$37,I14&gt;$AI$37,I14&lt;$AJ$37),$AH$37,IF(AND(E14=$AF$38,G14=$AG$38,I14&gt;$AI$38),$AH$38,))))))))))))))))))))))))</f>
        <v>0</v>
      </c>
      <c r="Q14" s="164" t="str">
        <f>CONCATENATE(E14,G14,P14)</f>
        <v>000</v>
      </c>
      <c r="R14" s="164" t="e">
        <f>VLOOKUP(Q14,$AE$15:$AL$38,7,FALSE)</f>
        <v>#N/A</v>
      </c>
      <c r="S14" s="164" t="e">
        <f>VLOOKUP(Q14,$AE$15:$AL$38,8,FALSE)</f>
        <v>#N/A</v>
      </c>
      <c r="T14" s="164" t="e">
        <f>R14+S14*I14</f>
        <v>#N/A</v>
      </c>
      <c r="U14" s="164" t="e">
        <f>IF(J14&lt;T14,"CEE Tier II",IF(J14&lt;O14,"CEE Tier I","check eff"))</f>
        <v>#N/A</v>
      </c>
      <c r="V14" s="164" t="b">
        <f>IF(AND(I14&gt;$AR$7,I14&lt;$AS$7),"H &lt; 450",IF(AND(I14&gt;$AR$8,I14&lt;$AS$8),"450 ≤ H &lt; 1,000",IF(AND(I14&gt;$AR$9),"1,000 ≤ H")))</f>
        <v>0</v>
      </c>
      <c r="W14" s="164" t="e">
        <f>CONCATENATE(U14,C14,V14)</f>
        <v>#N/A</v>
      </c>
      <c r="X14" s="202" t="e">
        <f>VLOOKUP(W14,$AN$7:$AU$15,7,FALSE)</f>
        <v>#N/A</v>
      </c>
      <c r="AD14" s="152" t="s">
        <v>177</v>
      </c>
      <c r="AE14" s="152" t="str">
        <f t="shared" si="4"/>
        <v>Cube/NuggetSelf Contained Unit175 ≤ H</v>
      </c>
      <c r="AF14" s="152" t="s">
        <v>174</v>
      </c>
      <c r="AG14" s="152" t="s">
        <v>483</v>
      </c>
      <c r="AH14" s="152" t="s">
        <v>187</v>
      </c>
      <c r="AI14" s="152">
        <v>174.99</v>
      </c>
      <c r="AJ14" s="152"/>
      <c r="AK14" s="152">
        <v>9.11</v>
      </c>
      <c r="AL14" s="152">
        <v>0</v>
      </c>
      <c r="AN14" s="152" t="str">
        <f>CONCATENATE(AO14,AP14,AQ14)</f>
        <v>CEE Tier IIFlake450 ≤ H &lt; 1,000</v>
      </c>
      <c r="AO14" s="152" t="s">
        <v>178</v>
      </c>
      <c r="AP14" s="152" t="s">
        <v>175</v>
      </c>
      <c r="AQ14" s="152" t="s">
        <v>194</v>
      </c>
      <c r="AR14" s="152">
        <v>449.99</v>
      </c>
      <c r="AS14" s="152">
        <v>1000</v>
      </c>
      <c r="AT14" s="152">
        <v>250</v>
      </c>
      <c r="AU14" s="152" t="s">
        <v>156</v>
      </c>
    </row>
    <row r="15" spans="2:47">
      <c r="C15" s="163">
        <f>Calculator!L49</f>
        <v>0</v>
      </c>
      <c r="D15" s="164" t="str">
        <f>Calculations!K132</f>
        <v>00</v>
      </c>
      <c r="E15" s="165">
        <f>Calculator!L49</f>
        <v>0</v>
      </c>
      <c r="F15" s="164">
        <f>Calculations!L132</f>
        <v>0</v>
      </c>
      <c r="G15" s="164">
        <f>Calculations!M132</f>
        <v>0</v>
      </c>
      <c r="H15" s="164" t="str">
        <f>Calculations!N132</f>
        <v/>
      </c>
      <c r="I15" s="164">
        <f>Calculations!O132</f>
        <v>0</v>
      </c>
      <c r="J15" s="164" t="e">
        <f>Calculations!T132</f>
        <v>#N/A</v>
      </c>
      <c r="K15" s="164">
        <f>IF(AND(E15=$AF$7,G15=$AG$7,I15&gt;$AI$7,I15&lt;$AJ$7),$AH$7,IF(AND(E15=$AF$8,G15=$AG$8,I15&gt;$AI$8),$AH$8,IF(AND(E15=$AF$9,G15=$AG$9,I15&gt;$AI$9,I15&lt;$AJ$9),$AH$9,IF(AND(E15=$AF$10,G15=$AG$10,I15&gt;$AI$10),$AH$10,IF(AND(E15=$AF$11,G15=$AG$11,I15&gt;$AI$11,I15&lt;$AJ$11),$AH$11,IF(AND(E15=$AF$12,G15=$AG$12,I15&gt;$AI$12),$AH$12,IF(AND(E15=$AF$13,G15=$AG$13,I15&gt;$AI$13),$AH$13,IF(AND(E15=$AF$14,G15=$AG$14,I15&gt;$AI$14),$AH$14,))))))))</f>
        <v>0</v>
      </c>
      <c r="L15" s="165" t="str">
        <f t="shared" ref="L15:L17" si="5">CONCATENATE(E15,G15,K15)</f>
        <v>000</v>
      </c>
      <c r="M15" s="165" t="e">
        <f>VLOOKUP(L15,$AE$7:$AL$14,7,FALSE)</f>
        <v>#N/A</v>
      </c>
      <c r="N15" s="165" t="e">
        <f>VLOOKUP(L15,$AE$7:$AL$14,8,FALSE)</f>
        <v>#N/A</v>
      </c>
      <c r="O15" s="165" t="e">
        <f t="shared" ref="O15:O17" si="6">M15+N15*I15</f>
        <v>#N/A</v>
      </c>
      <c r="P15" s="164">
        <f>IF(AND(E15=$AF$15,G15=$AG$15,I15&gt;$AI$15,I15&lt;$AJ$15),$AH$15,IF(AND(E15=$AF$16,G15=$AG$16,I15&gt;$AI$16,I15&lt;$AJ$16),$AH$16,IF(AND(E15=$AF$17,G15=$AG$17,I15&gt;$AI$17,I15&lt;$AJ$17),$AH$17,IF(AND(E15=$AF$18,G15=$AG$18,I15&gt;$AI$18),$AH$18,IF(AND(E15=$AF$19,G15=$AG$19,I15&gt;$AI$19,I15&lt;$AJ$19),$AH$19,IF(AND(E15=$AF$20,G15=$AG$20,I15&gt;$AI$20,I15&lt;$AJ$20),$AH$20,IF(AND(E15=$AF$21,G15=$AG$21,I15&gt;$AI$21,I15&lt;$AJ$21),$AH$21,IF(AND(E15=$AF$22,G15=$AG$22,I15&gt;$AI$22),$AH$22,IF(AND(E15=$AF$23,G15=$AG$23,I15&gt;$AI$23,I15&lt;$AJ$23),$AH$23,IF(AND(E15=$AF$24,G15=$AG$24,I15&gt;$AI$24,I15&lt;$AJ$24),$AH$24,IF(AND(E15=$AF$25,G15=$AG$25,I15&gt;$AI$25,I15&lt;$AJ$25),$AH$25,IF(AND(E15=$AF$26,G15=$AG$26,I15&gt;$AI$26),$AH$26,IF(AND(E15=$AF$27,G15=$AG$27,I15&gt;$AI$27,I15&lt;$AJ$27),$AH$27,IF(AND(E15=$AF$28,G15=$AG$28,I15&gt;$AI$28,I15&lt;$AJ$28),$AH$28,IF(AND(E15=$AF$29,G15=$AG$29,I15&gt;$AI$29,I15&lt;$AJ$29),$AH$29,IF(AND(E15=$AF$30,G15=$AG$30,I15&gt;$AI$30),$AH$30,IF(AND(E15=$AF$31,G15=$AG$31,I15&gt;$AI$31,I15&lt;$AJ$31),$AH$31,IF(AND(E15=$AF$32,G15=$AG$32,I15&gt;$AI$32),$AH$32,IF(AND(E15=$AF$33,G15=$AG$33,I15&gt;$AI$33,I15&lt;$AJ$33),$AH$33,IF(AND(E15=$AF$34,G15=$AG$34,I15&gt;$AI$34),$AH$34,IF(AND(E15=$AF$35,G15=$AG$35,I15&gt;$AI$35,I15&lt;$AJ$35),$AH$35,IF(AND(E15=$AF$36,G15=$AG$36,I15&gt;$AI$36),$AH$36,IF(AND(E15=$AF$37,G15=$AG$37,I15&gt;$AI$37,I15&lt;$AJ$37),$AH$37,IF(AND(E15=$AF$38,G15=$AG$38,I15&gt;$AI$38),$AH$38,))))))))))))))))))))))))</f>
        <v>0</v>
      </c>
      <c r="Q15" s="164" t="str">
        <f t="shared" ref="Q15:Q17" si="7">CONCATENATE(E15,G15,P15)</f>
        <v>000</v>
      </c>
      <c r="R15" s="164" t="e">
        <f>VLOOKUP(Q15,$AE$15:$AL$38,7,FALSE)</f>
        <v>#N/A</v>
      </c>
      <c r="S15" s="164" t="e">
        <f>VLOOKUP(Q15,$AE$15:$AL$38,8,FALSE)</f>
        <v>#N/A</v>
      </c>
      <c r="T15" s="164" t="e">
        <f t="shared" ref="T15:T17" si="8">R15+S15*I15</f>
        <v>#N/A</v>
      </c>
      <c r="U15" s="164" t="e">
        <f t="shared" ref="U15:U17" si="9">IF(J15&lt;T15,"CEE Tier II",IF(J15&lt;O15,"CEE Tier I","check eff"))</f>
        <v>#N/A</v>
      </c>
      <c r="V15" s="164" t="b">
        <f t="shared" ref="V15:V17" si="10">IF(AND(I15&gt;$AR$7,I15&lt;$AS$7),"H &lt; 450",IF(AND(I15&gt;$AR$8,I15&lt;$AS$8),"450 ≤ H &lt; 1,000",IF(AND(I15&gt;$AR$9),"1,000 ≤ H")))</f>
        <v>0</v>
      </c>
      <c r="W15" s="164" t="e">
        <f t="shared" ref="W15:W17" si="11">CONCATENATE(U15,C15,V15)</f>
        <v>#N/A</v>
      </c>
      <c r="X15" s="202" t="e">
        <f>VLOOKUP(W15,$AN$7:$AU$15,7,FALSE)</f>
        <v>#N/A</v>
      </c>
      <c r="AD15" s="152" t="s">
        <v>178</v>
      </c>
      <c r="AE15" s="152" t="str">
        <f t="shared" si="4"/>
        <v>Cube/NuggetIce Making HeadH &lt; 175</v>
      </c>
      <c r="AF15" s="152" t="s">
        <v>174</v>
      </c>
      <c r="AG15" s="152" t="s">
        <v>128</v>
      </c>
      <c r="AH15" s="152" t="s">
        <v>192</v>
      </c>
      <c r="AI15" s="152">
        <v>0</v>
      </c>
      <c r="AJ15" s="152">
        <v>175</v>
      </c>
      <c r="AK15" s="152">
        <v>14</v>
      </c>
      <c r="AL15" s="152">
        <v>-3.4000000000000002E-2</v>
      </c>
      <c r="AN15" s="152" t="str">
        <f>CONCATENATE(AO15,AP15,AQ15)</f>
        <v>CEE Tier IIFlake1,000 ≤ H</v>
      </c>
      <c r="AO15" s="152" t="s">
        <v>178</v>
      </c>
      <c r="AP15" s="152" t="s">
        <v>175</v>
      </c>
      <c r="AQ15" s="152" t="s">
        <v>189</v>
      </c>
      <c r="AR15" s="152">
        <v>999.99</v>
      </c>
      <c r="AS15" s="152"/>
      <c r="AT15" s="152">
        <v>300</v>
      </c>
      <c r="AU15" s="152" t="s">
        <v>156</v>
      </c>
    </row>
    <row r="16" spans="2:47">
      <c r="C16" s="163">
        <f>Calculator!L50</f>
        <v>0</v>
      </c>
      <c r="D16" s="164" t="str">
        <f>Calculations!K133</f>
        <v>00</v>
      </c>
      <c r="E16" s="164">
        <f>Calculator!L50</f>
        <v>0</v>
      </c>
      <c r="F16" s="164">
        <f>Calculations!L133</f>
        <v>0</v>
      </c>
      <c r="G16" s="164">
        <f>Calculations!M133</f>
        <v>0</v>
      </c>
      <c r="H16" s="164" t="str">
        <f>Calculations!N133</f>
        <v/>
      </c>
      <c r="I16" s="164">
        <f>Calculations!O133</f>
        <v>0</v>
      </c>
      <c r="J16" s="164" t="e">
        <f>Calculations!T133</f>
        <v>#N/A</v>
      </c>
      <c r="K16" s="164">
        <f>IF(AND(E16=$AF$7,G16=$AG$7,I16&gt;$AI$7,I16&lt;$AJ$7),$AH$7,IF(AND(E16=$AF$8,G16=$AG$8,I16&gt;$AI$8),$AH$8,IF(AND(E16=$AF$9,G16=$AG$9,I16&gt;$AI$9,I16&lt;$AJ$9),$AH$9,IF(AND(E16=$AF$10,G16=$AG$10,I16&gt;$AI$10),$AH$10,IF(AND(E16=$AF$11,G16=$AG$11,I16&gt;$AI$11,I16&lt;$AJ$11),$AH$11,IF(AND(E16=$AF$12,G16=$AG$12,I16&gt;$AI$12),$AH$12,IF(AND(E16=$AF$13,G16=$AG$13,I16&gt;$AI$13),$AH$13,IF(AND(E16=$AF$14,G16=$AG$14,I16&gt;$AI$14),$AH$14,))))))))</f>
        <v>0</v>
      </c>
      <c r="L16" s="165" t="str">
        <f t="shared" si="5"/>
        <v>000</v>
      </c>
      <c r="M16" s="165" t="e">
        <f>VLOOKUP(L16,$AE$7:$AL$14,7,FALSE)</f>
        <v>#N/A</v>
      </c>
      <c r="N16" s="165" t="e">
        <f>VLOOKUP(L16,$AE$7:$AL$14,8,FALSE)</f>
        <v>#N/A</v>
      </c>
      <c r="O16" s="165" t="e">
        <f t="shared" si="6"/>
        <v>#N/A</v>
      </c>
      <c r="P16" s="164">
        <f>IF(AND(E16=$AF$15,G16=$AG$15,I16&gt;$AI$15,I16&lt;$AJ$15),$AH$15,IF(AND(E16=$AF$16,G16=$AG$16,I16&gt;$AI$16,I16&lt;$AJ$16),$AH$16,IF(AND(E16=$AF$17,G16=$AG$17,I16&gt;$AI$17,I16&lt;$AJ$17),$AH$17,IF(AND(E16=$AF$18,G16=$AG$18,I16&gt;$AI$18),$AH$18,IF(AND(E16=$AF$19,G16=$AG$19,I16&gt;$AI$19,I16&lt;$AJ$19),$AH$19,IF(AND(E16=$AF$20,G16=$AG$20,I16&gt;$AI$20,I16&lt;$AJ$20),$AH$20,IF(AND(E16=$AF$21,G16=$AG$21,I16&gt;$AI$21,I16&lt;$AJ$21),$AH$21,IF(AND(E16=$AF$22,G16=$AG$22,I16&gt;$AI$22),$AH$22,IF(AND(E16=$AF$23,G16=$AG$23,I16&gt;$AI$23,I16&lt;$AJ$23),$AH$23,IF(AND(E16=$AF$24,G16=$AG$24,I16&gt;$AI$24,I16&lt;$AJ$24),$AH$24,IF(AND(E16=$AF$25,G16=$AG$25,I16&gt;$AI$25,I16&lt;$AJ$25),$AH$25,IF(AND(E16=$AF$26,G16=$AG$26,I16&gt;$AI$26),$AH$26,IF(AND(E16=$AF$27,G16=$AG$27,I16&gt;$AI$27,I16&lt;$AJ$27),$AH$27,IF(AND(E16=$AF$28,G16=$AG$28,I16&gt;$AI$28,I16&lt;$AJ$28),$AH$28,IF(AND(E16=$AF$29,G16=$AG$29,I16&gt;$AI$29,I16&lt;$AJ$29),$AH$29,IF(AND(E16=$AF$30,G16=$AG$30,I16&gt;$AI$30),$AH$30,IF(AND(E16=$AF$31,G16=$AG$31,I16&gt;$AI$31,I16&lt;$AJ$31),$AH$31,IF(AND(E16=$AF$32,G16=$AG$32,I16&gt;$AI$32),$AH$32,IF(AND(E16=$AF$33,G16=$AG$33,I16&gt;$AI$33,I16&lt;$AJ$33),$AH$33,IF(AND(E16=$AF$34,G16=$AG$34,I16&gt;$AI$34),$AH$34,IF(AND(E16=$AF$35,G16=$AG$35,I16&gt;$AI$35,I16&lt;$AJ$35),$AH$35,IF(AND(E16=$AF$36,G16=$AG$36,I16&gt;$AI$36),$AH$36,IF(AND(E16=$AF$37,G16=$AG$37,I16&gt;$AI$37,I16&lt;$AJ$37),$AH$37,IF(AND(E16=$AF$38,G16=$AG$38,I16&gt;$AI$38),$AH$38,))))))))))))))))))))))))</f>
        <v>0</v>
      </c>
      <c r="Q16" s="164" t="str">
        <f t="shared" si="7"/>
        <v>000</v>
      </c>
      <c r="R16" s="164" t="e">
        <f>VLOOKUP(Q16,$AE$15:$AL$38,7,FALSE)</f>
        <v>#N/A</v>
      </c>
      <c r="S16" s="164" t="e">
        <f>VLOOKUP(Q16,$AE$15:$AL$38,8,FALSE)</f>
        <v>#N/A</v>
      </c>
      <c r="T16" s="164" t="e">
        <f t="shared" si="8"/>
        <v>#N/A</v>
      </c>
      <c r="U16" s="164" t="e">
        <f t="shared" si="9"/>
        <v>#N/A</v>
      </c>
      <c r="V16" s="164" t="b">
        <f t="shared" si="10"/>
        <v>0</v>
      </c>
      <c r="W16" s="164" t="e">
        <f t="shared" si="11"/>
        <v>#N/A</v>
      </c>
      <c r="X16" s="202" t="e">
        <f>VLOOKUP(W16,$AN$7:$AU$15,7,FALSE)</f>
        <v>#N/A</v>
      </c>
      <c r="AD16" s="152" t="s">
        <v>178</v>
      </c>
      <c r="AE16" s="152" t="str">
        <f t="shared" si="4"/>
        <v>Cube/NuggetIce Making Head175 ≤ H &lt; 450</v>
      </c>
      <c r="AF16" s="152" t="s">
        <v>174</v>
      </c>
      <c r="AG16" s="152" t="s">
        <v>128</v>
      </c>
      <c r="AH16" s="152" t="s">
        <v>193</v>
      </c>
      <c r="AI16" s="152">
        <v>174.99</v>
      </c>
      <c r="AJ16" s="152">
        <v>450</v>
      </c>
      <c r="AK16" s="152">
        <v>9.6</v>
      </c>
      <c r="AL16" s="152">
        <v>-9.7999999999999997E-3</v>
      </c>
      <c r="AP16" s="152"/>
      <c r="AQ16" s="152"/>
    </row>
    <row r="17" spans="3:43" ht="15" thickBot="1">
      <c r="C17" s="166">
        <f>Calculator!L51</f>
        <v>0</v>
      </c>
      <c r="D17" s="167" t="str">
        <f>Calculations!K134</f>
        <v>00</v>
      </c>
      <c r="E17" s="167">
        <f>Calculator!L51</f>
        <v>0</v>
      </c>
      <c r="F17" s="167">
        <f>Calculations!L134</f>
        <v>0</v>
      </c>
      <c r="G17" s="167">
        <f>Calculations!M134</f>
        <v>0</v>
      </c>
      <c r="H17" s="167" t="str">
        <f>Calculations!N134</f>
        <v/>
      </c>
      <c r="I17" s="167">
        <f>Calculations!O134</f>
        <v>0</v>
      </c>
      <c r="J17" s="167" t="e">
        <f>Calculations!T134</f>
        <v>#N/A</v>
      </c>
      <c r="K17" s="167">
        <f>IF(AND(E17=$AF$7,G17=$AG$7,I17&gt;$AI$7,I17&lt;$AJ$7),$AH$7,IF(AND(E17=$AF$8,G17=$AG$8,I17&gt;$AI$8),$AH$8,IF(AND(E17=$AF$9,G17=$AG$9,I17&gt;$AI$9,I17&lt;$AJ$9),$AH$9,IF(AND(E17=$AF$10,G17=$AG$10,I17&gt;$AI$10),$AH$10,IF(AND(E17=$AF$11,G17=$AG$11,I17&gt;$AI$11,I17&lt;$AJ$11),$AH$11,IF(AND(E17=$AF$12,G17=$AG$12,I17&gt;$AI$12),$AH$12,IF(AND(E17=$AF$13,G17=$AG$13,I17&gt;$AI$13),$AH$13,IF(AND(E17=$AF$14,G17=$AG$14,I17&gt;$AI$14),$AH$14,))))))))</f>
        <v>0</v>
      </c>
      <c r="L17" s="168" t="str">
        <f t="shared" si="5"/>
        <v>000</v>
      </c>
      <c r="M17" s="168" t="e">
        <f>VLOOKUP(L17,$AE$7:$AL$14,7,FALSE)</f>
        <v>#N/A</v>
      </c>
      <c r="N17" s="168" t="e">
        <f>VLOOKUP(L17,$AE$7:$AL$14,8,FALSE)</f>
        <v>#N/A</v>
      </c>
      <c r="O17" s="168" t="e">
        <f t="shared" si="6"/>
        <v>#N/A</v>
      </c>
      <c r="P17" s="167">
        <f>IF(AND(E17=$AF$15,G17=$AG$15,I17&gt;$AI$15,I17&lt;$AJ$15),$AH$15,IF(AND(E17=$AF$16,G17=$AG$16,I17&gt;$AI$16,I17&lt;$AJ$16),$AH$16,IF(AND(E17=$AF$17,G17=$AG$17,I17&gt;$AI$17,I17&lt;$AJ$17),$AH$17,IF(AND(E17=$AF$18,G17=$AG$18,I17&gt;$AI$18),$AH$18,IF(AND(E17=$AF$19,G17=$AG$19,I17&gt;$AI$19,I17&lt;$AJ$19),$AH$19,IF(AND(E17=$AF$20,G17=$AG$20,I17&gt;$AI$20,I17&lt;$AJ$20),$AH$20,IF(AND(E17=$AF$21,G17=$AG$21,I17&gt;$AI$21,I17&lt;$AJ$21),$AH$21,IF(AND(E17=$AF$22,G17=$AG$22,I17&gt;$AI$22),$AH$22,IF(AND(E17=$AF$23,G17=$AG$23,I17&gt;$AI$23,I17&lt;$AJ$23),$AH$23,IF(AND(E17=$AF$24,G17=$AG$24,I17&gt;$AI$24,I17&lt;$AJ$24),$AH$24,IF(AND(E17=$AF$25,G17=$AG$25,I17&gt;$AI$25,I17&lt;$AJ$25),$AH$25,IF(AND(E17=$AF$26,G17=$AG$26,I17&gt;$AI$26),$AH$26,IF(AND(E17=$AF$27,G17=$AG$27,I17&gt;$AI$27,I17&lt;$AJ$27),$AH$27,IF(AND(E17=$AF$28,G17=$AG$28,I17&gt;$AI$28,I17&lt;$AJ$28),$AH$28,IF(AND(E17=$AF$29,G17=$AG$29,I17&gt;$AI$29,I17&lt;$AJ$29),$AH$29,IF(AND(E17=$AF$30,G17=$AG$30,I17&gt;$AI$30),$AH$30,IF(AND(E17=$AF$31,G17=$AG$31,I17&gt;$AI$31,I17&lt;$AJ$31),$AH$31,IF(AND(E17=$AF$32,G17=$AG$32,I17&gt;$AI$32),$AH$32,IF(AND(E17=$AF$33,G17=$AG$33,I17&gt;$AI$33,I17&lt;$AJ$33),$AH$33,IF(AND(E17=$AF$34,G17=$AG$34,I17&gt;$AI$34),$AH$34,IF(AND(E17=$AF$35,G17=$AG$35,I17&gt;$AI$35,I17&lt;$AJ$35),$AH$35,IF(AND(E17=$AF$36,G17=$AG$36,I17&gt;$AI$36),$AH$36,IF(AND(E17=$AF$37,G17=$AG$37,I17&gt;$AI$37,I17&lt;$AJ$37),$AH$37,IF(AND(E17=$AF$38,G17=$AG$38,I17&gt;$AI$38),$AH$38,))))))))))))))))))))))))</f>
        <v>0</v>
      </c>
      <c r="Q17" s="167" t="str">
        <f t="shared" si="7"/>
        <v>000</v>
      </c>
      <c r="R17" s="167" t="e">
        <f>VLOOKUP(Q17,$AE$15:$AL$38,7,FALSE)</f>
        <v>#N/A</v>
      </c>
      <c r="S17" s="167" t="e">
        <f>VLOOKUP(Q17,$AE$15:$AL$38,8,FALSE)</f>
        <v>#N/A</v>
      </c>
      <c r="T17" s="167" t="e">
        <f t="shared" si="8"/>
        <v>#N/A</v>
      </c>
      <c r="U17" s="167" t="e">
        <f t="shared" si="9"/>
        <v>#N/A</v>
      </c>
      <c r="V17" s="164" t="b">
        <f t="shared" si="10"/>
        <v>0</v>
      </c>
      <c r="W17" s="167" t="e">
        <f t="shared" si="11"/>
        <v>#N/A</v>
      </c>
      <c r="X17" s="203" t="e">
        <f>VLOOKUP(W17,$AN$7:$AU$15,7,FALSE)</f>
        <v>#N/A</v>
      </c>
      <c r="AD17" s="152" t="s">
        <v>178</v>
      </c>
      <c r="AE17" s="152" t="str">
        <f t="shared" si="4"/>
        <v>Cube/NuggetIce Making Head450 ≤ H &lt; 1,000</v>
      </c>
      <c r="AF17" s="152" t="s">
        <v>174</v>
      </c>
      <c r="AG17" s="152" t="s">
        <v>128</v>
      </c>
      <c r="AH17" s="152" t="s">
        <v>194</v>
      </c>
      <c r="AI17" s="152">
        <v>449.99</v>
      </c>
      <c r="AJ17" s="152">
        <v>1000</v>
      </c>
      <c r="AK17" s="152">
        <v>5.9</v>
      </c>
      <c r="AL17" s="152">
        <v>-1.6000000000000001E-3</v>
      </c>
      <c r="AP17" s="152"/>
      <c r="AQ17" s="152"/>
    </row>
    <row r="18" spans="3:43">
      <c r="C18" s="152"/>
      <c r="D18" s="152"/>
      <c r="E18" s="152"/>
      <c r="F18" s="152"/>
      <c r="G18" s="152"/>
      <c r="H18" s="152"/>
      <c r="I18" s="152"/>
      <c r="J18" s="152"/>
      <c r="K18" s="152"/>
      <c r="L18" s="152"/>
      <c r="M18" s="152"/>
      <c r="N18" s="152"/>
      <c r="O18" s="152"/>
      <c r="P18" s="152"/>
      <c r="Q18" s="152"/>
      <c r="R18" s="152"/>
      <c r="S18" s="152"/>
      <c r="T18" s="152"/>
      <c r="U18" s="152"/>
      <c r="V18" s="152"/>
      <c r="W18" s="152"/>
      <c r="X18" s="152"/>
      <c r="AD18" s="152" t="s">
        <v>178</v>
      </c>
      <c r="AE18" s="152" t="str">
        <f t="shared" si="4"/>
        <v>Cube/NuggetIce Making Head1,000 ≤ H</v>
      </c>
      <c r="AF18" s="152" t="s">
        <v>174</v>
      </c>
      <c r="AG18" s="152" t="s">
        <v>128</v>
      </c>
      <c r="AH18" s="152" t="s">
        <v>189</v>
      </c>
      <c r="AI18" s="152">
        <v>999.99</v>
      </c>
      <c r="AJ18" s="152"/>
      <c r="AK18" s="152">
        <v>4.5</v>
      </c>
      <c r="AL18" s="152">
        <v>-2.0000000000000001E-4</v>
      </c>
    </row>
    <row r="19" spans="3:43">
      <c r="C19" s="152"/>
      <c r="D19" s="152"/>
      <c r="E19" s="152"/>
      <c r="F19" s="152"/>
      <c r="G19" s="152"/>
      <c r="H19" s="152"/>
      <c r="I19" s="152"/>
      <c r="J19" s="152"/>
      <c r="K19" s="152"/>
      <c r="L19" s="152"/>
      <c r="M19" s="152"/>
      <c r="N19" s="152"/>
      <c r="O19" s="152"/>
      <c r="P19" s="152"/>
      <c r="Q19" s="152"/>
      <c r="R19" s="152"/>
      <c r="S19" s="152"/>
      <c r="T19" s="152"/>
      <c r="U19" s="152"/>
      <c r="V19" s="152"/>
      <c r="W19" s="152"/>
      <c r="X19" s="152"/>
      <c r="AD19" s="152" t="s">
        <v>178</v>
      </c>
      <c r="AE19" s="152" t="str">
        <f t="shared" si="4"/>
        <v>Cube/NuggetRemote Condensing w/out Remote CompressorH &lt; 175</v>
      </c>
      <c r="AF19" s="152" t="s">
        <v>174</v>
      </c>
      <c r="AG19" s="45" t="s">
        <v>481</v>
      </c>
      <c r="AH19" s="152" t="s">
        <v>192</v>
      </c>
      <c r="AI19" s="152">
        <v>0</v>
      </c>
      <c r="AJ19" s="152">
        <v>175</v>
      </c>
      <c r="AK19" s="152">
        <v>14</v>
      </c>
      <c r="AL19" s="152">
        <v>-3.4000000000000002E-2</v>
      </c>
    </row>
    <row r="20" spans="3:43">
      <c r="C20" s="152"/>
      <c r="D20" s="152"/>
      <c r="E20" s="152"/>
      <c r="F20" s="152"/>
      <c r="G20" s="152"/>
      <c r="H20" s="152"/>
      <c r="I20" s="152"/>
      <c r="J20" s="152"/>
      <c r="K20" s="152"/>
      <c r="L20" s="152"/>
      <c r="M20" s="152"/>
      <c r="N20" s="152"/>
      <c r="O20" s="152"/>
      <c r="P20" s="152"/>
      <c r="Q20" s="152"/>
      <c r="R20" s="152"/>
      <c r="S20" s="152"/>
      <c r="T20" s="152"/>
      <c r="U20" s="152"/>
      <c r="V20" s="152"/>
      <c r="W20" s="152"/>
      <c r="X20" s="152"/>
      <c r="AD20" s="152" t="s">
        <v>178</v>
      </c>
      <c r="AE20" s="152" t="str">
        <f t="shared" si="4"/>
        <v>Cube/NuggetRemote Condensing w/out Remote Compressor175 ≤ H &lt; 450</v>
      </c>
      <c r="AF20" s="152" t="s">
        <v>174</v>
      </c>
      <c r="AG20" s="45" t="s">
        <v>481</v>
      </c>
      <c r="AH20" s="152" t="s">
        <v>193</v>
      </c>
      <c r="AI20" s="152">
        <v>174.99</v>
      </c>
      <c r="AJ20" s="152">
        <v>450</v>
      </c>
      <c r="AK20" s="152">
        <v>9.6</v>
      </c>
      <c r="AL20" s="152">
        <v>-9.7999999999999997E-3</v>
      </c>
    </row>
    <row r="21" spans="3:43">
      <c r="AD21" s="152" t="s">
        <v>178</v>
      </c>
      <c r="AE21" s="152" t="str">
        <f t="shared" si="4"/>
        <v>Cube/NuggetRemote Condensing w/out Remote Compressor450 ≤ H &lt; 1,000</v>
      </c>
      <c r="AF21" s="152" t="s">
        <v>174</v>
      </c>
      <c r="AG21" s="45" t="s">
        <v>481</v>
      </c>
      <c r="AH21" s="152" t="s">
        <v>194</v>
      </c>
      <c r="AI21" s="152">
        <v>449.99</v>
      </c>
      <c r="AJ21" s="152">
        <v>1000</v>
      </c>
      <c r="AK21" s="152">
        <v>5.9</v>
      </c>
      <c r="AL21" s="152">
        <v>-1.6000000000000001E-3</v>
      </c>
    </row>
    <row r="22" spans="3:43">
      <c r="AD22" s="152" t="s">
        <v>178</v>
      </c>
      <c r="AE22" s="152" t="str">
        <f t="shared" si="4"/>
        <v>Cube/NuggetRemote Condensing w/out Remote Compressor1,000 ≤ H</v>
      </c>
      <c r="AF22" s="152" t="s">
        <v>174</v>
      </c>
      <c r="AG22" s="45" t="s">
        <v>481</v>
      </c>
      <c r="AH22" s="152" t="s">
        <v>189</v>
      </c>
      <c r="AI22" s="152">
        <v>999.99</v>
      </c>
      <c r="AJ22" s="152"/>
      <c r="AK22" s="152">
        <v>4.5</v>
      </c>
      <c r="AL22" s="152">
        <v>-2.0000000000000001E-4</v>
      </c>
    </row>
    <row r="23" spans="3:43">
      <c r="AD23" s="152" t="s">
        <v>178</v>
      </c>
      <c r="AE23" s="152" t="str">
        <f t="shared" si="4"/>
        <v>Cube/NuggetRemote Condensing with Remote CompressorH &lt; 175</v>
      </c>
      <c r="AF23" s="152" t="s">
        <v>174</v>
      </c>
      <c r="AG23" s="45" t="s">
        <v>482</v>
      </c>
      <c r="AH23" s="152" t="s">
        <v>192</v>
      </c>
      <c r="AI23" s="152">
        <v>0</v>
      </c>
      <c r="AJ23" s="152">
        <v>175</v>
      </c>
      <c r="AK23" s="152">
        <v>14</v>
      </c>
      <c r="AL23" s="152">
        <v>-3.4000000000000002E-2</v>
      </c>
    </row>
    <row r="24" spans="3:43">
      <c r="AD24" s="152" t="s">
        <v>178</v>
      </c>
      <c r="AE24" s="152" t="str">
        <f t="shared" si="4"/>
        <v>Cube/NuggetRemote Condensing with Remote Compressor175 ≤ H &lt; 450</v>
      </c>
      <c r="AF24" s="152" t="s">
        <v>174</v>
      </c>
      <c r="AG24" s="45" t="s">
        <v>482</v>
      </c>
      <c r="AH24" s="152" t="s">
        <v>193</v>
      </c>
      <c r="AI24" s="152">
        <v>174.99</v>
      </c>
      <c r="AJ24" s="152">
        <v>450</v>
      </c>
      <c r="AK24" s="152">
        <v>9.6</v>
      </c>
      <c r="AL24" s="152">
        <v>-9.7999999999999997E-3</v>
      </c>
    </row>
    <row r="25" spans="3:43">
      <c r="AD25" s="152" t="s">
        <v>178</v>
      </c>
      <c r="AE25" s="152" t="str">
        <f t="shared" si="4"/>
        <v>Cube/NuggetRemote Condensing with Remote Compressor450 ≤ H &lt; 1,000</v>
      </c>
      <c r="AF25" s="152" t="s">
        <v>174</v>
      </c>
      <c r="AG25" s="45" t="s">
        <v>482</v>
      </c>
      <c r="AH25" s="152" t="s">
        <v>194</v>
      </c>
      <c r="AI25" s="152">
        <v>449.99</v>
      </c>
      <c r="AJ25" s="152">
        <v>1000</v>
      </c>
      <c r="AK25" s="152">
        <v>5.9</v>
      </c>
      <c r="AL25" s="152">
        <v>-1.6000000000000001E-3</v>
      </c>
    </row>
    <row r="26" spans="3:43">
      <c r="AD26" s="152" t="s">
        <v>178</v>
      </c>
      <c r="AE26" s="152" t="str">
        <f t="shared" si="4"/>
        <v>Cube/NuggetRemote Condensing with Remote Compressor1,000 ≤ H</v>
      </c>
      <c r="AF26" s="152" t="s">
        <v>174</v>
      </c>
      <c r="AG26" s="45" t="s">
        <v>482</v>
      </c>
      <c r="AH26" s="152" t="s">
        <v>189</v>
      </c>
      <c r="AI26" s="152">
        <v>999.99</v>
      </c>
      <c r="AJ26" s="152"/>
      <c r="AK26" s="152">
        <v>4.5</v>
      </c>
      <c r="AL26" s="152">
        <v>-2.0000000000000001E-4</v>
      </c>
    </row>
    <row r="27" spans="3:43">
      <c r="AD27" s="152" t="s">
        <v>178</v>
      </c>
      <c r="AE27" s="152" t="str">
        <f t="shared" si="4"/>
        <v>Cube/NuggetSelf Contained UnitH &lt; 175</v>
      </c>
      <c r="AF27" s="152" t="s">
        <v>174</v>
      </c>
      <c r="AG27" s="152" t="s">
        <v>483</v>
      </c>
      <c r="AH27" s="152" t="s">
        <v>192</v>
      </c>
      <c r="AI27" s="152">
        <v>0</v>
      </c>
      <c r="AJ27" s="152">
        <v>175</v>
      </c>
      <c r="AK27" s="152">
        <v>14</v>
      </c>
      <c r="AL27" s="152">
        <v>-3.4000000000000002E-2</v>
      </c>
    </row>
    <row r="28" spans="3:43">
      <c r="AD28" s="152" t="s">
        <v>178</v>
      </c>
      <c r="AE28" s="152" t="str">
        <f t="shared" si="4"/>
        <v>Cube/NuggetSelf Contained Unit175 ≤ H &lt; 450</v>
      </c>
      <c r="AF28" s="152" t="s">
        <v>174</v>
      </c>
      <c r="AG28" s="152" t="s">
        <v>483</v>
      </c>
      <c r="AH28" s="152" t="s">
        <v>193</v>
      </c>
      <c r="AI28" s="152">
        <v>174.99</v>
      </c>
      <c r="AJ28" s="152">
        <v>450</v>
      </c>
      <c r="AK28" s="152">
        <v>9.6</v>
      </c>
      <c r="AL28" s="152">
        <v>-9.7999999999999997E-3</v>
      </c>
    </row>
    <row r="29" spans="3:43">
      <c r="AD29" s="152" t="s">
        <v>178</v>
      </c>
      <c r="AE29" s="152" t="str">
        <f t="shared" si="4"/>
        <v>Cube/NuggetSelf Contained Unit450 ≤ H &lt; 1,000</v>
      </c>
      <c r="AF29" s="152" t="s">
        <v>174</v>
      </c>
      <c r="AG29" s="152" t="s">
        <v>483</v>
      </c>
      <c r="AH29" s="152" t="s">
        <v>194</v>
      </c>
      <c r="AI29" s="152">
        <v>449.99</v>
      </c>
      <c r="AJ29" s="152">
        <v>1000</v>
      </c>
      <c r="AK29" s="152">
        <v>5.9</v>
      </c>
      <c r="AL29" s="152">
        <v>-1.6000000000000001E-3</v>
      </c>
    </row>
    <row r="30" spans="3:43">
      <c r="AD30" s="152" t="s">
        <v>178</v>
      </c>
      <c r="AE30" s="152" t="str">
        <f t="shared" si="4"/>
        <v>Cube/NuggetSelf Contained Unit1,000 ≤ H</v>
      </c>
      <c r="AF30" s="152" t="s">
        <v>174</v>
      </c>
      <c r="AG30" s="152" t="s">
        <v>483</v>
      </c>
      <c r="AH30" s="152" t="s">
        <v>189</v>
      </c>
      <c r="AI30" s="152">
        <v>999.99</v>
      </c>
      <c r="AJ30" s="152"/>
      <c r="AK30" s="152">
        <v>4.5</v>
      </c>
      <c r="AL30" s="152">
        <v>-2.0000000000000001E-4</v>
      </c>
    </row>
    <row r="31" spans="3:43">
      <c r="AD31" s="152" t="s">
        <v>178</v>
      </c>
      <c r="AE31" s="152" t="str">
        <f t="shared" si="4"/>
        <v>FlakeIce Making HeadH &lt; 1,000</v>
      </c>
      <c r="AF31" s="152" t="s">
        <v>175</v>
      </c>
      <c r="AG31" s="152" t="s">
        <v>128</v>
      </c>
      <c r="AH31" s="152" t="s">
        <v>188</v>
      </c>
      <c r="AI31" s="152"/>
      <c r="AJ31" s="152">
        <v>1000</v>
      </c>
      <c r="AK31" s="152">
        <v>65</v>
      </c>
      <c r="AL31" s="152">
        <v>-3.3E-3</v>
      </c>
    </row>
    <row r="32" spans="3:43">
      <c r="AD32" s="152" t="s">
        <v>178</v>
      </c>
      <c r="AE32" s="152" t="str">
        <f t="shared" si="4"/>
        <v>FlakeIce Making Head1,000 ≤ H</v>
      </c>
      <c r="AF32" s="152" t="s">
        <v>175</v>
      </c>
      <c r="AG32" s="152" t="s">
        <v>128</v>
      </c>
      <c r="AH32" s="152" t="s">
        <v>189</v>
      </c>
      <c r="AI32" s="152">
        <v>999.99</v>
      </c>
      <c r="AJ32" s="152"/>
      <c r="AK32" s="152">
        <v>3.2</v>
      </c>
      <c r="AL32" s="152">
        <v>0</v>
      </c>
    </row>
    <row r="33" spans="30:38">
      <c r="AD33" s="152" t="s">
        <v>178</v>
      </c>
      <c r="AE33" s="152" t="str">
        <f t="shared" si="4"/>
        <v>FlakeRemote Condensing w/out Remote CompressorH &lt; 1,000</v>
      </c>
      <c r="AF33" s="152" t="s">
        <v>175</v>
      </c>
      <c r="AG33" s="45" t="s">
        <v>481</v>
      </c>
      <c r="AH33" s="152" t="s">
        <v>188</v>
      </c>
      <c r="AI33" s="152"/>
      <c r="AJ33" s="152">
        <v>1000</v>
      </c>
      <c r="AK33" s="152">
        <v>65</v>
      </c>
      <c r="AL33" s="152">
        <v>-3.3E-3</v>
      </c>
    </row>
    <row r="34" spans="30:38">
      <c r="AD34" s="152" t="s">
        <v>178</v>
      </c>
      <c r="AE34" s="152" t="str">
        <f t="shared" si="4"/>
        <v>FlakeRemote Condensing w/out Remote Compressor1,000 ≤ H</v>
      </c>
      <c r="AF34" s="152" t="s">
        <v>175</v>
      </c>
      <c r="AG34" s="45" t="s">
        <v>481</v>
      </c>
      <c r="AH34" s="152" t="s">
        <v>189</v>
      </c>
      <c r="AI34" s="152">
        <v>999.99</v>
      </c>
      <c r="AJ34" s="152"/>
      <c r="AK34" s="152">
        <v>3.2</v>
      </c>
      <c r="AL34" s="152">
        <v>0</v>
      </c>
    </row>
    <row r="35" spans="30:38">
      <c r="AD35" s="152" t="s">
        <v>178</v>
      </c>
      <c r="AE35" s="152" t="str">
        <f t="shared" si="4"/>
        <v>FlakeRemote Condensing with Remote CompressorH &lt; 1,000</v>
      </c>
      <c r="AF35" s="152" t="s">
        <v>175</v>
      </c>
      <c r="AG35" s="45" t="s">
        <v>482</v>
      </c>
      <c r="AH35" s="152" t="s">
        <v>188</v>
      </c>
      <c r="AI35" s="152"/>
      <c r="AJ35" s="152">
        <v>1000</v>
      </c>
      <c r="AK35" s="152">
        <v>65</v>
      </c>
      <c r="AL35" s="152">
        <v>-3.3E-3</v>
      </c>
    </row>
    <row r="36" spans="30:38">
      <c r="AD36" s="152" t="s">
        <v>178</v>
      </c>
      <c r="AE36" s="152" t="str">
        <f t="shared" si="4"/>
        <v>FlakeRemote Condensing with Remote Compressor1,000 ≤ H</v>
      </c>
      <c r="AF36" s="152" t="s">
        <v>175</v>
      </c>
      <c r="AG36" s="45" t="s">
        <v>482</v>
      </c>
      <c r="AH36" s="152" t="s">
        <v>189</v>
      </c>
      <c r="AI36" s="152">
        <v>999.99</v>
      </c>
      <c r="AJ36" s="152"/>
      <c r="AK36" s="152">
        <v>3.2</v>
      </c>
      <c r="AL36" s="152">
        <v>0</v>
      </c>
    </row>
    <row r="37" spans="30:38">
      <c r="AD37" s="152" t="s">
        <v>178</v>
      </c>
      <c r="AE37" s="152" t="str">
        <f t="shared" si="4"/>
        <v>FlakeSelf Contained UnitH &lt; 1,000</v>
      </c>
      <c r="AF37" s="152" t="s">
        <v>175</v>
      </c>
      <c r="AG37" s="152" t="s">
        <v>483</v>
      </c>
      <c r="AH37" s="152" t="s">
        <v>188</v>
      </c>
      <c r="AI37" s="152"/>
      <c r="AJ37" s="152">
        <v>1000</v>
      </c>
      <c r="AK37" s="152">
        <v>65</v>
      </c>
      <c r="AL37" s="152">
        <v>-3.3E-3</v>
      </c>
    </row>
    <row r="38" spans="30:38">
      <c r="AD38" s="152" t="s">
        <v>178</v>
      </c>
      <c r="AE38" s="152" t="str">
        <f t="shared" si="4"/>
        <v>FlakeSelf Contained Unit1,000 ≤ H</v>
      </c>
      <c r="AF38" s="152" t="s">
        <v>175</v>
      </c>
      <c r="AG38" s="152" t="s">
        <v>483</v>
      </c>
      <c r="AH38" s="152" t="s">
        <v>189</v>
      </c>
      <c r="AI38" s="152">
        <v>999.99</v>
      </c>
      <c r="AJ38" s="152"/>
      <c r="AK38" s="152">
        <v>3.2</v>
      </c>
      <c r="AL38" s="152">
        <v>0</v>
      </c>
    </row>
  </sheetData>
  <sheetProtection algorithmName="SHA-512" hashValue="o2Xnsvlh5NIAsviQC9X99YLHlw2tSnRReI7OYCDvp/pk0d1jHiv51RtSgaNzJ6QISa/kN6iIl3pKHSDweTzwJQ==" saltValue="GCD6zJT4TN9YWqPAN6YimQ==" spinCount="100000"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9CFE-29FF-420C-8B40-B3BE284E59DE}">
  <dimension ref="A1"/>
  <sheetViews>
    <sheetView workbookViewId="0">
      <selection activeCell="C5" sqref="C5"/>
    </sheetView>
  </sheetViews>
  <sheetFormatPr defaultRowHeight="14.25"/>
  <sheetData>
    <row r="1" spans="1:1">
      <c r="A1" t="s">
        <v>220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G25"/>
  <sheetViews>
    <sheetView workbookViewId="0">
      <selection activeCell="E19" sqref="E19"/>
    </sheetView>
  </sheetViews>
  <sheetFormatPr defaultColWidth="8.75" defaultRowHeight="14.25"/>
  <cols>
    <col min="1" max="1" width="3.75" style="14" customWidth="1"/>
    <col min="2" max="2" width="18.125" style="14" bestFit="1" customWidth="1"/>
    <col min="3" max="3" width="11.375" style="14" bestFit="1" customWidth="1"/>
    <col min="4" max="4" width="19.25" style="14" customWidth="1"/>
    <col min="5" max="5" width="52.5" style="17" customWidth="1"/>
    <col min="6" max="6" width="26.75" style="14" customWidth="1"/>
    <col min="7" max="7" width="22.875" style="1" bestFit="1" customWidth="1"/>
    <col min="8" max="16384" width="8.75" style="1"/>
  </cols>
  <sheetData>
    <row r="2" spans="1:7" ht="20.25">
      <c r="B2" s="405" t="s">
        <v>7</v>
      </c>
      <c r="C2" s="405"/>
      <c r="D2" s="405"/>
      <c r="E2" s="405"/>
      <c r="F2" s="405"/>
    </row>
    <row r="4" spans="1:7" ht="15">
      <c r="B4" s="40" t="s">
        <v>18</v>
      </c>
      <c r="C4" s="407" t="s">
        <v>29</v>
      </c>
      <c r="D4" s="407"/>
      <c r="E4" s="41" t="s">
        <v>19</v>
      </c>
      <c r="F4" s="407" t="s">
        <v>211</v>
      </c>
      <c r="G4" s="407"/>
    </row>
    <row r="5" spans="1:7" ht="15">
      <c r="B5" s="40" t="s">
        <v>20</v>
      </c>
      <c r="C5" s="407" t="s">
        <v>29</v>
      </c>
      <c r="D5" s="407"/>
      <c r="E5" s="42" t="s">
        <v>21</v>
      </c>
      <c r="F5" s="406" t="s">
        <v>272</v>
      </c>
      <c r="G5" s="406"/>
    </row>
    <row r="6" spans="1:7" ht="25.5" customHeight="1"/>
    <row r="7" spans="1:7" s="21" customFormat="1" ht="15">
      <c r="A7" s="20"/>
      <c r="B7" s="72" t="s">
        <v>121</v>
      </c>
      <c r="C7" s="27" t="s">
        <v>22</v>
      </c>
      <c r="D7" s="28" t="s">
        <v>14</v>
      </c>
      <c r="E7" s="28" t="s">
        <v>23</v>
      </c>
      <c r="F7" s="29" t="s">
        <v>24</v>
      </c>
      <c r="G7" s="30" t="s">
        <v>25</v>
      </c>
    </row>
    <row r="8" spans="1:7" ht="28.5" customHeight="1">
      <c r="B8" s="70">
        <v>2018</v>
      </c>
      <c r="C8" s="31">
        <v>1</v>
      </c>
      <c r="D8" s="32">
        <v>43091</v>
      </c>
      <c r="E8" s="32" t="s">
        <v>26</v>
      </c>
      <c r="F8" s="33" t="s">
        <v>27</v>
      </c>
      <c r="G8" s="34" t="s">
        <v>28</v>
      </c>
    </row>
    <row r="9" spans="1:7" ht="27" customHeight="1">
      <c r="B9" s="70">
        <v>2018</v>
      </c>
      <c r="C9" s="31">
        <v>1.1000000000000001</v>
      </c>
      <c r="D9" s="32">
        <v>43098</v>
      </c>
      <c r="E9" s="35" t="s">
        <v>198</v>
      </c>
      <c r="F9" s="33"/>
      <c r="G9" s="34" t="s">
        <v>211</v>
      </c>
    </row>
    <row r="10" spans="1:7" ht="28.5" customHeight="1">
      <c r="B10" s="70">
        <v>2018</v>
      </c>
      <c r="C10" s="31">
        <v>1.1000000000000001</v>
      </c>
      <c r="D10" s="32">
        <v>43103</v>
      </c>
      <c r="E10" s="35" t="s">
        <v>212</v>
      </c>
      <c r="F10" s="33"/>
      <c r="G10" s="34" t="s">
        <v>28</v>
      </c>
    </row>
    <row r="11" spans="1:7" ht="28.5" customHeight="1">
      <c r="B11" s="70">
        <v>2018</v>
      </c>
      <c r="C11" s="31">
        <v>1.2</v>
      </c>
      <c r="D11" s="32">
        <v>43118</v>
      </c>
      <c r="E11" s="35" t="s">
        <v>246</v>
      </c>
      <c r="F11" s="33"/>
      <c r="G11" s="34" t="s">
        <v>28</v>
      </c>
    </row>
    <row r="12" spans="1:7" ht="28.5" customHeight="1">
      <c r="B12" s="70">
        <v>2018</v>
      </c>
      <c r="C12" s="31">
        <v>1.2</v>
      </c>
      <c r="D12" s="32">
        <v>43119</v>
      </c>
      <c r="E12" s="35" t="s">
        <v>252</v>
      </c>
      <c r="F12" s="33"/>
      <c r="G12" s="34" t="s">
        <v>28</v>
      </c>
    </row>
    <row r="13" spans="1:7" ht="28.5" customHeight="1">
      <c r="B13" s="70">
        <v>2021</v>
      </c>
      <c r="C13" s="31">
        <v>2</v>
      </c>
      <c r="D13" s="32">
        <v>44232</v>
      </c>
      <c r="E13" s="35" t="s">
        <v>279</v>
      </c>
      <c r="F13" s="33"/>
      <c r="G13" s="34" t="s">
        <v>278</v>
      </c>
    </row>
    <row r="14" spans="1:7" ht="28.5" customHeight="1">
      <c r="B14" s="70">
        <v>2021</v>
      </c>
      <c r="C14" s="31">
        <v>2.1</v>
      </c>
      <c r="D14" s="32">
        <v>44288</v>
      </c>
      <c r="E14" s="35" t="s">
        <v>472</v>
      </c>
      <c r="F14" s="33"/>
      <c r="G14" s="34" t="s">
        <v>278</v>
      </c>
    </row>
    <row r="15" spans="1:7" ht="28.5" customHeight="1">
      <c r="B15" s="71">
        <v>2021</v>
      </c>
      <c r="C15" s="31">
        <v>2.2000000000000002</v>
      </c>
      <c r="D15" s="32">
        <v>44355</v>
      </c>
      <c r="E15" s="35" t="s">
        <v>538</v>
      </c>
      <c r="F15" s="33"/>
      <c r="G15" s="34" t="s">
        <v>278</v>
      </c>
    </row>
    <row r="16" spans="1:7" ht="28.5" customHeight="1">
      <c r="B16" s="71"/>
      <c r="C16" s="31"/>
      <c r="D16" s="35"/>
      <c r="E16" s="35"/>
      <c r="F16" s="33"/>
      <c r="G16" s="34"/>
    </row>
    <row r="17" spans="2:7" ht="28.5" customHeight="1">
      <c r="B17" s="71"/>
      <c r="C17" s="31"/>
      <c r="D17" s="35"/>
      <c r="E17" s="35"/>
      <c r="F17" s="33"/>
      <c r="G17" s="34"/>
    </row>
    <row r="18" spans="2:7" ht="28.5" customHeight="1">
      <c r="B18" s="71"/>
      <c r="C18" s="31"/>
      <c r="D18" s="35"/>
      <c r="E18" s="35"/>
      <c r="F18" s="33"/>
      <c r="G18" s="34"/>
    </row>
    <row r="19" spans="2:7" ht="28.5" customHeight="1">
      <c r="B19" s="71"/>
      <c r="C19" s="31"/>
      <c r="D19" s="35"/>
      <c r="E19" s="35"/>
      <c r="F19" s="33"/>
      <c r="G19" s="34"/>
    </row>
    <row r="20" spans="2:7" ht="28.5" customHeight="1">
      <c r="B20" s="71"/>
      <c r="C20" s="31"/>
      <c r="D20" s="35"/>
      <c r="E20" s="35"/>
      <c r="F20" s="33"/>
      <c r="G20" s="34"/>
    </row>
    <row r="21" spans="2:7" ht="28.5" customHeight="1">
      <c r="B21" s="71"/>
      <c r="C21" s="31"/>
      <c r="D21" s="35"/>
      <c r="E21" s="35"/>
      <c r="F21" s="33"/>
      <c r="G21" s="34"/>
    </row>
    <row r="22" spans="2:7" ht="28.5" customHeight="1">
      <c r="B22" s="71"/>
      <c r="C22" s="31"/>
      <c r="D22" s="35"/>
      <c r="E22" s="35"/>
      <c r="F22" s="33"/>
      <c r="G22" s="34"/>
    </row>
    <row r="23" spans="2:7" ht="28.5" customHeight="1">
      <c r="B23" s="71"/>
      <c r="C23" s="31"/>
      <c r="D23" s="35"/>
      <c r="E23" s="35"/>
      <c r="F23" s="33"/>
      <c r="G23" s="34"/>
    </row>
    <row r="24" spans="2:7" ht="28.5" customHeight="1">
      <c r="B24" s="73"/>
      <c r="C24" s="26"/>
      <c r="D24" s="36"/>
      <c r="E24" s="36"/>
      <c r="F24" s="37"/>
      <c r="G24" s="38"/>
    </row>
    <row r="25" spans="2:7">
      <c r="B25" s="15"/>
      <c r="C25" s="15"/>
      <c r="D25" s="15"/>
      <c r="E25" s="16"/>
      <c r="F25" s="15"/>
    </row>
  </sheetData>
  <sheetProtection algorithmName="SHA-512" hashValue="SLRN9RI/8/yEgVgxDsUL1Z8/B6gf4Xa7wRoGtUyT7iTSSY04tgC0HzbQ0OwVG5UIS6sD2hsgN/zN3h/h1465xA==" saltValue="dRZS42DgAsImIRAfabAgwQ==" spinCount="100000" sheet="1" objects="1" scenarios="1"/>
  <mergeCells count="5">
    <mergeCell ref="B2:F2"/>
    <mergeCell ref="F5:G5"/>
    <mergeCell ref="F4:G4"/>
    <mergeCell ref="C5:D5"/>
    <mergeCell ref="C4:D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6" ma:contentTypeDescription="Create a new document." ma:contentTypeScope="" ma:versionID="b1420095b0bcaeeab26cc652c695f2d8">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ce1ad730e4d7fb850dbe75b7bc13368"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37399D27-9BFE-4155-AE52-51AF6A72D0EF}">
  <ds:schemaRefs>
    <ds:schemaRef ds:uri="http://schemas.microsoft.com/office/2006/documentManagement/types"/>
    <ds:schemaRef ds:uri="http://purl.org/dc/terms/"/>
    <ds:schemaRef ds:uri="98788742-c24c-455f-83e9-59d89e3de440"/>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52741100-c965-4fd4-8aa7-2d9d842b1c91"/>
  </ds:schemaRefs>
</ds:datastoreItem>
</file>

<file path=customXml/itemProps3.xml><?xml version="1.0" encoding="utf-8"?>
<ds:datastoreItem xmlns:ds="http://schemas.openxmlformats.org/officeDocument/2006/customXml" ds:itemID="{F5683BE9-F834-421B-BFF7-7368CCCD9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Methodology</vt:lpstr>
      <vt:lpstr>Summary</vt:lpstr>
      <vt:lpstr>Calculator</vt:lpstr>
      <vt:lpstr>Data Export</vt:lpstr>
      <vt:lpstr>Calculations</vt:lpstr>
      <vt:lpstr>Ice Machine Incentive Ref</vt:lpstr>
      <vt:lpstr>DSMT import</vt:lpstr>
      <vt:lpstr>Version Log</vt:lpstr>
      <vt:lpstr>BuildingTypeOven</vt:lpstr>
      <vt:lpstr>Curtains</vt:lpstr>
      <vt:lpstr>DishwasherTemp</vt:lpstr>
      <vt:lpstr>High</vt:lpstr>
      <vt:lpstr>Low</vt:lpstr>
      <vt:lpstr>Calculator!Print_Area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Janine Morency</dc:creator>
  <cp:lastModifiedBy>Angelique Quinn</cp:lastModifiedBy>
  <dcterms:created xsi:type="dcterms:W3CDTF">2014-05-06T17:45:34Z</dcterms:created>
  <dcterms:modified xsi:type="dcterms:W3CDTF">2021-07-07T19:11:35Z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ies>
</file>