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brandy.lehman\Desktop\Potomac Edison\"/>
    </mc:Choice>
  </mc:AlternateContent>
  <xr:revisionPtr revIDLastSave="0" documentId="13_ncr:1_{50BEBC9A-2223-4258-AAB6-F60A1C95D1CB}" xr6:coauthVersionLast="34" xr6:coauthVersionMax="34" xr10:uidLastSave="{00000000-0000-0000-0000-000000000000}"/>
  <workbookProtection workbookAlgorithmName="SHA-512" workbookHashValue="Z/MTlaklfcOZ61PO8U9Ea2I5mOXT5uuAE/+/sH2NTTz6zy/v+uyOXXm+x7+nnRCQisVNIG3UNEfHM06zxQcngw==" workbookSaltValue="ZWgxWqtcjA/zbimXSmFfRQ==" workbookSpinCount="100000" lockStructure="1"/>
  <bookViews>
    <workbookView xWindow="0" yWindow="0" windowWidth="23040" windowHeight="8496" tabRatio="756" xr2:uid="{00000000-000D-0000-FFFF-FFFF00000000}"/>
  </bookViews>
  <sheets>
    <sheet name="Instructions" sheetId="16" r:id="rId1"/>
    <sheet name="Methodology" sheetId="21" state="hidden" r:id="rId2"/>
    <sheet name="Summary" sheetId="35" r:id="rId3"/>
    <sheet name="Auto Milker Takeoff Calculator" sheetId="4" r:id="rId4"/>
    <sheet name="Dairy Scroll Comp Calculator" sheetId="30" r:id="rId5"/>
    <sheet name="Livestock Waterer Calculator" sheetId="31" r:id="rId6"/>
    <sheet name="VSD Controller" sheetId="32" r:id="rId7"/>
    <sheet name="Hi Eff Vent Fans" sheetId="33" r:id="rId8"/>
    <sheet name="Hi Vol Low Speed Fans" sheetId="34" r:id="rId9"/>
    <sheet name="Ag Measures Calcs" sheetId="5" state="hidden" r:id="rId10"/>
    <sheet name="Version Log" sheetId="29" state="hidden" r:id="rId11"/>
  </sheets>
  <definedNames>
    <definedName name="_xlnm.Print_Area" localSheetId="3">'Auto Milker Takeoff Calculator'!$B$3:$D$18</definedName>
    <definedName name="_xlnm.Print_Area" localSheetId="4">'Dairy Scroll Comp Calculator'!$B$3:$D$20</definedName>
    <definedName name="_xlnm.Print_Area" localSheetId="7">'Hi Eff Vent Fans'!$B$3:$D$25</definedName>
    <definedName name="_xlnm.Print_Area" localSheetId="8">'Hi Vol Low Speed Fans'!$B$3:$D$21</definedName>
    <definedName name="_xlnm.Print_Area" localSheetId="5">'Livestock Waterer Calculator'!$B$3:$D$18</definedName>
    <definedName name="_xlnm.Print_Area" localSheetId="6">'VSD Controller'!$B$3:$D$20</definedName>
  </definedNames>
  <calcPr calcId="179017"/>
</workbook>
</file>

<file path=xl/calcChain.xml><?xml version="1.0" encoding="utf-8"?>
<calcChain xmlns="http://schemas.openxmlformats.org/spreadsheetml/2006/main">
  <c r="C14" i="5" l="1"/>
  <c r="D67" i="5" s="1"/>
  <c r="C22" i="33"/>
  <c r="C17" i="5"/>
  <c r="K68" i="5" s="1"/>
  <c r="E67" i="5" l="1"/>
  <c r="E68" i="5" s="1"/>
  <c r="C18" i="34"/>
  <c r="C22" i="5"/>
  <c r="E71" i="5" s="1"/>
  <c r="C20" i="5"/>
  <c r="C71" i="5" s="1"/>
  <c r="C17" i="32" l="1"/>
  <c r="C8" i="34"/>
  <c r="C7" i="34"/>
  <c r="C6" i="34"/>
  <c r="C8" i="33"/>
  <c r="C7" i="33"/>
  <c r="C6" i="33"/>
  <c r="C8" i="32"/>
  <c r="C7" i="32"/>
  <c r="C6" i="32"/>
  <c r="C15" i="31"/>
  <c r="C8" i="31"/>
  <c r="C7" i="31"/>
  <c r="C6" i="31"/>
  <c r="C8" i="30"/>
  <c r="C7" i="30"/>
  <c r="C6" i="30"/>
  <c r="C15" i="4"/>
  <c r="C8" i="4"/>
  <c r="C7" i="4"/>
  <c r="C6" i="4"/>
  <c r="F12" i="35" l="1"/>
  <c r="F11" i="35"/>
  <c r="I10" i="35"/>
  <c r="F10" i="35"/>
  <c r="I9" i="35"/>
  <c r="F9" i="35"/>
  <c r="F8" i="35"/>
  <c r="F7" i="35"/>
  <c r="F13" i="35" l="1"/>
  <c r="I7" i="35" l="1"/>
  <c r="C31" i="5"/>
  <c r="C24" i="5" l="1"/>
  <c r="H71" i="5" s="1"/>
  <c r="C23" i="5"/>
  <c r="F71" i="5" s="1"/>
  <c r="G71" i="5" s="1"/>
  <c r="C21" i="5"/>
  <c r="D71" i="5" s="1"/>
  <c r="K71" i="5" l="1"/>
  <c r="I12" i="35" s="1"/>
  <c r="AK49" i="5" l="1"/>
  <c r="AK50" i="5"/>
  <c r="AK51" i="5"/>
  <c r="AK48" i="5"/>
  <c r="I71" i="5" l="1"/>
  <c r="C16" i="34" s="1"/>
  <c r="H12" i="35" s="1"/>
  <c r="J71" i="5"/>
  <c r="C17" i="34" s="1"/>
  <c r="G12" i="35" s="1"/>
  <c r="C19" i="5"/>
  <c r="M48" i="5" s="1"/>
  <c r="M52" i="5" s="1"/>
  <c r="C18" i="5"/>
  <c r="C16" i="5"/>
  <c r="I67" i="5" s="1"/>
  <c r="I68" i="5" s="1"/>
  <c r="C13" i="5"/>
  <c r="C67" i="5" s="1"/>
  <c r="T48" i="5"/>
  <c r="AD48" i="5"/>
  <c r="AC48" i="5"/>
  <c r="U48" i="5"/>
  <c r="C15" i="5"/>
  <c r="G64" i="5"/>
  <c r="E64" i="5"/>
  <c r="D64" i="5"/>
  <c r="C12" i="5"/>
  <c r="I64" i="5" s="1"/>
  <c r="C11" i="5"/>
  <c r="H64" i="5" s="1"/>
  <c r="C10" i="5"/>
  <c r="F64" i="5" s="1"/>
  <c r="C9" i="5"/>
  <c r="C64" i="5" s="1"/>
  <c r="F61" i="5"/>
  <c r="E61" i="5"/>
  <c r="C8" i="5"/>
  <c r="D61" i="5" s="1"/>
  <c r="C7" i="5"/>
  <c r="C3" i="5"/>
  <c r="C6" i="5"/>
  <c r="C58" i="5" s="1"/>
  <c r="C4" i="5"/>
  <c r="C5" i="5"/>
  <c r="C13" i="4"/>
  <c r="C23" i="4"/>
  <c r="C22" i="4"/>
  <c r="C68" i="5" l="1"/>
  <c r="C14" i="4"/>
  <c r="G7" i="35" s="1"/>
  <c r="H7" i="35"/>
  <c r="I61" i="5"/>
  <c r="H67" i="5"/>
  <c r="H68" i="5" s="1"/>
  <c r="M67" i="5"/>
  <c r="I11" i="35" s="1"/>
  <c r="Q52" i="5"/>
  <c r="P52" i="5"/>
  <c r="O52" i="5"/>
  <c r="N52" i="5"/>
  <c r="Q48" i="5"/>
  <c r="P48" i="5"/>
  <c r="N48" i="5"/>
  <c r="O48" i="5"/>
  <c r="F67" i="5"/>
  <c r="F68" i="5" s="1"/>
  <c r="D68" i="5"/>
  <c r="J64" i="5"/>
  <c r="C15" i="32" s="1"/>
  <c r="H10" i="35" s="1"/>
  <c r="C61" i="5"/>
  <c r="G61" i="5" s="1"/>
  <c r="C13" i="31" s="1"/>
  <c r="H9" i="35" s="1"/>
  <c r="H58" i="5"/>
  <c r="C17" i="30" s="1"/>
  <c r="I8" i="35" s="1"/>
  <c r="E58" i="5"/>
  <c r="D58" i="5"/>
  <c r="I13" i="35" l="1"/>
  <c r="J67" i="5"/>
  <c r="J68" i="5" s="1"/>
  <c r="C19" i="33" s="1"/>
  <c r="G67" i="5"/>
  <c r="K67" i="5" s="1"/>
  <c r="K64" i="5"/>
  <c r="C16" i="32" s="1"/>
  <c r="G10" i="35" s="1"/>
  <c r="L64" i="5"/>
  <c r="H61" i="5"/>
  <c r="C14" i="31" s="1"/>
  <c r="G9" i="35" s="1"/>
  <c r="F58" i="5"/>
  <c r="C15" i="30" s="1"/>
  <c r="H8" i="35" s="1"/>
  <c r="C18" i="33" l="1"/>
  <c r="C20" i="33" s="1"/>
  <c r="G68" i="5"/>
  <c r="G58" i="5"/>
  <c r="C16" i="30" s="1"/>
  <c r="G8" i="35" s="1"/>
  <c r="H11" i="35" l="1"/>
  <c r="H13" i="35" s="1"/>
  <c r="L67" i="5"/>
  <c r="C21" i="33" s="1"/>
  <c r="G11" i="35" s="1"/>
  <c r="G13"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Anreise</author>
  </authors>
  <commentList>
    <comment ref="P48" authorId="0" shapeId="0" xr:uid="{00000000-0006-0000-0800-000002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 ref="P52" authorId="0" shapeId="0" xr:uid="{00000000-0006-0000-0800-000005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List>
</comments>
</file>

<file path=xl/sharedStrings.xml><?xml version="1.0" encoding="utf-8"?>
<sst xmlns="http://schemas.openxmlformats.org/spreadsheetml/2006/main" count="473" uniqueCount="272">
  <si>
    <t>Date</t>
  </si>
  <si>
    <t>kWh</t>
  </si>
  <si>
    <t>$/year</t>
  </si>
  <si>
    <t xml:space="preserve">Grey cells are calculated values. </t>
  </si>
  <si>
    <t>Glossary of Inputs</t>
  </si>
  <si>
    <t>Calculations</t>
  </si>
  <si>
    <t>Yellow cells indicate that user input is required. Cells with a * are required.</t>
  </si>
  <si>
    <t>Methodology</t>
  </si>
  <si>
    <t>Instructions: Enter the project information in the yellow cells below. Cells with a * are required. See Instructions Worksheet for more information.</t>
  </si>
  <si>
    <t>Constants</t>
  </si>
  <si>
    <t>User Inputs</t>
  </si>
  <si>
    <t>Version</t>
  </si>
  <si>
    <t>Contact, Department</t>
  </si>
  <si>
    <t>Version Log</t>
  </si>
  <si>
    <t>The Version Log Worksheet tracks updates and changes made to the workbook.</t>
  </si>
  <si>
    <t>Calculator Methodology</t>
  </si>
  <si>
    <t>Calculator</t>
  </si>
  <si>
    <t>Worksheet Summary</t>
  </si>
  <si>
    <t>Reason for Change</t>
  </si>
  <si>
    <t>Change Description</t>
  </si>
  <si>
    <t>QA/QC Engineer(s):</t>
  </si>
  <si>
    <t>Original Author:</t>
  </si>
  <si>
    <t>Primary Developer:</t>
  </si>
  <si>
    <t>Senior Engineer Approval:</t>
  </si>
  <si>
    <t>Thomas Anreise</t>
  </si>
  <si>
    <t>Genesis</t>
  </si>
  <si>
    <t>Created calculator tabs for MD Ag Measures from PA TRM</t>
  </si>
  <si>
    <t>Thomas Anreise, BSET</t>
  </si>
  <si>
    <t>Cows</t>
  </si>
  <si>
    <t>Cows Milked Per Day*</t>
  </si>
  <si>
    <t>Annual Savings</t>
  </si>
  <si>
    <t>Incentive</t>
  </si>
  <si>
    <t>Peak Demand Savings</t>
  </si>
  <si>
    <t>kW</t>
  </si>
  <si>
    <t>Number of Takeoff Units*</t>
  </si>
  <si>
    <t>Units</t>
  </si>
  <si>
    <t>Auto Milker Takeoff - kWh Savings</t>
  </si>
  <si>
    <t>Auto Milker Takeoff - Incentive</t>
  </si>
  <si>
    <t>Takeoff Unit</t>
  </si>
  <si>
    <t>Dairy Scroll Comp. - Baseline Comp. EER (Default)</t>
  </si>
  <si>
    <t>EER</t>
  </si>
  <si>
    <t>Dairy Scroll Comp. - Milking Days/Year (Default)</t>
  </si>
  <si>
    <t>Days</t>
  </si>
  <si>
    <t>Dairy Scroll Comp. - No. of Cows</t>
  </si>
  <si>
    <t>kWpeak/kWh</t>
  </si>
  <si>
    <t>Coincident Factor</t>
  </si>
  <si>
    <t>Installed Compressor EER*</t>
  </si>
  <si>
    <t>No</t>
  </si>
  <si>
    <t>Annual Savings (kWh)</t>
  </si>
  <si>
    <t>No. of Cows</t>
  </si>
  <si>
    <t>No. of Takeoff Units</t>
  </si>
  <si>
    <t>Precooler present?</t>
  </si>
  <si>
    <t>Yes</t>
  </si>
  <si>
    <t>CBTU</t>
  </si>
  <si>
    <t>Lookup Table 1: Milk Heat Load (Btu/Cow/Day)</t>
  </si>
  <si>
    <t>Dairy Scroll Comp. - Installed Compressor EER</t>
  </si>
  <si>
    <t>Cows Milked per Day*</t>
  </si>
  <si>
    <t>Precooler Present?*</t>
  </si>
  <si>
    <t>Y/N</t>
  </si>
  <si>
    <t>Dairy Scroll Comp. - Incentive</t>
  </si>
  <si>
    <t>Dollars</t>
  </si>
  <si>
    <t>Dairy Scroll Compressor</t>
  </si>
  <si>
    <r>
      <t>CBTU/EER</t>
    </r>
    <r>
      <rPr>
        <b/>
        <vertAlign val="subscript"/>
        <sz val="11"/>
        <color theme="1"/>
        <rFont val="Arial"/>
        <family val="2"/>
        <scheme val="minor"/>
      </rPr>
      <t>base</t>
    </r>
  </si>
  <si>
    <r>
      <t>CBTU/EER</t>
    </r>
    <r>
      <rPr>
        <b/>
        <vertAlign val="subscript"/>
        <sz val="11"/>
        <color theme="1"/>
        <rFont val="Arial"/>
        <family val="2"/>
        <scheme val="minor"/>
      </rPr>
      <t>ee</t>
    </r>
  </si>
  <si>
    <t>Dairy Scroll Comp. - 1 kW/1,000 W</t>
  </si>
  <si>
    <t>Number</t>
  </si>
  <si>
    <t>Dairy Scroll Comp. - Precooler Present?</t>
  </si>
  <si>
    <t>CBTU (Btu/Cow/Day)</t>
  </si>
  <si>
    <t>Peak Reduction (kW)</t>
  </si>
  <si>
    <t>Qty</t>
  </si>
  <si>
    <t>Dairy Scroll Comp. - No. of Compressors Installed</t>
  </si>
  <si>
    <t>No. of Scroll Compressors Installed*</t>
  </si>
  <si>
    <t>No. of Livestock Waterers*</t>
  </si>
  <si>
    <t>Nearest Weather Location*</t>
  </si>
  <si>
    <t>Location</t>
  </si>
  <si>
    <t>Hours</t>
  </si>
  <si>
    <t>Look-Up Table 2: Hours Below 32F, By Location (TMY3)</t>
  </si>
  <si>
    <t>Hagerstown</t>
  </si>
  <si>
    <t>Place</t>
  </si>
  <si>
    <t>Livestock Waterer</t>
  </si>
  <si>
    <t>QTY</t>
  </si>
  <si>
    <t>OPHRS</t>
  </si>
  <si>
    <t>ESW</t>
  </si>
  <si>
    <t>HRT</t>
  </si>
  <si>
    <t>Livestock Waterer - ESW</t>
  </si>
  <si>
    <t>Livestock Waterer - HRT</t>
  </si>
  <si>
    <t>Livestock Waterer - Incentive</t>
  </si>
  <si>
    <t>kW/Waterer</t>
  </si>
  <si>
    <t>%</t>
  </si>
  <si>
    <t>Heater Run Time</t>
  </si>
  <si>
    <t>Livestock Waterer - No. of Waterers</t>
  </si>
  <si>
    <t>Livestock Waterer - Nearest Weather Location</t>
  </si>
  <si>
    <t>Rated HP of Motor*</t>
  </si>
  <si>
    <t>HP</t>
  </si>
  <si>
    <t>Motor Efficiency At Full-Rated Load*</t>
  </si>
  <si>
    <t>VSD Controller on Dairy Vacuum Pump - Rated HP of Motor</t>
  </si>
  <si>
    <t>VSD Controller on Dairy Vacuum Pump - Motor Efficiency At Full-Rated Load</t>
  </si>
  <si>
    <t>Eff</t>
  </si>
  <si>
    <t>Daily Run Hours of Motor*</t>
  </si>
  <si>
    <t>VSD Controller on Dairy Vacuum Pump - Daily Run Hours</t>
  </si>
  <si>
    <t>VSD Controller on Dairy Vacuum Pump - Annual Operating Days</t>
  </si>
  <si>
    <t>Annual Operating Days*</t>
  </si>
  <si>
    <t>VSD Controller on Dairy Vacuum Pump - HP to kW Conversion</t>
  </si>
  <si>
    <t>Conversion Factor</t>
  </si>
  <si>
    <t>VSD Controller on Dairy Vacuum Pump - Load Factor</t>
  </si>
  <si>
    <t>Factor</t>
  </si>
  <si>
    <t>VSD Controller on Dairy Vacuum Pump - Energy Savings Factor</t>
  </si>
  <si>
    <t>VSD Controller on Dairy Vacuum Pump</t>
  </si>
  <si>
    <t>HP-kW Conversion Factor</t>
  </si>
  <si>
    <t>Load Factor</t>
  </si>
  <si>
    <t>Motor Efficiency</t>
  </si>
  <si>
    <t>ESF</t>
  </si>
  <si>
    <t>Daily Hrs</t>
  </si>
  <si>
    <t>Annual Days</t>
  </si>
  <si>
    <t>VSD Controller on Dairy Vacuum Pump - Incentive</t>
  </si>
  <si>
    <t>No. of Standard Eff. Fans Replaced*</t>
  </si>
  <si>
    <t>No. of High Eff. Fans Installed*</t>
  </si>
  <si>
    <t>Fan Size</t>
  </si>
  <si>
    <t>Inches</t>
  </si>
  <si>
    <t>Facility Type*</t>
  </si>
  <si>
    <t>Hours &gt;,=70F</t>
  </si>
  <si>
    <t>Hours &lt;50F</t>
  </si>
  <si>
    <t>Hours 50-70F</t>
  </si>
  <si>
    <t>Dairy - Stall Barn</t>
  </si>
  <si>
    <t>Dairy - Free-Stall or Cross-Ventilated Barn</t>
  </si>
  <si>
    <t>Hog Nursery or Sow House</t>
  </si>
  <si>
    <t>Hog Finishing House</t>
  </si>
  <si>
    <t>Look-Up Table 4: Weighted Avg Hours of Use (Vent Fan), By Facility Type and Location (TMY3)</t>
  </si>
  <si>
    <t>Type</t>
  </si>
  <si>
    <t>Look-Up Table 3: Vent Fan CFM and CFM/W, By Size and Efficiency</t>
  </si>
  <si>
    <t>Fan Size (Inches)</t>
  </si>
  <si>
    <t>CFM</t>
  </si>
  <si>
    <t>Standard Eff. Fan (CFM/W @.1 IWC)</t>
  </si>
  <si>
    <t>High Eff. Fan (CFM/W @.1 IWC)</t>
  </si>
  <si>
    <t>14-23</t>
  </si>
  <si>
    <t>24-35</t>
  </si>
  <si>
    <t>36-47</t>
  </si>
  <si>
    <t>48-61</t>
  </si>
  <si>
    <t>Look-Up Table 5: Hours Reduced By Tstat, By Facility Type and Location (TMY3)</t>
  </si>
  <si>
    <t>High Efficiency Vent Fans - Fan Savings</t>
  </si>
  <si>
    <t>High Efficiency Vent Fans - Tstat Savings</t>
  </si>
  <si>
    <t>Eff (Std fans)</t>
  </si>
  <si>
    <t>QTY (Std fans)</t>
  </si>
  <si>
    <t>QTY (Hi Eff fans)</t>
  </si>
  <si>
    <t>Eff (Hi Eff fans)</t>
  </si>
  <si>
    <t>Facility Type</t>
  </si>
  <si>
    <t>High-Efficiency Vent Fans - No. of Std Eff Fans Replaced</t>
  </si>
  <si>
    <t>High-Efficiency Vent Fans - No. of Hi Eff Fans Installed</t>
  </si>
  <si>
    <t>High-Efficiency Vent Fans - Fan Size</t>
  </si>
  <si>
    <t>High-Efficiency Vent Fans - Facility Type</t>
  </si>
  <si>
    <t>High-Efficiency Vent Fans - Nearest Weather Location</t>
  </si>
  <si>
    <t>Reference Table 1: Weighted Avg Hours of Use (Vent Fan), By Facility Type and Location (TMY3)</t>
  </si>
  <si>
    <t>Reference Table 2: Hours Reduced by Tstat (Vent Fan), By Facility Type and Location (TMY3)</t>
  </si>
  <si>
    <t>Hours of Use</t>
  </si>
  <si>
    <t>Hours (Tstat)</t>
  </si>
  <si>
    <t>High-Efficiency Vent Fans - Incentive</t>
  </si>
  <si>
    <t>Annual Savings (Fans)</t>
  </si>
  <si>
    <t>Annual Savings (Tstat)</t>
  </si>
  <si>
    <t>High Volume Low Speed Fans</t>
  </si>
  <si>
    <t>Fan Size (ft)</t>
  </si>
  <si>
    <t>≥ 16 and &lt; 18</t>
  </si>
  <si>
    <t>≥ 18 and &lt; 20</t>
  </si>
  <si>
    <t>≥ 20 and &lt; 24</t>
  </si>
  <si>
    <t>≥ 24</t>
  </si>
  <si>
    <t>Watts (HVLS)</t>
  </si>
  <si>
    <t>Watts (Conventional)</t>
  </si>
  <si>
    <t>Look-Up Table 6: Fan Watts By Type and Size (HVLS)</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</si>
  <si>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</si>
  <si>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Look-Up Table 7: Hours of Use (Circ Fan), By Locatin</t>
  </si>
  <si>
    <t>No. of HVLS Circulating Fans Installed*</t>
  </si>
  <si>
    <t>Feet</t>
  </si>
  <si>
    <t>Fan Size (Diameter)*</t>
  </si>
  <si>
    <t>High Volume Low Speed Fans - No. of Fans Installed</t>
  </si>
  <si>
    <t>High Volume Low Speed Fans - Fan Size (Diameter)</t>
  </si>
  <si>
    <t>High Volume Low Speed Fans - Nearest Weather Location</t>
  </si>
  <si>
    <t>High Volume Low Speed Fans - Coincident Factor</t>
  </si>
  <si>
    <t>High Volume Low Speed Fans - Incentive</t>
  </si>
  <si>
    <t>kWh*yr/Cow</t>
  </si>
  <si>
    <t>Total Annual Savings</t>
  </si>
  <si>
    <t>Michael Stevenson</t>
  </si>
  <si>
    <t>Total Equipment Cost*</t>
  </si>
  <si>
    <t>$</t>
  </si>
  <si>
    <t xml:space="preserve">All measures are based on the 2016 PA TRM with Errata </t>
  </si>
  <si>
    <t>Summary</t>
  </si>
  <si>
    <t>Summary of Equipment Cost, Calculator Savings, and Incentives.</t>
  </si>
  <si>
    <t>PA TRM 2016 with Errata correction</t>
  </si>
  <si>
    <t>Automatic Milker Takeoffs</t>
  </si>
  <si>
    <t>Dairy Scroll Compressors</t>
  </si>
  <si>
    <t>Methodology List</t>
  </si>
  <si>
    <t>Variable Speed Drive (VSD) Controller on Dairy Vacuum Pumps</t>
  </si>
  <si>
    <t>High Efficiency Ventilation Fans with and without Thermostats</t>
  </si>
  <si>
    <t>Total Equipment Cost</t>
  </si>
  <si>
    <t>Peak Demand Reduction</t>
  </si>
  <si>
    <t>Annual Energy Reduction</t>
  </si>
  <si>
    <t>one time payment of Eligible Program Incentive</t>
  </si>
  <si>
    <t>Auto Milker Takeoff - Cows Milked Per Day</t>
  </si>
  <si>
    <t>Auto Milker Takeoff - No. of Takeoff Units</t>
  </si>
  <si>
    <t>Number of cows milked per day per takeoff unit</t>
  </si>
  <si>
    <t>Total number of automatic milker takeoff units installed</t>
  </si>
  <si>
    <t>Total number of dairy scroll compressors installed</t>
  </si>
  <si>
    <t>Energy efficiency ratio of installed scroll compressor</t>
  </si>
  <si>
    <t>Average total number of cows milked per day</t>
  </si>
  <si>
    <t>Yes or no input on prescence of precooler</t>
  </si>
  <si>
    <t>Total number of energy efficient livestock waterers</t>
  </si>
  <si>
    <t>Nearest Maryland location</t>
  </si>
  <si>
    <t>Rated horsepower of dairy vacuum pump</t>
  </si>
  <si>
    <t>Efficiency of dairy vacuum pump at full-rated load</t>
  </si>
  <si>
    <t>Daily run hours of the dairy vacuum pump</t>
  </si>
  <si>
    <t>Annual operating days of the dairy vacuum pump</t>
  </si>
  <si>
    <t>Total number of standard ventilation fans replaced</t>
  </si>
  <si>
    <t>Total number of high efficiency ventilation fans installed</t>
  </si>
  <si>
    <t>Fan size, in inches, of installed high efficiency ventilation fan</t>
  </si>
  <si>
    <t>Facility type of high efficiency ventilation fan installation</t>
  </si>
  <si>
    <t>Total number of high volume low speed circulation fans installed</t>
  </si>
  <si>
    <t>Fan size, in feet, of the high volume low speed circulation fan</t>
  </si>
  <si>
    <t>Total equipment cost for installed measure</t>
  </si>
  <si>
    <t>Measure Name</t>
  </si>
  <si>
    <t>Equipment Cost</t>
  </si>
  <si>
    <t>Savings</t>
  </si>
  <si>
    <t>Project Name</t>
  </si>
  <si>
    <t>Site Address</t>
  </si>
  <si>
    <t>Total</t>
  </si>
  <si>
    <t>Automatic Milker Takeoff</t>
  </si>
  <si>
    <t>Variable Speed Drive on Dairy Vacuum Pump</t>
  </si>
  <si>
    <t>High Efficiency Ventilation Fan</t>
  </si>
  <si>
    <t>High Volume Low Speed Fan</t>
  </si>
  <si>
    <t>QC Review</t>
  </si>
  <si>
    <t>Updates based on QC. Summary page added.</t>
  </si>
  <si>
    <t>Version:</t>
  </si>
  <si>
    <t>Last Updated:</t>
  </si>
  <si>
    <t>Input Instructions</t>
  </si>
  <si>
    <t>Glossary of Ouputs</t>
  </si>
  <si>
    <t xml:space="preserve">***This calculator is used for estimating savings and incentives from the installation of agriculture measures. The measure inputs used in this calculator, by an applicant, will be reviewed by the Program in order to determine the final incentive amount. The Program reserves the right to inspect any and all measures prior to any incentive payment.  
</t>
  </si>
  <si>
    <t>Calculator for Agriculture Measures</t>
  </si>
  <si>
    <t>Updates based on Navigant feedback.</t>
  </si>
  <si>
    <t>Measure Description</t>
  </si>
  <si>
    <t xml:space="preserve">This measure calculates energy and demand savings for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</si>
  <si>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This measure calculates energy and demand savings for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a minimum of two inches of factory-installed insulation.</t>
  </si>
  <si>
    <t>This measure calculates energy and demand savings for the installation of a variable speed drive (VSD) and controls on a dairy vacuum pump. 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</si>
  <si>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No. of Conventional Fans Removed*</t>
  </si>
  <si>
    <t>Conventional Fan Size*</t>
  </si>
  <si>
    <t>High Volume Low Speed Fans - No. of Fans Removed</t>
  </si>
  <si>
    <t>High Volume Low Speed Fans - Conventional Fan Size (Diameter)</t>
  </si>
  <si>
    <t>Fans Removed</t>
  </si>
  <si>
    <t>Fans Installed</t>
  </si>
  <si>
    <t>Wconv</t>
  </si>
  <si>
    <t>WHVLS</t>
  </si>
  <si>
    <t>This measure calculates energy and demand savings for the installation of High Volume Low Speed (HVLS) fans to replace conventional circulating fans. 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</si>
  <si>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This measure calculates energy and demand savings for the installation of high efficiency ventilation fans to replace standard efficiency ventilation fans. 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</si>
  <si>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Thermostat Installed*</t>
  </si>
  <si>
    <t>Yes/No</t>
  </si>
  <si>
    <t>High-Efficiency Vent Fans - Thermostat Installed?</t>
  </si>
  <si>
    <t>Standard Fan Size*</t>
  </si>
  <si>
    <t>High Eff. Fan Size*</t>
  </si>
  <si>
    <t>High-Efficiency Vent Fans - Standard Fan Size</t>
  </si>
  <si>
    <t>High-Efficiency Vent Fans - High Eff. Fan Size</t>
  </si>
  <si>
    <t>CFM Standard</t>
  </si>
  <si>
    <t>CFM High Eff.</t>
  </si>
  <si>
    <t>This measure calculates energy and demand savings for the installation of a scroll compressor to replace an existing reciprocating compresso.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Existing farms replacing scroll compressors are not eligible.</t>
  </si>
  <si>
    <t>Auto Milker Takeoff Calculator</t>
  </si>
  <si>
    <t>Dairy Scroll Comp Calculator</t>
  </si>
  <si>
    <t>Livestock Waterer Calculator</t>
  </si>
  <si>
    <t>VSD Controller</t>
  </si>
  <si>
    <t>Hi Eff Vent Fans</t>
  </si>
  <si>
    <t>Hi Vol Low Speed Fans</t>
  </si>
  <si>
    <t>Savings and Incentive Calculator for Automatic Milker Takeoffs</t>
  </si>
  <si>
    <t>Savings and Incentive Calculator for Dairy Scroll Compressors</t>
  </si>
  <si>
    <t>Savings and Incentive Calculator for Livestock Waterer</t>
  </si>
  <si>
    <t>Savings and Incentive Calculator for Variable Speed Drive Controller on Dairy Vacuum Pump</t>
  </si>
  <si>
    <t>Savings and Incentive Calculator for High Efficiency Ventilation Fans with and without Thermostats</t>
  </si>
  <si>
    <t>Savings and Incentive Calculator for High Volume Low Speed Fans</t>
  </si>
  <si>
    <t>EmPOWER Maryland programs are funded by a charge on your energy bill. EmPOWER programs can help you reduce your energy consumption and save you money. To learn more about EmPOWER and how you can participate, go to www.energysaveMD.com.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</si>
</sst>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s>
  <fonts count="83">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9"/>
      <color indexed="81"/>
      <name val="Tahoma"/>
      <family val="2"/>
    </font>
    <font>
      <b/>
      <sz val="9"/>
      <color indexed="81"/>
      <name val="Tahoma"/>
      <family val="2"/>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22"/>
      <color rgb="FF0060AF"/>
      <name val="Arial"/>
      <family val="2"/>
      <scheme val="minor"/>
    </font>
    <font>
      <b/>
      <sz val="11"/>
      <color rgb="FF3083BD"/>
      <name val="Arial"/>
      <family val="2"/>
    </font>
    <font>
      <sz val="11"/>
      <color theme="1"/>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s>
  <cellStyleXfs count="249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3"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27"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37" fontId="61" fillId="0" borderId="0"/>
    <xf numFmtId="0" fontId="62"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4" fillId="0" borderId="0" applyFont="0" applyFill="0" applyBorder="0" applyAlignment="0" applyProtection="0">
      <alignment horizontal="right"/>
    </xf>
    <xf numFmtId="2" fontId="64"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5" fillId="62" borderId="50">
      <alignment horizontal="center" vertical="center"/>
    </xf>
    <xf numFmtId="176" fontId="56" fillId="62" borderId="50">
      <alignment horizontal="center" vertical="center"/>
    </xf>
    <xf numFmtId="177" fontId="66" fillId="0" borderId="0" applyFill="0" applyBorder="0" applyAlignment="0"/>
    <xf numFmtId="178" fontId="66" fillId="0" borderId="0" applyFill="0" applyBorder="0" applyAlignment="0"/>
    <xf numFmtId="167" fontId="66" fillId="0" borderId="0" applyFill="0" applyBorder="0" applyAlignment="0"/>
    <xf numFmtId="179" fontId="66" fillId="0" borderId="0" applyFill="0" applyBorder="0" applyAlignment="0"/>
    <xf numFmtId="180"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77" fontId="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4" fillId="0" borderId="0" applyFont="0" applyFill="0" applyBorder="0" applyAlignment="0" applyProtection="0">
      <alignment horizontal="right"/>
    </xf>
    <xf numFmtId="178"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4" fillId="0" borderId="0"/>
    <xf numFmtId="6" fontId="69" fillId="0" borderId="0">
      <protection locked="0"/>
    </xf>
    <xf numFmtId="14" fontId="70" fillId="0" borderId="0" applyFill="0" applyBorder="0" applyAlignment="0"/>
    <xf numFmtId="181" fontId="19" fillId="0" borderId="51">
      <alignment vertical="center"/>
    </xf>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2" fontId="19" fillId="0" borderId="0">
      <protection locked="0"/>
    </xf>
    <xf numFmtId="38" fontId="64" fillId="61" borderId="0" applyNumberFormat="0" applyBorder="0" applyAlignment="0" applyProtection="0"/>
    <xf numFmtId="38" fontId="64" fillId="61" borderId="0" applyNumberFormat="0" applyBorder="0" applyAlignment="0" applyProtection="0"/>
    <xf numFmtId="0" fontId="71" fillId="0" borderId="0" applyNumberFormat="0" applyFill="0" applyBorder="0" applyAlignment="0" applyProtection="0"/>
    <xf numFmtId="0" fontId="54" fillId="0" borderId="49" applyNumberFormat="0" applyAlignment="0" applyProtection="0">
      <alignment horizontal="left" vertical="center"/>
    </xf>
    <xf numFmtId="0" fontId="54" fillId="0" borderId="37">
      <alignment horizontal="left" vertical="center"/>
    </xf>
    <xf numFmtId="0" fontId="54" fillId="0" borderId="37">
      <alignment horizontal="left" vertical="center"/>
    </xf>
    <xf numFmtId="183" fontId="19" fillId="0" borderId="0">
      <protection locked="0"/>
    </xf>
    <xf numFmtId="183" fontId="19" fillId="0" borderId="0">
      <protection locked="0"/>
    </xf>
    <xf numFmtId="0" fontId="72" fillId="0" borderId="52" applyNumberFormat="0" applyFill="0" applyAlignment="0" applyProtection="0"/>
    <xf numFmtId="10" fontId="64" fillId="63" borderId="10" applyNumberFormat="0" applyBorder="0" applyAlignment="0" applyProtection="0"/>
    <xf numFmtId="10" fontId="64" fillId="63" borderId="10" applyNumberFormat="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4" fontId="73"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9" fillId="0" borderId="0"/>
    <xf numFmtId="0" fontId="74"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4" fillId="0" borderId="0"/>
    <xf numFmtId="0" fontId="64" fillId="0" borderId="0"/>
    <xf numFmtId="0" fontId="19" fillId="0" borderId="0"/>
    <xf numFmtId="0" fontId="74" fillId="0" borderId="0"/>
    <xf numFmtId="0" fontId="19" fillId="0" borderId="0" applyNumberFormat="0" applyFill="0" applyBorder="0" applyAlignment="0" applyProtection="0"/>
    <xf numFmtId="0" fontId="1" fillId="0" borderId="0"/>
    <xf numFmtId="0" fontId="75"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4" fillId="63" borderId="10" applyNumberFormat="0" applyBorder="0" applyAlignment="0" applyProtection="0"/>
    <xf numFmtId="10" fontId="64" fillId="63" borderId="10" applyNumberFormat="0" applyBorder="0" applyAlignment="0" applyProtection="0"/>
    <xf numFmtId="0" fontId="54" fillId="0" borderId="37">
      <alignment horizontal="left" vertical="center"/>
    </xf>
    <xf numFmtId="0" fontId="54"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6" fillId="0" borderId="22" applyFill="0" applyProtection="0">
      <alignment horizontal="right" wrapText="1"/>
    </xf>
    <xf numFmtId="180" fontId="66"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0" fontId="77" fillId="0" borderId="0" applyFill="0" applyBorder="0" applyProtection="0">
      <alignment horizontal="left" wrapText="1"/>
    </xf>
    <xf numFmtId="49" fontId="70" fillId="0" borderId="0" applyFill="0" applyBorder="0" applyAlignment="0"/>
    <xf numFmtId="186" fontId="19" fillId="0" borderId="0" applyFill="0" applyBorder="0" applyAlignment="0"/>
    <xf numFmtId="187" fontId="19" fillId="0" borderId="0" applyFill="0" applyBorder="0" applyAlignment="0"/>
    <xf numFmtId="183" fontId="19" fillId="0" borderId="53">
      <protection locked="0"/>
    </xf>
    <xf numFmtId="37" fontId="64" fillId="64" borderId="0" applyNumberFormat="0" applyBorder="0" applyAlignment="0" applyProtection="0"/>
    <xf numFmtId="37" fontId="64" fillId="64" borderId="0" applyNumberFormat="0" applyBorder="0" applyAlignment="0" applyProtection="0"/>
    <xf numFmtId="37" fontId="64" fillId="0" borderId="0"/>
    <xf numFmtId="3" fontId="78" fillId="0" borderId="52" applyProtection="0"/>
    <xf numFmtId="0" fontId="30" fillId="55" borderId="23" applyNumberFormat="0" applyAlignment="0" applyProtection="0"/>
    <xf numFmtId="10" fontId="64" fillId="63" borderId="10" applyNumberFormat="0" applyBorder="0" applyAlignment="0" applyProtection="0"/>
    <xf numFmtId="10" fontId="64"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10" fontId="64" fillId="63" borderId="10" applyNumberFormat="0" applyBorder="0" applyAlignment="0" applyProtection="0"/>
    <xf numFmtId="10" fontId="64" fillId="63" borderId="10" applyNumberFormat="0" applyBorder="0" applyAlignment="0" applyProtection="0"/>
  </cellStyleXfs>
  <cellXfs count="208">
    <xf numFmtId="0" fontId="0" fillId="0" borderId="0" xfId="0"/>
    <xf numFmtId="0" fontId="0" fillId="34" borderId="0" xfId="0" applyFill="1"/>
    <xf numFmtId="0" fontId="0" fillId="34" borderId="0" xfId="0" applyFill="1" applyBorder="1"/>
    <xf numFmtId="0" fontId="0" fillId="34" borderId="0" xfId="0" applyFont="1" applyFill="1" applyBorder="1"/>
    <xf numFmtId="0" fontId="22" fillId="34" borderId="0" xfId="43"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3" fillId="0" borderId="0" xfId="43" applyFont="1" applyBorder="1" applyAlignment="1">
      <alignment vertical="center"/>
    </xf>
    <xf numFmtId="0" fontId="23" fillId="34" borderId="0" xfId="43" applyFont="1" applyFill="1" applyBorder="1" applyAlignment="1">
      <alignment vertical="center"/>
    </xf>
    <xf numFmtId="0" fontId="0" fillId="34" borderId="0" xfId="0" applyFont="1" applyFill="1" applyBorder="1" applyAlignment="1">
      <alignment horizontal="center"/>
    </xf>
    <xf numFmtId="0" fontId="17" fillId="34" borderId="0" xfId="0" applyFont="1" applyFill="1" applyBorder="1"/>
    <xf numFmtId="0" fontId="18" fillId="34" borderId="0" xfId="0" applyFont="1" applyFill="1" applyBorder="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0" fillId="34" borderId="0" xfId="0" applyFill="1" applyBorder="1" applyProtection="1"/>
    <xf numFmtId="0" fontId="0" fillId="34" borderId="0" xfId="0" applyFill="1" applyProtection="1"/>
    <xf numFmtId="0" fontId="16" fillId="34" borderId="0" xfId="0" applyFont="1" applyFill="1" applyBorder="1" applyAlignment="1" applyProtection="1">
      <alignment horizontal="center"/>
    </xf>
    <xf numFmtId="0" fontId="0" fillId="34" borderId="0" xfId="0" applyFill="1" applyBorder="1" applyAlignment="1" applyProtection="1">
      <alignment vertical="center"/>
    </xf>
    <xf numFmtId="0" fontId="0" fillId="34" borderId="0" xfId="0" applyFill="1" applyAlignment="1" applyProtection="1">
      <alignment vertical="center"/>
    </xf>
    <xf numFmtId="0" fontId="21" fillId="34" borderId="0" xfId="43" applyFont="1" applyFill="1" applyAlignment="1" applyProtection="1">
      <alignment horizontal="left" vertical="center" wrapText="1" indent="2"/>
      <protection hidden="1"/>
    </xf>
    <xf numFmtId="0" fontId="13" fillId="34" borderId="0" xfId="0" applyFont="1" applyFill="1" applyBorder="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ont="1" applyFill="1" applyBorder="1" applyAlignment="1">
      <alignment horizontal="left" vertical="center" wrapText="1" indent="1"/>
    </xf>
    <xf numFmtId="0" fontId="0" fillId="36" borderId="12" xfId="0" applyFont="1" applyFill="1" applyBorder="1" applyAlignment="1" applyProtection="1">
      <alignment horizontal="left" vertical="center" indent="1"/>
    </xf>
    <xf numFmtId="0" fontId="0" fillId="36" borderId="15" xfId="0" applyFont="1" applyFill="1" applyBorder="1" applyAlignment="1" applyProtection="1">
      <alignment horizontal="left" vertical="center" indent="1"/>
    </xf>
    <xf numFmtId="0" fontId="0" fillId="35" borderId="17" xfId="0" applyFont="1" applyFill="1" applyBorder="1" applyAlignment="1" applyProtection="1">
      <alignment horizontal="left" vertical="center" indent="1"/>
    </xf>
    <xf numFmtId="0" fontId="0" fillId="36" borderId="19" xfId="0" applyFont="1" applyFill="1" applyBorder="1" applyAlignment="1" applyProtection="1">
      <alignment horizontal="left" vertical="center" indent="1"/>
    </xf>
    <xf numFmtId="0" fontId="0" fillId="35" borderId="21" xfId="0" applyFont="1" applyFill="1" applyBorder="1" applyAlignment="1" applyProtection="1">
      <alignment horizontal="left" vertical="center" indent="1"/>
    </xf>
    <xf numFmtId="0" fontId="0" fillId="34" borderId="0" xfId="0" applyFont="1" applyFill="1" applyBorder="1" applyAlignment="1" applyProtection="1">
      <alignment horizontal="left" vertical="center" indent="1"/>
    </xf>
    <xf numFmtId="0" fontId="0" fillId="35" borderId="10" xfId="0" applyFont="1" applyFill="1" applyBorder="1" applyAlignment="1" applyProtection="1">
      <alignment horizontal="left" vertical="center" indent="1"/>
    </xf>
    <xf numFmtId="0" fontId="0" fillId="35" borderId="10" xfId="0" applyFont="1"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0" fontId="0" fillId="35" borderId="10" xfId="0" applyFill="1" applyBorder="1" applyAlignment="1">
      <alignment horizontal="left" vertical="center" indent="1"/>
    </xf>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Border="1" applyAlignment="1" applyProtection="1">
      <alignment horizontal="left"/>
    </xf>
    <xf numFmtId="0" fontId="45" fillId="34" borderId="0" xfId="0" applyFont="1" applyFill="1" applyAlignment="1" applyProtection="1">
      <alignment vertical="center"/>
    </xf>
    <xf numFmtId="0" fontId="0" fillId="35" borderId="10" xfId="0" applyFont="1" applyFill="1" applyBorder="1" applyAlignment="1">
      <alignment horizontal="left" vertical="center" indent="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Border="1" applyAlignment="1">
      <alignment horizontal="left" vertical="top" wrapText="1" indent="18"/>
    </xf>
    <xf numFmtId="0" fontId="0" fillId="33" borderId="10" xfId="0" applyFont="1" applyFill="1" applyBorder="1" applyAlignment="1">
      <alignment horizontal="left" vertical="center" indent="1"/>
    </xf>
    <xf numFmtId="0" fontId="0" fillId="35" borderId="40" xfId="0" applyFont="1" applyFill="1" applyBorder="1" applyAlignment="1" applyProtection="1">
      <alignment horizontal="left" vertical="center" indent="1"/>
    </xf>
    <xf numFmtId="0" fontId="0" fillId="36" borderId="41" xfId="0" applyFont="1" applyFill="1" applyBorder="1" applyAlignment="1" applyProtection="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ont="1" applyFill="1" applyBorder="1" applyAlignment="1">
      <alignment horizontal="left" vertical="center" indent="1"/>
    </xf>
    <xf numFmtId="0" fontId="0" fillId="35" borderId="10" xfId="0" applyFont="1" applyFill="1" applyBorder="1" applyAlignment="1">
      <alignment horizontal="right" vertical="center" indent="1"/>
    </xf>
    <xf numFmtId="44" fontId="0" fillId="35" borderId="10" xfId="1998" applyFont="1" applyFill="1" applyBorder="1" applyAlignment="1">
      <alignment horizontal="right" vertical="center" indent="1"/>
    </xf>
    <xf numFmtId="0" fontId="0" fillId="35" borderId="0" xfId="0" applyFont="1" applyFill="1" applyBorder="1" applyAlignment="1" applyProtection="1">
      <alignment horizontal="left" vertical="center" indent="1"/>
    </xf>
    <xf numFmtId="1" fontId="0" fillId="35" borderId="10" xfId="0" applyNumberFormat="1" applyFill="1" applyBorder="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0" applyNumberFormat="1" applyFont="1" applyFill="1" applyBorder="1" applyAlignment="1" applyProtection="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0" fontId="0" fillId="35" borderId="0" xfId="0" applyFont="1" applyFill="1" applyBorder="1" applyAlignment="1">
      <alignment horizontal="lef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0" fontId="0" fillId="34" borderId="0" xfId="0" applyFill="1" applyBorder="1" applyAlignment="1">
      <alignment horizontal="lef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Border="1" applyAlignment="1">
      <alignment horizontal="right" vertical="center" indent="1"/>
    </xf>
    <xf numFmtId="168" fontId="0" fillId="34" borderId="0" xfId="0" applyNumberFormat="1" applyFill="1" applyBorder="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Border="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9" fontId="0" fillId="35" borderId="10" xfId="1999" applyNumberFormat="1" applyFont="1" applyFill="1" applyBorder="1" applyAlignment="1">
      <alignment horizontal="lef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applyBorder="1"/>
    <xf numFmtId="0" fontId="0" fillId="35" borderId="10" xfId="0" applyFill="1" applyBorder="1" applyAlignment="1">
      <alignment horizontal="right" vertical="center" indent="1"/>
    </xf>
    <xf numFmtId="0" fontId="0" fillId="35" borderId="42" xfId="0" applyFont="1" applyFill="1" applyBorder="1" applyAlignment="1" applyProtection="1">
      <alignment horizontal="left" vertical="center" indent="1"/>
    </xf>
    <xf numFmtId="2" fontId="0" fillId="35" borderId="0" xfId="1998" applyNumberFormat="1" applyFont="1" applyFill="1" applyBorder="1" applyAlignment="1">
      <alignment horizontal="left" vertical="center" indent="1"/>
    </xf>
    <xf numFmtId="0" fontId="49" fillId="34" borderId="0" xfId="0" applyFont="1" applyFill="1" applyBorder="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44" fontId="0" fillId="33" borderId="20" xfId="0" applyNumberFormat="1" applyFont="1" applyFill="1" applyBorder="1" applyAlignment="1" applyProtection="1">
      <alignment horizontal="right" vertical="center" indent="1"/>
      <protection locked="0"/>
    </xf>
    <xf numFmtId="0" fontId="0" fillId="33" borderId="10" xfId="0" applyFont="1" applyFill="1" applyBorder="1" applyAlignment="1">
      <alignment horizontal="left" vertical="center" wrapText="1" indent="1"/>
    </xf>
    <xf numFmtId="0" fontId="45" fillId="34" borderId="0" xfId="0" applyFont="1" applyFill="1" applyProtection="1"/>
    <xf numFmtId="0" fontId="51" fillId="34" borderId="22" xfId="0" applyFont="1" applyFill="1" applyBorder="1" applyAlignment="1" applyProtection="1">
      <alignment horizontal="right"/>
    </xf>
    <xf numFmtId="14" fontId="45" fillId="34" borderId="22" xfId="0" applyNumberFormat="1" applyFont="1" applyFill="1" applyBorder="1" applyAlignment="1" applyProtection="1">
      <alignment horizontal="center"/>
    </xf>
    <xf numFmtId="0" fontId="16" fillId="36" borderId="12" xfId="0" applyFont="1" applyFill="1" applyBorder="1" applyAlignment="1" applyProtection="1">
      <alignment horizontal="right" vertical="center" indent="1"/>
    </xf>
    <xf numFmtId="14" fontId="0" fillId="33" borderId="14" xfId="0" applyNumberFormat="1" applyFont="1" applyFill="1" applyBorder="1" applyAlignment="1" applyProtection="1">
      <alignment vertical="center"/>
      <protection locked="0"/>
    </xf>
    <xf numFmtId="0" fontId="0" fillId="0" borderId="0" xfId="0" applyFill="1" applyAlignment="1" applyProtection="1">
      <alignment vertical="center"/>
    </xf>
    <xf numFmtId="0" fontId="16" fillId="36" borderId="15" xfId="0" applyFont="1" applyFill="1" applyBorder="1" applyAlignment="1" applyProtection="1">
      <alignment horizontal="right" vertical="center" indent="1"/>
    </xf>
    <xf numFmtId="0" fontId="0" fillId="33" borderId="17" xfId="0" applyFont="1" applyFill="1" applyBorder="1" applyAlignment="1" applyProtection="1">
      <alignment vertical="center"/>
      <protection locked="0"/>
    </xf>
    <xf numFmtId="0" fontId="16" fillId="36" borderId="10" xfId="0" applyFont="1" applyFill="1" applyBorder="1" applyAlignment="1" applyProtection="1">
      <alignment horizontal="center" vertical="center"/>
    </xf>
    <xf numFmtId="0" fontId="16" fillId="36" borderId="19" xfId="0" applyFont="1" applyFill="1" applyBorder="1" applyAlignment="1" applyProtection="1">
      <alignment horizontal="right" vertical="center" indent="1"/>
    </xf>
    <xf numFmtId="0" fontId="0" fillId="33" borderId="21" xfId="0" applyFont="1" applyFill="1" applyBorder="1" applyAlignment="1" applyProtection="1">
      <alignment vertical="center"/>
      <protection locked="0"/>
    </xf>
    <xf numFmtId="168" fontId="0" fillId="59" borderId="10" xfId="0" applyNumberFormat="1" applyFill="1" applyBorder="1" applyAlignment="1" applyProtection="1">
      <alignment horizontal="center" vertical="center"/>
    </xf>
    <xf numFmtId="4" fontId="0" fillId="59" borderId="10" xfId="0" applyNumberFormat="1" applyFill="1" applyBorder="1" applyAlignment="1" applyProtection="1">
      <alignment horizontal="center" vertical="center"/>
    </xf>
    <xf numFmtId="171" fontId="0" fillId="59" borderId="17" xfId="0" applyNumberFormat="1" applyFill="1" applyBorder="1" applyAlignment="1" applyProtection="1">
      <alignment horizontal="center" vertical="center"/>
    </xf>
    <xf numFmtId="168" fontId="0" fillId="34" borderId="10" xfId="0" applyNumberFormat="1" applyFill="1" applyBorder="1" applyAlignment="1" applyProtection="1">
      <alignment horizontal="center" vertical="center"/>
    </xf>
    <xf numFmtId="4" fontId="0" fillId="34" borderId="10" xfId="0" applyNumberFormat="1" applyFill="1" applyBorder="1" applyAlignment="1" applyProtection="1">
      <alignment horizontal="center" vertical="center"/>
    </xf>
    <xf numFmtId="171" fontId="0" fillId="34" borderId="17" xfId="0" applyNumberFormat="1" applyFill="1" applyBorder="1" applyAlignment="1" applyProtection="1">
      <alignment horizontal="center" vertical="center"/>
    </xf>
    <xf numFmtId="171" fontId="52" fillId="36" borderId="43" xfId="0" applyNumberFormat="1" applyFont="1" applyFill="1" applyBorder="1" applyAlignment="1" applyProtection="1">
      <alignment horizontal="center" vertical="center"/>
    </xf>
    <xf numFmtId="168" fontId="52" fillId="36" borderId="20" xfId="0" applyNumberFormat="1" applyFont="1" applyFill="1" applyBorder="1" applyAlignment="1" applyProtection="1">
      <alignment horizontal="center" vertical="center"/>
    </xf>
    <xf numFmtId="4" fontId="52" fillId="36" borderId="20" xfId="0" applyNumberFormat="1" applyFont="1" applyFill="1" applyBorder="1" applyAlignment="1" applyProtection="1">
      <alignment horizontal="center" vertical="center"/>
    </xf>
    <xf numFmtId="171" fontId="52" fillId="36" borderId="21" xfId="0" applyNumberFormat="1" applyFont="1" applyFill="1" applyBorder="1" applyAlignment="1" applyProtection="1">
      <alignment horizontal="center" vertical="center"/>
    </xf>
    <xf numFmtId="0" fontId="0" fillId="60" borderId="0" xfId="0" applyFill="1" applyProtection="1"/>
    <xf numFmtId="0" fontId="0" fillId="0" borderId="0" xfId="0" applyProtection="1"/>
    <xf numFmtId="0" fontId="0" fillId="0" borderId="0" xfId="0" applyFill="1" applyProtection="1"/>
    <xf numFmtId="171" fontId="0" fillId="59" borderId="18" xfId="0" applyNumberFormat="1" applyFill="1" applyBorder="1" applyAlignment="1" applyProtection="1">
      <alignment horizontal="left" vertical="center"/>
    </xf>
    <xf numFmtId="171" fontId="0" fillId="34" borderId="18" xfId="0" applyNumberFormat="1" applyFill="1" applyBorder="1" applyAlignment="1" applyProtection="1">
      <alignment horizontal="left" vertical="center"/>
    </xf>
    <xf numFmtId="0" fontId="0" fillId="59" borderId="47" xfId="0" applyFill="1" applyBorder="1" applyAlignment="1" applyProtection="1">
      <alignment horizontal="left" vertical="center"/>
    </xf>
    <xf numFmtId="0" fontId="0" fillId="34" borderId="47" xfId="0" applyFill="1" applyBorder="1" applyAlignment="1" applyProtection="1">
      <alignment horizontal="left" vertical="center"/>
    </xf>
    <xf numFmtId="0" fontId="52" fillId="36" borderId="48" xfId="0" applyFont="1" applyFill="1" applyBorder="1" applyAlignment="1" applyProtection="1">
      <alignment horizontal="right" vertical="center"/>
    </xf>
    <xf numFmtId="165" fontId="45" fillId="34" borderId="22" xfId="0" applyNumberFormat="1" applyFont="1" applyFill="1" applyBorder="1" applyAlignment="1" applyProtection="1">
      <alignment horizontal="center"/>
    </xf>
    <xf numFmtId="0" fontId="0" fillId="34" borderId="0" xfId="0" applyFont="1" applyFill="1" applyAlignment="1">
      <alignment vertical="center" wrapText="1"/>
    </xf>
    <xf numFmtId="0" fontId="0" fillId="35" borderId="0" xfId="0" applyFont="1" applyFill="1" applyAlignment="1">
      <alignment vertical="center" wrapText="1"/>
    </xf>
    <xf numFmtId="0" fontId="81" fillId="34" borderId="0" xfId="43" applyFont="1" applyFill="1" applyAlignment="1" applyProtection="1">
      <alignment horizontal="left" vertical="center" indent="2"/>
      <protection hidden="1"/>
    </xf>
    <xf numFmtId="0" fontId="0" fillId="35" borderId="0" xfId="0" applyFont="1" applyFill="1"/>
    <xf numFmtId="0" fontId="0" fillId="34" borderId="0" xfId="0" applyFill="1"/>
    <xf numFmtId="0" fontId="24" fillId="34" borderId="0" xfId="43" applyFont="1" applyFill="1" applyBorder="1" applyAlignment="1" applyProtection="1">
      <alignment vertical="center"/>
      <protection hidden="1"/>
    </xf>
    <xf numFmtId="0" fontId="24" fillId="34" borderId="22" xfId="43" applyFont="1" applyFill="1" applyBorder="1" applyAlignment="1" applyProtection="1">
      <alignment vertical="center"/>
      <protection hidden="1"/>
    </xf>
    <xf numFmtId="0" fontId="25" fillId="34" borderId="0" xfId="0" applyFont="1" applyFill="1" applyBorder="1" applyAlignment="1"/>
    <xf numFmtId="0" fontId="50" fillId="34" borderId="0" xfId="0" applyFont="1" applyFill="1"/>
    <xf numFmtId="0" fontId="50" fillId="34" borderId="0" xfId="0" applyFont="1" applyFill="1" applyAlignment="1">
      <alignment horizontal="left"/>
    </xf>
    <xf numFmtId="0" fontId="25" fillId="35" borderId="0" xfId="0" applyFont="1" applyFill="1" applyBorder="1" applyAlignment="1"/>
    <xf numFmtId="0" fontId="0" fillId="34" borderId="0" xfId="0" applyFont="1" applyFill="1"/>
    <xf numFmtId="0" fontId="0" fillId="0" borderId="0" xfId="0" applyFont="1"/>
    <xf numFmtId="0" fontId="0" fillId="65" borderId="0" xfId="0" applyFont="1" applyFill="1"/>
    <xf numFmtId="0" fontId="14" fillId="65" borderId="0" xfId="0" applyFont="1" applyFill="1" applyAlignment="1"/>
    <xf numFmtId="0" fontId="79" fillId="34" borderId="0" xfId="1899" applyFont="1" applyFill="1" applyBorder="1" applyAlignment="1" applyProtection="1">
      <alignment vertical="center"/>
      <protection hidden="1"/>
    </xf>
    <xf numFmtId="0" fontId="0" fillId="33" borderId="35" xfId="0"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ont="1"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ont="1" applyFill="1" applyBorder="1" applyAlignment="1" applyProtection="1">
      <alignment horizontal="left" vertical="center" indent="1"/>
      <protection hidden="1"/>
    </xf>
    <xf numFmtId="0" fontId="0" fillId="36" borderId="38" xfId="0" applyFont="1" applyFill="1" applyBorder="1" applyAlignment="1" applyProtection="1">
      <alignment horizontal="left" vertical="center" indent="1"/>
      <protection hidden="1"/>
    </xf>
    <xf numFmtId="166" fontId="1" fillId="35" borderId="39" xfId="1" applyNumberFormat="1" applyFont="1" applyFill="1" applyBorder="1" applyAlignment="1" applyProtection="1">
      <alignment horizontal="left" vertical="center" indent="1"/>
      <protection hidden="1"/>
    </xf>
    <xf numFmtId="0" fontId="0" fillId="35" borderId="40" xfId="0" applyFont="1" applyFill="1" applyBorder="1" applyAlignment="1" applyProtection="1">
      <alignment horizontal="left" vertical="center" indent="1"/>
      <protection hidden="1"/>
    </xf>
    <xf numFmtId="0" fontId="0" fillId="36" borderId="19" xfId="0" applyFont="1"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ont="1" applyFill="1" applyBorder="1" applyAlignment="1" applyProtection="1">
      <alignment horizontal="left" vertical="center" indent="1"/>
      <protection hidden="1"/>
    </xf>
    <xf numFmtId="171" fontId="1" fillId="33" borderId="20" xfId="1" applyNumberFormat="1" applyFont="1" applyFill="1" applyBorder="1" applyAlignment="1" applyProtection="1">
      <alignment horizontal="center" vertical="center"/>
      <protection locked="0"/>
    </xf>
    <xf numFmtId="171" fontId="0" fillId="33" borderId="20" xfId="0" applyNumberFormat="1" applyFont="1" applyFill="1" applyBorder="1" applyAlignment="1" applyProtection="1">
      <alignment horizontal="center" vertical="center"/>
      <protection locked="0"/>
    </xf>
    <xf numFmtId="39" fontId="1" fillId="35" borderId="13" xfId="1" applyNumberFormat="1" applyFont="1" applyFill="1" applyBorder="1" applyAlignment="1" applyProtection="1">
      <alignment horizontal="left" vertical="center" indent="1"/>
      <protection hidden="1"/>
    </xf>
    <xf numFmtId="170" fontId="1" fillId="35" borderId="39"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170" fontId="1" fillId="35" borderId="39" xfId="1" applyNumberFormat="1" applyFont="1" applyFill="1" applyBorder="1" applyAlignment="1" applyProtection="1">
      <alignment horizontal="center" vertical="center"/>
      <protection hidden="1"/>
    </xf>
    <xf numFmtId="171" fontId="1" fillId="35" borderId="20" xfId="1998" applyNumberFormat="1" applyFont="1" applyFill="1" applyBorder="1" applyAlignment="1" applyProtection="1">
      <alignment horizontal="center" vertical="center"/>
      <protection hidden="1"/>
    </xf>
    <xf numFmtId="0" fontId="0" fillId="36" borderId="15" xfId="0" applyFont="1" applyFill="1" applyBorder="1" applyAlignment="1" applyProtection="1">
      <alignment horizontal="left" vertical="center" indent="1"/>
      <protection hidden="1"/>
    </xf>
    <xf numFmtId="0" fontId="0" fillId="33" borderId="10" xfId="0" applyFont="1"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1" fontId="0" fillId="33" borderId="35" xfId="1999" applyNumberFormat="1" applyFont="1" applyFill="1" applyBorder="1" applyAlignment="1" applyProtection="1">
      <alignment horizontal="center" vertical="center"/>
      <protection locked="0"/>
    </xf>
    <xf numFmtId="171" fontId="0" fillId="33" borderId="2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5" borderId="10" xfId="0" applyFont="1" applyFill="1" applyBorder="1" applyAlignment="1">
      <alignment horizontal="left" vertical="center" indent="1"/>
    </xf>
    <xf numFmtId="0" fontId="0" fillId="35" borderId="17" xfId="0" applyFont="1" applyFill="1" applyBorder="1" applyAlignment="1" applyProtection="1">
      <alignment horizontal="left" vertical="center" indent="1"/>
      <protection hidden="1"/>
    </xf>
    <xf numFmtId="171" fontId="1" fillId="35" borderId="20" xfId="1998" applyNumberFormat="1" applyFont="1" applyFill="1" applyBorder="1" applyAlignment="1" applyProtection="1">
      <alignment horizontal="left" vertical="center" indent="1"/>
      <protection hidden="1"/>
    </xf>
    <xf numFmtId="4" fontId="1" fillId="35" borderId="13" xfId="1" applyNumberFormat="1" applyFont="1" applyFill="1" applyBorder="1" applyAlignment="1" applyProtection="1">
      <alignment horizontal="center" vertical="center"/>
      <protection hidden="1"/>
    </xf>
    <xf numFmtId="4" fontId="1" fillId="35" borderId="10" xfId="1" applyNumberFormat="1" applyFont="1" applyFill="1" applyBorder="1" applyAlignment="1" applyProtection="1">
      <alignment horizontal="center" vertical="center"/>
      <protection hidden="1"/>
    </xf>
    <xf numFmtId="1" fontId="0" fillId="33" borderId="10" xfId="1999" applyNumberFormat="1"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0" fillId="34" borderId="10" xfId="0" applyFont="1" applyFill="1" applyBorder="1" applyAlignment="1">
      <alignment horizontal="left" vertical="center" wrapText="1" indent="1"/>
    </xf>
    <xf numFmtId="0" fontId="21" fillId="34" borderId="0" xfId="43" applyFont="1" applyFill="1" applyAlignment="1" applyProtection="1">
      <alignment horizontal="left" vertical="center" wrapText="1" indent="2"/>
      <protection hidden="1"/>
    </xf>
    <xf numFmtId="0" fontId="80" fillId="0" borderId="0" xfId="0" applyFont="1" applyAlignment="1">
      <alignment horizontal="center" vertical="center"/>
    </xf>
    <xf numFmtId="0" fontId="21" fillId="34" borderId="0" xfId="43" applyFont="1" applyFill="1" applyAlignment="1" applyProtection="1">
      <alignment horizontal="left" vertical="top" wrapText="1"/>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16" fillId="36" borderId="45" xfId="0" applyFont="1" applyFill="1" applyBorder="1" applyAlignment="1" applyProtection="1">
      <alignment horizontal="center" vertical="center"/>
    </xf>
    <xf numFmtId="0" fontId="16" fillId="36" borderId="46" xfId="0" applyFont="1" applyFill="1" applyBorder="1" applyAlignment="1" applyProtection="1">
      <alignment horizontal="center" vertical="center"/>
    </xf>
    <xf numFmtId="0" fontId="16" fillId="36" borderId="44" xfId="0" applyFont="1" applyFill="1" applyBorder="1" applyAlignment="1" applyProtection="1">
      <alignment horizontal="center" vertical="center"/>
    </xf>
    <xf numFmtId="0" fontId="16" fillId="36" borderId="33"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4" xfId="0" applyFont="1" applyFill="1" applyBorder="1" applyAlignment="1" applyProtection="1">
      <alignment horizontal="center" vertical="center"/>
    </xf>
    <xf numFmtId="0" fontId="16" fillId="36" borderId="17" xfId="0" applyFont="1" applyFill="1" applyBorder="1" applyAlignment="1" applyProtection="1">
      <alignment horizontal="center" vertical="center"/>
    </xf>
    <xf numFmtId="0" fontId="26" fillId="34" borderId="0" xfId="0" applyFont="1" applyFill="1" applyBorder="1" applyAlignment="1" applyProtection="1">
      <alignment horizontal="left" vertical="top" wrapText="1"/>
    </xf>
    <xf numFmtId="0" fontId="50" fillId="34" borderId="0" xfId="0" applyFont="1" applyFill="1" applyBorder="1" applyAlignment="1" applyProtection="1">
      <alignment horizontal="left"/>
    </xf>
    <xf numFmtId="0" fontId="26" fillId="34" borderId="0" xfId="0" applyFont="1" applyFill="1" applyBorder="1" applyAlignment="1" applyProtection="1">
      <alignment horizontal="left" vertical="center" wrapText="1"/>
    </xf>
    <xf numFmtId="0" fontId="25" fillId="34" borderId="0" xfId="0" applyFont="1" applyFill="1" applyBorder="1" applyAlignment="1" applyProtection="1">
      <alignment horizontal="left"/>
    </xf>
    <xf numFmtId="14" fontId="0" fillId="35" borderId="13" xfId="0" applyNumberFormat="1" applyFont="1" applyFill="1" applyBorder="1" applyAlignment="1" applyProtection="1">
      <alignment horizontal="left" vertical="center" indent="1"/>
      <protection hidden="1"/>
    </xf>
    <xf numFmtId="14" fontId="0" fillId="35" borderId="14" xfId="0" applyNumberFormat="1" applyFont="1" applyFill="1" applyBorder="1" applyAlignment="1" applyProtection="1">
      <alignment horizontal="left" vertical="center" indent="1"/>
      <protection hidden="1"/>
    </xf>
    <xf numFmtId="14" fontId="0" fillId="35" borderId="10" xfId="0" applyNumberFormat="1" applyFont="1" applyFill="1" applyBorder="1" applyAlignment="1" applyProtection="1">
      <alignment horizontal="left" vertical="center" indent="1"/>
      <protection hidden="1"/>
    </xf>
    <xf numFmtId="14" fontId="0" fillId="35" borderId="17" xfId="0" applyNumberFormat="1" applyFont="1" applyFill="1" applyBorder="1" applyAlignment="1" applyProtection="1">
      <alignment horizontal="left" vertical="center" indent="1"/>
      <protection hidden="1"/>
    </xf>
    <xf numFmtId="0" fontId="0" fillId="35" borderId="10" xfId="0" applyFont="1" applyFill="1" applyBorder="1" applyAlignment="1" applyProtection="1">
      <alignment horizontal="left" vertical="center" indent="1"/>
      <protection hidden="1"/>
    </xf>
    <xf numFmtId="0" fontId="0" fillId="35" borderId="17" xfId="0" applyFont="1" applyFill="1" applyBorder="1" applyAlignment="1" applyProtection="1">
      <alignment horizontal="left" vertical="center" indent="1"/>
      <protection hidden="1"/>
    </xf>
    <xf numFmtId="0" fontId="26" fillId="34" borderId="0" xfId="0" applyFont="1" applyFill="1" applyAlignment="1">
      <alignment horizontal="left" vertical="top" wrapText="1"/>
    </xf>
    <xf numFmtId="0" fontId="26" fillId="34" borderId="0" xfId="0" applyFont="1" applyFill="1" applyAlignment="1" applyProtection="1">
      <alignment horizontal="left" vertical="top" wrapText="1"/>
    </xf>
    <xf numFmtId="0" fontId="24" fillId="34" borderId="0" xfId="43" applyFont="1" applyFill="1" applyBorder="1" applyAlignment="1" applyProtection="1">
      <alignment horizontal="left" vertical="center"/>
      <protection hidden="1"/>
    </xf>
    <xf numFmtId="0" fontId="0" fillId="0" borderId="0" xfId="0" applyAlignment="1">
      <alignment horizontal="center"/>
    </xf>
    <xf numFmtId="0" fontId="0" fillId="34" borderId="0" xfId="0" applyFont="1" applyFill="1" applyBorder="1" applyAlignment="1">
      <alignment horizontal="left" vertical="center" wrapText="1" indent="1"/>
    </xf>
    <xf numFmtId="0" fontId="0" fillId="34" borderId="0" xfId="0" applyFont="1" applyFill="1" applyBorder="1" applyAlignment="1">
      <alignment horizontal="left" vertical="center" wrapText="1" indent="1"/>
    </xf>
    <xf numFmtId="0" fontId="82" fillId="0" borderId="0" xfId="0" applyFont="1" applyAlignment="1">
      <alignment horizontal="center" wrapText="1"/>
    </xf>
  </cellXfs>
  <cellStyles count="2499">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0"/>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tmp"/><Relationship Id="rId13" Type="http://schemas.openxmlformats.org/officeDocument/2006/relationships/image" Target="../media/image16.tmp"/><Relationship Id="rId18" Type="http://schemas.openxmlformats.org/officeDocument/2006/relationships/image" Target="../media/image21.tmp"/><Relationship Id="rId3" Type="http://schemas.openxmlformats.org/officeDocument/2006/relationships/image" Target="../media/image6.tmp"/><Relationship Id="rId7" Type="http://schemas.openxmlformats.org/officeDocument/2006/relationships/image" Target="../media/image10.tmp"/><Relationship Id="rId12" Type="http://schemas.openxmlformats.org/officeDocument/2006/relationships/image" Target="../media/image15.tmp"/><Relationship Id="rId17" Type="http://schemas.openxmlformats.org/officeDocument/2006/relationships/image" Target="../media/image20.tmp"/><Relationship Id="rId2" Type="http://schemas.openxmlformats.org/officeDocument/2006/relationships/image" Target="../media/image5.tmp"/><Relationship Id="rId16" Type="http://schemas.openxmlformats.org/officeDocument/2006/relationships/image" Target="../media/image19.tmp"/><Relationship Id="rId20" Type="http://schemas.openxmlformats.org/officeDocument/2006/relationships/image" Target="../media/image23.tmp"/><Relationship Id="rId1" Type="http://schemas.openxmlformats.org/officeDocument/2006/relationships/image" Target="../media/image4.tmp"/><Relationship Id="rId6" Type="http://schemas.openxmlformats.org/officeDocument/2006/relationships/image" Target="../media/image9.tmp"/><Relationship Id="rId11" Type="http://schemas.openxmlformats.org/officeDocument/2006/relationships/image" Target="../media/image14.tmp"/><Relationship Id="rId5" Type="http://schemas.openxmlformats.org/officeDocument/2006/relationships/image" Target="../media/image8.tmp"/><Relationship Id="rId15" Type="http://schemas.openxmlformats.org/officeDocument/2006/relationships/image" Target="../media/image18.tmp"/><Relationship Id="rId10" Type="http://schemas.openxmlformats.org/officeDocument/2006/relationships/image" Target="../media/image13.tmp"/><Relationship Id="rId19" Type="http://schemas.openxmlformats.org/officeDocument/2006/relationships/image" Target="../media/image22.tmp"/><Relationship Id="rId4" Type="http://schemas.openxmlformats.org/officeDocument/2006/relationships/image" Target="../media/image7.tmp"/><Relationship Id="rId9" Type="http://schemas.openxmlformats.org/officeDocument/2006/relationships/image" Target="../media/image12.tmp"/><Relationship Id="rId14" Type="http://schemas.openxmlformats.org/officeDocument/2006/relationships/image" Target="../media/image17.tmp"/></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129540</xdr:rowOff>
    </xdr:from>
    <xdr:to>
      <xdr:col>0</xdr:col>
      <xdr:colOff>2331215</xdr:colOff>
      <xdr:row>5</xdr:row>
      <xdr:rowOff>38100</xdr:rowOff>
    </xdr:to>
    <xdr:pic>
      <xdr:nvPicPr>
        <xdr:cNvPr id="3" name="Picture 2">
          <a:extLst>
            <a:ext uri="{FF2B5EF4-FFF2-40B4-BE49-F238E27FC236}">
              <a16:creationId xmlns:a16="http://schemas.microsoft.com/office/drawing/2014/main" id="{A4A4C6EF-165A-45C5-992D-A3C283AB2A03}"/>
            </a:ext>
          </a:extLst>
        </xdr:cNvPr>
        <xdr:cNvPicPr>
          <a:picLocks noChangeAspect="1"/>
        </xdr:cNvPicPr>
      </xdr:nvPicPr>
      <xdr:blipFill>
        <a:blip xmlns:r="http://schemas.openxmlformats.org/officeDocument/2006/relationships" r:embed="rId1"/>
        <a:stretch>
          <a:fillRect/>
        </a:stretch>
      </xdr:blipFill>
      <xdr:spPr>
        <a:xfrm>
          <a:off x="38100" y="129540"/>
          <a:ext cx="2293115" cy="784860"/>
        </a:xfrm>
        <a:prstGeom prst="rect">
          <a:avLst/>
        </a:prstGeom>
      </xdr:spPr>
    </xdr:pic>
    <xdr:clientData/>
  </xdr:twoCellAnchor>
  <xdr:twoCellAnchor editAs="oneCell">
    <xdr:from>
      <xdr:col>0</xdr:col>
      <xdr:colOff>2461260</xdr:colOff>
      <xdr:row>1</xdr:row>
      <xdr:rowOff>60961</xdr:rowOff>
    </xdr:from>
    <xdr:to>
      <xdr:col>1</xdr:col>
      <xdr:colOff>1501140</xdr:colOff>
      <xdr:row>4</xdr:row>
      <xdr:rowOff>104141</xdr:rowOff>
    </xdr:to>
    <xdr:pic>
      <xdr:nvPicPr>
        <xdr:cNvPr id="4" name="Picture 3">
          <a:extLst>
            <a:ext uri="{FF2B5EF4-FFF2-40B4-BE49-F238E27FC236}">
              <a16:creationId xmlns:a16="http://schemas.microsoft.com/office/drawing/2014/main" id="{4BBD1DEC-73A6-4DA7-8098-5682F497F3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1260" y="236221"/>
          <a:ext cx="1706880" cy="568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794</xdr:colOff>
      <xdr:row>40</xdr:row>
      <xdr:rowOff>105707</xdr:rowOff>
    </xdr:to>
    <xdr:pic>
      <xdr:nvPicPr>
        <xdr:cNvPr id="3" name="Picture 2" descr="Screen Clipping">
          <a:extLst>
            <a:ext uri="{FF2B5EF4-FFF2-40B4-BE49-F238E27FC236}">
              <a16:creationId xmlns:a16="http://schemas.microsoft.com/office/drawing/2014/main" id="{E1B212C7-3ACF-42A1-BB4E-ECE2849E1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2950" y="1362075"/>
          <a:ext cx="5687219" cy="6677957"/>
        </a:xfrm>
        <a:prstGeom prst="rect">
          <a:avLst/>
        </a:prstGeom>
      </xdr:spPr>
    </xdr:pic>
    <xdr:clientData/>
  </xdr:twoCellAnchor>
  <xdr:twoCellAnchor editAs="oneCell">
    <xdr:from>
      <xdr:col>3</xdr:col>
      <xdr:colOff>0</xdr:colOff>
      <xdr:row>41</xdr:row>
      <xdr:rowOff>0</xdr:rowOff>
    </xdr:from>
    <xdr:to>
      <xdr:col>11</xdr:col>
      <xdr:colOff>324640</xdr:colOff>
      <xdr:row>85</xdr:row>
      <xdr:rowOff>163059</xdr:rowOff>
    </xdr:to>
    <xdr:pic>
      <xdr:nvPicPr>
        <xdr:cNvPr id="5" name="Picture 4" descr="Screen Clipping">
          <a:extLst>
            <a:ext uri="{FF2B5EF4-FFF2-40B4-BE49-F238E27FC236}">
              <a16:creationId xmlns:a16="http://schemas.microsoft.com/office/drawing/2014/main" id="{808AC91A-4736-43C3-9B61-0E5434599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2950" y="8115300"/>
          <a:ext cx="5658640" cy="8125959"/>
        </a:xfrm>
        <a:prstGeom prst="rect">
          <a:avLst/>
        </a:prstGeom>
      </xdr:spPr>
    </xdr:pic>
    <xdr:clientData/>
  </xdr:twoCellAnchor>
  <xdr:twoCellAnchor editAs="oneCell">
    <xdr:from>
      <xdr:col>3</xdr:col>
      <xdr:colOff>0</xdr:colOff>
      <xdr:row>86</xdr:row>
      <xdr:rowOff>0</xdr:rowOff>
    </xdr:from>
    <xdr:to>
      <xdr:col>11</xdr:col>
      <xdr:colOff>305587</xdr:colOff>
      <xdr:row>96</xdr:row>
      <xdr:rowOff>85990</xdr:rowOff>
    </xdr:to>
    <xdr:pic>
      <xdr:nvPicPr>
        <xdr:cNvPr id="7" name="Picture 6" descr="Screen Clipping">
          <a:extLst>
            <a:ext uri="{FF2B5EF4-FFF2-40B4-BE49-F238E27FC236}">
              <a16:creationId xmlns:a16="http://schemas.microsoft.com/office/drawing/2014/main" id="{256BF079-1FDC-4167-BFAA-C3C780AB17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6259175"/>
          <a:ext cx="5639587" cy="1895740"/>
        </a:xfrm>
        <a:prstGeom prst="rect">
          <a:avLst/>
        </a:prstGeom>
      </xdr:spPr>
    </xdr:pic>
    <xdr:clientData/>
  </xdr:twoCellAnchor>
  <xdr:twoCellAnchor editAs="oneCell">
    <xdr:from>
      <xdr:col>13</xdr:col>
      <xdr:colOff>0</xdr:colOff>
      <xdr:row>5</xdr:row>
      <xdr:rowOff>0</xdr:rowOff>
    </xdr:from>
    <xdr:to>
      <xdr:col>21</xdr:col>
      <xdr:colOff>324640</xdr:colOff>
      <xdr:row>49</xdr:row>
      <xdr:rowOff>115461</xdr:rowOff>
    </xdr:to>
    <xdr:pic>
      <xdr:nvPicPr>
        <xdr:cNvPr id="9" name="Picture 8" descr="Screen Clipping">
          <a:extLst>
            <a:ext uri="{FF2B5EF4-FFF2-40B4-BE49-F238E27FC236}">
              <a16:creationId xmlns:a16="http://schemas.microsoft.com/office/drawing/2014/main" id="{9DBD88BE-7976-42C6-9525-7F0473D1A5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58450" y="1362075"/>
          <a:ext cx="5658640" cy="8316486"/>
        </a:xfrm>
        <a:prstGeom prst="rect">
          <a:avLst/>
        </a:prstGeom>
      </xdr:spPr>
    </xdr:pic>
    <xdr:clientData/>
  </xdr:twoCellAnchor>
  <xdr:twoCellAnchor editAs="oneCell">
    <xdr:from>
      <xdr:col>13</xdr:col>
      <xdr:colOff>0</xdr:colOff>
      <xdr:row>50</xdr:row>
      <xdr:rowOff>0</xdr:rowOff>
    </xdr:from>
    <xdr:to>
      <xdr:col>22</xdr:col>
      <xdr:colOff>10321</xdr:colOff>
      <xdr:row>95</xdr:row>
      <xdr:rowOff>86874</xdr:rowOff>
    </xdr:to>
    <xdr:pic>
      <xdr:nvPicPr>
        <xdr:cNvPr id="11" name="Picture 10" descr="Screen Clipping">
          <a:extLst>
            <a:ext uri="{FF2B5EF4-FFF2-40B4-BE49-F238E27FC236}">
              <a16:creationId xmlns:a16="http://schemas.microsoft.com/office/drawing/2014/main" id="{949C0DA8-246E-4CC2-9A4A-98C2260739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58450" y="9744075"/>
          <a:ext cx="5706271" cy="8230749"/>
        </a:xfrm>
        <a:prstGeom prst="rect">
          <a:avLst/>
        </a:prstGeom>
      </xdr:spPr>
    </xdr:pic>
    <xdr:clientData/>
  </xdr:twoCellAnchor>
  <xdr:twoCellAnchor editAs="oneCell">
    <xdr:from>
      <xdr:col>13</xdr:col>
      <xdr:colOff>0</xdr:colOff>
      <xdr:row>96</xdr:row>
      <xdr:rowOff>0</xdr:rowOff>
    </xdr:from>
    <xdr:to>
      <xdr:col>21</xdr:col>
      <xdr:colOff>286534</xdr:colOff>
      <xdr:row>106</xdr:row>
      <xdr:rowOff>162200</xdr:rowOff>
    </xdr:to>
    <xdr:pic>
      <xdr:nvPicPr>
        <xdr:cNvPr id="13" name="Picture 12" descr="Screen Clipping">
          <a:extLst>
            <a:ext uri="{FF2B5EF4-FFF2-40B4-BE49-F238E27FC236}">
              <a16:creationId xmlns:a16="http://schemas.microsoft.com/office/drawing/2014/main" id="{9D383C87-FBE9-42F8-A8DB-A3518BF80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58450" y="18068925"/>
          <a:ext cx="5620534" cy="1971950"/>
        </a:xfrm>
        <a:prstGeom prst="rect">
          <a:avLst/>
        </a:prstGeom>
      </xdr:spPr>
    </xdr:pic>
    <xdr:clientData/>
  </xdr:twoCellAnchor>
  <xdr:twoCellAnchor editAs="oneCell">
    <xdr:from>
      <xdr:col>23</xdr:col>
      <xdr:colOff>0</xdr:colOff>
      <xdr:row>5</xdr:row>
      <xdr:rowOff>0</xdr:rowOff>
    </xdr:from>
    <xdr:to>
      <xdr:col>32</xdr:col>
      <xdr:colOff>38895</xdr:colOff>
      <xdr:row>49</xdr:row>
      <xdr:rowOff>77355</xdr:rowOff>
    </xdr:to>
    <xdr:pic>
      <xdr:nvPicPr>
        <xdr:cNvPr id="15" name="Picture 14" descr="Screen Clipping">
          <a:extLst>
            <a:ext uri="{FF2B5EF4-FFF2-40B4-BE49-F238E27FC236}">
              <a16:creationId xmlns:a16="http://schemas.microsoft.com/office/drawing/2014/main" id="{21F5530F-7FF2-42C9-8E0F-0A532F04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73475" y="1362075"/>
          <a:ext cx="5696745" cy="8278380"/>
        </a:xfrm>
        <a:prstGeom prst="rect">
          <a:avLst/>
        </a:prstGeom>
      </xdr:spPr>
    </xdr:pic>
    <xdr:clientData/>
  </xdr:twoCellAnchor>
  <xdr:twoCellAnchor editAs="oneCell">
    <xdr:from>
      <xdr:col>23</xdr:col>
      <xdr:colOff>0</xdr:colOff>
      <xdr:row>50</xdr:row>
      <xdr:rowOff>0</xdr:rowOff>
    </xdr:from>
    <xdr:to>
      <xdr:col>32</xdr:col>
      <xdr:colOff>134158</xdr:colOff>
      <xdr:row>95</xdr:row>
      <xdr:rowOff>96400</xdr:rowOff>
    </xdr:to>
    <xdr:pic>
      <xdr:nvPicPr>
        <xdr:cNvPr id="17" name="Picture 16" descr="Screen Clipping">
          <a:extLst>
            <a:ext uri="{FF2B5EF4-FFF2-40B4-BE49-F238E27FC236}">
              <a16:creationId xmlns:a16="http://schemas.microsoft.com/office/drawing/2014/main" id="{FAF0E455-8DBF-4C78-8E6D-65568DC1F7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373475" y="9744075"/>
          <a:ext cx="5792008" cy="8240275"/>
        </a:xfrm>
        <a:prstGeom prst="rect">
          <a:avLst/>
        </a:prstGeom>
      </xdr:spPr>
    </xdr:pic>
    <xdr:clientData/>
  </xdr:twoCellAnchor>
  <xdr:twoCellAnchor editAs="oneCell">
    <xdr:from>
      <xdr:col>23</xdr:col>
      <xdr:colOff>0</xdr:colOff>
      <xdr:row>96</xdr:row>
      <xdr:rowOff>0</xdr:rowOff>
    </xdr:from>
    <xdr:to>
      <xdr:col>31</xdr:col>
      <xdr:colOff>315113</xdr:colOff>
      <xdr:row>99</xdr:row>
      <xdr:rowOff>171550</xdr:rowOff>
    </xdr:to>
    <xdr:pic>
      <xdr:nvPicPr>
        <xdr:cNvPr id="19" name="Picture 18" descr="Screen Clipping">
          <a:extLst>
            <a:ext uri="{FF2B5EF4-FFF2-40B4-BE49-F238E27FC236}">
              <a16:creationId xmlns:a16="http://schemas.microsoft.com/office/drawing/2014/main" id="{74A8689B-28F0-4B80-92F8-0E5B573AEBE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373475" y="18068925"/>
          <a:ext cx="5649113" cy="714475"/>
        </a:xfrm>
        <a:prstGeom prst="rect">
          <a:avLst/>
        </a:prstGeom>
      </xdr:spPr>
    </xdr:pic>
    <xdr:clientData/>
  </xdr:twoCellAnchor>
  <xdr:twoCellAnchor editAs="oneCell">
    <xdr:from>
      <xdr:col>33</xdr:col>
      <xdr:colOff>0</xdr:colOff>
      <xdr:row>5</xdr:row>
      <xdr:rowOff>0</xdr:rowOff>
    </xdr:from>
    <xdr:to>
      <xdr:col>41</xdr:col>
      <xdr:colOff>315113</xdr:colOff>
      <xdr:row>49</xdr:row>
      <xdr:rowOff>124987</xdr:rowOff>
    </xdr:to>
    <xdr:pic>
      <xdr:nvPicPr>
        <xdr:cNvPr id="21" name="Picture 20" descr="Screen Clipping">
          <a:extLst>
            <a:ext uri="{FF2B5EF4-FFF2-40B4-BE49-F238E27FC236}">
              <a16:creationId xmlns:a16="http://schemas.microsoft.com/office/drawing/2014/main" id="{5A228C28-4F2F-4A96-8DDF-B404B9D25BB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374225" y="1362075"/>
          <a:ext cx="5649113" cy="8326012"/>
        </a:xfrm>
        <a:prstGeom prst="rect">
          <a:avLst/>
        </a:prstGeom>
      </xdr:spPr>
    </xdr:pic>
    <xdr:clientData/>
  </xdr:twoCellAnchor>
  <xdr:twoCellAnchor editAs="oneCell">
    <xdr:from>
      <xdr:col>33</xdr:col>
      <xdr:colOff>0</xdr:colOff>
      <xdr:row>50</xdr:row>
      <xdr:rowOff>0</xdr:rowOff>
    </xdr:from>
    <xdr:to>
      <xdr:col>41</xdr:col>
      <xdr:colOff>362745</xdr:colOff>
      <xdr:row>75</xdr:row>
      <xdr:rowOff>153053</xdr:rowOff>
    </xdr:to>
    <xdr:pic>
      <xdr:nvPicPr>
        <xdr:cNvPr id="23" name="Picture 22" descr="Screen Clipping">
          <a:extLst>
            <a:ext uri="{FF2B5EF4-FFF2-40B4-BE49-F238E27FC236}">
              <a16:creationId xmlns:a16="http://schemas.microsoft.com/office/drawing/2014/main" id="{012D0D38-06E7-4C77-B37B-65896FB96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374225" y="9744075"/>
          <a:ext cx="5696745" cy="4677428"/>
        </a:xfrm>
        <a:prstGeom prst="rect">
          <a:avLst/>
        </a:prstGeom>
      </xdr:spPr>
    </xdr:pic>
    <xdr:clientData/>
  </xdr:twoCellAnchor>
  <xdr:twoCellAnchor editAs="oneCell">
    <xdr:from>
      <xdr:col>33</xdr:col>
      <xdr:colOff>0</xdr:colOff>
      <xdr:row>76</xdr:row>
      <xdr:rowOff>0</xdr:rowOff>
    </xdr:from>
    <xdr:to>
      <xdr:col>41</xdr:col>
      <xdr:colOff>296061</xdr:colOff>
      <xdr:row>120</xdr:row>
      <xdr:rowOff>20164</xdr:rowOff>
    </xdr:to>
    <xdr:pic>
      <xdr:nvPicPr>
        <xdr:cNvPr id="25" name="Picture 24" descr="Screen Clipping">
          <a:extLst>
            <a:ext uri="{FF2B5EF4-FFF2-40B4-BE49-F238E27FC236}">
              <a16:creationId xmlns:a16="http://schemas.microsoft.com/office/drawing/2014/main" id="{014BFC28-4B31-4C29-9EDD-7BB6DF1470A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374225" y="14449425"/>
          <a:ext cx="5630061" cy="7983064"/>
        </a:xfrm>
        <a:prstGeom prst="rect">
          <a:avLst/>
        </a:prstGeom>
      </xdr:spPr>
    </xdr:pic>
    <xdr:clientData/>
  </xdr:twoCellAnchor>
  <xdr:twoCellAnchor editAs="oneCell">
    <xdr:from>
      <xdr:col>33</xdr:col>
      <xdr:colOff>0</xdr:colOff>
      <xdr:row>120</xdr:row>
      <xdr:rowOff>0</xdr:rowOff>
    </xdr:from>
    <xdr:to>
      <xdr:col>41</xdr:col>
      <xdr:colOff>305587</xdr:colOff>
      <xdr:row>132</xdr:row>
      <xdr:rowOff>133672</xdr:rowOff>
    </xdr:to>
    <xdr:pic>
      <xdr:nvPicPr>
        <xdr:cNvPr id="27" name="Picture 26" descr="Screen Clipping">
          <a:extLst>
            <a:ext uri="{FF2B5EF4-FFF2-40B4-BE49-F238E27FC236}">
              <a16:creationId xmlns:a16="http://schemas.microsoft.com/office/drawing/2014/main" id="{B2568866-AB63-4D9C-B91B-64D66EA610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374225" y="22412325"/>
          <a:ext cx="5639587" cy="2305372"/>
        </a:xfrm>
        <a:prstGeom prst="rect">
          <a:avLst/>
        </a:prstGeom>
      </xdr:spPr>
    </xdr:pic>
    <xdr:clientData/>
  </xdr:twoCellAnchor>
  <xdr:twoCellAnchor editAs="oneCell">
    <xdr:from>
      <xdr:col>43</xdr:col>
      <xdr:colOff>0</xdr:colOff>
      <xdr:row>5</xdr:row>
      <xdr:rowOff>0</xdr:rowOff>
    </xdr:from>
    <xdr:to>
      <xdr:col>51</xdr:col>
      <xdr:colOff>324640</xdr:colOff>
      <xdr:row>48</xdr:row>
      <xdr:rowOff>144014</xdr:rowOff>
    </xdr:to>
    <xdr:pic>
      <xdr:nvPicPr>
        <xdr:cNvPr id="29" name="Picture 28" descr="Screen Clipping">
          <a:extLst>
            <a:ext uri="{FF2B5EF4-FFF2-40B4-BE49-F238E27FC236}">
              <a16:creationId xmlns:a16="http://schemas.microsoft.com/office/drawing/2014/main" id="{2E035911-FC9A-400E-B605-05403E6D9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717875" y="1362075"/>
          <a:ext cx="5658640" cy="8164064"/>
        </a:xfrm>
        <a:prstGeom prst="rect">
          <a:avLst/>
        </a:prstGeom>
      </xdr:spPr>
    </xdr:pic>
    <xdr:clientData/>
  </xdr:twoCellAnchor>
  <xdr:twoCellAnchor editAs="oneCell">
    <xdr:from>
      <xdr:col>43</xdr:col>
      <xdr:colOff>0</xdr:colOff>
      <xdr:row>49</xdr:row>
      <xdr:rowOff>0</xdr:rowOff>
    </xdr:from>
    <xdr:to>
      <xdr:col>51</xdr:col>
      <xdr:colOff>257955</xdr:colOff>
      <xdr:row>85</xdr:row>
      <xdr:rowOff>105699</xdr:rowOff>
    </xdr:to>
    <xdr:pic>
      <xdr:nvPicPr>
        <xdr:cNvPr id="31" name="Picture 30" descr="Screen Clipping">
          <a:extLst>
            <a:ext uri="{FF2B5EF4-FFF2-40B4-BE49-F238E27FC236}">
              <a16:creationId xmlns:a16="http://schemas.microsoft.com/office/drawing/2014/main" id="{C654AE82-6880-4666-BCF9-2E8902B036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717875" y="9563100"/>
          <a:ext cx="5591955" cy="6620799"/>
        </a:xfrm>
        <a:prstGeom prst="rect">
          <a:avLst/>
        </a:prstGeom>
      </xdr:spPr>
    </xdr:pic>
    <xdr:clientData/>
  </xdr:twoCellAnchor>
  <xdr:twoCellAnchor editAs="oneCell">
    <xdr:from>
      <xdr:col>43</xdr:col>
      <xdr:colOff>0</xdr:colOff>
      <xdr:row>86</xdr:row>
      <xdr:rowOff>0</xdr:rowOff>
    </xdr:from>
    <xdr:to>
      <xdr:col>52</xdr:col>
      <xdr:colOff>105627</xdr:colOff>
      <xdr:row>130</xdr:row>
      <xdr:rowOff>39217</xdr:rowOff>
    </xdr:to>
    <xdr:pic>
      <xdr:nvPicPr>
        <xdr:cNvPr id="33" name="Picture 32" descr="Screen Clipping">
          <a:extLst>
            <a:ext uri="{FF2B5EF4-FFF2-40B4-BE49-F238E27FC236}">
              <a16:creationId xmlns:a16="http://schemas.microsoft.com/office/drawing/2014/main" id="{86427E3B-D469-407A-8310-AE8CC6FA31F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717875" y="16259175"/>
          <a:ext cx="6106377" cy="8002117"/>
        </a:xfrm>
        <a:prstGeom prst="rect">
          <a:avLst/>
        </a:prstGeom>
      </xdr:spPr>
    </xdr:pic>
    <xdr:clientData/>
  </xdr:twoCellAnchor>
  <xdr:twoCellAnchor editAs="oneCell">
    <xdr:from>
      <xdr:col>43</xdr:col>
      <xdr:colOff>0</xdr:colOff>
      <xdr:row>130</xdr:row>
      <xdr:rowOff>0</xdr:rowOff>
    </xdr:from>
    <xdr:to>
      <xdr:col>51</xdr:col>
      <xdr:colOff>248429</xdr:colOff>
      <xdr:row>162</xdr:row>
      <xdr:rowOff>48440</xdr:rowOff>
    </xdr:to>
    <xdr:pic>
      <xdr:nvPicPr>
        <xdr:cNvPr id="35" name="Picture 34" descr="Screen Clipping">
          <a:extLst>
            <a:ext uri="{FF2B5EF4-FFF2-40B4-BE49-F238E27FC236}">
              <a16:creationId xmlns:a16="http://schemas.microsoft.com/office/drawing/2014/main" id="{1DFD3AA6-BAC7-45E2-A822-12D89B58C0A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717875" y="24222075"/>
          <a:ext cx="5582429" cy="5839640"/>
        </a:xfrm>
        <a:prstGeom prst="rect">
          <a:avLst/>
        </a:prstGeom>
      </xdr:spPr>
    </xdr:pic>
    <xdr:clientData/>
  </xdr:twoCellAnchor>
  <xdr:twoCellAnchor editAs="oneCell">
    <xdr:from>
      <xdr:col>54</xdr:col>
      <xdr:colOff>0</xdr:colOff>
      <xdr:row>5</xdr:row>
      <xdr:rowOff>0</xdr:rowOff>
    </xdr:from>
    <xdr:to>
      <xdr:col>62</xdr:col>
      <xdr:colOff>334166</xdr:colOff>
      <xdr:row>49</xdr:row>
      <xdr:rowOff>10671</xdr:rowOff>
    </xdr:to>
    <xdr:pic>
      <xdr:nvPicPr>
        <xdr:cNvPr id="37" name="Picture 36" descr="Screen Clipping">
          <a:extLst>
            <a:ext uri="{FF2B5EF4-FFF2-40B4-BE49-F238E27FC236}">
              <a16:creationId xmlns:a16="http://schemas.microsoft.com/office/drawing/2014/main" id="{F92D5C50-324D-4ECB-8689-DD84CCC65DD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347275" y="1362075"/>
          <a:ext cx="5668166" cy="8211696"/>
        </a:xfrm>
        <a:prstGeom prst="rect">
          <a:avLst/>
        </a:prstGeom>
      </xdr:spPr>
    </xdr:pic>
    <xdr:clientData/>
  </xdr:twoCellAnchor>
  <xdr:twoCellAnchor editAs="oneCell">
    <xdr:from>
      <xdr:col>54</xdr:col>
      <xdr:colOff>0</xdr:colOff>
      <xdr:row>49</xdr:row>
      <xdr:rowOff>0</xdr:rowOff>
    </xdr:from>
    <xdr:to>
      <xdr:col>62</xdr:col>
      <xdr:colOff>238903</xdr:colOff>
      <xdr:row>84</xdr:row>
      <xdr:rowOff>29463</xdr:rowOff>
    </xdr:to>
    <xdr:pic>
      <xdr:nvPicPr>
        <xdr:cNvPr id="39" name="Picture 38" descr="Screen Clipping">
          <a:extLst>
            <a:ext uri="{FF2B5EF4-FFF2-40B4-BE49-F238E27FC236}">
              <a16:creationId xmlns:a16="http://schemas.microsoft.com/office/drawing/2014/main" id="{E0EA024D-4127-4681-A84C-AFD2F94FA3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5347275" y="9563100"/>
          <a:ext cx="5572903" cy="6363588"/>
        </a:xfrm>
        <a:prstGeom prst="rect">
          <a:avLst/>
        </a:prstGeom>
      </xdr:spPr>
    </xdr:pic>
    <xdr:clientData/>
  </xdr:twoCellAnchor>
  <xdr:twoCellAnchor editAs="oneCell">
    <xdr:from>
      <xdr:col>54</xdr:col>
      <xdr:colOff>0</xdr:colOff>
      <xdr:row>84</xdr:row>
      <xdr:rowOff>0</xdr:rowOff>
    </xdr:from>
    <xdr:to>
      <xdr:col>62</xdr:col>
      <xdr:colOff>248429</xdr:colOff>
      <xdr:row>120</xdr:row>
      <xdr:rowOff>39015</xdr:rowOff>
    </xdr:to>
    <xdr:pic>
      <xdr:nvPicPr>
        <xdr:cNvPr id="41" name="Picture 40" descr="Screen Clipping">
          <a:extLst>
            <a:ext uri="{FF2B5EF4-FFF2-40B4-BE49-F238E27FC236}">
              <a16:creationId xmlns:a16="http://schemas.microsoft.com/office/drawing/2014/main" id="{A17B5366-74F1-4726-99D8-C8362329D14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47275" y="15897225"/>
          <a:ext cx="5582429" cy="655411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K72"/>
  <sheetViews>
    <sheetView tabSelected="1" zoomScaleNormal="100" workbookViewId="0">
      <selection activeCell="B71" sqref="B71"/>
    </sheetView>
  </sheetViews>
  <sheetFormatPr defaultColWidth="0" defaultRowHeight="13.8" zeroHeight="1"/>
  <cols>
    <col min="1" max="1" width="35" style="1" customWidth="1"/>
    <col min="2" max="2" width="35" style="133" customWidth="1"/>
    <col min="3" max="3" width="35.69921875" style="1" customWidth="1"/>
    <col min="4" max="4" width="50.3984375" style="1" customWidth="1"/>
    <col min="5" max="10" width="8.69921875" style="1" hidden="1" customWidth="1"/>
    <col min="11" max="11" width="17.19921875" style="1" hidden="1" customWidth="1"/>
    <col min="12" max="16384" width="8.69921875" style="1" hidden="1"/>
  </cols>
  <sheetData>
    <row r="1" spans="1:10" s="133" customFormat="1" ht="13.8" customHeight="1">
      <c r="A1" s="204"/>
      <c r="B1" s="180" t="s">
        <v>233</v>
      </c>
      <c r="C1" s="180"/>
      <c r="D1" s="180"/>
      <c r="E1" s="141"/>
      <c r="F1" s="141"/>
      <c r="G1" s="141"/>
      <c r="H1" s="141"/>
      <c r="I1" s="141"/>
      <c r="J1" s="141"/>
    </row>
    <row r="2" spans="1:10" s="133" customFormat="1" ht="13.8" customHeight="1">
      <c r="A2" s="204"/>
      <c r="B2" s="180"/>
      <c r="C2" s="180"/>
      <c r="D2" s="180"/>
      <c r="E2" s="141"/>
      <c r="F2" s="141"/>
      <c r="G2" s="141"/>
      <c r="H2" s="141"/>
      <c r="I2" s="141"/>
      <c r="J2" s="141"/>
    </row>
    <row r="3" spans="1:10" s="133" customFormat="1" ht="13.8" customHeight="1">
      <c r="A3" s="204"/>
      <c r="B3" s="180"/>
      <c r="C3" s="180"/>
      <c r="D3" s="180"/>
      <c r="E3" s="141"/>
      <c r="F3" s="141"/>
      <c r="G3" s="141"/>
      <c r="H3" s="141"/>
      <c r="I3" s="141"/>
      <c r="J3" s="141"/>
    </row>
    <row r="4" spans="1:10" s="133" customFormat="1" ht="13.8" customHeight="1">
      <c r="A4" s="204"/>
      <c r="B4" s="180"/>
      <c r="C4" s="180"/>
      <c r="D4" s="180"/>
      <c r="E4" s="141"/>
      <c r="F4" s="141"/>
      <c r="G4" s="141"/>
      <c r="H4" s="141"/>
      <c r="I4" s="141"/>
      <c r="J4" s="141"/>
    </row>
    <row r="5" spans="1:10" s="133" customFormat="1" ht="13.8" customHeight="1">
      <c r="A5" s="204"/>
      <c r="B5" s="180"/>
      <c r="C5" s="180"/>
      <c r="D5" s="180"/>
      <c r="E5" s="141"/>
      <c r="F5" s="141"/>
      <c r="G5" s="141"/>
      <c r="H5" s="141"/>
      <c r="I5" s="141"/>
      <c r="J5" s="141"/>
    </row>
    <row r="6" spans="1:10" s="133" customFormat="1" ht="13.8" customHeight="1">
      <c r="A6" s="204"/>
      <c r="B6" s="180"/>
      <c r="C6" s="180"/>
      <c r="D6" s="180"/>
      <c r="E6" s="141"/>
      <c r="F6" s="141"/>
      <c r="G6" s="141"/>
      <c r="H6" s="141"/>
      <c r="I6" s="141"/>
      <c r="J6" s="141"/>
    </row>
    <row r="7" spans="1:10" s="133" customFormat="1">
      <c r="A7" s="143"/>
      <c r="B7" s="143"/>
      <c r="C7" s="143"/>
      <c r="D7" s="142"/>
      <c r="E7" s="141"/>
      <c r="F7" s="141"/>
      <c r="G7" s="141"/>
      <c r="H7" s="141"/>
      <c r="I7" s="141"/>
      <c r="J7" s="141"/>
    </row>
    <row r="8" spans="1:10" ht="44.25" customHeight="1">
      <c r="A8" s="181" t="s">
        <v>232</v>
      </c>
      <c r="B8" s="181"/>
      <c r="C8" s="181"/>
      <c r="D8" s="181"/>
    </row>
    <row r="9" spans="1:10">
      <c r="A9" s="12"/>
      <c r="B9" s="12"/>
      <c r="C9" s="12"/>
      <c r="D9" s="12"/>
    </row>
    <row r="10" spans="1:10" ht="20.399999999999999">
      <c r="A10" s="144" t="s">
        <v>230</v>
      </c>
      <c r="B10" s="144"/>
      <c r="C10" s="135"/>
      <c r="D10" s="6"/>
    </row>
    <row r="11" spans="1:10">
      <c r="A11" s="182" t="s">
        <v>6</v>
      </c>
      <c r="B11" s="182"/>
      <c r="C11" s="182"/>
      <c r="D11" s="7"/>
    </row>
    <row r="12" spans="1:10">
      <c r="A12" s="183" t="s">
        <v>3</v>
      </c>
      <c r="B12" s="183"/>
      <c r="C12" s="183"/>
      <c r="D12" s="7"/>
    </row>
    <row r="13" spans="1:10">
      <c r="A13" s="5"/>
      <c r="B13" s="5"/>
      <c r="C13" s="5"/>
      <c r="D13" s="5"/>
    </row>
    <row r="14" spans="1:10" ht="20.399999999999999">
      <c r="A14" s="144" t="s">
        <v>17</v>
      </c>
      <c r="B14" s="144"/>
      <c r="C14" s="134"/>
      <c r="D14" s="5"/>
    </row>
    <row r="15" spans="1:10" hidden="1">
      <c r="A15" s="131" t="s">
        <v>7</v>
      </c>
      <c r="B15" s="131"/>
      <c r="C15" s="4"/>
      <c r="D15" s="11"/>
    </row>
    <row r="16" spans="1:10" hidden="1">
      <c r="A16" s="179" t="s">
        <v>182</v>
      </c>
      <c r="B16" s="179"/>
      <c r="C16" s="179"/>
      <c r="D16" s="179"/>
    </row>
    <row r="17" spans="1:4" hidden="1"/>
    <row r="18" spans="1:4">
      <c r="A18" s="131" t="s">
        <v>183</v>
      </c>
      <c r="B18" s="131"/>
      <c r="C18" s="4"/>
      <c r="D18" s="11"/>
    </row>
    <row r="19" spans="1:4">
      <c r="A19" s="179" t="s">
        <v>184</v>
      </c>
      <c r="B19" s="179"/>
      <c r="C19" s="179"/>
      <c r="D19" s="179"/>
    </row>
    <row r="20" spans="1:4">
      <c r="A20" s="11"/>
      <c r="B20" s="176"/>
      <c r="C20" s="11"/>
      <c r="D20" s="11"/>
    </row>
    <row r="21" spans="1:4" s="133" customFormat="1">
      <c r="A21" s="131" t="s">
        <v>259</v>
      </c>
      <c r="B21" s="131"/>
      <c r="C21" s="4"/>
      <c r="D21" s="169"/>
    </row>
    <row r="22" spans="1:4" s="133" customFormat="1">
      <c r="A22" s="179" t="s">
        <v>265</v>
      </c>
      <c r="B22" s="179"/>
      <c r="C22" s="179"/>
      <c r="D22" s="179"/>
    </row>
    <row r="23" spans="1:4" s="133" customFormat="1">
      <c r="A23" s="169"/>
      <c r="B23" s="176"/>
      <c r="C23" s="169"/>
      <c r="D23" s="169"/>
    </row>
    <row r="24" spans="1:4" s="133" customFormat="1">
      <c r="A24" s="131" t="s">
        <v>260</v>
      </c>
      <c r="B24" s="131"/>
      <c r="C24" s="4"/>
      <c r="D24" s="169"/>
    </row>
    <row r="25" spans="1:4" s="133" customFormat="1">
      <c r="A25" s="179" t="s">
        <v>266</v>
      </c>
      <c r="B25" s="179"/>
      <c r="C25" s="179"/>
      <c r="D25" s="179"/>
    </row>
    <row r="26" spans="1:4" s="133" customFormat="1">
      <c r="A26" s="169"/>
      <c r="B26" s="176"/>
      <c r="C26" s="169"/>
      <c r="D26" s="169"/>
    </row>
    <row r="27" spans="1:4" s="133" customFormat="1">
      <c r="A27" s="131" t="s">
        <v>261</v>
      </c>
      <c r="B27" s="131"/>
      <c r="C27" s="4"/>
      <c r="D27" s="169"/>
    </row>
    <row r="28" spans="1:4" s="133" customFormat="1">
      <c r="A28" s="179" t="s">
        <v>267</v>
      </c>
      <c r="B28" s="179"/>
      <c r="C28" s="179"/>
      <c r="D28" s="179"/>
    </row>
    <row r="29" spans="1:4" s="133" customFormat="1">
      <c r="A29" s="169"/>
      <c r="B29" s="176"/>
      <c r="C29" s="169"/>
      <c r="D29" s="169"/>
    </row>
    <row r="30" spans="1:4" s="133" customFormat="1">
      <c r="A30" s="131" t="s">
        <v>262</v>
      </c>
      <c r="B30" s="131"/>
      <c r="C30" s="4"/>
      <c r="D30" s="169"/>
    </row>
    <row r="31" spans="1:4" s="133" customFormat="1">
      <c r="A31" s="179" t="s">
        <v>268</v>
      </c>
      <c r="B31" s="179"/>
      <c r="C31" s="179"/>
      <c r="D31" s="179"/>
    </row>
    <row r="32" spans="1:4" s="133" customFormat="1">
      <c r="A32" s="169"/>
      <c r="B32" s="176"/>
      <c r="C32" s="169"/>
      <c r="D32" s="169"/>
    </row>
    <row r="33" spans="1:4" s="133" customFormat="1">
      <c r="A33" s="131" t="s">
        <v>263</v>
      </c>
      <c r="B33" s="131"/>
      <c r="C33" s="4"/>
      <c r="D33" s="169"/>
    </row>
    <row r="34" spans="1:4" s="133" customFormat="1">
      <c r="A34" s="179" t="s">
        <v>269</v>
      </c>
      <c r="B34" s="179"/>
      <c r="C34" s="179"/>
      <c r="D34" s="179"/>
    </row>
    <row r="35" spans="1:4" s="133" customFormat="1">
      <c r="A35" s="169"/>
      <c r="B35" s="176"/>
      <c r="C35" s="169"/>
      <c r="D35" s="169"/>
    </row>
    <row r="36" spans="1:4">
      <c r="A36" s="131" t="s">
        <v>264</v>
      </c>
      <c r="B36" s="131"/>
      <c r="C36" s="4"/>
      <c r="D36" s="11"/>
    </row>
    <row r="37" spans="1:4">
      <c r="A37" s="179" t="s">
        <v>270</v>
      </c>
      <c r="B37" s="179"/>
      <c r="C37" s="179"/>
      <c r="D37" s="179"/>
    </row>
    <row r="38" spans="1:4">
      <c r="A38" s="18"/>
      <c r="B38" s="176"/>
      <c r="C38" s="18"/>
      <c r="D38" s="18"/>
    </row>
    <row r="39" spans="1:4" hidden="1">
      <c r="A39" s="131" t="s">
        <v>13</v>
      </c>
      <c r="B39" s="131"/>
      <c r="C39" s="4"/>
      <c r="D39" s="11"/>
    </row>
    <row r="40" spans="1:4" hidden="1">
      <c r="A40" s="179" t="s">
        <v>14</v>
      </c>
      <c r="B40" s="179"/>
      <c r="C40" s="179"/>
      <c r="D40" s="179"/>
    </row>
    <row r="41" spans="1:4" hidden="1">
      <c r="A41" s="5"/>
      <c r="B41" s="5"/>
      <c r="C41" s="5"/>
      <c r="D41" s="5"/>
    </row>
    <row r="42" spans="1:4" ht="20.399999999999999">
      <c r="A42" s="144" t="s">
        <v>4</v>
      </c>
      <c r="B42" s="144"/>
      <c r="C42" s="134"/>
      <c r="D42" s="5"/>
    </row>
    <row r="43" spans="1:4" ht="27.6">
      <c r="A43" s="98" t="s">
        <v>195</v>
      </c>
      <c r="B43" s="98"/>
      <c r="C43" s="178" t="s">
        <v>197</v>
      </c>
      <c r="D43" s="178"/>
    </row>
    <row r="44" spans="1:4" ht="27.6">
      <c r="A44" s="98" t="s">
        <v>196</v>
      </c>
      <c r="B44" s="98"/>
      <c r="C44" s="178" t="s">
        <v>198</v>
      </c>
      <c r="D44" s="178"/>
    </row>
    <row r="45" spans="1:4" ht="27.6">
      <c r="A45" s="98" t="s">
        <v>70</v>
      </c>
      <c r="B45" s="98"/>
      <c r="C45" s="178" t="s">
        <v>199</v>
      </c>
      <c r="D45" s="178"/>
    </row>
    <row r="46" spans="1:4" ht="27.6">
      <c r="A46" s="98" t="s">
        <v>55</v>
      </c>
      <c r="B46" s="98"/>
      <c r="C46" s="178" t="s">
        <v>200</v>
      </c>
      <c r="D46" s="178"/>
    </row>
    <row r="47" spans="1:4">
      <c r="A47" s="98" t="s">
        <v>43</v>
      </c>
      <c r="B47" s="98"/>
      <c r="C47" s="178" t="s">
        <v>201</v>
      </c>
      <c r="D47" s="178"/>
    </row>
    <row r="48" spans="1:4">
      <c r="A48" s="98" t="s">
        <v>66</v>
      </c>
      <c r="B48" s="98"/>
      <c r="C48" s="178" t="s">
        <v>202</v>
      </c>
      <c r="D48" s="178"/>
    </row>
    <row r="49" spans="1:4">
      <c r="A49" s="98" t="s">
        <v>90</v>
      </c>
      <c r="B49" s="98"/>
      <c r="C49" s="178" t="s">
        <v>203</v>
      </c>
      <c r="D49" s="178"/>
    </row>
    <row r="50" spans="1:4" ht="27.6">
      <c r="A50" s="98" t="s">
        <v>91</v>
      </c>
      <c r="B50" s="98"/>
      <c r="C50" s="178" t="s">
        <v>204</v>
      </c>
      <c r="D50" s="178"/>
    </row>
    <row r="51" spans="1:4" ht="27.6">
      <c r="A51" s="98" t="s">
        <v>95</v>
      </c>
      <c r="B51" s="98"/>
      <c r="C51" s="178" t="s">
        <v>205</v>
      </c>
      <c r="D51" s="178"/>
    </row>
    <row r="52" spans="1:4" ht="27.6">
      <c r="A52" s="98" t="s">
        <v>96</v>
      </c>
      <c r="B52" s="98"/>
      <c r="C52" s="178" t="s">
        <v>206</v>
      </c>
      <c r="D52" s="178"/>
    </row>
    <row r="53" spans="1:4" ht="27.6">
      <c r="A53" s="98" t="s">
        <v>99</v>
      </c>
      <c r="B53" s="98"/>
      <c r="C53" s="178" t="s">
        <v>207</v>
      </c>
      <c r="D53" s="178"/>
    </row>
    <row r="54" spans="1:4" ht="27.6">
      <c r="A54" s="98" t="s">
        <v>100</v>
      </c>
      <c r="B54" s="98"/>
      <c r="C54" s="178" t="s">
        <v>208</v>
      </c>
      <c r="D54" s="178"/>
    </row>
    <row r="55" spans="1:4" ht="27.6">
      <c r="A55" s="98" t="s">
        <v>146</v>
      </c>
      <c r="B55" s="98"/>
      <c r="C55" s="178" t="s">
        <v>209</v>
      </c>
      <c r="D55" s="178"/>
    </row>
    <row r="56" spans="1:4" ht="27.6">
      <c r="A56" s="98" t="s">
        <v>147</v>
      </c>
      <c r="B56" s="98"/>
      <c r="C56" s="178" t="s">
        <v>210</v>
      </c>
      <c r="D56" s="178"/>
    </row>
    <row r="57" spans="1:4">
      <c r="A57" s="98" t="s">
        <v>148</v>
      </c>
      <c r="B57" s="98"/>
      <c r="C57" s="178" t="s">
        <v>211</v>
      </c>
      <c r="D57" s="178"/>
    </row>
    <row r="58" spans="1:4" ht="27.6">
      <c r="A58" s="98" t="s">
        <v>149</v>
      </c>
      <c r="B58" s="98"/>
      <c r="C58" s="178" t="s">
        <v>212</v>
      </c>
      <c r="D58" s="178"/>
    </row>
    <row r="59" spans="1:4" ht="27.6">
      <c r="A59" s="98" t="s">
        <v>150</v>
      </c>
      <c r="B59" s="98"/>
      <c r="C59" s="178" t="s">
        <v>204</v>
      </c>
      <c r="D59" s="178"/>
    </row>
    <row r="60" spans="1:4" ht="27.6">
      <c r="A60" s="98" t="s">
        <v>172</v>
      </c>
      <c r="B60" s="98"/>
      <c r="C60" s="178" t="s">
        <v>213</v>
      </c>
      <c r="D60" s="178"/>
    </row>
    <row r="61" spans="1:4" ht="27.6">
      <c r="A61" s="98" t="s">
        <v>173</v>
      </c>
      <c r="B61" s="98"/>
      <c r="C61" s="178" t="s">
        <v>214</v>
      </c>
      <c r="D61" s="178"/>
    </row>
    <row r="62" spans="1:4" ht="27.6">
      <c r="A62" s="98" t="s">
        <v>174</v>
      </c>
      <c r="B62" s="98"/>
      <c r="C62" s="178" t="s">
        <v>204</v>
      </c>
      <c r="D62" s="178"/>
    </row>
    <row r="63" spans="1:4">
      <c r="A63" s="60" t="s">
        <v>191</v>
      </c>
      <c r="B63" s="177"/>
      <c r="C63" s="178" t="s">
        <v>215</v>
      </c>
      <c r="D63" s="178"/>
    </row>
    <row r="64" spans="1:4">
      <c r="A64" s="5"/>
      <c r="B64" s="5"/>
      <c r="C64" s="5"/>
      <c r="D64" s="5"/>
    </row>
    <row r="65" spans="1:4" s="133" customFormat="1" ht="20.399999999999999">
      <c r="A65" s="144" t="s">
        <v>231</v>
      </c>
      <c r="B65" s="144"/>
      <c r="C65" s="134"/>
      <c r="D65" s="5"/>
    </row>
    <row r="66" spans="1:4" s="133" customFormat="1">
      <c r="A66" s="24" t="s">
        <v>33</v>
      </c>
      <c r="B66" s="24"/>
      <c r="C66" s="178" t="s">
        <v>192</v>
      </c>
      <c r="D66" s="178" t="s">
        <v>1</v>
      </c>
    </row>
    <row r="67" spans="1:4" s="133" customFormat="1">
      <c r="A67" s="24" t="s">
        <v>1</v>
      </c>
      <c r="B67" s="24"/>
      <c r="C67" s="178" t="s">
        <v>193</v>
      </c>
      <c r="D67" s="178" t="s">
        <v>2</v>
      </c>
    </row>
    <row r="68" spans="1:4" s="133" customFormat="1" ht="13.8" customHeight="1">
      <c r="A68" s="24" t="s">
        <v>31</v>
      </c>
      <c r="B68" s="24"/>
      <c r="C68" s="178" t="s">
        <v>194</v>
      </c>
      <c r="D68" s="178" t="s">
        <v>1</v>
      </c>
    </row>
    <row r="69" spans="1:4" ht="20.399999999999999">
      <c r="A69" s="144"/>
      <c r="B69" s="144"/>
      <c r="C69" s="134"/>
      <c r="D69" s="5"/>
    </row>
    <row r="70" spans="1:4" ht="96.6" customHeight="1">
      <c r="A70" s="207" t="s">
        <v>271</v>
      </c>
      <c r="B70" s="207"/>
      <c r="C70" s="207"/>
      <c r="D70" s="207"/>
    </row>
    <row r="71" spans="1:4">
      <c r="A71" s="206"/>
      <c r="B71" s="206"/>
      <c r="C71" s="205"/>
      <c r="D71" s="205"/>
    </row>
    <row r="72" spans="1:4">
      <c r="A72" s="206"/>
      <c r="B72" s="206"/>
      <c r="C72" s="205"/>
      <c r="D72" s="205"/>
    </row>
  </sheetData>
  <sheetProtection algorithmName="SHA-512" hashValue="xswkpMrItC1y7+8Ng2TmaHelPOLDbfXARkNVZominPHtvzoMwAssLgZbHQOJUmslBb+APx1X7vqAXQfib7UyVA==" saltValue="d9LZ4reBt/sf4KrzAuTraA==" spinCount="100000" sheet="1" objects="1" scenarios="1"/>
  <mergeCells count="41">
    <mergeCell ref="C66:D66"/>
    <mergeCell ref="C67:D67"/>
    <mergeCell ref="C68:D68"/>
    <mergeCell ref="A70:D70"/>
    <mergeCell ref="C43:D43"/>
    <mergeCell ref="C44:D44"/>
    <mergeCell ref="A8:D8"/>
    <mergeCell ref="A40:D40"/>
    <mergeCell ref="A19:D19"/>
    <mergeCell ref="A37:D37"/>
    <mergeCell ref="A11:C11"/>
    <mergeCell ref="A12:C12"/>
    <mergeCell ref="A22:D22"/>
    <mergeCell ref="A25:D25"/>
    <mergeCell ref="A28:D28"/>
    <mergeCell ref="A31:D31"/>
    <mergeCell ref="A34:D34"/>
    <mergeCell ref="B1:D6"/>
    <mergeCell ref="A1:A6"/>
    <mergeCell ref="C71:D71"/>
    <mergeCell ref="C72:D72"/>
    <mergeCell ref="A16:D16"/>
    <mergeCell ref="C46:D46"/>
    <mergeCell ref="C48:D48"/>
    <mergeCell ref="C45:D45"/>
    <mergeCell ref="C47:D47"/>
    <mergeCell ref="C49:D49"/>
    <mergeCell ref="C50:D50"/>
    <mergeCell ref="C51:D51"/>
    <mergeCell ref="C52:D52"/>
    <mergeCell ref="C53:D53"/>
    <mergeCell ref="C54:D54"/>
    <mergeCell ref="C60:D60"/>
    <mergeCell ref="C61:D61"/>
    <mergeCell ref="C62:D62"/>
    <mergeCell ref="C63:D63"/>
    <mergeCell ref="C55:D55"/>
    <mergeCell ref="C56:D56"/>
    <mergeCell ref="C57:D57"/>
    <mergeCell ref="C58:D58"/>
    <mergeCell ref="C59:D5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B1:AN71"/>
  <sheetViews>
    <sheetView zoomScale="90" zoomScaleNormal="90" workbookViewId="0">
      <selection activeCell="K68" sqref="K68"/>
    </sheetView>
  </sheetViews>
  <sheetFormatPr defaultColWidth="8.69921875" defaultRowHeight="13.8"/>
  <cols>
    <col min="1" max="1" width="3.59765625" style="9" customWidth="1"/>
    <col min="2" max="2" width="59.3984375" style="2" customWidth="1"/>
    <col min="3" max="3" width="17.8984375" style="2" customWidth="1"/>
    <col min="4" max="4" width="17.59765625" style="2" bestFit="1" customWidth="1"/>
    <col min="5" max="5" width="20.69921875" style="2" customWidth="1"/>
    <col min="6" max="6" width="18.8984375" style="2" customWidth="1"/>
    <col min="7" max="7" width="15.5" style="2" customWidth="1"/>
    <col min="8" max="8" width="16.19921875" style="2" customWidth="1"/>
    <col min="9" max="9" width="14.5" style="2" customWidth="1"/>
    <col min="10" max="10" width="14.09765625" style="2" customWidth="1"/>
    <col min="11" max="11" width="16.09765625" style="2" customWidth="1"/>
    <col min="12" max="12" width="13.69921875" style="2" customWidth="1"/>
    <col min="13" max="13" width="15.09765625" style="2" customWidth="1"/>
    <col min="14" max="14" width="12" style="2" customWidth="1"/>
    <col min="15" max="15" width="11.19921875" style="2" customWidth="1"/>
    <col min="16" max="16" width="8.69921875" style="2"/>
    <col min="17" max="21" width="13.19921875" style="2" customWidth="1"/>
    <col min="22" max="22" width="13.19921875" style="9" customWidth="1"/>
    <col min="23" max="33" width="8.69921875" style="9"/>
    <col min="34" max="34" width="15.19921875" style="9" customWidth="1"/>
    <col min="35" max="35" width="8.69921875" style="9"/>
    <col min="36" max="36" width="13.5" style="9" customWidth="1"/>
    <col min="37" max="38" width="8.69921875" style="9"/>
    <col min="39" max="39" width="58.59765625" style="9" bestFit="1" customWidth="1"/>
    <col min="40" max="16384" width="8.69921875" style="9"/>
  </cols>
  <sheetData>
    <row r="1" spans="2:5" ht="18.600000000000001" customHeight="1"/>
    <row r="2" spans="2:5" ht="17.399999999999999">
      <c r="B2" s="10" t="s">
        <v>10</v>
      </c>
      <c r="C2" s="8"/>
      <c r="D2" s="10"/>
    </row>
    <row r="3" spans="2:5">
      <c r="B3" s="54" t="s">
        <v>70</v>
      </c>
      <c r="C3" s="54">
        <f>'Dairy Scroll Comp Calculator'!C9</f>
        <v>0</v>
      </c>
      <c r="D3" s="31" t="s">
        <v>69</v>
      </c>
    </row>
    <row r="4" spans="2:5">
      <c r="B4" s="54" t="s">
        <v>55</v>
      </c>
      <c r="C4" s="32">
        <f>'Dairy Scroll Comp Calculator'!C10</f>
        <v>0</v>
      </c>
      <c r="D4" s="31" t="s">
        <v>40</v>
      </c>
    </row>
    <row r="5" spans="2:5">
      <c r="B5" s="32" t="s">
        <v>43</v>
      </c>
      <c r="C5" s="32">
        <f>'Dairy Scroll Comp Calculator'!C11</f>
        <v>0</v>
      </c>
      <c r="D5" s="31" t="s">
        <v>28</v>
      </c>
      <c r="E5" s="9"/>
    </row>
    <row r="6" spans="2:5">
      <c r="B6" s="54" t="s">
        <v>66</v>
      </c>
      <c r="C6" s="32">
        <f>'Dairy Scroll Comp Calculator'!C12</f>
        <v>0</v>
      </c>
      <c r="D6" s="31" t="s">
        <v>58</v>
      </c>
    </row>
    <row r="7" spans="2:5">
      <c r="B7" s="54" t="s">
        <v>90</v>
      </c>
      <c r="C7" s="54">
        <f>'Livestock Waterer Calculator'!C9</f>
        <v>0</v>
      </c>
      <c r="D7" s="31" t="s">
        <v>69</v>
      </c>
    </row>
    <row r="8" spans="2:5">
      <c r="B8" s="54" t="s">
        <v>91</v>
      </c>
      <c r="C8" s="54">
        <f>'Livestock Waterer Calculator'!C10</f>
        <v>0</v>
      </c>
      <c r="D8" s="31" t="s">
        <v>78</v>
      </c>
    </row>
    <row r="9" spans="2:5">
      <c r="B9" s="54" t="s">
        <v>95</v>
      </c>
      <c r="C9" s="54">
        <f>'VSD Controller'!C9</f>
        <v>0</v>
      </c>
      <c r="D9" s="31" t="s">
        <v>93</v>
      </c>
    </row>
    <row r="10" spans="2:5">
      <c r="B10" s="54" t="s">
        <v>96</v>
      </c>
      <c r="C10" s="87">
        <f>'VSD Controller'!C10</f>
        <v>0</v>
      </c>
      <c r="D10" s="31" t="s">
        <v>88</v>
      </c>
    </row>
    <row r="11" spans="2:5">
      <c r="B11" s="54" t="s">
        <v>99</v>
      </c>
      <c r="C11" s="88">
        <f>'VSD Controller'!C11</f>
        <v>0</v>
      </c>
      <c r="D11" s="31" t="s">
        <v>75</v>
      </c>
    </row>
    <row r="12" spans="2:5">
      <c r="B12" s="54" t="s">
        <v>100</v>
      </c>
      <c r="C12" s="88">
        <f>'VSD Controller'!C12</f>
        <v>0</v>
      </c>
      <c r="D12" s="31" t="s">
        <v>42</v>
      </c>
    </row>
    <row r="13" spans="2:5">
      <c r="B13" s="54" t="s">
        <v>146</v>
      </c>
      <c r="C13" s="88">
        <f>'Hi Eff Vent Fans'!C9</f>
        <v>0</v>
      </c>
      <c r="D13" s="31" t="s">
        <v>69</v>
      </c>
    </row>
    <row r="14" spans="2:5">
      <c r="B14" s="170" t="s">
        <v>254</v>
      </c>
      <c r="C14" s="88">
        <f>'Hi Eff Vent Fans'!C10</f>
        <v>0</v>
      </c>
      <c r="D14" s="31" t="s">
        <v>117</v>
      </c>
    </row>
    <row r="15" spans="2:5">
      <c r="B15" s="54" t="s">
        <v>147</v>
      </c>
      <c r="C15" s="88">
        <f>'Hi Eff Vent Fans'!C11</f>
        <v>0</v>
      </c>
      <c r="D15" s="31" t="s">
        <v>69</v>
      </c>
    </row>
    <row r="16" spans="2:5">
      <c r="B16" s="54" t="s">
        <v>255</v>
      </c>
      <c r="C16" s="88">
        <f>'Hi Eff Vent Fans'!C12</f>
        <v>0</v>
      </c>
      <c r="D16" s="31" t="s">
        <v>117</v>
      </c>
    </row>
    <row r="17" spans="2:4">
      <c r="B17" s="170" t="s">
        <v>251</v>
      </c>
      <c r="C17" s="88">
        <f>'Hi Eff Vent Fans'!C13</f>
        <v>0</v>
      </c>
      <c r="D17" s="31" t="s">
        <v>250</v>
      </c>
    </row>
    <row r="18" spans="2:4">
      <c r="B18" s="54" t="s">
        <v>149</v>
      </c>
      <c r="C18" s="88">
        <f>'Hi Eff Vent Fans'!C14</f>
        <v>0</v>
      </c>
      <c r="D18" s="31" t="s">
        <v>145</v>
      </c>
    </row>
    <row r="19" spans="2:4">
      <c r="B19" s="54" t="s">
        <v>150</v>
      </c>
      <c r="C19" s="88">
        <f>'Hi Eff Vent Fans'!C15</f>
        <v>0</v>
      </c>
      <c r="D19" s="31" t="s">
        <v>78</v>
      </c>
    </row>
    <row r="20" spans="2:4">
      <c r="B20" s="170" t="s">
        <v>241</v>
      </c>
      <c r="C20" s="88">
        <f>'Hi Vol Low Speed Fans'!C9</f>
        <v>0</v>
      </c>
      <c r="D20" s="31" t="s">
        <v>69</v>
      </c>
    </row>
    <row r="21" spans="2:4">
      <c r="B21" s="54" t="s">
        <v>172</v>
      </c>
      <c r="C21" s="88">
        <f>'Hi Vol Low Speed Fans'!C10</f>
        <v>0</v>
      </c>
      <c r="D21" s="31" t="s">
        <v>69</v>
      </c>
    </row>
    <row r="22" spans="2:4">
      <c r="B22" s="170" t="s">
        <v>242</v>
      </c>
      <c r="C22" s="88">
        <f>'Hi Vol Low Speed Fans'!C11</f>
        <v>0</v>
      </c>
      <c r="D22" s="31" t="s">
        <v>170</v>
      </c>
    </row>
    <row r="23" spans="2:4">
      <c r="B23" s="54" t="s">
        <v>173</v>
      </c>
      <c r="C23" s="88">
        <f>'Hi Vol Low Speed Fans'!C12</f>
        <v>0</v>
      </c>
      <c r="D23" s="31" t="s">
        <v>170</v>
      </c>
    </row>
    <row r="24" spans="2:4">
      <c r="B24" s="54" t="s">
        <v>174</v>
      </c>
      <c r="C24" s="88">
        <f>'Hi Vol Low Speed Fans'!C13</f>
        <v>0</v>
      </c>
      <c r="D24" s="31" t="s">
        <v>78</v>
      </c>
    </row>
    <row r="25" spans="2:4">
      <c r="B25" s="3"/>
      <c r="C25" s="8"/>
      <c r="D25" s="3"/>
    </row>
    <row r="27" spans="2:4" ht="17.399999999999999">
      <c r="B27" s="10" t="s">
        <v>9</v>
      </c>
    </row>
    <row r="28" spans="2:4">
      <c r="B28" s="54" t="s">
        <v>45</v>
      </c>
      <c r="C28" s="54">
        <v>1.3999999999999999E-4</v>
      </c>
      <c r="D28" s="31" t="s">
        <v>44</v>
      </c>
    </row>
    <row r="29" spans="2:4">
      <c r="B29" s="32" t="s">
        <v>39</v>
      </c>
      <c r="C29" s="32">
        <v>5.85</v>
      </c>
      <c r="D29" s="31" t="s">
        <v>40</v>
      </c>
    </row>
    <row r="30" spans="2:4">
      <c r="B30" s="54" t="s">
        <v>41</v>
      </c>
      <c r="C30" s="54">
        <v>365</v>
      </c>
      <c r="D30" s="31" t="s">
        <v>42</v>
      </c>
    </row>
    <row r="31" spans="2:4">
      <c r="B31" s="54" t="s">
        <v>64</v>
      </c>
      <c r="C31" s="89">
        <f>1/1000</f>
        <v>1E-3</v>
      </c>
      <c r="D31" s="70" t="s">
        <v>65</v>
      </c>
    </row>
    <row r="32" spans="2:4">
      <c r="B32" s="54" t="s">
        <v>59</v>
      </c>
      <c r="C32" s="63">
        <v>1000</v>
      </c>
      <c r="D32" s="31" t="s">
        <v>60</v>
      </c>
    </row>
    <row r="33" spans="2:40">
      <c r="B33" s="54" t="s">
        <v>84</v>
      </c>
      <c r="C33" s="71">
        <v>0.5</v>
      </c>
      <c r="D33" s="31" t="s">
        <v>87</v>
      </c>
    </row>
    <row r="34" spans="2:40">
      <c r="B34" s="54" t="s">
        <v>85</v>
      </c>
      <c r="C34" s="85">
        <v>0.8</v>
      </c>
      <c r="D34" s="31" t="s">
        <v>89</v>
      </c>
    </row>
    <row r="35" spans="2:40">
      <c r="B35" s="54" t="s">
        <v>86</v>
      </c>
      <c r="C35" s="63">
        <v>80</v>
      </c>
      <c r="D35" s="31" t="s">
        <v>60</v>
      </c>
    </row>
    <row r="36" spans="2:40">
      <c r="B36" s="54" t="s">
        <v>102</v>
      </c>
      <c r="C36" s="89">
        <v>0.746</v>
      </c>
      <c r="D36" s="31" t="s">
        <v>103</v>
      </c>
    </row>
    <row r="37" spans="2:40">
      <c r="B37" s="54" t="s">
        <v>104</v>
      </c>
      <c r="C37" s="85">
        <v>0.9</v>
      </c>
      <c r="D37" s="31" t="s">
        <v>105</v>
      </c>
    </row>
    <row r="38" spans="2:40">
      <c r="B38" s="54" t="s">
        <v>106</v>
      </c>
      <c r="C38" s="85">
        <v>0.46</v>
      </c>
      <c r="D38" s="31" t="s">
        <v>105</v>
      </c>
    </row>
    <row r="39" spans="2:40">
      <c r="B39" s="54" t="s">
        <v>114</v>
      </c>
      <c r="C39" s="63">
        <v>1000</v>
      </c>
      <c r="D39" s="31" t="s">
        <v>60</v>
      </c>
    </row>
    <row r="40" spans="2:40">
      <c r="B40" s="54" t="s">
        <v>155</v>
      </c>
      <c r="C40" s="63">
        <v>215</v>
      </c>
      <c r="D40" s="31" t="s">
        <v>60</v>
      </c>
    </row>
    <row r="41" spans="2:40">
      <c r="B41" s="54" t="s">
        <v>175</v>
      </c>
      <c r="C41" s="95">
        <v>1</v>
      </c>
      <c r="D41" s="31" t="s">
        <v>44</v>
      </c>
    </row>
    <row r="42" spans="2:40">
      <c r="B42" s="54" t="s">
        <v>176</v>
      </c>
      <c r="C42" s="63">
        <v>125</v>
      </c>
      <c r="D42" s="31" t="s">
        <v>60</v>
      </c>
    </row>
    <row r="43" spans="2:40">
      <c r="B43" s="75"/>
      <c r="C43" s="93"/>
      <c r="D43" s="67"/>
    </row>
    <row r="44" spans="2:40">
      <c r="B44" s="3"/>
      <c r="C44" s="8"/>
      <c r="D44" s="3"/>
    </row>
    <row r="45" spans="2:40">
      <c r="O45" s="9"/>
    </row>
    <row r="46" spans="2:40" ht="17.399999999999999">
      <c r="B46" s="10" t="s">
        <v>54</v>
      </c>
      <c r="E46" s="10" t="s">
        <v>76</v>
      </c>
      <c r="H46" s="10" t="s">
        <v>129</v>
      </c>
      <c r="M46" s="94" t="s">
        <v>151</v>
      </c>
      <c r="S46" s="10" t="s">
        <v>127</v>
      </c>
      <c r="V46" s="2"/>
      <c r="W46" s="2"/>
      <c r="X46" s="2"/>
      <c r="Y46" s="2"/>
      <c r="Z46" s="2"/>
      <c r="AA46" s="2"/>
      <c r="AB46" s="10" t="s">
        <v>138</v>
      </c>
      <c r="AC46" s="2"/>
      <c r="AD46" s="2"/>
      <c r="AE46" s="2"/>
      <c r="AF46" s="2"/>
      <c r="AH46" s="10" t="s">
        <v>166</v>
      </c>
      <c r="AI46" s="2"/>
      <c r="AJ46" s="2"/>
      <c r="AM46" s="10" t="s">
        <v>168</v>
      </c>
      <c r="AN46" s="2"/>
    </row>
    <row r="47" spans="2:40" s="19" customFormat="1" ht="67.5" customHeight="1">
      <c r="B47" s="37" t="s">
        <v>51</v>
      </c>
      <c r="C47" s="38" t="s">
        <v>67</v>
      </c>
      <c r="D47" s="2"/>
      <c r="E47" s="37" t="s">
        <v>74</v>
      </c>
      <c r="F47" s="38" t="s">
        <v>75</v>
      </c>
      <c r="G47" s="2"/>
      <c r="H47" s="37" t="s">
        <v>130</v>
      </c>
      <c r="I47" s="38" t="s">
        <v>131</v>
      </c>
      <c r="J47" s="38" t="s">
        <v>132</v>
      </c>
      <c r="K47" s="38" t="s">
        <v>133</v>
      </c>
      <c r="L47" s="2"/>
      <c r="M47" s="37" t="s">
        <v>74</v>
      </c>
      <c r="N47" s="38" t="s">
        <v>123</v>
      </c>
      <c r="O47" s="38" t="s">
        <v>124</v>
      </c>
      <c r="P47" s="38" t="s">
        <v>125</v>
      </c>
      <c r="Q47" s="38" t="s">
        <v>126</v>
      </c>
      <c r="R47" s="2"/>
      <c r="S47" s="37" t="s">
        <v>74</v>
      </c>
      <c r="T47" s="38" t="s">
        <v>123</v>
      </c>
      <c r="U47" s="38" t="s">
        <v>124</v>
      </c>
      <c r="V47" s="38" t="s">
        <v>125</v>
      </c>
      <c r="W47" s="38" t="s">
        <v>126</v>
      </c>
      <c r="X47" s="38" t="s">
        <v>121</v>
      </c>
      <c r="Y47" s="38" t="s">
        <v>122</v>
      </c>
      <c r="Z47" s="38" t="s">
        <v>120</v>
      </c>
      <c r="AA47" s="2"/>
      <c r="AB47" s="37" t="s">
        <v>74</v>
      </c>
      <c r="AC47" s="38" t="s">
        <v>123</v>
      </c>
      <c r="AD47" s="38" t="s">
        <v>124</v>
      </c>
      <c r="AE47" s="38" t="s">
        <v>125</v>
      </c>
      <c r="AF47" s="38" t="s">
        <v>126</v>
      </c>
      <c r="AG47" s="9"/>
      <c r="AH47" s="37" t="s">
        <v>159</v>
      </c>
      <c r="AI47" s="38" t="s">
        <v>164</v>
      </c>
      <c r="AJ47" s="38" t="s">
        <v>165</v>
      </c>
      <c r="AK47" s="38" t="s">
        <v>167</v>
      </c>
      <c r="AM47" s="37" t="s">
        <v>74</v>
      </c>
      <c r="AN47" s="38" t="s">
        <v>153</v>
      </c>
    </row>
    <row r="48" spans="2:40" ht="13.5" customHeight="1">
      <c r="B48" s="91" t="s">
        <v>52</v>
      </c>
      <c r="C48" s="69">
        <v>922</v>
      </c>
      <c r="E48" s="35" t="s">
        <v>77</v>
      </c>
      <c r="F48" s="72">
        <v>1139</v>
      </c>
      <c r="H48" s="35" t="s">
        <v>134</v>
      </c>
      <c r="I48" s="69">
        <v>3600</v>
      </c>
      <c r="J48" s="91">
        <v>9.1999999999999993</v>
      </c>
      <c r="K48" s="91">
        <v>12.4</v>
      </c>
      <c r="M48" s="68">
        <f>C19</f>
        <v>0</v>
      </c>
      <c r="N48" s="72" t="e">
        <f>VLOOKUP($M48,$S48:T48,2,FALSE)</f>
        <v>#N/A</v>
      </c>
      <c r="O48" s="72" t="e">
        <f>VLOOKUP($M48,$S48:U48,3,FALSE)</f>
        <v>#N/A</v>
      </c>
      <c r="P48" s="72" t="e">
        <f>VLOOKUP($M48,$S48:V48,4,FALSE)</f>
        <v>#N/A</v>
      </c>
      <c r="Q48" s="72" t="e">
        <f>VLOOKUP($M48,$S48:W48,5,FALSE)</f>
        <v>#N/A</v>
      </c>
      <c r="S48" s="35" t="s">
        <v>77</v>
      </c>
      <c r="T48" s="72">
        <f>0.33*$X48+0.67*$Y48+$Z48</f>
        <v>5372.1900000000005</v>
      </c>
      <c r="U48" s="72">
        <f t="shared" ref="U48" si="0">0.1*$X48+0.4*$Y48+$Z48</f>
        <v>3703.8</v>
      </c>
      <c r="V48" s="72">
        <v>5864</v>
      </c>
      <c r="W48" s="72">
        <v>4729</v>
      </c>
      <c r="X48" s="72">
        <v>3468</v>
      </c>
      <c r="Y48" s="72">
        <v>3225</v>
      </c>
      <c r="Z48" s="72">
        <v>2067</v>
      </c>
      <c r="AA48" s="2"/>
      <c r="AB48" s="35" t="s">
        <v>77</v>
      </c>
      <c r="AC48" s="72">
        <f>0.33*$X48+0.67*$Y48</f>
        <v>3305.19</v>
      </c>
      <c r="AD48" s="72">
        <f>0.1*$X48+0.4*$Y48</f>
        <v>1636.8</v>
      </c>
      <c r="AE48" s="72">
        <v>2323</v>
      </c>
      <c r="AF48" s="72">
        <v>0</v>
      </c>
      <c r="AH48" s="35" t="s">
        <v>160</v>
      </c>
      <c r="AI48" s="72">
        <v>761</v>
      </c>
      <c r="AJ48" s="72">
        <v>4497</v>
      </c>
      <c r="AK48" s="72">
        <f>AJ48-AI48</f>
        <v>3736</v>
      </c>
      <c r="AM48" s="35" t="s">
        <v>77</v>
      </c>
      <c r="AN48" s="72">
        <v>2964</v>
      </c>
    </row>
    <row r="49" spans="2:40" ht="13.5" customHeight="1">
      <c r="B49" s="91" t="s">
        <v>47</v>
      </c>
      <c r="C49" s="69">
        <v>2864</v>
      </c>
      <c r="H49" s="35" t="s">
        <v>135</v>
      </c>
      <c r="I49" s="69">
        <v>6274</v>
      </c>
      <c r="J49" s="91">
        <v>11.2</v>
      </c>
      <c r="K49" s="91">
        <v>15.3</v>
      </c>
      <c r="AA49" s="2"/>
      <c r="AH49" s="35" t="s">
        <v>161</v>
      </c>
      <c r="AI49" s="72">
        <v>850</v>
      </c>
      <c r="AJ49" s="72">
        <v>5026</v>
      </c>
      <c r="AK49" s="72">
        <f t="shared" ref="AK49:AK51" si="1">AJ49-AI49</f>
        <v>4176</v>
      </c>
    </row>
    <row r="50" spans="2:40" ht="13.5" customHeight="1">
      <c r="B50" s="78"/>
      <c r="C50" s="79"/>
      <c r="H50" s="35" t="s">
        <v>136</v>
      </c>
      <c r="I50" s="69">
        <v>10837</v>
      </c>
      <c r="J50" s="91">
        <v>15</v>
      </c>
      <c r="K50" s="91">
        <v>19.2</v>
      </c>
      <c r="M50" s="94" t="s">
        <v>152</v>
      </c>
      <c r="AA50" s="2"/>
      <c r="AH50" s="35" t="s">
        <v>162</v>
      </c>
      <c r="AI50" s="72">
        <v>940</v>
      </c>
      <c r="AJ50" s="72">
        <v>5555</v>
      </c>
      <c r="AK50" s="72">
        <f t="shared" si="1"/>
        <v>4615</v>
      </c>
    </row>
    <row r="51" spans="2:40" ht="13.5" customHeight="1">
      <c r="B51" s="78"/>
      <c r="C51" s="79"/>
      <c r="H51" s="35" t="s">
        <v>137</v>
      </c>
      <c r="I51" s="69">
        <v>22626</v>
      </c>
      <c r="J51" s="91">
        <v>17.8</v>
      </c>
      <c r="K51" s="91">
        <v>22.7</v>
      </c>
      <c r="M51" s="37" t="s">
        <v>74</v>
      </c>
      <c r="N51" s="38" t="s">
        <v>123</v>
      </c>
      <c r="O51" s="38" t="s">
        <v>124</v>
      </c>
      <c r="P51" s="38" t="s">
        <v>125</v>
      </c>
      <c r="Q51" s="38" t="s">
        <v>126</v>
      </c>
      <c r="AA51" s="2"/>
      <c r="AH51" s="35" t="s">
        <v>163</v>
      </c>
      <c r="AI51" s="72">
        <v>1119</v>
      </c>
      <c r="AJ51" s="72">
        <v>6613</v>
      </c>
      <c r="AK51" s="72">
        <f t="shared" si="1"/>
        <v>5494</v>
      </c>
    </row>
    <row r="52" spans="2:40" ht="13.5" customHeight="1">
      <c r="B52" s="78"/>
      <c r="C52" s="79"/>
      <c r="H52" s="35"/>
      <c r="I52" s="72"/>
      <c r="J52" s="35"/>
      <c r="K52" s="35"/>
      <c r="M52" s="68">
        <f>M48</f>
        <v>0</v>
      </c>
      <c r="N52" s="72" t="e">
        <f>VLOOKUP($M52,$AB48:$AF48,2,FALSE)</f>
        <v>#N/A</v>
      </c>
      <c r="O52" s="72" t="e">
        <f>VLOOKUP($M52,$AB48:$AF48,3,FALSE)</f>
        <v>#N/A</v>
      </c>
      <c r="P52" s="72" t="e">
        <f>VLOOKUP($M52,$AB48:$AF48,4,FALSE)</f>
        <v>#N/A</v>
      </c>
      <c r="Q52" s="72" t="e">
        <f>VLOOKUP($M52,$AB48:$AF48,5,FALSE)</f>
        <v>#N/A</v>
      </c>
      <c r="AA52" s="2"/>
      <c r="AB52" s="19"/>
      <c r="AC52" s="19"/>
      <c r="AD52" s="19"/>
      <c r="AE52" s="19"/>
      <c r="AF52" s="19"/>
    </row>
    <row r="53" spans="2:40" ht="13.5" customHeight="1">
      <c r="B53" s="78"/>
      <c r="C53" s="79"/>
      <c r="H53" s="35"/>
      <c r="I53" s="72"/>
      <c r="J53" s="72"/>
      <c r="K53" s="72"/>
      <c r="AA53" s="2"/>
      <c r="AM53" s="19"/>
      <c r="AN53" s="19"/>
    </row>
    <row r="54" spans="2:40">
      <c r="I54" s="90"/>
    </row>
    <row r="55" spans="2:40">
      <c r="AB55" s="19"/>
      <c r="AC55" s="19"/>
      <c r="AD55" s="19"/>
      <c r="AE55" s="19"/>
      <c r="AF55" s="19"/>
    </row>
    <row r="56" spans="2:40" ht="17.399999999999999">
      <c r="B56" s="10" t="s">
        <v>5</v>
      </c>
      <c r="AM56" s="19"/>
      <c r="AN56" s="19"/>
    </row>
    <row r="57" spans="2:40" s="19" customFormat="1" ht="27.6">
      <c r="B57" s="37"/>
      <c r="C57" s="38" t="s">
        <v>53</v>
      </c>
      <c r="D57" s="37" t="s">
        <v>62</v>
      </c>
      <c r="E57" s="37" t="s">
        <v>63</v>
      </c>
      <c r="F57" s="37" t="s">
        <v>48</v>
      </c>
      <c r="G57" s="37" t="s">
        <v>68</v>
      </c>
      <c r="H57" s="37" t="s">
        <v>31</v>
      </c>
      <c r="I57" s="37"/>
      <c r="J57" s="37"/>
      <c r="K57" s="37"/>
      <c r="L57" s="2"/>
      <c r="M57" s="2"/>
      <c r="N57" s="2"/>
      <c r="O57" s="2"/>
      <c r="P57" s="2"/>
      <c r="Q57" s="2"/>
      <c r="R57" s="2"/>
      <c r="S57" s="2"/>
      <c r="T57" s="2"/>
      <c r="U57" s="2"/>
      <c r="V57" s="9"/>
      <c r="W57" s="9"/>
      <c r="X57" s="9"/>
      <c r="Y57" s="9"/>
      <c r="Z57" s="9"/>
      <c r="AB57" s="9"/>
      <c r="AC57" s="9"/>
      <c r="AD57" s="9"/>
      <c r="AE57" s="9"/>
      <c r="AF57" s="9"/>
      <c r="AM57" s="9"/>
      <c r="AN57" s="9"/>
    </row>
    <row r="58" spans="2:40">
      <c r="B58" s="35" t="s">
        <v>61</v>
      </c>
      <c r="C58" s="73">
        <f>IF(C6="Yes",C48,C49)</f>
        <v>2864</v>
      </c>
      <c r="D58" s="74">
        <f>C58/C29</f>
        <v>489.5726495726496</v>
      </c>
      <c r="E58" s="74" t="e">
        <f>C58/C4</f>
        <v>#DIV/0!</v>
      </c>
      <c r="F58" s="69" t="e">
        <f>(D58-E58)*C31*C30*C5</f>
        <v>#DIV/0!</v>
      </c>
      <c r="G58" s="77" t="e">
        <f>F58*C28</f>
        <v>#DIV/0!</v>
      </c>
      <c r="H58" s="63">
        <f>IF(C4&gt;5.85,C32*C3,0)</f>
        <v>0</v>
      </c>
      <c r="I58" s="36"/>
      <c r="J58" s="36"/>
      <c r="K58" s="36"/>
      <c r="AB58" s="19"/>
      <c r="AC58" s="19"/>
      <c r="AD58" s="19"/>
      <c r="AE58" s="19"/>
      <c r="AF58" s="19"/>
    </row>
    <row r="59" spans="2:40">
      <c r="B59" s="78"/>
      <c r="C59" s="80"/>
      <c r="D59" s="81"/>
      <c r="E59" s="81"/>
      <c r="F59" s="79"/>
      <c r="G59" s="82"/>
      <c r="H59" s="83"/>
      <c r="I59" s="84"/>
      <c r="J59" s="84"/>
      <c r="K59" s="84"/>
      <c r="AM59" s="19"/>
      <c r="AN59" s="19"/>
    </row>
    <row r="60" spans="2:40" s="19" customFormat="1" ht="27.6">
      <c r="B60" s="37"/>
      <c r="C60" s="38" t="s">
        <v>80</v>
      </c>
      <c r="D60" s="37" t="s">
        <v>81</v>
      </c>
      <c r="E60" s="37" t="s">
        <v>82</v>
      </c>
      <c r="F60" s="37" t="s">
        <v>83</v>
      </c>
      <c r="G60" s="37" t="s">
        <v>48</v>
      </c>
      <c r="H60" s="37" t="s">
        <v>68</v>
      </c>
      <c r="I60" s="37" t="s">
        <v>31</v>
      </c>
      <c r="J60" s="37"/>
      <c r="K60" s="37"/>
      <c r="L60" s="2"/>
      <c r="M60" s="2"/>
      <c r="N60" s="2"/>
      <c r="O60" s="2"/>
      <c r="P60" s="2"/>
      <c r="Q60" s="2"/>
      <c r="R60" s="2"/>
      <c r="S60" s="2"/>
      <c r="T60" s="2"/>
      <c r="U60" s="2"/>
      <c r="V60" s="9"/>
      <c r="W60" s="9"/>
      <c r="X60" s="9"/>
      <c r="Y60" s="9"/>
      <c r="Z60" s="9"/>
      <c r="AB60" s="9"/>
      <c r="AC60" s="9"/>
      <c r="AD60" s="9"/>
      <c r="AE60" s="9"/>
      <c r="AF60" s="9"/>
      <c r="AM60" s="9"/>
      <c r="AN60" s="9"/>
    </row>
    <row r="61" spans="2:40">
      <c r="B61" s="35" t="s">
        <v>79</v>
      </c>
      <c r="C61" s="72">
        <f>C7</f>
        <v>0</v>
      </c>
      <c r="D61" s="72" t="e">
        <f>VLOOKUP(C8,E48:F48,2,FALSE)</f>
        <v>#N/A</v>
      </c>
      <c r="E61" s="74">
        <f>C33</f>
        <v>0.5</v>
      </c>
      <c r="F61" s="86">
        <f>C34</f>
        <v>0.8</v>
      </c>
      <c r="G61" s="72" t="e">
        <f>C61*D61*E61*F61</f>
        <v>#N/A</v>
      </c>
      <c r="H61" s="77" t="e">
        <f>G61*0</f>
        <v>#N/A</v>
      </c>
      <c r="I61" s="63">
        <f>C7*C35</f>
        <v>0</v>
      </c>
      <c r="J61" s="36"/>
      <c r="K61" s="36"/>
      <c r="AB61" s="19"/>
      <c r="AC61" s="19"/>
      <c r="AD61" s="19"/>
      <c r="AE61" s="19"/>
      <c r="AF61" s="19"/>
    </row>
    <row r="62" spans="2:40">
      <c r="AM62" s="19"/>
      <c r="AN62" s="19"/>
    </row>
    <row r="63" spans="2:40" s="19" customFormat="1" ht="27.6">
      <c r="B63" s="37"/>
      <c r="C63" s="38" t="s">
        <v>93</v>
      </c>
      <c r="D63" s="37" t="s">
        <v>108</v>
      </c>
      <c r="E63" s="37" t="s">
        <v>109</v>
      </c>
      <c r="F63" s="37" t="s">
        <v>110</v>
      </c>
      <c r="G63" s="37" t="s">
        <v>111</v>
      </c>
      <c r="H63" s="37" t="s">
        <v>112</v>
      </c>
      <c r="I63" s="37" t="s">
        <v>113</v>
      </c>
      <c r="J63" s="37" t="s">
        <v>48</v>
      </c>
      <c r="K63" s="37" t="s">
        <v>68</v>
      </c>
      <c r="L63" s="37" t="s">
        <v>31</v>
      </c>
      <c r="M63" s="2"/>
      <c r="N63" s="2"/>
      <c r="O63" s="2"/>
      <c r="P63" s="2"/>
      <c r="Q63" s="2"/>
      <c r="R63" s="2"/>
      <c r="S63" s="2"/>
      <c r="T63" s="2"/>
      <c r="U63" s="2"/>
      <c r="V63" s="9"/>
      <c r="W63" s="9"/>
      <c r="X63" s="9"/>
      <c r="Y63" s="9"/>
      <c r="Z63" s="9"/>
      <c r="AA63" s="9"/>
      <c r="AB63" s="9"/>
      <c r="AC63" s="9"/>
      <c r="AD63" s="9"/>
      <c r="AE63" s="9"/>
      <c r="AF63" s="9"/>
      <c r="AM63" s="9"/>
      <c r="AN63" s="9"/>
    </row>
    <row r="64" spans="2:40">
      <c r="B64" s="35" t="s">
        <v>107</v>
      </c>
      <c r="C64" s="72">
        <f>C9</f>
        <v>0</v>
      </c>
      <c r="D64" s="76">
        <f>C36</f>
        <v>0.746</v>
      </c>
      <c r="E64" s="74">
        <f>C37</f>
        <v>0.9</v>
      </c>
      <c r="F64" s="86">
        <f>C10</f>
        <v>0</v>
      </c>
      <c r="G64" s="74">
        <f>C38</f>
        <v>0.46</v>
      </c>
      <c r="H64" s="72">
        <f>C11</f>
        <v>0</v>
      </c>
      <c r="I64" s="72">
        <f>C12</f>
        <v>0</v>
      </c>
      <c r="J64" s="73" t="e">
        <f>C64*D64*(E64/F64)*G64*H64*I64</f>
        <v>#DIV/0!</v>
      </c>
      <c r="K64" s="77" t="e">
        <f>J64*C28</f>
        <v>#DIV/0!</v>
      </c>
      <c r="L64" s="63" t="e">
        <f>IF(J64&gt;0,C39,0)</f>
        <v>#DIV/0!</v>
      </c>
    </row>
    <row r="65" spans="2:40">
      <c r="U65" s="9"/>
      <c r="AB65" s="19"/>
      <c r="AC65" s="19"/>
      <c r="AD65" s="19"/>
      <c r="AE65" s="19"/>
      <c r="AF65" s="19"/>
    </row>
    <row r="66" spans="2:40" s="19" customFormat="1" ht="41.4">
      <c r="B66" s="37"/>
      <c r="C66" s="38" t="s">
        <v>142</v>
      </c>
      <c r="D66" s="37" t="s">
        <v>141</v>
      </c>
      <c r="E66" s="37" t="s">
        <v>256</v>
      </c>
      <c r="F66" s="37" t="s">
        <v>257</v>
      </c>
      <c r="G66" s="37" t="s">
        <v>153</v>
      </c>
      <c r="H66" s="38" t="s">
        <v>143</v>
      </c>
      <c r="I66" s="37" t="s">
        <v>144</v>
      </c>
      <c r="J66" s="37" t="s">
        <v>154</v>
      </c>
      <c r="K66" s="37" t="s">
        <v>48</v>
      </c>
      <c r="L66" s="37" t="s">
        <v>68</v>
      </c>
      <c r="M66" s="37" t="s">
        <v>31</v>
      </c>
      <c r="N66" s="2"/>
      <c r="O66" s="2"/>
      <c r="P66" s="2"/>
      <c r="Q66" s="2"/>
      <c r="R66" s="2"/>
      <c r="S66" s="2"/>
      <c r="T66" s="2"/>
      <c r="U66" s="2"/>
      <c r="V66" s="9"/>
      <c r="W66" s="9"/>
      <c r="X66" s="9"/>
      <c r="Y66" s="9"/>
      <c r="Z66" s="9"/>
      <c r="AA66" s="9"/>
      <c r="AB66" s="9"/>
      <c r="AC66" s="9"/>
      <c r="AD66" s="9"/>
      <c r="AE66" s="9"/>
      <c r="AF66" s="9"/>
      <c r="AG66" s="9"/>
    </row>
    <row r="67" spans="2:40">
      <c r="B67" s="35" t="s">
        <v>139</v>
      </c>
      <c r="C67" s="72">
        <f>C13</f>
        <v>0</v>
      </c>
      <c r="D67" s="74" t="e">
        <f>VLOOKUP(C14,H48:K51,3,FALSE)</f>
        <v>#N/A</v>
      </c>
      <c r="E67" s="74" t="e">
        <f>VLOOKUP(C14,H47:K53,2,FALSE)</f>
        <v>#N/A</v>
      </c>
      <c r="F67" s="73" t="e">
        <f>VLOOKUP(C16,H48:K51,2,FALSE)</f>
        <v>#N/A</v>
      </c>
      <c r="G67" s="73" t="e">
        <f>HLOOKUP(C18,N47:Q48,2,FALSE)</f>
        <v>#N/A</v>
      </c>
      <c r="H67" s="72">
        <f>C15</f>
        <v>0</v>
      </c>
      <c r="I67" s="74" t="e">
        <f>VLOOKUP(C16,H48:K51,4,FALSE)</f>
        <v>#N/A</v>
      </c>
      <c r="J67" s="73" t="e">
        <f>HLOOKUP(C18,N51:Q52,2,FALSE)</f>
        <v>#N/A</v>
      </c>
      <c r="K67" s="73" t="e">
        <f>(C67*(1/D67)*E67*G67*(1/1000))-(H67*(1/I67)*F67*G67*(1/1000))</f>
        <v>#N/A</v>
      </c>
      <c r="L67" s="77" t="e">
        <f>K67*C$28</f>
        <v>#N/A</v>
      </c>
      <c r="M67" s="63">
        <f>IF(C15&gt;0,C15*C40,0)</f>
        <v>0</v>
      </c>
      <c r="V67" s="2"/>
    </row>
    <row r="68" spans="2:40">
      <c r="B68" s="35" t="s">
        <v>140</v>
      </c>
      <c r="C68" s="72">
        <f>C67</f>
        <v>0</v>
      </c>
      <c r="D68" s="74" t="e">
        <f t="shared" ref="D68:J68" si="2">D67</f>
        <v>#N/A</v>
      </c>
      <c r="E68" s="74" t="e">
        <f>E67</f>
        <v>#N/A</v>
      </c>
      <c r="F68" s="73" t="e">
        <f t="shared" si="2"/>
        <v>#N/A</v>
      </c>
      <c r="G68" s="73" t="e">
        <f t="shared" si="2"/>
        <v>#N/A</v>
      </c>
      <c r="H68" s="72">
        <f t="shared" si="2"/>
        <v>0</v>
      </c>
      <c r="I68" s="74" t="e">
        <f t="shared" si="2"/>
        <v>#N/A</v>
      </c>
      <c r="J68" s="73" t="e">
        <f t="shared" si="2"/>
        <v>#N/A</v>
      </c>
      <c r="K68" s="73" t="str">
        <f>IF(C17="Yes",(1/I68)*F68*J68*(1/1000),"")</f>
        <v/>
      </c>
      <c r="L68" s="77"/>
      <c r="M68" s="63"/>
      <c r="V68" s="2"/>
    </row>
    <row r="70" spans="2:40" s="19" customFormat="1" ht="41.4">
      <c r="B70" s="37"/>
      <c r="C70" s="37" t="s">
        <v>243</v>
      </c>
      <c r="D70" s="37" t="s">
        <v>244</v>
      </c>
      <c r="E70" s="37" t="s">
        <v>245</v>
      </c>
      <c r="F70" s="37" t="s">
        <v>246</v>
      </c>
      <c r="G70" s="38" t="s">
        <v>167</v>
      </c>
      <c r="H70" s="37" t="s">
        <v>153</v>
      </c>
      <c r="I70" s="37" t="s">
        <v>48</v>
      </c>
      <c r="J70" s="37" t="s">
        <v>68</v>
      </c>
      <c r="K70" s="37" t="s">
        <v>31</v>
      </c>
      <c r="L70" s="2"/>
      <c r="M70" s="2"/>
      <c r="N70" s="2"/>
      <c r="O70" s="2"/>
      <c r="P70" s="2"/>
      <c r="Q70" s="2"/>
      <c r="R70" s="2"/>
      <c r="S70" s="2"/>
      <c r="T70" s="2"/>
      <c r="U70" s="2"/>
      <c r="V70" s="9"/>
      <c r="W70" s="9"/>
      <c r="X70" s="9"/>
      <c r="Y70" s="9"/>
      <c r="Z70" s="9"/>
      <c r="AB70" s="9"/>
      <c r="AC70" s="9"/>
      <c r="AD70" s="9"/>
      <c r="AE70" s="9"/>
      <c r="AF70" s="9"/>
      <c r="AM70" s="9"/>
      <c r="AN70" s="9"/>
    </row>
    <row r="71" spans="2:40">
      <c r="B71" s="35" t="s">
        <v>158</v>
      </c>
      <c r="C71" s="72">
        <f>C20</f>
        <v>0</v>
      </c>
      <c r="D71" s="72">
        <f>C21</f>
        <v>0</v>
      </c>
      <c r="E71" s="72" t="e">
        <f>VLOOKUP(C22,AH47:AK51,3,FALSE)</f>
        <v>#N/A</v>
      </c>
      <c r="F71" s="72" t="e">
        <f>VLOOKUP(C23,AH47:AK51,2,FALSE)</f>
        <v>#N/A</v>
      </c>
      <c r="G71" s="73" t="e">
        <f>E71-F71</f>
        <v>#N/A</v>
      </c>
      <c r="H71" s="73" t="e">
        <f>VLOOKUP(C24,AM48:AN48,2,FALSE)</f>
        <v>#N/A</v>
      </c>
      <c r="I71" s="73" t="e">
        <f>D71*(G71/1000)*H71</f>
        <v>#N/A</v>
      </c>
      <c r="J71" s="96" t="e">
        <f>D71*G71/1000*C$41</f>
        <v>#N/A</v>
      </c>
      <c r="K71" s="63">
        <f>IF(C21&gt;0,C21*C42,0)</f>
        <v>0</v>
      </c>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2:F25"/>
  <sheetViews>
    <sheetView workbookViewId="0">
      <selection activeCell="B11" sqref="B11"/>
    </sheetView>
  </sheetViews>
  <sheetFormatPr defaultColWidth="8.69921875" defaultRowHeight="13.8"/>
  <cols>
    <col min="1" max="1" width="3.69921875" style="20" customWidth="1"/>
    <col min="2" max="2" width="8.8984375" style="20" customWidth="1"/>
    <col min="3" max="3" width="11.3984375" style="20" bestFit="1" customWidth="1"/>
    <col min="4" max="4" width="19.19921875" style="20" customWidth="1"/>
    <col min="5" max="5" width="52.69921875" style="23" customWidth="1"/>
    <col min="6" max="6" width="26.69921875" style="20" customWidth="1"/>
    <col min="7" max="16384" width="8.69921875" style="1"/>
  </cols>
  <sheetData>
    <row r="2" spans="1:6" ht="20.399999999999999">
      <c r="B2" s="203" t="s">
        <v>13</v>
      </c>
      <c r="C2" s="203"/>
      <c r="D2" s="203"/>
      <c r="E2" s="203"/>
      <c r="F2" s="203"/>
    </row>
    <row r="4" spans="1:6">
      <c r="B4" s="55" t="s">
        <v>21</v>
      </c>
      <c r="D4" s="56" t="s">
        <v>24</v>
      </c>
      <c r="E4" s="57" t="s">
        <v>20</v>
      </c>
      <c r="F4" s="56" t="s">
        <v>179</v>
      </c>
    </row>
    <row r="5" spans="1:6">
      <c r="B5" s="55" t="s">
        <v>22</v>
      </c>
      <c r="D5" s="58" t="s">
        <v>24</v>
      </c>
      <c r="E5" s="59" t="s">
        <v>23</v>
      </c>
      <c r="F5" s="58" t="s">
        <v>179</v>
      </c>
    </row>
    <row r="6" spans="1:6" ht="25.5" customHeight="1"/>
    <row r="7" spans="1:6" s="34" customFormat="1">
      <c r="A7" s="33"/>
      <c r="B7" s="40" t="s">
        <v>11</v>
      </c>
      <c r="C7" s="41" t="s">
        <v>0</v>
      </c>
      <c r="D7" s="41" t="s">
        <v>18</v>
      </c>
      <c r="E7" s="42" t="s">
        <v>19</v>
      </c>
      <c r="F7" s="43" t="s">
        <v>12</v>
      </c>
    </row>
    <row r="8" spans="1:6" ht="28.5" customHeight="1">
      <c r="B8" s="44">
        <v>1</v>
      </c>
      <c r="C8" s="45">
        <v>43090</v>
      </c>
      <c r="D8" s="45" t="s">
        <v>25</v>
      </c>
      <c r="E8" s="46" t="s">
        <v>26</v>
      </c>
      <c r="F8" s="47" t="s">
        <v>27</v>
      </c>
    </row>
    <row r="9" spans="1:6" ht="36" customHeight="1">
      <c r="B9" s="44">
        <v>1</v>
      </c>
      <c r="C9" s="45">
        <v>43110</v>
      </c>
      <c r="D9" s="48" t="s">
        <v>226</v>
      </c>
      <c r="E9" s="46" t="s">
        <v>227</v>
      </c>
      <c r="F9" s="47" t="s">
        <v>179</v>
      </c>
    </row>
    <row r="10" spans="1:6" ht="28.5" customHeight="1">
      <c r="B10" s="44">
        <v>1.1000000000000001</v>
      </c>
      <c r="C10" s="45">
        <v>43123</v>
      </c>
      <c r="D10" s="48" t="s">
        <v>226</v>
      </c>
      <c r="E10" s="46" t="s">
        <v>234</v>
      </c>
      <c r="F10" s="47" t="s">
        <v>179</v>
      </c>
    </row>
    <row r="11" spans="1:6" ht="28.5" customHeight="1">
      <c r="B11" s="44"/>
      <c r="C11" s="45"/>
      <c r="D11" s="48"/>
      <c r="E11" s="46"/>
      <c r="F11" s="47"/>
    </row>
    <row r="12" spans="1:6" ht="28.5" customHeight="1">
      <c r="B12" s="44"/>
      <c r="C12" s="45"/>
      <c r="D12" s="48"/>
      <c r="E12" s="46"/>
      <c r="F12" s="47"/>
    </row>
    <row r="13" spans="1:6" ht="28.5" customHeight="1">
      <c r="B13" s="44"/>
      <c r="C13" s="48"/>
      <c r="D13" s="48"/>
      <c r="E13" s="46"/>
      <c r="F13" s="47"/>
    </row>
    <row r="14" spans="1:6" ht="28.5" customHeight="1">
      <c r="B14" s="44"/>
      <c r="C14" s="48"/>
      <c r="D14" s="48"/>
      <c r="E14" s="46"/>
      <c r="F14" s="47"/>
    </row>
    <row r="15" spans="1:6" ht="28.5" customHeight="1">
      <c r="B15" s="44"/>
      <c r="C15" s="48"/>
      <c r="D15" s="48"/>
      <c r="E15" s="46"/>
      <c r="F15" s="47"/>
    </row>
    <row r="16" spans="1:6" ht="28.5" customHeight="1">
      <c r="B16" s="44"/>
      <c r="C16" s="48"/>
      <c r="D16" s="48"/>
      <c r="E16" s="46"/>
      <c r="F16" s="47"/>
    </row>
    <row r="17" spans="2:6" ht="28.5" customHeight="1">
      <c r="B17" s="44"/>
      <c r="C17" s="48"/>
      <c r="D17" s="48"/>
      <c r="E17" s="46"/>
      <c r="F17" s="47"/>
    </row>
    <row r="18" spans="2:6" ht="28.5" customHeight="1">
      <c r="B18" s="44"/>
      <c r="C18" s="48"/>
      <c r="D18" s="48"/>
      <c r="E18" s="46"/>
      <c r="F18" s="47"/>
    </row>
    <row r="19" spans="2:6" ht="28.5" customHeight="1">
      <c r="B19" s="44"/>
      <c r="C19" s="48"/>
      <c r="D19" s="48"/>
      <c r="E19" s="46"/>
      <c r="F19" s="47"/>
    </row>
    <row r="20" spans="2:6" ht="28.5" customHeight="1">
      <c r="B20" s="44"/>
      <c r="C20" s="48"/>
      <c r="D20" s="48"/>
      <c r="E20" s="46"/>
      <c r="F20" s="47"/>
    </row>
    <row r="21" spans="2:6" ht="28.5" customHeight="1">
      <c r="B21" s="44"/>
      <c r="C21" s="48"/>
      <c r="D21" s="48"/>
      <c r="E21" s="46"/>
      <c r="F21" s="47"/>
    </row>
    <row r="22" spans="2:6" ht="28.5" customHeight="1">
      <c r="B22" s="44"/>
      <c r="C22" s="48"/>
      <c r="D22" s="48"/>
      <c r="E22" s="46"/>
      <c r="F22" s="47"/>
    </row>
    <row r="23" spans="2:6" ht="28.5" customHeight="1">
      <c r="B23" s="44"/>
      <c r="C23" s="48"/>
      <c r="D23" s="48"/>
      <c r="E23" s="46"/>
      <c r="F23" s="47"/>
    </row>
    <row r="24" spans="2:6" ht="28.5" customHeight="1">
      <c r="B24" s="39"/>
      <c r="C24" s="49"/>
      <c r="D24" s="49"/>
      <c r="E24" s="50"/>
      <c r="F24" s="51"/>
    </row>
    <row r="25" spans="2:6">
      <c r="B25" s="21"/>
      <c r="C25" s="21"/>
      <c r="D25" s="21"/>
      <c r="E25" s="22"/>
      <c r="F25" s="21"/>
    </row>
  </sheetData>
  <sheetProtection algorithmName="SHA-512" hashValue="EjvDvmmvSCEquNTWi8pcLKQDTRGFUmpQe+2orpEkJwl0iHBfOsCkF2WJfhPFKH+kGtWH3RJD00ttCMP3xgLhWQ==" saltValue="7auvE6nZyeUGtZAzdy/RVA==" spinCount="100000" sheet="1" objects="1" scenarios="1"/>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2:BK6"/>
  <sheetViews>
    <sheetView workbookViewId="0">
      <selection sqref="A1:XFD1048576"/>
    </sheetView>
  </sheetViews>
  <sheetFormatPr defaultColWidth="0" defaultRowHeight="13.8"/>
  <cols>
    <col min="1" max="1" width="3.19921875" style="140" customWidth="1"/>
    <col min="2" max="2" width="53.59765625" style="140" bestFit="1" customWidth="1"/>
    <col min="3" max="3" width="2.8984375" style="132" customWidth="1"/>
    <col min="4" max="11" width="8.69921875" style="140" customWidth="1"/>
    <col min="12" max="12" width="4.59765625" style="140" customWidth="1"/>
    <col min="13" max="13" width="2.8984375" style="132" customWidth="1"/>
    <col min="14" max="21" width="8.69921875" style="140" customWidth="1"/>
    <col min="22" max="22" width="4.69921875" style="140" customWidth="1"/>
    <col min="23" max="23" width="2.8984375" style="132" customWidth="1"/>
    <col min="24" max="31" width="8.69921875" style="140" customWidth="1"/>
    <col min="32" max="32" width="4.19921875" style="140" customWidth="1"/>
    <col min="33" max="33" width="4.5" style="132" customWidth="1"/>
    <col min="34" max="42" width="8.69921875" style="140" customWidth="1"/>
    <col min="43" max="43" width="4.5" style="132" customWidth="1"/>
    <col min="44" max="52" width="8.69921875" style="140" customWidth="1"/>
    <col min="53" max="53" width="3.69921875" style="140" customWidth="1"/>
    <col min="54" max="54" width="4.5" style="132" customWidth="1"/>
    <col min="55" max="62" width="8.69921875" style="140" customWidth="1"/>
    <col min="63" max="63" width="5.09765625" style="140" customWidth="1"/>
    <col min="64" max="16384" width="8.69921875" style="140" hidden="1"/>
  </cols>
  <sheetData>
    <row r="2" spans="2:55" ht="34.200000000000003">
      <c r="B2" s="136" t="s">
        <v>15</v>
      </c>
      <c r="C2" s="139"/>
      <c r="D2" s="137" t="s">
        <v>185</v>
      </c>
      <c r="M2" s="139"/>
      <c r="N2" s="137" t="s">
        <v>185</v>
      </c>
      <c r="W2" s="139"/>
      <c r="X2" s="137" t="s">
        <v>185</v>
      </c>
      <c r="AG2" s="139"/>
      <c r="AH2" s="137" t="s">
        <v>185</v>
      </c>
      <c r="AQ2" s="139"/>
      <c r="AR2" s="137" t="s">
        <v>185</v>
      </c>
      <c r="BB2" s="139"/>
      <c r="BC2" s="137" t="s">
        <v>185</v>
      </c>
    </row>
    <row r="4" spans="2:55" ht="30" customHeight="1">
      <c r="B4" s="138" t="s">
        <v>188</v>
      </c>
      <c r="C4" s="130"/>
      <c r="D4" s="138" t="s">
        <v>186</v>
      </c>
      <c r="M4" s="130"/>
      <c r="N4" s="138" t="s">
        <v>187</v>
      </c>
      <c r="W4" s="130"/>
      <c r="X4" s="138" t="s">
        <v>79</v>
      </c>
      <c r="AG4" s="130"/>
      <c r="AH4" s="138" t="s">
        <v>189</v>
      </c>
      <c r="AQ4" s="130"/>
      <c r="AR4" s="138" t="s">
        <v>190</v>
      </c>
      <c r="BB4" s="130"/>
      <c r="BC4" s="138" t="s">
        <v>158</v>
      </c>
    </row>
    <row r="6" spans="2:55" ht="33" customHeight="1">
      <c r="B6" s="129" t="s">
        <v>185</v>
      </c>
      <c r="C6" s="130"/>
      <c r="M6" s="130"/>
      <c r="W6" s="130"/>
      <c r="AG6" s="130"/>
      <c r="AQ6" s="130"/>
      <c r="BB6" s="13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tabColor theme="8" tint="0.59999389629810485"/>
  </sheetPr>
  <dimension ref="A1:AG72"/>
  <sheetViews>
    <sheetView showZeros="0" workbookViewId="0">
      <selection activeCell="B7" sqref="B7:C7"/>
    </sheetView>
  </sheetViews>
  <sheetFormatPr defaultColWidth="9" defaultRowHeight="13.8"/>
  <cols>
    <col min="1" max="1" width="3" style="14" customWidth="1"/>
    <col min="2" max="2" width="14.3984375" style="121" bestFit="1" customWidth="1"/>
    <col min="3" max="3" width="41.69921875" style="121" customWidth="1"/>
    <col min="4" max="4" width="5.19921875" style="14" customWidth="1"/>
    <col min="5" max="5" width="40.3984375" style="120" bestFit="1" customWidth="1"/>
    <col min="6" max="9" width="20.59765625" style="120" customWidth="1"/>
    <col min="10" max="31" width="9" style="14"/>
    <col min="32" max="33" width="9" style="122"/>
    <col min="34" max="16384" width="9" style="121"/>
  </cols>
  <sheetData>
    <row r="1" spans="2:33" s="14" customFormat="1"/>
    <row r="2" spans="2:33" s="99" customFormat="1" ht="12">
      <c r="H2" s="100" t="s">
        <v>228</v>
      </c>
      <c r="I2" s="128">
        <v>1.1000000000000001</v>
      </c>
    </row>
    <row r="3" spans="2:33" s="99" customFormat="1" ht="12">
      <c r="H3" s="100" t="s">
        <v>229</v>
      </c>
      <c r="I3" s="101">
        <v>43123</v>
      </c>
    </row>
    <row r="4" spans="2:33" s="14" customFormat="1" ht="14.4" thickBot="1"/>
    <row r="5" spans="2:33" s="17" customFormat="1" ht="24.9" customHeight="1">
      <c r="B5" s="102" t="s">
        <v>0</v>
      </c>
      <c r="C5" s="103"/>
      <c r="E5" s="184" t="s">
        <v>216</v>
      </c>
      <c r="F5" s="186" t="s">
        <v>217</v>
      </c>
      <c r="G5" s="188" t="s">
        <v>218</v>
      </c>
      <c r="H5" s="188"/>
      <c r="I5" s="189" t="s">
        <v>31</v>
      </c>
      <c r="AF5" s="104"/>
      <c r="AG5" s="104"/>
    </row>
    <row r="6" spans="2:33" s="17" customFormat="1" ht="24.9" customHeight="1">
      <c r="B6" s="105" t="s">
        <v>219</v>
      </c>
      <c r="C6" s="106"/>
      <c r="E6" s="185"/>
      <c r="F6" s="187"/>
      <c r="G6" s="107" t="s">
        <v>33</v>
      </c>
      <c r="H6" s="107" t="s">
        <v>1</v>
      </c>
      <c r="I6" s="190"/>
      <c r="AF6" s="104"/>
      <c r="AG6" s="104"/>
    </row>
    <row r="7" spans="2:33" s="17" customFormat="1" ht="24.9" customHeight="1" thickBot="1">
      <c r="B7" s="108" t="s">
        <v>220</v>
      </c>
      <c r="C7" s="109"/>
      <c r="E7" s="125" t="s">
        <v>222</v>
      </c>
      <c r="F7" s="123">
        <f>'Auto Milker Takeoff Calculator'!C11</f>
        <v>0</v>
      </c>
      <c r="G7" s="110">
        <f>'Auto Milker Takeoff Calculator'!C14</f>
        <v>0</v>
      </c>
      <c r="H7" s="111">
        <f>'Auto Milker Takeoff Calculator'!C13</f>
        <v>0</v>
      </c>
      <c r="I7" s="112" t="str">
        <f>'Auto Milker Takeoff Calculator'!C15</f>
        <v/>
      </c>
      <c r="AF7" s="104"/>
      <c r="AG7" s="104"/>
    </row>
    <row r="8" spans="2:33" s="17" customFormat="1" ht="24.9" customHeight="1">
      <c r="E8" s="126" t="s">
        <v>61</v>
      </c>
      <c r="F8" s="124">
        <f>'Dairy Scroll Comp Calculator'!C13</f>
        <v>0</v>
      </c>
      <c r="G8" s="113" t="str">
        <f>'Dairy Scroll Comp Calculator'!C16</f>
        <v/>
      </c>
      <c r="H8" s="114" t="str">
        <f>'Dairy Scroll Comp Calculator'!C15</f>
        <v/>
      </c>
      <c r="I8" s="115" t="str">
        <f>'Dairy Scroll Comp Calculator'!C17</f>
        <v/>
      </c>
      <c r="AF8" s="104"/>
      <c r="AG8" s="104"/>
    </row>
    <row r="9" spans="2:33" s="17" customFormat="1" ht="24.9" customHeight="1">
      <c r="E9" s="125" t="s">
        <v>79</v>
      </c>
      <c r="F9" s="123">
        <f>'Livestock Waterer Calculator'!C11</f>
        <v>0</v>
      </c>
      <c r="G9" s="110" t="str">
        <f>'Livestock Waterer Calculator'!C14</f>
        <v/>
      </c>
      <c r="H9" s="111" t="str">
        <f>'Livestock Waterer Calculator'!C13</f>
        <v/>
      </c>
      <c r="I9" s="112" t="str">
        <f>'Livestock Waterer Calculator'!C15</f>
        <v/>
      </c>
      <c r="AF9" s="104"/>
      <c r="AG9" s="104"/>
    </row>
    <row r="10" spans="2:33" s="17" customFormat="1" ht="24.9" customHeight="1">
      <c r="E10" s="126" t="s">
        <v>223</v>
      </c>
      <c r="F10" s="124">
        <f>'VSD Controller'!C13</f>
        <v>0</v>
      </c>
      <c r="G10" s="113" t="str">
        <f>'VSD Controller'!C16</f>
        <v/>
      </c>
      <c r="H10" s="114" t="str">
        <f>'VSD Controller'!C15</f>
        <v/>
      </c>
      <c r="I10" s="115" t="str">
        <f>'VSD Controller'!C17</f>
        <v/>
      </c>
      <c r="AF10" s="104"/>
      <c r="AG10" s="104"/>
    </row>
    <row r="11" spans="2:33" s="17" customFormat="1" ht="24.9" customHeight="1">
      <c r="E11" s="125" t="s">
        <v>224</v>
      </c>
      <c r="F11" s="123">
        <f>'Hi Eff Vent Fans'!C16</f>
        <v>0</v>
      </c>
      <c r="G11" s="110" t="str">
        <f>'Hi Eff Vent Fans'!C21</f>
        <v/>
      </c>
      <c r="H11" s="111" t="str">
        <f>'Hi Eff Vent Fans'!C20</f>
        <v/>
      </c>
      <c r="I11" s="112" t="str">
        <f>'Hi Eff Vent Fans'!C22</f>
        <v/>
      </c>
      <c r="AF11" s="104"/>
      <c r="AG11" s="104"/>
    </row>
    <row r="12" spans="2:33" s="17" customFormat="1" ht="24.9" customHeight="1">
      <c r="E12" s="126" t="s">
        <v>225</v>
      </c>
      <c r="F12" s="124">
        <f>'Hi Vol Low Speed Fans'!C14</f>
        <v>0</v>
      </c>
      <c r="G12" s="113" t="str">
        <f>'Hi Vol Low Speed Fans'!C17</f>
        <v/>
      </c>
      <c r="H12" s="114" t="str">
        <f>'Hi Vol Low Speed Fans'!C16</f>
        <v/>
      </c>
      <c r="I12" s="115" t="str">
        <f>'Hi Vol Low Speed Fans'!C18</f>
        <v/>
      </c>
      <c r="AF12" s="104"/>
      <c r="AG12" s="104"/>
    </row>
    <row r="13" spans="2:33" s="17" customFormat="1" ht="24.9" customHeight="1" thickBot="1">
      <c r="E13" s="127" t="s">
        <v>221</v>
      </c>
      <c r="F13" s="116">
        <f>SUM(F7:F12)</f>
        <v>0</v>
      </c>
      <c r="G13" s="117">
        <f>SUM(G7:G12)</f>
        <v>0</v>
      </c>
      <c r="H13" s="118">
        <f>SUM(H7:H12)</f>
        <v>0</v>
      </c>
      <c r="I13" s="119">
        <f>SUM(I7:I12)</f>
        <v>0</v>
      </c>
      <c r="AF13" s="104"/>
      <c r="AG13" s="104"/>
    </row>
    <row r="14" spans="2:33" s="14" customFormat="1" ht="24.9" customHeight="1"/>
    <row r="15" spans="2:33" s="14" customFormat="1" ht="24.9" customHeight="1"/>
    <row r="16" spans="2:33" s="14" customFormat="1" ht="24.9" customHeight="1"/>
    <row r="17" s="14" customFormat="1"/>
    <row r="18" s="14" customFormat="1"/>
    <row r="19" s="14" customFormat="1"/>
    <row r="20" s="14" customFormat="1"/>
    <row r="21" s="14" customFormat="1"/>
    <row r="22" s="14" customFormat="1"/>
    <row r="23" s="14" customFormat="1"/>
    <row r="24" s="14" customFormat="1"/>
    <row r="25" s="14" customFormat="1"/>
    <row r="26" s="14" customFormat="1"/>
    <row r="27" s="14" customFormat="1"/>
    <row r="28" s="14" customFormat="1"/>
    <row r="29" s="14" customFormat="1"/>
    <row r="30" s="14" customFormat="1"/>
    <row r="31" s="14" customFormat="1"/>
    <row r="32" s="14" customFormat="1"/>
    <row r="33" spans="1:31" s="14" customFormat="1"/>
    <row r="34" spans="1:31" s="14" customFormat="1"/>
    <row r="35" spans="1:31" s="14" customFormat="1"/>
    <row r="36" spans="1:31" s="120" customFormat="1">
      <c r="A36" s="14"/>
      <c r="D36" s="14"/>
      <c r="J36" s="14"/>
      <c r="K36" s="14"/>
      <c r="L36" s="14"/>
      <c r="M36" s="14"/>
      <c r="N36" s="14"/>
      <c r="O36" s="14"/>
      <c r="P36" s="14"/>
      <c r="Q36" s="14"/>
      <c r="R36" s="14"/>
      <c r="S36" s="14"/>
      <c r="T36" s="14"/>
      <c r="U36" s="14"/>
      <c r="V36" s="14"/>
      <c r="W36" s="14"/>
      <c r="X36" s="14"/>
      <c r="Y36" s="14"/>
      <c r="Z36" s="14"/>
      <c r="AA36" s="14"/>
      <c r="AB36" s="14"/>
      <c r="AC36" s="14"/>
      <c r="AD36" s="14"/>
      <c r="AE36" s="14"/>
    </row>
    <row r="37" spans="1:31" s="120" customFormat="1">
      <c r="A37" s="14"/>
      <c r="D37" s="14"/>
      <c r="J37" s="14"/>
      <c r="K37" s="14"/>
      <c r="L37" s="14"/>
      <c r="M37" s="14"/>
      <c r="N37" s="14"/>
      <c r="O37" s="14"/>
      <c r="P37" s="14"/>
      <c r="Q37" s="14"/>
      <c r="R37" s="14"/>
      <c r="S37" s="14"/>
      <c r="T37" s="14"/>
      <c r="U37" s="14"/>
      <c r="V37" s="14"/>
      <c r="W37" s="14"/>
      <c r="X37" s="14"/>
      <c r="Y37" s="14"/>
      <c r="Z37" s="14"/>
      <c r="AA37" s="14"/>
      <c r="AB37" s="14"/>
      <c r="AC37" s="14"/>
      <c r="AD37" s="14"/>
      <c r="AE37" s="14"/>
    </row>
    <row r="38" spans="1:31" s="120" customFormat="1">
      <c r="A38" s="14"/>
      <c r="D38" s="14"/>
      <c r="J38" s="14"/>
      <c r="K38" s="14"/>
      <c r="L38" s="14"/>
      <c r="M38" s="14"/>
      <c r="N38" s="14"/>
      <c r="O38" s="14"/>
      <c r="P38" s="14"/>
      <c r="Q38" s="14"/>
      <c r="R38" s="14"/>
      <c r="S38" s="14"/>
      <c r="T38" s="14"/>
      <c r="U38" s="14"/>
      <c r="V38" s="14"/>
      <c r="W38" s="14"/>
      <c r="X38" s="14"/>
      <c r="Y38" s="14"/>
      <c r="Z38" s="14"/>
      <c r="AA38" s="14"/>
      <c r="AB38" s="14"/>
      <c r="AC38" s="14"/>
      <c r="AD38" s="14"/>
      <c r="AE38" s="14"/>
    </row>
    <row r="39" spans="1:31" s="120" customFormat="1">
      <c r="A39" s="14"/>
      <c r="D39" s="14"/>
      <c r="J39" s="14"/>
      <c r="K39" s="14"/>
      <c r="L39" s="14"/>
      <c r="M39" s="14"/>
      <c r="N39" s="14"/>
      <c r="O39" s="14"/>
      <c r="P39" s="14"/>
      <c r="Q39" s="14"/>
      <c r="R39" s="14"/>
      <c r="S39" s="14"/>
      <c r="T39" s="14"/>
      <c r="U39" s="14"/>
      <c r="V39" s="14"/>
      <c r="W39" s="14"/>
      <c r="X39" s="14"/>
      <c r="Y39" s="14"/>
      <c r="Z39" s="14"/>
      <c r="AA39" s="14"/>
      <c r="AB39" s="14"/>
      <c r="AC39" s="14"/>
      <c r="AD39" s="14"/>
      <c r="AE39" s="14"/>
    </row>
    <row r="40" spans="1:31" s="120" customFormat="1">
      <c r="A40" s="14"/>
      <c r="D40" s="14"/>
      <c r="J40" s="14"/>
      <c r="K40" s="14"/>
      <c r="L40" s="14"/>
      <c r="M40" s="14"/>
      <c r="N40" s="14"/>
      <c r="O40" s="14"/>
      <c r="P40" s="14"/>
      <c r="Q40" s="14"/>
      <c r="R40" s="14"/>
      <c r="S40" s="14"/>
      <c r="T40" s="14"/>
      <c r="U40" s="14"/>
      <c r="V40" s="14"/>
      <c r="W40" s="14"/>
      <c r="X40" s="14"/>
      <c r="Y40" s="14"/>
      <c r="Z40" s="14"/>
      <c r="AA40" s="14"/>
      <c r="AB40" s="14"/>
      <c r="AC40" s="14"/>
      <c r="AD40" s="14"/>
      <c r="AE40" s="14"/>
    </row>
    <row r="41" spans="1:31" s="120" customFormat="1">
      <c r="A41" s="14"/>
      <c r="D41" s="14"/>
      <c r="J41" s="14"/>
      <c r="K41" s="14"/>
      <c r="L41" s="14"/>
      <c r="M41" s="14"/>
      <c r="N41" s="14"/>
      <c r="O41" s="14"/>
      <c r="P41" s="14"/>
      <c r="Q41" s="14"/>
      <c r="R41" s="14"/>
      <c r="S41" s="14"/>
      <c r="T41" s="14"/>
      <c r="U41" s="14"/>
      <c r="V41" s="14"/>
      <c r="W41" s="14"/>
      <c r="X41" s="14"/>
      <c r="Y41" s="14"/>
      <c r="Z41" s="14"/>
      <c r="AA41" s="14"/>
      <c r="AB41" s="14"/>
      <c r="AC41" s="14"/>
      <c r="AD41" s="14"/>
      <c r="AE41" s="14"/>
    </row>
    <row r="42" spans="1:31" s="120" customFormat="1">
      <c r="A42" s="14"/>
      <c r="D42" s="14"/>
      <c r="J42" s="14"/>
      <c r="K42" s="14"/>
      <c r="L42" s="14"/>
      <c r="M42" s="14"/>
      <c r="N42" s="14"/>
      <c r="O42" s="14"/>
      <c r="P42" s="14"/>
      <c r="Q42" s="14"/>
      <c r="R42" s="14"/>
      <c r="S42" s="14"/>
      <c r="T42" s="14"/>
      <c r="U42" s="14"/>
      <c r="V42" s="14"/>
      <c r="W42" s="14"/>
      <c r="X42" s="14"/>
      <c r="Y42" s="14"/>
      <c r="Z42" s="14"/>
      <c r="AA42" s="14"/>
      <c r="AB42" s="14"/>
      <c r="AC42" s="14"/>
      <c r="AD42" s="14"/>
      <c r="AE42" s="14"/>
    </row>
    <row r="43" spans="1:31" s="120" customFormat="1">
      <c r="A43" s="14"/>
      <c r="D43" s="14"/>
      <c r="J43" s="14"/>
      <c r="K43" s="14"/>
      <c r="L43" s="14"/>
      <c r="M43" s="14"/>
      <c r="N43" s="14"/>
      <c r="O43" s="14"/>
      <c r="P43" s="14"/>
      <c r="Q43" s="14"/>
      <c r="R43" s="14"/>
      <c r="S43" s="14"/>
      <c r="T43" s="14"/>
      <c r="U43" s="14"/>
      <c r="V43" s="14"/>
      <c r="W43" s="14"/>
      <c r="X43" s="14"/>
      <c r="Y43" s="14"/>
      <c r="Z43" s="14"/>
      <c r="AA43" s="14"/>
      <c r="AB43" s="14"/>
      <c r="AC43" s="14"/>
      <c r="AD43" s="14"/>
      <c r="AE43" s="14"/>
    </row>
    <row r="44" spans="1:31" s="120" customFormat="1">
      <c r="A44" s="14"/>
      <c r="D44" s="14"/>
      <c r="J44" s="14"/>
      <c r="K44" s="14"/>
      <c r="L44" s="14"/>
      <c r="M44" s="14"/>
      <c r="N44" s="14"/>
      <c r="O44" s="14"/>
      <c r="P44" s="14"/>
      <c r="Q44" s="14"/>
      <c r="R44" s="14"/>
      <c r="S44" s="14"/>
      <c r="T44" s="14"/>
      <c r="U44" s="14"/>
      <c r="V44" s="14"/>
      <c r="W44" s="14"/>
      <c r="X44" s="14"/>
      <c r="Y44" s="14"/>
      <c r="Z44" s="14"/>
      <c r="AA44" s="14"/>
      <c r="AB44" s="14"/>
      <c r="AC44" s="14"/>
      <c r="AD44" s="14"/>
      <c r="AE44" s="14"/>
    </row>
    <row r="45" spans="1:31" s="120" customFormat="1">
      <c r="A45" s="14"/>
      <c r="D45" s="14"/>
      <c r="J45" s="14"/>
      <c r="K45" s="14"/>
      <c r="L45" s="14"/>
      <c r="M45" s="14"/>
      <c r="N45" s="14"/>
      <c r="O45" s="14"/>
      <c r="P45" s="14"/>
      <c r="Q45" s="14"/>
      <c r="R45" s="14"/>
      <c r="S45" s="14"/>
      <c r="T45" s="14"/>
      <c r="U45" s="14"/>
      <c r="V45" s="14"/>
      <c r="W45" s="14"/>
      <c r="X45" s="14"/>
      <c r="Y45" s="14"/>
      <c r="Z45" s="14"/>
      <c r="AA45" s="14"/>
      <c r="AB45" s="14"/>
      <c r="AC45" s="14"/>
      <c r="AD45" s="14"/>
      <c r="AE45" s="14"/>
    </row>
    <row r="46" spans="1:31" s="120" customFormat="1">
      <c r="A46" s="14"/>
      <c r="D46" s="14"/>
      <c r="J46" s="14"/>
      <c r="K46" s="14"/>
      <c r="L46" s="14"/>
      <c r="M46" s="14"/>
      <c r="N46" s="14"/>
      <c r="O46" s="14"/>
      <c r="P46" s="14"/>
      <c r="Q46" s="14"/>
      <c r="R46" s="14"/>
      <c r="S46" s="14"/>
      <c r="T46" s="14"/>
      <c r="U46" s="14"/>
      <c r="V46" s="14"/>
      <c r="W46" s="14"/>
      <c r="X46" s="14"/>
      <c r="Y46" s="14"/>
      <c r="Z46" s="14"/>
      <c r="AA46" s="14"/>
      <c r="AB46" s="14"/>
      <c r="AC46" s="14"/>
      <c r="AD46" s="14"/>
      <c r="AE46" s="14"/>
    </row>
    <row r="47" spans="1:31" s="120" customFormat="1">
      <c r="A47" s="14"/>
      <c r="D47" s="14"/>
      <c r="J47" s="14"/>
      <c r="K47" s="14"/>
      <c r="L47" s="14"/>
      <c r="M47" s="14"/>
      <c r="N47" s="14"/>
      <c r="O47" s="14"/>
      <c r="P47" s="14"/>
      <c r="Q47" s="14"/>
      <c r="R47" s="14"/>
      <c r="S47" s="14"/>
      <c r="T47" s="14"/>
      <c r="U47" s="14"/>
      <c r="V47" s="14"/>
      <c r="W47" s="14"/>
      <c r="X47" s="14"/>
      <c r="Y47" s="14"/>
      <c r="Z47" s="14"/>
      <c r="AA47" s="14"/>
      <c r="AB47" s="14"/>
      <c r="AC47" s="14"/>
      <c r="AD47" s="14"/>
      <c r="AE47" s="14"/>
    </row>
    <row r="48" spans="1:31" s="120" customFormat="1">
      <c r="A48" s="14"/>
      <c r="D48" s="14"/>
      <c r="J48" s="14"/>
      <c r="K48" s="14"/>
      <c r="L48" s="14"/>
      <c r="M48" s="14"/>
      <c r="N48" s="14"/>
      <c r="O48" s="14"/>
      <c r="P48" s="14"/>
      <c r="Q48" s="14"/>
      <c r="R48" s="14"/>
      <c r="S48" s="14"/>
      <c r="T48" s="14"/>
      <c r="U48" s="14"/>
      <c r="V48" s="14"/>
      <c r="W48" s="14"/>
      <c r="X48" s="14"/>
      <c r="Y48" s="14"/>
      <c r="Z48" s="14"/>
      <c r="AA48" s="14"/>
      <c r="AB48" s="14"/>
      <c r="AC48" s="14"/>
      <c r="AD48" s="14"/>
      <c r="AE48" s="14"/>
    </row>
    <row r="49" spans="1:31" s="120" customFormat="1">
      <c r="A49" s="14"/>
      <c r="D49" s="14"/>
      <c r="J49" s="14"/>
      <c r="K49" s="14"/>
      <c r="L49" s="14"/>
      <c r="M49" s="14"/>
      <c r="N49" s="14"/>
      <c r="O49" s="14"/>
      <c r="P49" s="14"/>
      <c r="Q49" s="14"/>
      <c r="R49" s="14"/>
      <c r="S49" s="14"/>
      <c r="T49" s="14"/>
      <c r="U49" s="14"/>
      <c r="V49" s="14"/>
      <c r="W49" s="14"/>
      <c r="X49" s="14"/>
      <c r="Y49" s="14"/>
      <c r="Z49" s="14"/>
      <c r="AA49" s="14"/>
      <c r="AB49" s="14"/>
      <c r="AC49" s="14"/>
      <c r="AD49" s="14"/>
      <c r="AE49" s="14"/>
    </row>
    <row r="50" spans="1:31" s="120" customFormat="1">
      <c r="A50" s="14"/>
      <c r="D50" s="14"/>
      <c r="J50" s="14"/>
      <c r="K50" s="14"/>
      <c r="L50" s="14"/>
      <c r="M50" s="14"/>
      <c r="N50" s="14"/>
      <c r="O50" s="14"/>
      <c r="P50" s="14"/>
      <c r="Q50" s="14"/>
      <c r="R50" s="14"/>
      <c r="S50" s="14"/>
      <c r="T50" s="14"/>
      <c r="U50" s="14"/>
      <c r="V50" s="14"/>
      <c r="W50" s="14"/>
      <c r="X50" s="14"/>
      <c r="Y50" s="14"/>
      <c r="Z50" s="14"/>
      <c r="AA50" s="14"/>
      <c r="AB50" s="14"/>
      <c r="AC50" s="14"/>
      <c r="AD50" s="14"/>
      <c r="AE50" s="14"/>
    </row>
    <row r="51" spans="1:31" s="120" customFormat="1">
      <c r="A51" s="14"/>
      <c r="D51" s="14"/>
      <c r="J51" s="14"/>
      <c r="K51" s="14"/>
      <c r="L51" s="14"/>
      <c r="M51" s="14"/>
      <c r="N51" s="14"/>
      <c r="O51" s="14"/>
      <c r="P51" s="14"/>
      <c r="Q51" s="14"/>
      <c r="R51" s="14"/>
      <c r="S51" s="14"/>
      <c r="T51" s="14"/>
      <c r="U51" s="14"/>
      <c r="V51" s="14"/>
      <c r="W51" s="14"/>
      <c r="X51" s="14"/>
      <c r="Y51" s="14"/>
      <c r="Z51" s="14"/>
      <c r="AA51" s="14"/>
      <c r="AB51" s="14"/>
      <c r="AC51" s="14"/>
      <c r="AD51" s="14"/>
      <c r="AE51" s="14"/>
    </row>
    <row r="52" spans="1:31" s="120" customFormat="1">
      <c r="A52" s="14"/>
      <c r="D52" s="14"/>
      <c r="J52" s="14"/>
      <c r="K52" s="14"/>
      <c r="L52" s="14"/>
      <c r="M52" s="14"/>
      <c r="N52" s="14"/>
      <c r="O52" s="14"/>
      <c r="P52" s="14"/>
      <c r="Q52" s="14"/>
      <c r="R52" s="14"/>
      <c r="S52" s="14"/>
      <c r="T52" s="14"/>
      <c r="U52" s="14"/>
      <c r="V52" s="14"/>
      <c r="W52" s="14"/>
      <c r="X52" s="14"/>
      <c r="Y52" s="14"/>
      <c r="Z52" s="14"/>
      <c r="AA52" s="14"/>
      <c r="AB52" s="14"/>
      <c r="AC52" s="14"/>
      <c r="AD52" s="14"/>
      <c r="AE52" s="14"/>
    </row>
    <row r="53" spans="1:31" s="120" customFormat="1">
      <c r="A53" s="14"/>
      <c r="D53" s="14"/>
      <c r="J53" s="14"/>
      <c r="K53" s="14"/>
      <c r="L53" s="14"/>
      <c r="M53" s="14"/>
      <c r="N53" s="14"/>
      <c r="O53" s="14"/>
      <c r="P53" s="14"/>
      <c r="Q53" s="14"/>
      <c r="R53" s="14"/>
      <c r="S53" s="14"/>
      <c r="T53" s="14"/>
      <c r="U53" s="14"/>
      <c r="V53" s="14"/>
      <c r="W53" s="14"/>
      <c r="X53" s="14"/>
      <c r="Y53" s="14"/>
      <c r="Z53" s="14"/>
      <c r="AA53" s="14"/>
      <c r="AB53" s="14"/>
      <c r="AC53" s="14"/>
      <c r="AD53" s="14"/>
      <c r="AE53" s="14"/>
    </row>
    <row r="54" spans="1:31" s="120" customFormat="1">
      <c r="A54" s="14"/>
      <c r="D54" s="14"/>
      <c r="J54" s="14"/>
      <c r="K54" s="14"/>
      <c r="L54" s="14"/>
      <c r="M54" s="14"/>
      <c r="N54" s="14"/>
      <c r="O54" s="14"/>
      <c r="P54" s="14"/>
      <c r="Q54" s="14"/>
      <c r="R54" s="14"/>
      <c r="S54" s="14"/>
      <c r="T54" s="14"/>
      <c r="U54" s="14"/>
      <c r="V54" s="14"/>
      <c r="W54" s="14"/>
      <c r="X54" s="14"/>
      <c r="Y54" s="14"/>
      <c r="Z54" s="14"/>
      <c r="AA54" s="14"/>
      <c r="AB54" s="14"/>
      <c r="AC54" s="14"/>
      <c r="AD54" s="14"/>
      <c r="AE54" s="14"/>
    </row>
    <row r="55" spans="1:31" s="120" customFormat="1">
      <c r="A55" s="14"/>
      <c r="D55" s="14"/>
      <c r="J55" s="14"/>
      <c r="K55" s="14"/>
      <c r="L55" s="14"/>
      <c r="M55" s="14"/>
      <c r="N55" s="14"/>
      <c r="O55" s="14"/>
      <c r="P55" s="14"/>
      <c r="Q55" s="14"/>
      <c r="R55" s="14"/>
      <c r="S55" s="14"/>
      <c r="T55" s="14"/>
      <c r="U55" s="14"/>
      <c r="V55" s="14"/>
      <c r="W55" s="14"/>
      <c r="X55" s="14"/>
      <c r="Y55" s="14"/>
      <c r="Z55" s="14"/>
      <c r="AA55" s="14"/>
      <c r="AB55" s="14"/>
      <c r="AC55" s="14"/>
      <c r="AD55" s="14"/>
      <c r="AE55" s="14"/>
    </row>
    <row r="56" spans="1:31" s="120" customFormat="1">
      <c r="A56" s="14"/>
      <c r="D56" s="14"/>
      <c r="J56" s="14"/>
      <c r="K56" s="14"/>
      <c r="L56" s="14"/>
      <c r="M56" s="14"/>
      <c r="N56" s="14"/>
      <c r="O56" s="14"/>
      <c r="P56" s="14"/>
      <c r="Q56" s="14"/>
      <c r="R56" s="14"/>
      <c r="S56" s="14"/>
      <c r="T56" s="14"/>
      <c r="U56" s="14"/>
      <c r="V56" s="14"/>
      <c r="W56" s="14"/>
      <c r="X56" s="14"/>
      <c r="Y56" s="14"/>
      <c r="Z56" s="14"/>
      <c r="AA56" s="14"/>
      <c r="AB56" s="14"/>
      <c r="AC56" s="14"/>
      <c r="AD56" s="14"/>
      <c r="AE56" s="14"/>
    </row>
    <row r="57" spans="1:31" s="120" customFormat="1">
      <c r="A57" s="14"/>
      <c r="D57" s="14"/>
      <c r="J57" s="14"/>
      <c r="K57" s="14"/>
      <c r="L57" s="14"/>
      <c r="M57" s="14"/>
      <c r="N57" s="14"/>
      <c r="O57" s="14"/>
      <c r="P57" s="14"/>
      <c r="Q57" s="14"/>
      <c r="R57" s="14"/>
      <c r="S57" s="14"/>
      <c r="T57" s="14"/>
      <c r="U57" s="14"/>
      <c r="V57" s="14"/>
      <c r="W57" s="14"/>
      <c r="X57" s="14"/>
      <c r="Y57" s="14"/>
      <c r="Z57" s="14"/>
      <c r="AA57" s="14"/>
      <c r="AB57" s="14"/>
      <c r="AC57" s="14"/>
      <c r="AD57" s="14"/>
      <c r="AE57" s="14"/>
    </row>
    <row r="58" spans="1:31" s="120" customFormat="1">
      <c r="A58" s="14"/>
      <c r="D58" s="14"/>
      <c r="J58" s="14"/>
      <c r="K58" s="14"/>
      <c r="L58" s="14"/>
      <c r="M58" s="14"/>
      <c r="N58" s="14"/>
      <c r="O58" s="14"/>
      <c r="P58" s="14"/>
      <c r="Q58" s="14"/>
      <c r="R58" s="14"/>
      <c r="S58" s="14"/>
      <c r="T58" s="14"/>
      <c r="U58" s="14"/>
      <c r="V58" s="14"/>
      <c r="W58" s="14"/>
      <c r="X58" s="14"/>
      <c r="Y58" s="14"/>
      <c r="Z58" s="14"/>
      <c r="AA58" s="14"/>
      <c r="AB58" s="14"/>
      <c r="AC58" s="14"/>
      <c r="AD58" s="14"/>
      <c r="AE58" s="14"/>
    </row>
    <row r="59" spans="1:31" s="120" customFormat="1">
      <c r="A59" s="14"/>
      <c r="D59" s="14"/>
      <c r="J59" s="14"/>
      <c r="K59" s="14"/>
      <c r="L59" s="14"/>
      <c r="M59" s="14"/>
      <c r="N59" s="14"/>
      <c r="O59" s="14"/>
      <c r="P59" s="14"/>
      <c r="Q59" s="14"/>
      <c r="R59" s="14"/>
      <c r="S59" s="14"/>
      <c r="T59" s="14"/>
      <c r="U59" s="14"/>
      <c r="V59" s="14"/>
      <c r="W59" s="14"/>
      <c r="X59" s="14"/>
      <c r="Y59" s="14"/>
      <c r="Z59" s="14"/>
      <c r="AA59" s="14"/>
      <c r="AB59" s="14"/>
      <c r="AC59" s="14"/>
      <c r="AD59" s="14"/>
      <c r="AE59" s="14"/>
    </row>
    <row r="60" spans="1:31" s="120" customFormat="1">
      <c r="A60" s="14"/>
      <c r="D60" s="14"/>
      <c r="J60" s="14"/>
      <c r="K60" s="14"/>
      <c r="L60" s="14"/>
      <c r="M60" s="14"/>
      <c r="N60" s="14"/>
      <c r="O60" s="14"/>
      <c r="P60" s="14"/>
      <c r="Q60" s="14"/>
      <c r="R60" s="14"/>
      <c r="S60" s="14"/>
      <c r="T60" s="14"/>
      <c r="U60" s="14"/>
      <c r="V60" s="14"/>
      <c r="W60" s="14"/>
      <c r="X60" s="14"/>
      <c r="Y60" s="14"/>
      <c r="Z60" s="14"/>
      <c r="AA60" s="14"/>
      <c r="AB60" s="14"/>
      <c r="AC60" s="14"/>
      <c r="AD60" s="14"/>
      <c r="AE60" s="14"/>
    </row>
    <row r="61" spans="1:31" s="120" customFormat="1">
      <c r="A61" s="14"/>
      <c r="D61" s="14"/>
      <c r="J61" s="14"/>
      <c r="K61" s="14"/>
      <c r="L61" s="14"/>
      <c r="M61" s="14"/>
      <c r="N61" s="14"/>
      <c r="O61" s="14"/>
      <c r="P61" s="14"/>
      <c r="Q61" s="14"/>
      <c r="R61" s="14"/>
      <c r="S61" s="14"/>
      <c r="T61" s="14"/>
      <c r="U61" s="14"/>
      <c r="V61" s="14"/>
      <c r="W61" s="14"/>
      <c r="X61" s="14"/>
      <c r="Y61" s="14"/>
      <c r="Z61" s="14"/>
      <c r="AA61" s="14"/>
      <c r="AB61" s="14"/>
      <c r="AC61" s="14"/>
      <c r="AD61" s="14"/>
      <c r="AE61" s="14"/>
    </row>
    <row r="62" spans="1:31" s="120" customFormat="1">
      <c r="A62" s="14"/>
      <c r="D62" s="14"/>
      <c r="J62" s="14"/>
      <c r="K62" s="14"/>
      <c r="L62" s="14"/>
      <c r="M62" s="14"/>
      <c r="N62" s="14"/>
      <c r="O62" s="14"/>
      <c r="P62" s="14"/>
      <c r="Q62" s="14"/>
      <c r="R62" s="14"/>
      <c r="S62" s="14"/>
      <c r="T62" s="14"/>
      <c r="U62" s="14"/>
      <c r="V62" s="14"/>
      <c r="W62" s="14"/>
      <c r="X62" s="14"/>
      <c r="Y62" s="14"/>
      <c r="Z62" s="14"/>
      <c r="AA62" s="14"/>
      <c r="AB62" s="14"/>
      <c r="AC62" s="14"/>
      <c r="AD62" s="14"/>
      <c r="AE62" s="14"/>
    </row>
    <row r="63" spans="1:31" s="120" customFormat="1">
      <c r="A63" s="14"/>
      <c r="D63" s="14"/>
      <c r="J63" s="14"/>
      <c r="K63" s="14"/>
      <c r="L63" s="14"/>
      <c r="M63" s="14"/>
      <c r="N63" s="14"/>
      <c r="O63" s="14"/>
      <c r="P63" s="14"/>
      <c r="Q63" s="14"/>
      <c r="R63" s="14"/>
      <c r="S63" s="14"/>
      <c r="T63" s="14"/>
      <c r="U63" s="14"/>
      <c r="V63" s="14"/>
      <c r="W63" s="14"/>
      <c r="X63" s="14"/>
      <c r="Y63" s="14"/>
      <c r="Z63" s="14"/>
      <c r="AA63" s="14"/>
      <c r="AB63" s="14"/>
      <c r="AC63" s="14"/>
      <c r="AD63" s="14"/>
      <c r="AE63" s="14"/>
    </row>
    <row r="64" spans="1:31" s="120" customFormat="1">
      <c r="A64" s="14"/>
      <c r="D64" s="14"/>
      <c r="J64" s="14"/>
      <c r="K64" s="14"/>
      <c r="L64" s="14"/>
      <c r="M64" s="14"/>
      <c r="N64" s="14"/>
      <c r="O64" s="14"/>
      <c r="P64" s="14"/>
      <c r="Q64" s="14"/>
      <c r="R64" s="14"/>
      <c r="S64" s="14"/>
      <c r="T64" s="14"/>
      <c r="U64" s="14"/>
      <c r="V64" s="14"/>
      <c r="W64" s="14"/>
      <c r="X64" s="14"/>
      <c r="Y64" s="14"/>
      <c r="Z64" s="14"/>
      <c r="AA64" s="14"/>
      <c r="AB64" s="14"/>
      <c r="AC64" s="14"/>
      <c r="AD64" s="14"/>
      <c r="AE64" s="14"/>
    </row>
    <row r="65" spans="1:31" s="120" customFormat="1">
      <c r="A65" s="14"/>
      <c r="D65" s="14"/>
      <c r="J65" s="14"/>
      <c r="K65" s="14"/>
      <c r="L65" s="14"/>
      <c r="M65" s="14"/>
      <c r="N65" s="14"/>
      <c r="O65" s="14"/>
      <c r="P65" s="14"/>
      <c r="Q65" s="14"/>
      <c r="R65" s="14"/>
      <c r="S65" s="14"/>
      <c r="T65" s="14"/>
      <c r="U65" s="14"/>
      <c r="V65" s="14"/>
      <c r="W65" s="14"/>
      <c r="X65" s="14"/>
      <c r="Y65" s="14"/>
      <c r="Z65" s="14"/>
      <c r="AA65" s="14"/>
      <c r="AB65" s="14"/>
      <c r="AC65" s="14"/>
      <c r="AD65" s="14"/>
      <c r="AE65" s="14"/>
    </row>
    <row r="66" spans="1:31" s="120" customFormat="1">
      <c r="A66" s="14"/>
      <c r="D66" s="14"/>
      <c r="J66" s="14"/>
      <c r="K66" s="14"/>
      <c r="L66" s="14"/>
      <c r="M66" s="14"/>
      <c r="N66" s="14"/>
      <c r="O66" s="14"/>
      <c r="P66" s="14"/>
      <c r="Q66" s="14"/>
      <c r="R66" s="14"/>
      <c r="S66" s="14"/>
      <c r="T66" s="14"/>
      <c r="U66" s="14"/>
      <c r="V66" s="14"/>
      <c r="W66" s="14"/>
      <c r="X66" s="14"/>
      <c r="Y66" s="14"/>
      <c r="Z66" s="14"/>
      <c r="AA66" s="14"/>
      <c r="AB66" s="14"/>
      <c r="AC66" s="14"/>
      <c r="AD66" s="14"/>
      <c r="AE66" s="14"/>
    </row>
    <row r="67" spans="1:31" s="120" customFormat="1">
      <c r="A67" s="14"/>
      <c r="D67" s="14"/>
      <c r="J67" s="14"/>
      <c r="K67" s="14"/>
      <c r="L67" s="14"/>
      <c r="M67" s="14"/>
      <c r="N67" s="14"/>
      <c r="O67" s="14"/>
      <c r="P67" s="14"/>
      <c r="Q67" s="14"/>
      <c r="R67" s="14"/>
      <c r="S67" s="14"/>
      <c r="T67" s="14"/>
      <c r="U67" s="14"/>
      <c r="V67" s="14"/>
      <c r="W67" s="14"/>
      <c r="X67" s="14"/>
      <c r="Y67" s="14"/>
      <c r="Z67" s="14"/>
      <c r="AA67" s="14"/>
      <c r="AB67" s="14"/>
      <c r="AC67" s="14"/>
      <c r="AD67" s="14"/>
      <c r="AE67" s="14"/>
    </row>
    <row r="68" spans="1:31" s="120" customFormat="1">
      <c r="A68" s="14"/>
      <c r="D68" s="14"/>
      <c r="J68" s="14"/>
      <c r="K68" s="14"/>
      <c r="L68" s="14"/>
      <c r="M68" s="14"/>
      <c r="N68" s="14"/>
      <c r="O68" s="14"/>
      <c r="P68" s="14"/>
      <c r="Q68" s="14"/>
      <c r="R68" s="14"/>
      <c r="S68" s="14"/>
      <c r="T68" s="14"/>
      <c r="U68" s="14"/>
      <c r="V68" s="14"/>
      <c r="W68" s="14"/>
      <c r="X68" s="14"/>
      <c r="Y68" s="14"/>
      <c r="Z68" s="14"/>
      <c r="AA68" s="14"/>
      <c r="AB68" s="14"/>
      <c r="AC68" s="14"/>
      <c r="AD68" s="14"/>
      <c r="AE68" s="14"/>
    </row>
    <row r="69" spans="1:31" s="120" customFormat="1">
      <c r="A69" s="14"/>
      <c r="D69" s="14"/>
      <c r="J69" s="14"/>
      <c r="K69" s="14"/>
      <c r="L69" s="14"/>
      <c r="M69" s="14"/>
      <c r="N69" s="14"/>
      <c r="O69" s="14"/>
      <c r="P69" s="14"/>
      <c r="Q69" s="14"/>
      <c r="R69" s="14"/>
      <c r="S69" s="14"/>
      <c r="T69" s="14"/>
      <c r="U69" s="14"/>
      <c r="V69" s="14"/>
      <c r="W69" s="14"/>
      <c r="X69" s="14"/>
      <c r="Y69" s="14"/>
      <c r="Z69" s="14"/>
      <c r="AA69" s="14"/>
      <c r="AB69" s="14"/>
      <c r="AC69" s="14"/>
      <c r="AD69" s="14"/>
      <c r="AE69" s="14"/>
    </row>
    <row r="70" spans="1:31" s="120" customFormat="1">
      <c r="A70" s="14"/>
      <c r="D70" s="14"/>
      <c r="J70" s="14"/>
      <c r="K70" s="14"/>
      <c r="L70" s="14"/>
      <c r="M70" s="14"/>
      <c r="N70" s="14"/>
      <c r="O70" s="14"/>
      <c r="P70" s="14"/>
      <c r="Q70" s="14"/>
      <c r="R70" s="14"/>
      <c r="S70" s="14"/>
      <c r="T70" s="14"/>
      <c r="U70" s="14"/>
      <c r="V70" s="14"/>
      <c r="W70" s="14"/>
      <c r="X70" s="14"/>
      <c r="Y70" s="14"/>
      <c r="Z70" s="14"/>
      <c r="AA70" s="14"/>
      <c r="AB70" s="14"/>
      <c r="AC70" s="14"/>
      <c r="AD70" s="14"/>
      <c r="AE70" s="14"/>
    </row>
    <row r="71" spans="1:31" s="120" customFormat="1">
      <c r="A71" s="14"/>
      <c r="D71" s="14"/>
      <c r="J71" s="14"/>
      <c r="K71" s="14"/>
      <c r="L71" s="14"/>
      <c r="M71" s="14"/>
      <c r="N71" s="14"/>
      <c r="O71" s="14"/>
      <c r="P71" s="14"/>
      <c r="Q71" s="14"/>
      <c r="R71" s="14"/>
      <c r="S71" s="14"/>
      <c r="T71" s="14"/>
      <c r="U71" s="14"/>
      <c r="V71" s="14"/>
      <c r="W71" s="14"/>
      <c r="X71" s="14"/>
      <c r="Y71" s="14"/>
      <c r="Z71" s="14"/>
      <c r="AA71" s="14"/>
      <c r="AB71" s="14"/>
      <c r="AC71" s="14"/>
      <c r="AD71" s="14"/>
      <c r="AE71" s="14"/>
    </row>
    <row r="72" spans="1:31" s="120" customFormat="1">
      <c r="A72" s="14"/>
      <c r="D72" s="14"/>
      <c r="J72" s="14"/>
      <c r="K72" s="14"/>
      <c r="L72" s="14"/>
      <c r="M72" s="14"/>
      <c r="N72" s="14"/>
      <c r="O72" s="14"/>
      <c r="P72" s="14"/>
      <c r="Q72" s="14"/>
      <c r="R72" s="14"/>
      <c r="S72" s="14"/>
      <c r="T72" s="14"/>
      <c r="U72" s="14"/>
      <c r="V72" s="14"/>
      <c r="W72" s="14"/>
      <c r="X72" s="14"/>
      <c r="Y72" s="14"/>
      <c r="Z72" s="14"/>
      <c r="AA72" s="14"/>
      <c r="AB72" s="14"/>
      <c r="AC72" s="14"/>
      <c r="AD72" s="14"/>
      <c r="AE72" s="14"/>
    </row>
  </sheetData>
  <mergeCells count="4">
    <mergeCell ref="E5:E6"/>
    <mergeCell ref="F5:F6"/>
    <mergeCell ref="G5:H5"/>
    <mergeCell ref="I5:I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X28"/>
  <sheetViews>
    <sheetView zoomScaleNormal="100" workbookViewId="0">
      <selection activeCell="G4" sqref="G4:K15"/>
    </sheetView>
  </sheetViews>
  <sheetFormatPr defaultColWidth="0" defaultRowHeight="13.8" zeroHeight="1"/>
  <cols>
    <col min="1" max="1" width="3.59765625" style="13" customWidth="1"/>
    <col min="2" max="2" width="26.69921875" style="14" customWidth="1"/>
    <col min="3" max="3" width="18.09765625" style="14" customWidth="1"/>
    <col min="4" max="4" width="15.59765625" style="14" customWidth="1"/>
    <col min="5" max="5" width="8.69921875" style="13" customWidth="1"/>
    <col min="6" max="6" width="9.59765625" style="14" customWidth="1"/>
    <col min="7" max="11" width="8.69921875" style="14" customWidth="1"/>
    <col min="12" max="24" width="0" style="14" hidden="1" customWidth="1"/>
    <col min="25" max="16384" width="8.69921875" style="14" hidden="1"/>
  </cols>
  <sheetData>
    <row r="1" spans="1:11">
      <c r="A1" s="53"/>
    </row>
    <row r="2" spans="1:11" s="13" customFormat="1" ht="9.75" customHeight="1"/>
    <row r="3" spans="1:11" ht="34.5" customHeight="1">
      <c r="A3" s="14"/>
      <c r="B3" s="194" t="s">
        <v>16</v>
      </c>
      <c r="C3" s="194"/>
      <c r="D3" s="194"/>
      <c r="G3" s="192" t="s">
        <v>235</v>
      </c>
      <c r="H3" s="192"/>
      <c r="I3" s="192"/>
    </row>
    <row r="4" spans="1:11" ht="28.95" customHeight="1">
      <c r="A4" s="14"/>
      <c r="B4" s="193" t="s">
        <v>8</v>
      </c>
      <c r="C4" s="193"/>
      <c r="D4" s="193"/>
      <c r="G4" s="191" t="s">
        <v>236</v>
      </c>
      <c r="H4" s="191"/>
      <c r="I4" s="191"/>
      <c r="J4" s="191"/>
      <c r="K4" s="191"/>
    </row>
    <row r="5" spans="1:11" ht="9" customHeight="1" thickBot="1">
      <c r="A5" s="14"/>
      <c r="B5" s="15"/>
      <c r="C5" s="15"/>
      <c r="D5" s="13"/>
      <c r="G5" s="191"/>
      <c r="H5" s="191"/>
      <c r="I5" s="191"/>
      <c r="J5" s="191"/>
      <c r="K5" s="191"/>
    </row>
    <row r="6" spans="1:11" s="17" customFormat="1" ht="22.2" customHeight="1">
      <c r="B6" s="25" t="s">
        <v>0</v>
      </c>
      <c r="C6" s="195" t="str">
        <f>IF(Summary!C5="","",Summary!C5)</f>
        <v/>
      </c>
      <c r="D6" s="196"/>
      <c r="E6" s="16"/>
      <c r="G6" s="191"/>
      <c r="H6" s="191"/>
      <c r="I6" s="191"/>
      <c r="J6" s="191"/>
      <c r="K6" s="191"/>
    </row>
    <row r="7" spans="1:11" s="17" customFormat="1" ht="22.2" customHeight="1">
      <c r="B7" s="26" t="s">
        <v>219</v>
      </c>
      <c r="C7" s="197" t="str">
        <f>IF(Summary!C6="","",Summary!C6)</f>
        <v/>
      </c>
      <c r="D7" s="198"/>
      <c r="E7" s="16"/>
      <c r="G7" s="191"/>
      <c r="H7" s="191"/>
      <c r="I7" s="191"/>
      <c r="J7" s="191"/>
      <c r="K7" s="191"/>
    </row>
    <row r="8" spans="1:11" s="17" customFormat="1" ht="22.2" customHeight="1">
      <c r="B8" s="26" t="s">
        <v>220</v>
      </c>
      <c r="C8" s="197" t="str">
        <f>IF(Summary!C7="","",Summary!C7)</f>
        <v/>
      </c>
      <c r="D8" s="198"/>
      <c r="E8" s="16"/>
      <c r="G8" s="191"/>
      <c r="H8" s="191"/>
      <c r="I8" s="191"/>
      <c r="J8" s="191"/>
      <c r="K8" s="191"/>
    </row>
    <row r="9" spans="1:11" s="17" customFormat="1" ht="22.2" customHeight="1">
      <c r="B9" s="26" t="s">
        <v>29</v>
      </c>
      <c r="C9" s="147"/>
      <c r="D9" s="27" t="s">
        <v>28</v>
      </c>
      <c r="E9" s="16"/>
      <c r="G9" s="191"/>
      <c r="H9" s="191"/>
      <c r="I9" s="191"/>
      <c r="J9" s="191"/>
      <c r="K9" s="191"/>
    </row>
    <row r="10" spans="1:11" s="17" customFormat="1" ht="22.2" customHeight="1">
      <c r="B10" s="62" t="s">
        <v>34</v>
      </c>
      <c r="C10" s="145"/>
      <c r="D10" s="92" t="s">
        <v>35</v>
      </c>
      <c r="E10" s="16"/>
      <c r="G10" s="191"/>
      <c r="H10" s="191"/>
      <c r="I10" s="191"/>
      <c r="J10" s="191"/>
      <c r="K10" s="191"/>
    </row>
    <row r="11" spans="1:11" s="17" customFormat="1" ht="22.2" customHeight="1" thickBot="1">
      <c r="B11" s="28" t="s">
        <v>180</v>
      </c>
      <c r="C11" s="97"/>
      <c r="D11" s="29" t="s">
        <v>181</v>
      </c>
      <c r="E11" s="16"/>
      <c r="G11" s="191"/>
      <c r="H11" s="191"/>
      <c r="I11" s="191"/>
      <c r="J11" s="191"/>
      <c r="K11" s="191"/>
    </row>
    <row r="12" spans="1:11" s="17" customFormat="1" ht="7.95" customHeight="1" thickBot="1">
      <c r="B12" s="30"/>
      <c r="C12" s="30"/>
      <c r="D12" s="30"/>
      <c r="E12" s="16"/>
      <c r="G12" s="191"/>
      <c r="H12" s="191"/>
      <c r="I12" s="191"/>
      <c r="J12" s="191"/>
      <c r="K12" s="191"/>
    </row>
    <row r="13" spans="1:11" s="17" customFormat="1" ht="22.2" customHeight="1">
      <c r="B13" s="148" t="s">
        <v>30</v>
      </c>
      <c r="C13" s="149">
        <f>C9*C27</f>
        <v>0</v>
      </c>
      <c r="D13" s="150" t="s">
        <v>1</v>
      </c>
      <c r="E13" s="16"/>
      <c r="G13" s="191"/>
      <c r="H13" s="191"/>
      <c r="I13" s="191"/>
      <c r="J13" s="191"/>
      <c r="K13" s="191"/>
    </row>
    <row r="14" spans="1:11" s="17" customFormat="1" ht="22.2" customHeight="1">
      <c r="B14" s="151" t="s">
        <v>32</v>
      </c>
      <c r="C14" s="152">
        <f>C13*C26</f>
        <v>0</v>
      </c>
      <c r="D14" s="153" t="s">
        <v>33</v>
      </c>
      <c r="E14" s="16"/>
      <c r="G14" s="191"/>
      <c r="H14" s="191"/>
      <c r="I14" s="191"/>
      <c r="J14" s="191"/>
      <c r="K14" s="191"/>
    </row>
    <row r="15" spans="1:11" s="17" customFormat="1" ht="22.2" customHeight="1" thickBot="1">
      <c r="B15" s="154" t="s">
        <v>31</v>
      </c>
      <c r="C15" s="155" t="str">
        <f>IF(OR(C9="",C10="",C11=""),"",MIN(C10*C28,C11))</f>
        <v/>
      </c>
      <c r="D15" s="156"/>
      <c r="E15" s="16"/>
      <c r="G15" s="191"/>
      <c r="H15" s="191"/>
      <c r="I15" s="191"/>
      <c r="J15" s="191"/>
      <c r="K15" s="191"/>
    </row>
    <row r="16" spans="1:11" s="13" customFormat="1" ht="9" customHeight="1"/>
    <row r="17" spans="2:24" hidden="1">
      <c r="B17" s="52"/>
    </row>
    <row r="18" spans="2:24" hidden="1"/>
    <row r="19" spans="2:24" hidden="1"/>
    <row r="20" spans="2:24" hidden="1"/>
    <row r="21" spans="2:24" s="9" customFormat="1" ht="17.399999999999999" hidden="1">
      <c r="B21" s="10" t="s">
        <v>10</v>
      </c>
      <c r="C21" s="8"/>
      <c r="D21" s="10"/>
      <c r="E21" s="2"/>
      <c r="F21" s="2"/>
      <c r="G21" s="2"/>
      <c r="H21" s="2"/>
      <c r="I21" s="2"/>
      <c r="J21" s="2"/>
      <c r="K21" s="2"/>
      <c r="L21" s="2"/>
      <c r="M21" s="2"/>
      <c r="N21" s="2"/>
      <c r="O21" s="2"/>
      <c r="P21" s="2"/>
      <c r="Q21" s="2"/>
      <c r="R21" s="2"/>
      <c r="S21" s="2"/>
      <c r="T21" s="2"/>
      <c r="U21" s="2"/>
      <c r="V21" s="2"/>
    </row>
    <row r="22" spans="2:24" s="9" customFormat="1" hidden="1">
      <c r="B22" s="54" t="s">
        <v>49</v>
      </c>
      <c r="C22" s="64">
        <f>C9</f>
        <v>0</v>
      </c>
      <c r="D22" s="31" t="s">
        <v>28</v>
      </c>
      <c r="E22" s="2"/>
      <c r="F22" s="2"/>
      <c r="G22" s="2"/>
      <c r="H22" s="2"/>
      <c r="I22" s="2"/>
      <c r="J22" s="2"/>
      <c r="K22" s="2"/>
      <c r="L22" s="2"/>
      <c r="M22" s="2"/>
      <c r="N22" s="2"/>
      <c r="O22" s="2"/>
      <c r="P22" s="2"/>
      <c r="Q22" s="2"/>
      <c r="R22" s="2"/>
      <c r="S22" s="2"/>
      <c r="T22" s="2"/>
      <c r="U22" s="2"/>
      <c r="V22" s="2"/>
      <c r="X22" s="2"/>
    </row>
    <row r="23" spans="2:24" s="9" customFormat="1" hidden="1">
      <c r="B23" s="54" t="s">
        <v>50</v>
      </c>
      <c r="C23" s="64">
        <f>C10</f>
        <v>0</v>
      </c>
      <c r="D23" s="31" t="s">
        <v>35</v>
      </c>
      <c r="E23" s="2"/>
      <c r="F23" s="2"/>
      <c r="G23" s="2"/>
      <c r="H23" s="2"/>
      <c r="I23" s="2"/>
      <c r="J23" s="2"/>
      <c r="K23" s="2"/>
      <c r="L23" s="2"/>
      <c r="M23" s="2"/>
      <c r="N23" s="2"/>
      <c r="O23" s="2"/>
      <c r="P23" s="2"/>
      <c r="Q23" s="2"/>
      <c r="R23" s="2"/>
      <c r="S23" s="2"/>
      <c r="T23" s="2"/>
      <c r="U23" s="2"/>
      <c r="V23" s="2"/>
      <c r="X23" s="2"/>
    </row>
    <row r="24" spans="2:24" s="9" customFormat="1" hidden="1">
      <c r="B24" s="2"/>
      <c r="C24" s="2"/>
      <c r="D24" s="2"/>
      <c r="E24" s="2"/>
      <c r="F24" s="2"/>
      <c r="G24" s="2"/>
      <c r="H24" s="2"/>
      <c r="I24" s="2"/>
      <c r="J24" s="2"/>
      <c r="K24" s="2"/>
      <c r="L24" s="2"/>
      <c r="M24" s="2"/>
      <c r="N24" s="2"/>
      <c r="O24" s="2"/>
      <c r="P24" s="2"/>
      <c r="Q24" s="2"/>
      <c r="R24" s="2"/>
      <c r="S24" s="2"/>
      <c r="T24" s="2"/>
      <c r="U24" s="2"/>
      <c r="V24" s="2"/>
      <c r="W24" s="2"/>
    </row>
    <row r="25" spans="2:24" s="9" customFormat="1" ht="17.399999999999999" hidden="1">
      <c r="B25" s="10" t="s">
        <v>9</v>
      </c>
      <c r="C25" s="2"/>
      <c r="D25" s="2"/>
      <c r="E25" s="2"/>
      <c r="F25" s="2"/>
      <c r="G25" s="2"/>
      <c r="H25" s="2"/>
      <c r="I25" s="2"/>
      <c r="J25" s="2"/>
      <c r="K25" s="2"/>
      <c r="L25" s="2"/>
      <c r="M25" s="2"/>
      <c r="N25" s="2"/>
      <c r="O25" s="2"/>
      <c r="P25" s="2"/>
      <c r="Q25" s="2"/>
      <c r="R25" s="2"/>
      <c r="S25" s="2"/>
      <c r="T25" s="2"/>
      <c r="U25" s="2"/>
      <c r="V25" s="2"/>
      <c r="W25" s="2"/>
    </row>
    <row r="26" spans="2:24" s="9" customFormat="1" hidden="1">
      <c r="B26" s="54" t="s">
        <v>45</v>
      </c>
      <c r="C26" s="65">
        <v>1.3999999999999999E-4</v>
      </c>
      <c r="D26" s="31" t="s">
        <v>44</v>
      </c>
      <c r="E26" s="2"/>
      <c r="F26" s="2"/>
      <c r="G26" s="2"/>
      <c r="H26" s="2"/>
      <c r="I26" s="2"/>
      <c r="J26" s="2"/>
      <c r="K26" s="2"/>
      <c r="L26" s="2"/>
      <c r="M26" s="2"/>
      <c r="N26" s="2"/>
      <c r="O26" s="2"/>
      <c r="P26" s="2"/>
      <c r="Q26" s="2"/>
      <c r="R26" s="2"/>
      <c r="S26" s="2"/>
      <c r="T26" s="2"/>
      <c r="U26" s="2"/>
      <c r="V26" s="2"/>
      <c r="W26" s="2"/>
    </row>
    <row r="27" spans="2:24" s="9" customFormat="1" hidden="1">
      <c r="B27" s="54" t="s">
        <v>36</v>
      </c>
      <c r="C27" s="65">
        <v>7.5</v>
      </c>
      <c r="D27" s="31" t="s">
        <v>177</v>
      </c>
      <c r="E27" s="2"/>
      <c r="F27" s="2"/>
      <c r="G27" s="2"/>
      <c r="H27" s="2"/>
      <c r="I27" s="2"/>
      <c r="J27" s="2"/>
      <c r="K27" s="2"/>
      <c r="L27" s="2"/>
      <c r="M27" s="2"/>
      <c r="N27" s="2"/>
      <c r="O27" s="2"/>
      <c r="P27" s="2"/>
      <c r="Q27" s="2"/>
      <c r="R27" s="2"/>
      <c r="S27" s="2"/>
      <c r="T27" s="2"/>
      <c r="U27" s="2"/>
      <c r="V27" s="2"/>
      <c r="W27" s="2"/>
    </row>
    <row r="28" spans="2:24" s="9" customFormat="1" hidden="1">
      <c r="B28" s="54" t="s">
        <v>37</v>
      </c>
      <c r="C28" s="66">
        <v>90</v>
      </c>
      <c r="D28" s="31" t="s">
        <v>38</v>
      </c>
      <c r="E28" s="2"/>
      <c r="F28" s="2"/>
      <c r="G28" s="2"/>
      <c r="H28" s="2"/>
      <c r="I28" s="2"/>
      <c r="J28" s="2"/>
      <c r="K28" s="2"/>
      <c r="L28" s="2"/>
      <c r="M28" s="2"/>
      <c r="N28" s="2"/>
      <c r="O28" s="2"/>
      <c r="P28" s="2"/>
      <c r="Q28" s="2"/>
      <c r="R28" s="2"/>
      <c r="S28" s="2"/>
      <c r="T28" s="2"/>
      <c r="U28" s="2"/>
      <c r="V28" s="2"/>
      <c r="X28" s="2"/>
    </row>
  </sheetData>
  <sheetProtection algorithmName="SHA-512" hashValue="8YzAGuuwEDS6oUliJ2q3MVBVDFi0ANBryT69SlDV1OJbGdjU1tG0YKXvMCxL/E5xLPc+3YRadaB5R7kosXGk9A==" saltValue="N7wylY3IsJP3+UQ+mt+XRA==" spinCount="100000" sheet="1" formatColumns="0"/>
  <mergeCells count="7">
    <mergeCell ref="G4:K15"/>
    <mergeCell ref="G3:I3"/>
    <mergeCell ref="B4:D4"/>
    <mergeCell ref="B3:D3"/>
    <mergeCell ref="C6:D6"/>
    <mergeCell ref="C7:D7"/>
    <mergeCell ref="C8:D8"/>
  </mergeCells>
  <dataValidations count="1">
    <dataValidation type="decimal" allowBlank="1" showInputMessage="1" showErrorMessage="1" sqref="C9 C13:C14" xr:uid="{00000000-0002-0000-0200-000000000000}">
      <formula1>0</formula1>
      <formula2>999999999999999000</formula2>
    </dataValidation>
  </dataValidations>
  <pageMargins left="0.5" right="0.5" top="0.5" bottom="0.5" header="0.3" footer="0.3"/>
  <pageSetup orientation="portrait" r:id="rId1"/>
  <ignoredErrors>
    <ignoredError sqref="C13:C14 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K19"/>
  <sheetViews>
    <sheetView zoomScaleNormal="100" workbookViewId="0">
      <selection activeCell="C13" sqref="C13"/>
    </sheetView>
  </sheetViews>
  <sheetFormatPr defaultColWidth="0" defaultRowHeight="13.8" zeroHeight="1"/>
  <cols>
    <col min="1" max="1" width="3.59765625" style="13" customWidth="1"/>
    <col min="2" max="2" width="32.5" style="14" bestFit="1" customWidth="1"/>
    <col min="3" max="3" width="18.09765625" style="14" customWidth="1"/>
    <col min="4" max="4" width="15.59765625" style="14" customWidth="1"/>
    <col min="5" max="5" width="8.69921875" style="13" customWidth="1"/>
    <col min="6" max="6" width="9.59765625" style="14" customWidth="1"/>
    <col min="7" max="11" width="8.69921875" style="14" customWidth="1"/>
    <col min="12" max="16384" width="8.69921875" style="14" hidden="1"/>
  </cols>
  <sheetData>
    <row r="1" spans="1:11">
      <c r="A1" s="53"/>
    </row>
    <row r="2" spans="1:11" s="13" customFormat="1" ht="9.75" customHeight="1"/>
    <row r="3" spans="1:11" ht="34.5" customHeight="1">
      <c r="A3" s="14"/>
      <c r="B3" s="194" t="s">
        <v>16</v>
      </c>
      <c r="C3" s="194"/>
      <c r="D3" s="194"/>
      <c r="G3" s="192" t="s">
        <v>235</v>
      </c>
      <c r="H3" s="192"/>
      <c r="I3" s="192"/>
    </row>
    <row r="4" spans="1:11" ht="28.95" customHeight="1">
      <c r="A4" s="14"/>
      <c r="B4" s="193" t="s">
        <v>8</v>
      </c>
      <c r="C4" s="193"/>
      <c r="D4" s="193"/>
      <c r="G4" s="191" t="s">
        <v>258</v>
      </c>
      <c r="H4" s="191"/>
      <c r="I4" s="191"/>
      <c r="J4" s="191"/>
      <c r="K4" s="191"/>
    </row>
    <row r="5" spans="1:11" ht="9" customHeight="1" thickBot="1">
      <c r="A5" s="14"/>
      <c r="B5" s="15"/>
      <c r="C5" s="15"/>
      <c r="D5" s="13"/>
      <c r="G5" s="191"/>
      <c r="H5" s="191"/>
      <c r="I5" s="191"/>
      <c r="J5" s="191"/>
      <c r="K5" s="191"/>
    </row>
    <row r="6" spans="1:11" s="17" customFormat="1" ht="22.2" customHeight="1">
      <c r="B6" s="25" t="s">
        <v>0</v>
      </c>
      <c r="C6" s="195" t="str">
        <f>IF(Summary!C5="","",Summary!C5)</f>
        <v/>
      </c>
      <c r="D6" s="196"/>
      <c r="E6" s="16"/>
      <c r="G6" s="191"/>
      <c r="H6" s="191"/>
      <c r="I6" s="191"/>
      <c r="J6" s="191"/>
      <c r="K6" s="191"/>
    </row>
    <row r="7" spans="1:11" s="17" customFormat="1" ht="22.2" customHeight="1">
      <c r="B7" s="26" t="s">
        <v>219</v>
      </c>
      <c r="C7" s="199" t="str">
        <f>IF(Summary!C6="","",Summary!C6)</f>
        <v/>
      </c>
      <c r="D7" s="200"/>
      <c r="E7" s="16"/>
      <c r="G7" s="191"/>
      <c r="H7" s="191"/>
      <c r="I7" s="191"/>
      <c r="J7" s="191"/>
      <c r="K7" s="191"/>
    </row>
    <row r="8" spans="1:11" s="17" customFormat="1" ht="22.2" customHeight="1">
      <c r="B8" s="26" t="s">
        <v>220</v>
      </c>
      <c r="C8" s="199" t="str">
        <f>IF(Summary!C7="","",Summary!C7)</f>
        <v/>
      </c>
      <c r="D8" s="200"/>
      <c r="E8" s="16"/>
      <c r="G8" s="191"/>
      <c r="H8" s="191"/>
      <c r="I8" s="191"/>
      <c r="J8" s="191"/>
      <c r="K8" s="191"/>
    </row>
    <row r="9" spans="1:11" s="17" customFormat="1" ht="22.2" customHeight="1">
      <c r="B9" s="62" t="s">
        <v>71</v>
      </c>
      <c r="C9" s="145"/>
      <c r="D9" s="27" t="s">
        <v>69</v>
      </c>
      <c r="E9" s="16"/>
      <c r="G9" s="191"/>
      <c r="H9" s="191"/>
      <c r="I9" s="191"/>
      <c r="J9" s="191"/>
      <c r="K9" s="191"/>
    </row>
    <row r="10" spans="1:11" s="17" customFormat="1" ht="22.2" customHeight="1">
      <c r="B10" s="62" t="s">
        <v>46</v>
      </c>
      <c r="C10" s="145"/>
      <c r="D10" s="27" t="s">
        <v>40</v>
      </c>
      <c r="E10" s="16"/>
      <c r="G10" s="191"/>
      <c r="H10" s="191"/>
      <c r="I10" s="191"/>
      <c r="J10" s="191"/>
      <c r="K10" s="191"/>
    </row>
    <row r="11" spans="1:11" s="17" customFormat="1" ht="22.2" customHeight="1">
      <c r="B11" s="62" t="s">
        <v>56</v>
      </c>
      <c r="C11" s="145"/>
      <c r="D11" s="61" t="s">
        <v>28</v>
      </c>
      <c r="E11" s="16"/>
      <c r="G11" s="191"/>
      <c r="H11" s="191"/>
      <c r="I11" s="191"/>
      <c r="J11" s="191"/>
      <c r="K11" s="191"/>
    </row>
    <row r="12" spans="1:11" s="17" customFormat="1" ht="22.2" customHeight="1">
      <c r="B12" s="26" t="s">
        <v>57</v>
      </c>
      <c r="C12" s="146"/>
      <c r="D12" s="27" t="s">
        <v>58</v>
      </c>
      <c r="E12" s="16"/>
      <c r="G12" s="191"/>
      <c r="H12" s="191"/>
      <c r="I12" s="191"/>
      <c r="J12" s="191"/>
      <c r="K12" s="191"/>
    </row>
    <row r="13" spans="1:11" s="17" customFormat="1" ht="22.2" customHeight="1" thickBot="1">
      <c r="B13" s="28" t="s">
        <v>180</v>
      </c>
      <c r="C13" s="157"/>
      <c r="D13" s="29" t="s">
        <v>60</v>
      </c>
      <c r="E13" s="16"/>
      <c r="G13" s="191"/>
      <c r="H13" s="191"/>
      <c r="I13" s="191"/>
      <c r="J13" s="191"/>
      <c r="K13" s="191"/>
    </row>
    <row r="14" spans="1:11" s="17" customFormat="1" ht="7.95" customHeight="1" thickBot="1">
      <c r="B14" s="30"/>
      <c r="C14" s="30"/>
      <c r="D14" s="30"/>
      <c r="E14" s="16"/>
      <c r="G14" s="191"/>
      <c r="H14" s="191"/>
      <c r="I14" s="191"/>
      <c r="J14" s="191"/>
      <c r="K14" s="191"/>
    </row>
    <row r="15" spans="1:11" s="17" customFormat="1" ht="22.2" customHeight="1">
      <c r="B15" s="148" t="s">
        <v>30</v>
      </c>
      <c r="C15" s="161" t="str">
        <f>IFERROR('Ag Measures Calcs'!F58,"")</f>
        <v/>
      </c>
      <c r="D15" s="150" t="s">
        <v>1</v>
      </c>
      <c r="E15" s="16"/>
      <c r="G15" s="191"/>
      <c r="H15" s="191"/>
      <c r="I15" s="191"/>
      <c r="J15" s="191"/>
      <c r="K15" s="191"/>
    </row>
    <row r="16" spans="1:11" s="17" customFormat="1" ht="22.2" customHeight="1">
      <c r="B16" s="151" t="s">
        <v>32</v>
      </c>
      <c r="C16" s="162" t="str">
        <f>IFERROR('Ag Measures Calcs'!G58,"")</f>
        <v/>
      </c>
      <c r="D16" s="153" t="s">
        <v>33</v>
      </c>
      <c r="E16" s="16"/>
      <c r="G16" s="191"/>
      <c r="H16" s="191"/>
      <c r="I16" s="191"/>
      <c r="J16" s="191"/>
      <c r="K16" s="191"/>
    </row>
    <row r="17" spans="2:11" s="17" customFormat="1" ht="22.2" customHeight="1" thickBot="1">
      <c r="B17" s="154" t="s">
        <v>31</v>
      </c>
      <c r="C17" s="163" t="str">
        <f>IF(OR(C9="",C10="",C11="",C12="",C13=""),"",MIN('Ag Measures Calcs'!H58,C13))</f>
        <v/>
      </c>
      <c r="D17" s="156" t="s">
        <v>60</v>
      </c>
      <c r="E17" s="16"/>
      <c r="G17" s="191"/>
      <c r="H17" s="191"/>
      <c r="I17" s="191"/>
      <c r="J17" s="191"/>
      <c r="K17" s="191"/>
    </row>
    <row r="18" spans="2:11" s="13" customFormat="1" ht="9" customHeight="1"/>
    <row r="19" spans="2:11" hidden="1">
      <c r="B19" s="52"/>
    </row>
  </sheetData>
  <sheetProtection algorithmName="SHA-512" hashValue="0GeTp8NgfRXiaTEjPdlPZwN/kx9i+HeZGRIPQ3jIazuG8/3UijQaMSaTe1vuXKzNn7DKL1+zC2qyuZXA/Vantg==" saltValue="awSn41nMIOubIM37w2Hd0A==" spinCount="100000" sheet="1" formatColumns="0"/>
  <mergeCells count="8">
    <mergeCell ref="G3:I3"/>
    <mergeCell ref="G4:K15"/>
    <mergeCell ref="G16:K17"/>
    <mergeCell ref="B3:D3"/>
    <mergeCell ref="B4:D4"/>
    <mergeCell ref="C6:D6"/>
    <mergeCell ref="C7:D7"/>
    <mergeCell ref="C8:D8"/>
  </mergeCells>
  <dataValidations count="1">
    <dataValidation showInputMessage="1" showErrorMessage="1" sqref="C13" xr:uid="{15EB9DB9-F910-4FB3-BB09-5CF7C51F5FA4}"/>
  </dataValidations>
  <pageMargins left="0.5" right="0.5" top="0.5" bottom="0.5" header="0.3" footer="0.3"/>
  <pageSetup orientation="portrait" r:id="rId1"/>
  <ignoredErrors>
    <ignoredError sqref="C15:C17 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Calcs'!$B$48:$B$49</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K17"/>
  <sheetViews>
    <sheetView zoomScaleNormal="100" workbookViewId="0">
      <selection activeCell="C14" sqref="C14"/>
    </sheetView>
  </sheetViews>
  <sheetFormatPr defaultColWidth="0" defaultRowHeight="13.8" zeroHeight="1"/>
  <cols>
    <col min="1" max="1" width="3.59765625" style="13" customWidth="1"/>
    <col min="2" max="2" width="32.5" style="14" bestFit="1" customWidth="1"/>
    <col min="3" max="3" width="18.09765625" style="14" customWidth="1"/>
    <col min="4" max="4" width="15.59765625" style="14" customWidth="1"/>
    <col min="5" max="5" width="8.69921875" style="13" customWidth="1"/>
    <col min="6" max="6" width="9.59765625" style="14" customWidth="1"/>
    <col min="7" max="11" width="8.69921875" style="14" customWidth="1"/>
    <col min="12" max="16384" width="8.69921875" style="14" hidden="1"/>
  </cols>
  <sheetData>
    <row r="1" spans="1:11">
      <c r="A1" s="53"/>
    </row>
    <row r="2" spans="1:11" s="13" customFormat="1" ht="9.75" customHeight="1"/>
    <row r="3" spans="1:11" ht="34.5" customHeight="1">
      <c r="A3" s="14"/>
      <c r="B3" s="194" t="s">
        <v>16</v>
      </c>
      <c r="C3" s="194"/>
      <c r="D3" s="194"/>
      <c r="G3" s="192" t="s">
        <v>235</v>
      </c>
      <c r="H3" s="192"/>
      <c r="I3" s="192"/>
    </row>
    <row r="4" spans="1:11" ht="28.95" customHeight="1">
      <c r="A4" s="14"/>
      <c r="B4" s="193" t="s">
        <v>8</v>
      </c>
      <c r="C4" s="193"/>
      <c r="D4" s="193"/>
      <c r="G4" s="191" t="s">
        <v>237</v>
      </c>
      <c r="H4" s="191"/>
      <c r="I4" s="191"/>
      <c r="J4" s="191"/>
      <c r="K4" s="191"/>
    </row>
    <row r="5" spans="1:11" ht="9" customHeight="1" thickBot="1">
      <c r="A5" s="14"/>
      <c r="B5" s="15"/>
      <c r="C5" s="15"/>
      <c r="D5" s="13"/>
      <c r="G5" s="191"/>
      <c r="H5" s="191"/>
      <c r="I5" s="191"/>
      <c r="J5" s="191"/>
      <c r="K5" s="191"/>
    </row>
    <row r="6" spans="1:11" s="17" customFormat="1" ht="22.2" customHeight="1">
      <c r="B6" s="25" t="s">
        <v>0</v>
      </c>
      <c r="C6" s="195" t="str">
        <f>IF(Summary!C5="","",Summary!C5)</f>
        <v/>
      </c>
      <c r="D6" s="196"/>
      <c r="E6" s="16"/>
      <c r="G6" s="191"/>
      <c r="H6" s="191"/>
      <c r="I6" s="191"/>
      <c r="J6" s="191"/>
      <c r="K6" s="191"/>
    </row>
    <row r="7" spans="1:11" s="17" customFormat="1" ht="22.2" customHeight="1">
      <c r="B7" s="26" t="s">
        <v>219</v>
      </c>
      <c r="C7" s="199" t="str">
        <f>IF(Summary!C6="","",Summary!C6)</f>
        <v/>
      </c>
      <c r="D7" s="200"/>
      <c r="E7" s="16"/>
      <c r="G7" s="191"/>
      <c r="H7" s="191"/>
      <c r="I7" s="191"/>
      <c r="J7" s="191"/>
      <c r="K7" s="191"/>
    </row>
    <row r="8" spans="1:11" s="17" customFormat="1" ht="22.2" customHeight="1">
      <c r="B8" s="26" t="s">
        <v>220</v>
      </c>
      <c r="C8" s="199" t="str">
        <f>IF(Summary!C7="","",Summary!C7)</f>
        <v/>
      </c>
      <c r="D8" s="200"/>
      <c r="E8" s="16"/>
      <c r="G8" s="191"/>
      <c r="H8" s="191"/>
      <c r="I8" s="191"/>
      <c r="J8" s="191"/>
      <c r="K8" s="191"/>
    </row>
    <row r="9" spans="1:11" s="17" customFormat="1" ht="22.2" customHeight="1">
      <c r="B9" s="62" t="s">
        <v>72</v>
      </c>
      <c r="C9" s="145"/>
      <c r="D9" s="27" t="s">
        <v>69</v>
      </c>
      <c r="E9" s="16"/>
      <c r="G9" s="191"/>
      <c r="H9" s="191"/>
      <c r="I9" s="191"/>
      <c r="J9" s="191"/>
      <c r="K9" s="191"/>
    </row>
    <row r="10" spans="1:11" s="17" customFormat="1" ht="22.2" customHeight="1">
      <c r="B10" s="62" t="s">
        <v>73</v>
      </c>
      <c r="C10" s="145"/>
      <c r="D10" s="92" t="s">
        <v>78</v>
      </c>
      <c r="E10" s="16"/>
      <c r="G10" s="191"/>
      <c r="H10" s="191"/>
      <c r="I10" s="191"/>
      <c r="J10" s="191"/>
      <c r="K10" s="191"/>
    </row>
    <row r="11" spans="1:11" s="17" customFormat="1" ht="22.2" customHeight="1" thickBot="1">
      <c r="B11" s="28" t="s">
        <v>180</v>
      </c>
      <c r="C11" s="158"/>
      <c r="D11" s="29" t="s">
        <v>60</v>
      </c>
      <c r="E11" s="16"/>
      <c r="G11" s="191"/>
      <c r="H11" s="191"/>
      <c r="I11" s="191"/>
      <c r="J11" s="191"/>
      <c r="K11" s="191"/>
    </row>
    <row r="12" spans="1:11" s="17" customFormat="1" ht="7.95" customHeight="1" thickBot="1">
      <c r="B12" s="30"/>
      <c r="C12" s="30"/>
      <c r="D12" s="30"/>
      <c r="E12" s="16"/>
      <c r="G12" s="191"/>
      <c r="H12" s="191"/>
      <c r="I12" s="191"/>
      <c r="J12" s="191"/>
      <c r="K12" s="191"/>
    </row>
    <row r="13" spans="1:11" s="17" customFormat="1" ht="22.2" customHeight="1">
      <c r="B13" s="148" t="s">
        <v>30</v>
      </c>
      <c r="C13" s="159" t="str">
        <f>IFERROR('Ag Measures Calcs'!G61,"")</f>
        <v/>
      </c>
      <c r="D13" s="150" t="s">
        <v>1</v>
      </c>
      <c r="E13" s="16"/>
      <c r="G13" s="191"/>
      <c r="H13" s="191"/>
      <c r="I13" s="191"/>
      <c r="J13" s="191"/>
      <c r="K13" s="191"/>
    </row>
    <row r="14" spans="1:11" s="17" customFormat="1" ht="22.2" customHeight="1">
      <c r="B14" s="151" t="s">
        <v>32</v>
      </c>
      <c r="C14" s="160" t="str">
        <f>IFERROR('Ag Measures Calcs'!H61,"")</f>
        <v/>
      </c>
      <c r="D14" s="153" t="s">
        <v>33</v>
      </c>
      <c r="E14" s="16"/>
      <c r="G14" s="191"/>
      <c r="H14" s="191"/>
      <c r="I14" s="191"/>
      <c r="J14" s="191"/>
      <c r="K14" s="191"/>
    </row>
    <row r="15" spans="1:11" s="17" customFormat="1" ht="22.2" customHeight="1" thickBot="1">
      <c r="B15" s="154" t="s">
        <v>31</v>
      </c>
      <c r="C15" s="155" t="str">
        <f>IF(OR(C9="",C10="",C11=""),"",MIN('Ag Measures Calcs'!I61,C11))</f>
        <v/>
      </c>
      <c r="D15" s="156" t="s">
        <v>60</v>
      </c>
      <c r="E15" s="16"/>
      <c r="G15" s="191"/>
      <c r="H15" s="191"/>
      <c r="I15" s="191"/>
      <c r="J15" s="191"/>
      <c r="K15" s="191"/>
    </row>
    <row r="16" spans="1:11" s="13" customFormat="1" ht="9" customHeight="1"/>
    <row r="17" spans="2:2" hidden="1">
      <c r="B17" s="52"/>
    </row>
  </sheetData>
  <sheetProtection algorithmName="SHA-512" hashValue="b3mDz6E7Lbvro/y/UCcqdNzz1sasN6tBf9GjueqmqAbjHoi8w6WiRb1vci+FOp6zEm+NcRjpo5qb68hIbFwhgg==" saltValue="j8n70ITqtN/8HwsnJJ+AJw==" spinCount="100000" sheet="1" formatColumns="0"/>
  <mergeCells count="7">
    <mergeCell ref="G3:I3"/>
    <mergeCell ref="G4:K15"/>
    <mergeCell ref="B3:D3"/>
    <mergeCell ref="B4:D4"/>
    <mergeCell ref="C6:D6"/>
    <mergeCell ref="C7:D7"/>
    <mergeCell ref="C8:D8"/>
  </mergeCells>
  <pageMargins left="0.5" right="0.5" top="0.5" bottom="0.5" header="0.3" footer="0.3"/>
  <pageSetup orientation="portrait" r:id="rId1"/>
  <ignoredErrors>
    <ignoredError sqref="C13:C1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'Ag Measures Calcs'!$E$48:$E$48</xm:f>
          </x14:formula1>
          <xm:sqref>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K19"/>
  <sheetViews>
    <sheetView zoomScaleNormal="100" workbookViewId="0"/>
  </sheetViews>
  <sheetFormatPr defaultColWidth="0" defaultRowHeight="13.8" zeroHeight="1"/>
  <cols>
    <col min="1" max="1" width="3.59765625" style="13" customWidth="1"/>
    <col min="2" max="2" width="32.5" style="14" bestFit="1" customWidth="1"/>
    <col min="3" max="3" width="18.09765625" style="14" customWidth="1"/>
    <col min="4" max="4" width="15.59765625" style="14" customWidth="1"/>
    <col min="5" max="5" width="8.69921875" style="13" customWidth="1"/>
    <col min="6" max="6" width="9.59765625" style="14" customWidth="1"/>
    <col min="7" max="11" width="8.69921875" style="22" customWidth="1"/>
    <col min="12" max="16384" width="8.69921875" style="14" hidden="1"/>
  </cols>
  <sheetData>
    <row r="1" spans="1:11">
      <c r="A1" s="53"/>
      <c r="G1" s="14"/>
      <c r="H1" s="14"/>
      <c r="I1" s="14"/>
      <c r="J1" s="14"/>
      <c r="K1" s="14"/>
    </row>
    <row r="2" spans="1:11" s="13" customFormat="1" ht="9.75" customHeight="1"/>
    <row r="3" spans="1:11" ht="34.5" customHeight="1">
      <c r="A3" s="14"/>
      <c r="B3" s="194" t="s">
        <v>16</v>
      </c>
      <c r="C3" s="194"/>
      <c r="D3" s="194"/>
      <c r="G3" s="192" t="s">
        <v>235</v>
      </c>
      <c r="H3" s="192"/>
      <c r="I3" s="192"/>
      <c r="J3" s="14"/>
      <c r="K3" s="14"/>
    </row>
    <row r="4" spans="1:11" ht="28.95" customHeight="1">
      <c r="A4" s="14"/>
      <c r="B4" s="193" t="s">
        <v>8</v>
      </c>
      <c r="C4" s="193"/>
      <c r="D4" s="193"/>
      <c r="G4" s="201" t="s">
        <v>238</v>
      </c>
      <c r="H4" s="201"/>
      <c r="I4" s="201"/>
      <c r="J4" s="201"/>
      <c r="K4" s="201"/>
    </row>
    <row r="5" spans="1:11" ht="9" customHeight="1" thickBot="1">
      <c r="A5" s="14"/>
      <c r="B5" s="15"/>
      <c r="C5" s="15"/>
      <c r="D5" s="13"/>
      <c r="G5" s="201"/>
      <c r="H5" s="201"/>
      <c r="I5" s="201"/>
      <c r="J5" s="201"/>
      <c r="K5" s="201"/>
    </row>
    <row r="6" spans="1:11" s="17" customFormat="1" ht="22.2" customHeight="1">
      <c r="B6" s="148" t="s">
        <v>0</v>
      </c>
      <c r="C6" s="195" t="str">
        <f>IF(Summary!C5="","",Summary!C5)</f>
        <v/>
      </c>
      <c r="D6" s="196"/>
      <c r="E6" s="16"/>
      <c r="G6" s="201"/>
      <c r="H6" s="201"/>
      <c r="I6" s="201"/>
      <c r="J6" s="201"/>
      <c r="K6" s="201"/>
    </row>
    <row r="7" spans="1:11" s="17" customFormat="1" ht="22.2" customHeight="1">
      <c r="B7" s="164" t="s">
        <v>219</v>
      </c>
      <c r="C7" s="199" t="str">
        <f>IF(Summary!C6="","",Summary!C6)</f>
        <v/>
      </c>
      <c r="D7" s="200"/>
      <c r="E7" s="16"/>
      <c r="G7" s="201"/>
      <c r="H7" s="201"/>
      <c r="I7" s="201"/>
      <c r="J7" s="201"/>
      <c r="K7" s="201"/>
    </row>
    <row r="8" spans="1:11" s="17" customFormat="1" ht="22.2" customHeight="1">
      <c r="B8" s="164" t="s">
        <v>220</v>
      </c>
      <c r="C8" s="199" t="str">
        <f>IF(Summary!C7="","",Summary!C7)</f>
        <v/>
      </c>
      <c r="D8" s="200"/>
      <c r="E8" s="16"/>
      <c r="G8" s="201"/>
      <c r="H8" s="201"/>
      <c r="I8" s="201"/>
      <c r="J8" s="201"/>
      <c r="K8" s="201"/>
    </row>
    <row r="9" spans="1:11" s="17" customFormat="1" ht="22.2" customHeight="1">
      <c r="B9" s="26" t="s">
        <v>92</v>
      </c>
      <c r="C9" s="165"/>
      <c r="D9" s="27" t="s">
        <v>93</v>
      </c>
      <c r="E9" s="16"/>
      <c r="G9" s="201"/>
      <c r="H9" s="201"/>
      <c r="I9" s="201"/>
      <c r="J9" s="201"/>
      <c r="K9" s="201"/>
    </row>
    <row r="10" spans="1:11" s="17" customFormat="1" ht="22.2" customHeight="1">
      <c r="B10" s="26" t="s">
        <v>94</v>
      </c>
      <c r="C10" s="166"/>
      <c r="D10" s="27" t="s">
        <v>97</v>
      </c>
      <c r="E10" s="16"/>
      <c r="G10" s="201"/>
      <c r="H10" s="201"/>
      <c r="I10" s="201"/>
      <c r="J10" s="201"/>
      <c r="K10" s="201"/>
    </row>
    <row r="11" spans="1:11" s="17" customFormat="1" ht="22.2" customHeight="1">
      <c r="B11" s="26" t="s">
        <v>98</v>
      </c>
      <c r="C11" s="165"/>
      <c r="D11" s="27" t="s">
        <v>75</v>
      </c>
      <c r="E11" s="16"/>
      <c r="G11" s="201"/>
      <c r="H11" s="201"/>
      <c r="I11" s="201"/>
      <c r="J11" s="201"/>
      <c r="K11" s="201"/>
    </row>
    <row r="12" spans="1:11" s="17" customFormat="1" ht="22.2" customHeight="1">
      <c r="B12" s="62" t="s">
        <v>101</v>
      </c>
      <c r="C12" s="167"/>
      <c r="D12" s="92" t="s">
        <v>42</v>
      </c>
      <c r="E12" s="16"/>
      <c r="G12" s="201"/>
      <c r="H12" s="201"/>
      <c r="I12" s="201"/>
      <c r="J12" s="201"/>
      <c r="K12" s="201"/>
    </row>
    <row r="13" spans="1:11" s="17" customFormat="1" ht="22.2" customHeight="1" thickBot="1">
      <c r="B13" s="28" t="s">
        <v>180</v>
      </c>
      <c r="C13" s="168"/>
      <c r="D13" s="29" t="s">
        <v>60</v>
      </c>
      <c r="E13" s="16"/>
      <c r="G13" s="201"/>
      <c r="H13" s="201"/>
      <c r="I13" s="201"/>
      <c r="J13" s="201"/>
      <c r="K13" s="201"/>
    </row>
    <row r="14" spans="1:11" s="17" customFormat="1" ht="7.95" customHeight="1" thickBot="1">
      <c r="B14" s="30"/>
      <c r="C14" s="30"/>
      <c r="D14" s="30"/>
      <c r="E14" s="16"/>
      <c r="G14" s="201"/>
      <c r="H14" s="201"/>
      <c r="I14" s="201"/>
      <c r="J14" s="201"/>
      <c r="K14" s="201"/>
    </row>
    <row r="15" spans="1:11" s="17" customFormat="1" ht="22.2" customHeight="1">
      <c r="B15" s="148" t="s">
        <v>30</v>
      </c>
      <c r="C15" s="159" t="str">
        <f>IFERROR('Ag Measures Calcs'!J64,"")</f>
        <v/>
      </c>
      <c r="D15" s="150" t="s">
        <v>1</v>
      </c>
      <c r="E15" s="16"/>
      <c r="G15" s="201"/>
      <c r="H15" s="201"/>
      <c r="I15" s="201"/>
      <c r="J15" s="201"/>
      <c r="K15" s="201"/>
    </row>
    <row r="16" spans="1:11" s="17" customFormat="1" ht="22.2" customHeight="1">
      <c r="B16" s="151" t="s">
        <v>32</v>
      </c>
      <c r="C16" s="160" t="str">
        <f>IFERROR('Ag Measures Calcs'!K64,"")</f>
        <v/>
      </c>
      <c r="D16" s="153" t="s">
        <v>33</v>
      </c>
      <c r="E16" s="16"/>
      <c r="G16" s="201"/>
      <c r="H16" s="201"/>
      <c r="I16" s="201"/>
      <c r="J16" s="201"/>
      <c r="K16" s="201"/>
    </row>
    <row r="17" spans="2:11" s="17" customFormat="1" ht="22.2" customHeight="1" thickBot="1">
      <c r="B17" s="154" t="s">
        <v>31</v>
      </c>
      <c r="C17" s="172" t="str">
        <f>IF(OR(C9="",C10="",C11="",C12="",C13=""),"",MIN('Ag Measures Calcs'!L64,C13))</f>
        <v/>
      </c>
      <c r="D17" s="156" t="s">
        <v>60</v>
      </c>
      <c r="E17" s="16"/>
      <c r="G17" s="201"/>
      <c r="H17" s="201"/>
      <c r="I17" s="201"/>
      <c r="J17" s="201"/>
      <c r="K17" s="201"/>
    </row>
    <row r="18" spans="2:11" s="13" customFormat="1" ht="17.25" customHeight="1">
      <c r="G18" s="201"/>
      <c r="H18" s="201"/>
      <c r="I18" s="201"/>
      <c r="J18" s="201"/>
      <c r="K18" s="201"/>
    </row>
    <row r="19" spans="2:11" ht="14.25" hidden="1" customHeight="1">
      <c r="B19" s="52"/>
    </row>
  </sheetData>
  <sheetProtection algorithmName="SHA-512" hashValue="4JhldgZIPafu5C12/420huQpjsiaY9jDp8qGx0QFzcHaQ4GbQytiutnwRAm+7QEA3mdkbHstBoGgzYrQ9kugMA==" saltValue="Yf3+f/3HK2e0SKbM6yd5fA==" spinCount="100000" sheet="1" formatColumns="0"/>
  <mergeCells count="7">
    <mergeCell ref="C8:D8"/>
    <mergeCell ref="G4:K18"/>
    <mergeCell ref="G3:I3"/>
    <mergeCell ref="B3:D3"/>
    <mergeCell ref="B4:D4"/>
    <mergeCell ref="C6:D6"/>
    <mergeCell ref="C7:D7"/>
  </mergeCells>
  <pageMargins left="0.5" right="0.5" top="0.5" bottom="0.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K24"/>
  <sheetViews>
    <sheetView zoomScaleNormal="100" workbookViewId="0">
      <selection activeCell="C18" sqref="C18"/>
    </sheetView>
  </sheetViews>
  <sheetFormatPr defaultColWidth="0" defaultRowHeight="13.8" zeroHeight="1"/>
  <cols>
    <col min="1" max="1" width="3.59765625" style="13" customWidth="1"/>
    <col min="2" max="2" width="32.5" style="14" bestFit="1" customWidth="1"/>
    <col min="3" max="3" width="37.3984375" style="14" bestFit="1" customWidth="1"/>
    <col min="4" max="4" width="15.59765625" style="14" customWidth="1"/>
    <col min="5" max="5" width="8.69921875" style="13" customWidth="1"/>
    <col min="6" max="6" width="9.59765625" style="14" customWidth="1"/>
    <col min="7" max="11" width="8.69921875" style="14" customWidth="1"/>
    <col min="12" max="16384" width="8.69921875" style="14" hidden="1"/>
  </cols>
  <sheetData>
    <row r="1" spans="1:11">
      <c r="A1" s="53"/>
    </row>
    <row r="2" spans="1:11" s="13" customFormat="1" ht="9.75" customHeight="1"/>
    <row r="3" spans="1:11" ht="34.5" customHeight="1">
      <c r="A3" s="14"/>
      <c r="B3" s="194" t="s">
        <v>16</v>
      </c>
      <c r="C3" s="194"/>
      <c r="D3" s="194"/>
      <c r="G3" s="192" t="s">
        <v>235</v>
      </c>
      <c r="H3" s="192"/>
      <c r="I3" s="192"/>
    </row>
    <row r="4" spans="1:11" ht="28.95" customHeight="1">
      <c r="A4" s="14"/>
      <c r="B4" s="193" t="s">
        <v>8</v>
      </c>
      <c r="C4" s="193"/>
      <c r="D4" s="193"/>
      <c r="G4" s="191" t="s">
        <v>248</v>
      </c>
      <c r="H4" s="191"/>
      <c r="I4" s="191"/>
      <c r="J4" s="191"/>
      <c r="K4" s="191"/>
    </row>
    <row r="5" spans="1:11" ht="9" customHeight="1" thickBot="1">
      <c r="A5" s="14"/>
      <c r="B5" s="15"/>
      <c r="C5" s="15"/>
      <c r="D5" s="13"/>
      <c r="G5" s="191"/>
      <c r="H5" s="191"/>
      <c r="I5" s="191"/>
      <c r="J5" s="191"/>
      <c r="K5" s="191"/>
    </row>
    <row r="6" spans="1:11" s="17" customFormat="1" ht="22.2" customHeight="1">
      <c r="B6" s="25" t="s">
        <v>0</v>
      </c>
      <c r="C6" s="195" t="str">
        <f>IF(Summary!C5="","",Summary!C5)</f>
        <v/>
      </c>
      <c r="D6" s="196"/>
      <c r="E6" s="16"/>
      <c r="G6" s="191"/>
      <c r="H6" s="191"/>
      <c r="I6" s="191"/>
      <c r="J6" s="191"/>
      <c r="K6" s="191"/>
    </row>
    <row r="7" spans="1:11" s="17" customFormat="1" ht="22.2" customHeight="1">
      <c r="B7" s="26" t="s">
        <v>219</v>
      </c>
      <c r="C7" s="199" t="str">
        <f>IF(Summary!C6="","",Summary!C6)</f>
        <v/>
      </c>
      <c r="D7" s="200"/>
      <c r="E7" s="16"/>
      <c r="G7" s="191"/>
      <c r="H7" s="191"/>
      <c r="I7" s="191"/>
      <c r="J7" s="191"/>
      <c r="K7" s="191"/>
    </row>
    <row r="8" spans="1:11" s="17" customFormat="1" ht="22.2" customHeight="1">
      <c r="B8" s="26" t="s">
        <v>220</v>
      </c>
      <c r="C8" s="199" t="str">
        <f>IF(Summary!C7="","",Summary!C7)</f>
        <v/>
      </c>
      <c r="D8" s="200"/>
      <c r="E8" s="16"/>
      <c r="G8" s="191"/>
      <c r="H8" s="191"/>
      <c r="I8" s="191"/>
      <c r="J8" s="191"/>
      <c r="K8" s="191"/>
    </row>
    <row r="9" spans="1:11" s="17" customFormat="1" ht="22.2" customHeight="1">
      <c r="B9" s="26" t="s">
        <v>115</v>
      </c>
      <c r="C9" s="165"/>
      <c r="D9" s="27" t="s">
        <v>69</v>
      </c>
      <c r="E9" s="16"/>
      <c r="G9" s="191"/>
      <c r="H9" s="191"/>
      <c r="I9" s="191"/>
      <c r="J9" s="191"/>
      <c r="K9" s="191"/>
    </row>
    <row r="10" spans="1:11" s="17" customFormat="1" ht="22.2" customHeight="1">
      <c r="B10" s="62" t="s">
        <v>252</v>
      </c>
      <c r="C10" s="145"/>
      <c r="D10" s="92" t="s">
        <v>118</v>
      </c>
      <c r="E10" s="16"/>
      <c r="G10" s="191"/>
      <c r="H10" s="191"/>
      <c r="I10" s="191"/>
      <c r="J10" s="191"/>
      <c r="K10" s="191"/>
    </row>
    <row r="11" spans="1:11" s="17" customFormat="1" ht="22.2" customHeight="1">
      <c r="B11" s="26" t="s">
        <v>116</v>
      </c>
      <c r="C11" s="165"/>
      <c r="D11" s="27" t="s">
        <v>69</v>
      </c>
      <c r="E11" s="16"/>
      <c r="G11" s="191"/>
      <c r="H11" s="191"/>
      <c r="I11" s="191"/>
      <c r="J11" s="191"/>
      <c r="K11" s="191"/>
    </row>
    <row r="12" spans="1:11" s="17" customFormat="1" ht="22.2" customHeight="1">
      <c r="B12" s="62" t="s">
        <v>253</v>
      </c>
      <c r="C12" s="145"/>
      <c r="D12" s="92" t="s">
        <v>118</v>
      </c>
      <c r="E12" s="16"/>
      <c r="G12" s="191"/>
      <c r="H12" s="191"/>
      <c r="I12" s="191"/>
      <c r="J12" s="191"/>
      <c r="K12" s="191"/>
    </row>
    <row r="13" spans="1:11" s="17" customFormat="1" ht="22.2" customHeight="1">
      <c r="B13" s="62" t="s">
        <v>249</v>
      </c>
      <c r="C13" s="145"/>
      <c r="D13" s="92" t="s">
        <v>250</v>
      </c>
      <c r="E13" s="16"/>
      <c r="G13" s="191"/>
      <c r="H13" s="191"/>
      <c r="I13" s="191"/>
      <c r="J13" s="191"/>
      <c r="K13" s="191"/>
    </row>
    <row r="14" spans="1:11" s="17" customFormat="1" ht="22.2" customHeight="1">
      <c r="B14" s="26" t="s">
        <v>119</v>
      </c>
      <c r="C14" s="175"/>
      <c r="D14" s="27" t="s">
        <v>128</v>
      </c>
      <c r="E14" s="16"/>
      <c r="G14" s="191"/>
      <c r="H14" s="191"/>
      <c r="I14" s="191"/>
      <c r="J14" s="191"/>
      <c r="K14" s="191"/>
    </row>
    <row r="15" spans="1:11" s="17" customFormat="1" ht="21.75" customHeight="1">
      <c r="B15" s="62" t="s">
        <v>73</v>
      </c>
      <c r="C15" s="145"/>
      <c r="D15" s="92" t="s">
        <v>78</v>
      </c>
      <c r="E15" s="16"/>
      <c r="G15" s="191"/>
      <c r="H15" s="191"/>
      <c r="I15" s="191"/>
      <c r="J15" s="191"/>
      <c r="K15" s="191"/>
    </row>
    <row r="16" spans="1:11" s="17" customFormat="1" ht="22.2" customHeight="1" thickBot="1">
      <c r="B16" s="28" t="s">
        <v>180</v>
      </c>
      <c r="C16" s="158"/>
      <c r="D16" s="29" t="s">
        <v>60</v>
      </c>
      <c r="E16" s="16"/>
      <c r="G16" s="191"/>
      <c r="H16" s="191"/>
      <c r="I16" s="191"/>
      <c r="J16" s="191"/>
      <c r="K16" s="191"/>
    </row>
    <row r="17" spans="1:11" s="17" customFormat="1" ht="22.2" customHeight="1" thickBot="1">
      <c r="B17" s="30"/>
      <c r="C17" s="30"/>
      <c r="D17" s="30"/>
      <c r="E17" s="16"/>
      <c r="G17" s="191"/>
      <c r="H17" s="191"/>
      <c r="I17" s="191"/>
      <c r="J17" s="191"/>
      <c r="K17" s="191"/>
    </row>
    <row r="18" spans="1:11" s="17" customFormat="1" ht="22.2" customHeight="1">
      <c r="B18" s="148" t="s">
        <v>156</v>
      </c>
      <c r="C18" s="173" t="str">
        <f>IFERROR('Ag Measures Calcs'!K67,"")</f>
        <v/>
      </c>
      <c r="D18" s="150" t="s">
        <v>1</v>
      </c>
      <c r="E18" s="16"/>
      <c r="G18" s="191"/>
      <c r="H18" s="191"/>
      <c r="I18" s="191"/>
      <c r="J18" s="191"/>
      <c r="K18" s="191"/>
    </row>
    <row r="19" spans="1:11" s="17" customFormat="1" ht="22.2" customHeight="1">
      <c r="B19" s="164" t="s">
        <v>157</v>
      </c>
      <c r="C19" s="174" t="str">
        <f>IFERROR('Ag Measures Calcs'!K68,"")</f>
        <v/>
      </c>
      <c r="D19" s="171" t="s">
        <v>1</v>
      </c>
      <c r="E19" s="16"/>
      <c r="G19" s="191"/>
      <c r="H19" s="191"/>
      <c r="I19" s="191"/>
      <c r="J19" s="191"/>
      <c r="K19" s="191"/>
    </row>
    <row r="20" spans="1:11" s="17" customFormat="1" ht="22.2" customHeight="1">
      <c r="B20" s="164" t="s">
        <v>178</v>
      </c>
      <c r="C20" s="174" t="str">
        <f>IF(SUM(C18:C19)=0,"",SUM(C18:C19))</f>
        <v/>
      </c>
      <c r="D20" s="171" t="s">
        <v>1</v>
      </c>
      <c r="E20" s="16"/>
      <c r="G20" s="191"/>
      <c r="H20" s="191"/>
      <c r="I20" s="191"/>
      <c r="J20" s="191"/>
      <c r="K20" s="191"/>
    </row>
    <row r="21" spans="1:11" s="13" customFormat="1" ht="21.75" customHeight="1">
      <c r="A21" s="17"/>
      <c r="B21" s="164" t="s">
        <v>32</v>
      </c>
      <c r="C21" s="174" t="str">
        <f>IFERROR('Ag Measures Calcs'!L67,"")</f>
        <v/>
      </c>
      <c r="D21" s="171" t="s">
        <v>33</v>
      </c>
    </row>
    <row r="22" spans="1:11" ht="14.4" thickBot="1">
      <c r="A22" s="17"/>
      <c r="B22" s="154" t="s">
        <v>31</v>
      </c>
      <c r="C22" s="163" t="str">
        <f>IF(OR(C9="",C11="",C12="",C13="",C14="",C15="",C16=""),"",MIN('Ag Measures Calcs'!M67,C16))</f>
        <v/>
      </c>
      <c r="D22" s="156" t="s">
        <v>60</v>
      </c>
    </row>
    <row r="23" spans="1:11">
      <c r="B23" s="13"/>
      <c r="C23" s="13"/>
      <c r="D23" s="13"/>
    </row>
    <row r="24" spans="1:11" hidden="1">
      <c r="B24" s="52"/>
    </row>
  </sheetData>
  <sheetProtection algorithmName="SHA-512" hashValue="4j+helInd1zpxDXqDJiis+4aJIyOmvHPXMtlkEC854BvPTVPQVKa0DWBBji/6Se3WVay6P/Kg8ZzOOpBOxgPZw==" saltValue="Y/OoPvVqCabGG3cDvJbnlg==" spinCount="100000" sheet="1" formatColumns="0"/>
  <mergeCells count="7">
    <mergeCell ref="G3:I3"/>
    <mergeCell ref="G4:K20"/>
    <mergeCell ref="B3:D3"/>
    <mergeCell ref="B4:D4"/>
    <mergeCell ref="C6:D6"/>
    <mergeCell ref="C7:D7"/>
    <mergeCell ref="C8:D8"/>
  </mergeCells>
  <dataValidations count="2">
    <dataValidation type="list" allowBlank="1" showInputMessage="1" showErrorMessage="1" sqref="C13" xr:uid="{0D35FDA1-92C6-4F79-83E7-DE7C6CDD12D0}">
      <formula1>"Yes, No"</formula1>
    </dataValidation>
    <dataValidation type="list" allowBlank="1" showInputMessage="1" showErrorMessage="1" sqref="C10" xr:uid="{70EE2C09-0B67-4374-99B1-7743BD891EB3}">
      <formula1>$H$48:$H$51</formula1>
    </dataValidation>
  </dataValidations>
  <pageMargins left="0.5" right="0.5" top="0.5" bottom="0.5" header="0.3" footer="0.3"/>
  <pageSetup orientation="portrait" r:id="rId1"/>
  <ignoredErrors>
    <ignoredError sqref="C18:C20 C21:C22"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AC476F8A-2724-4F2A-8CAA-0CF8E2DB19E7}">
          <x14:formula1>
            <xm:f>'Ag Measures Calcs'!$T$47:$W$47</xm:f>
          </x14:formula1>
          <xm:sqref>C14</xm:sqref>
        </x14:dataValidation>
        <x14:dataValidation type="list" allowBlank="1" showInputMessage="1" showErrorMessage="1" xr:uid="{8C1A37DA-AAEC-42D5-B5EE-DFC9D418D292}">
          <x14:formula1>
            <xm:f>'Ag Measures Calcs'!$H$48:$H$51</xm:f>
          </x14:formula1>
          <xm:sqref>C12</xm:sqref>
        </x14:dataValidation>
        <x14:dataValidation type="list" allowBlank="1" showInputMessage="1" showErrorMessage="1" xr:uid="{169FD856-1F59-4702-9AD4-B27524B2380D}">
          <x14:formula1>
            <xm:f>'Ag Measures Calcs'!$S$48:$S$48</xm:f>
          </x14:formula1>
          <xm:sqref>C15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K20"/>
  <sheetViews>
    <sheetView zoomScaleNormal="100" workbookViewId="0">
      <selection activeCell="C17" sqref="C17"/>
    </sheetView>
  </sheetViews>
  <sheetFormatPr defaultColWidth="0" defaultRowHeight="13.8" zeroHeight="1"/>
  <cols>
    <col min="1" max="1" width="3.59765625" style="13" customWidth="1"/>
    <col min="2" max="2" width="34.59765625" style="14" bestFit="1" customWidth="1"/>
    <col min="3" max="3" width="37.3984375" style="14" bestFit="1" customWidth="1"/>
    <col min="4" max="4" width="15.59765625" style="14" customWidth="1"/>
    <col min="5" max="5" width="8.69921875" style="13" customWidth="1"/>
    <col min="6" max="6" width="9.59765625" style="14" customWidth="1"/>
    <col min="7" max="11" width="8.69921875" style="14" customWidth="1"/>
    <col min="12" max="16384" width="8.69921875" style="14" hidden="1"/>
  </cols>
  <sheetData>
    <row r="1" spans="1:11">
      <c r="A1" s="53"/>
    </row>
    <row r="2" spans="1:11" s="13" customFormat="1" ht="9.75" customHeight="1"/>
    <row r="3" spans="1:11" ht="34.5" customHeight="1">
      <c r="A3" s="14"/>
      <c r="B3" s="194" t="s">
        <v>16</v>
      </c>
      <c r="C3" s="194"/>
      <c r="D3" s="194"/>
      <c r="G3" s="192" t="s">
        <v>235</v>
      </c>
      <c r="H3" s="192"/>
      <c r="I3" s="192"/>
    </row>
    <row r="4" spans="1:11" ht="28.95" customHeight="1">
      <c r="A4" s="14"/>
      <c r="B4" s="193" t="s">
        <v>8</v>
      </c>
      <c r="C4" s="193"/>
      <c r="D4" s="193"/>
      <c r="G4" s="202" t="s">
        <v>247</v>
      </c>
      <c r="H4" s="202"/>
      <c r="I4" s="202"/>
      <c r="J4" s="202"/>
      <c r="K4" s="202"/>
    </row>
    <row r="5" spans="1:11" ht="9" customHeight="1" thickBot="1">
      <c r="A5" s="14"/>
      <c r="B5" s="15"/>
      <c r="C5" s="15"/>
      <c r="D5" s="13"/>
      <c r="G5" s="202"/>
      <c r="H5" s="202"/>
      <c r="I5" s="202"/>
      <c r="J5" s="202"/>
      <c r="K5" s="202"/>
    </row>
    <row r="6" spans="1:11" s="17" customFormat="1" ht="22.2" customHeight="1">
      <c r="B6" s="25" t="s">
        <v>0</v>
      </c>
      <c r="C6" s="195" t="str">
        <f>IF(Summary!C5="","",Summary!C5)</f>
        <v/>
      </c>
      <c r="D6" s="196"/>
      <c r="E6" s="16"/>
      <c r="G6" s="202"/>
      <c r="H6" s="202"/>
      <c r="I6" s="202"/>
      <c r="J6" s="202"/>
      <c r="K6" s="202"/>
    </row>
    <row r="7" spans="1:11" s="17" customFormat="1" ht="22.2" customHeight="1">
      <c r="B7" s="26" t="s">
        <v>219</v>
      </c>
      <c r="C7" s="199" t="str">
        <f>IF(Summary!C6="","",Summary!C6)</f>
        <v/>
      </c>
      <c r="D7" s="200"/>
      <c r="E7" s="16"/>
      <c r="G7" s="202"/>
      <c r="H7" s="202"/>
      <c r="I7" s="202"/>
      <c r="J7" s="202"/>
      <c r="K7" s="202"/>
    </row>
    <row r="8" spans="1:11" s="17" customFormat="1" ht="22.2" customHeight="1">
      <c r="B8" s="26" t="s">
        <v>220</v>
      </c>
      <c r="C8" s="199" t="str">
        <f>IF(Summary!C7="","",Summary!C7)</f>
        <v/>
      </c>
      <c r="D8" s="200"/>
      <c r="E8" s="16"/>
      <c r="G8" s="202"/>
      <c r="H8" s="202"/>
      <c r="I8" s="202"/>
      <c r="J8" s="202"/>
      <c r="K8" s="202"/>
    </row>
    <row r="9" spans="1:11" s="17" customFormat="1" ht="22.2" customHeight="1">
      <c r="B9" s="26" t="s">
        <v>239</v>
      </c>
      <c r="C9" s="165"/>
      <c r="D9" s="171" t="s">
        <v>69</v>
      </c>
      <c r="E9" s="16"/>
      <c r="G9" s="202"/>
      <c r="H9" s="202"/>
      <c r="I9" s="202"/>
      <c r="J9" s="202"/>
      <c r="K9" s="202"/>
    </row>
    <row r="10" spans="1:11" s="17" customFormat="1" ht="22.2" customHeight="1">
      <c r="B10" s="26" t="s">
        <v>169</v>
      </c>
      <c r="C10" s="165"/>
      <c r="D10" s="27" t="s">
        <v>69</v>
      </c>
      <c r="E10" s="16"/>
      <c r="G10" s="202"/>
      <c r="H10" s="202"/>
      <c r="I10" s="202"/>
      <c r="J10" s="202"/>
      <c r="K10" s="202"/>
    </row>
    <row r="11" spans="1:11" s="17" customFormat="1" ht="22.2" customHeight="1">
      <c r="B11" s="62" t="s">
        <v>240</v>
      </c>
      <c r="C11" s="145"/>
      <c r="D11" s="92" t="s">
        <v>170</v>
      </c>
      <c r="E11" s="16"/>
      <c r="G11" s="202"/>
      <c r="H11" s="202"/>
      <c r="I11" s="202"/>
      <c r="J11" s="202"/>
      <c r="K11" s="202"/>
    </row>
    <row r="12" spans="1:11" s="17" customFormat="1" ht="22.2" customHeight="1">
      <c r="B12" s="62" t="s">
        <v>171</v>
      </c>
      <c r="C12" s="145"/>
      <c r="D12" s="92" t="s">
        <v>170</v>
      </c>
      <c r="E12" s="16"/>
      <c r="G12" s="202"/>
      <c r="H12" s="202"/>
      <c r="I12" s="202"/>
      <c r="J12" s="202"/>
      <c r="K12" s="202"/>
    </row>
    <row r="13" spans="1:11" s="17" customFormat="1" ht="21.75" customHeight="1">
      <c r="B13" s="62" t="s">
        <v>73</v>
      </c>
      <c r="C13" s="145"/>
      <c r="D13" s="92" t="s">
        <v>78</v>
      </c>
      <c r="E13" s="16"/>
      <c r="G13" s="202"/>
      <c r="H13" s="202"/>
      <c r="I13" s="202"/>
      <c r="J13" s="202"/>
      <c r="K13" s="202"/>
    </row>
    <row r="14" spans="1:11" s="17" customFormat="1" ht="22.2" customHeight="1" thickBot="1">
      <c r="B14" s="28" t="s">
        <v>180</v>
      </c>
      <c r="C14" s="158"/>
      <c r="D14" s="29" t="s">
        <v>60</v>
      </c>
      <c r="E14" s="16"/>
      <c r="G14" s="202"/>
      <c r="H14" s="202"/>
      <c r="I14" s="202"/>
      <c r="J14" s="202"/>
      <c r="K14" s="202"/>
    </row>
    <row r="15" spans="1:11" s="17" customFormat="1" ht="22.2" customHeight="1" thickBot="1">
      <c r="B15" s="30"/>
      <c r="C15" s="30"/>
      <c r="D15" s="30"/>
      <c r="E15" s="16"/>
      <c r="G15" s="202"/>
      <c r="H15" s="202"/>
      <c r="I15" s="202"/>
      <c r="J15" s="202"/>
      <c r="K15" s="202"/>
    </row>
    <row r="16" spans="1:11" s="17" customFormat="1" ht="22.2" customHeight="1">
      <c r="B16" s="148" t="s">
        <v>156</v>
      </c>
      <c r="C16" s="173" t="str">
        <f>IFERROR('Ag Measures Calcs'!I71,"")</f>
        <v/>
      </c>
      <c r="D16" s="150" t="s">
        <v>1</v>
      </c>
      <c r="E16" s="16"/>
      <c r="G16" s="202"/>
      <c r="H16" s="202"/>
      <c r="I16" s="202"/>
      <c r="J16" s="202"/>
      <c r="K16" s="202"/>
    </row>
    <row r="17" spans="1:4" s="13" customFormat="1" ht="21.75" customHeight="1">
      <c r="A17" s="17"/>
      <c r="B17" s="164" t="s">
        <v>32</v>
      </c>
      <c r="C17" s="174" t="str">
        <f>IFERROR('Ag Measures Calcs'!J71,"")</f>
        <v/>
      </c>
      <c r="D17" s="171" t="s">
        <v>33</v>
      </c>
    </row>
    <row r="18" spans="1:4" ht="14.4" thickBot="1">
      <c r="A18" s="17"/>
      <c r="B18" s="154" t="s">
        <v>31</v>
      </c>
      <c r="C18" s="163" t="str">
        <f>IF(OR(C9="",C10="",C11="",C12="",C13="",C14=""),"",MIN('Ag Measures Calcs'!K71,C14))</f>
        <v/>
      </c>
      <c r="D18" s="156" t="s">
        <v>60</v>
      </c>
    </row>
    <row r="19" spans="1:4">
      <c r="B19" s="13"/>
      <c r="C19" s="13"/>
      <c r="D19" s="13"/>
    </row>
    <row r="20" spans="1:4" hidden="1">
      <c r="B20" s="52"/>
    </row>
  </sheetData>
  <sheetProtection algorithmName="SHA-512" hashValue="Yb8EzC/VVFoDcUz9AXalkjLak0DG5afL6mGnASio9qcgOGU2LH5L+ccoOFuxE9MOz6bAgC3L+CkChk0sdZSXHg==" saltValue="JfTXSRevHwG6RhHUyYjqoA==" spinCount="100000" sheet="1" formatColumns="0"/>
  <mergeCells count="7">
    <mergeCell ref="G3:I3"/>
    <mergeCell ref="G4:K16"/>
    <mergeCell ref="B3:D3"/>
    <mergeCell ref="B4:D4"/>
    <mergeCell ref="C6:D6"/>
    <mergeCell ref="C7:D7"/>
    <mergeCell ref="C8:D8"/>
  </mergeCells>
  <pageMargins left="0.5" right="0.5" top="0.5" bottom="0.5" header="0.3" footer="0.3"/>
  <pageSetup orientation="portrait" r:id="rId1"/>
  <ignoredErrors>
    <ignoredError sqref="C16:C1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'Ag Measures Calcs'!$AH$48:$AH$51</xm:f>
          </x14:formula1>
          <xm:sqref>C11:C12</xm:sqref>
        </x14:dataValidation>
        <x14:dataValidation type="list" allowBlank="1" showInputMessage="1" showErrorMessage="1" xr:uid="{00000000-0002-0000-0700-000001000000}">
          <x14:formula1>
            <xm:f>'Ag Measures Calcs'!$AM$48:$AM$48</xm:f>
          </x14:formula1>
          <xm:sqref>C13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0 xmlns="fbd72ae0-9096-4723-b141-e2d95183ae65">Template for calculator with one measure.</Description0>
    <Contact xmlns="fbd72ae0-9096-4723-b141-e2d95183ae65">
      <UserInfo>
        <DisplayName/>
        <AccountId xsi:nil="true"/>
        <AccountType/>
      </UserInfo>
    </Contact>
    <Date xmlns="fbd72ae0-9096-4723-b141-e2d95183ae65">2014-06-24T05:00:00+00:00</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7A58740030AB47B2DA8490D43544A4" ma:contentTypeVersion="3" ma:contentTypeDescription="Create a new document." ma:contentTypeScope="" ma:versionID="c430e3d955783bbf517e09ecd29ad109">
  <xsd:schema xmlns:xsd="http://www.w3.org/2001/XMLSchema" xmlns:xs="http://www.w3.org/2001/XMLSchema" xmlns:p="http://schemas.microsoft.com/office/2006/metadata/properties" xmlns:ns2="fbd72ae0-9096-4723-b141-e2d95183ae65" targetNamespace="http://schemas.microsoft.com/office/2006/metadata/properties" ma:root="true" ma:fieldsID="d78fc84c737ea1d58f06d50e033e753c" ns2:_="">
    <xsd:import namespace="fbd72ae0-9096-4723-b141-e2d95183ae65"/>
    <xsd:element name="properties">
      <xsd:complexType>
        <xsd:sequence>
          <xsd:element name="documentManagement">
            <xsd:complexType>
              <xsd:all>
                <xsd:element ref="ns2:Description0" minOccurs="0"/>
                <xsd:element ref="ns2:Contact"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72ae0-9096-4723-b141-e2d95183ae65"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Text">
          <xsd:maxLength value="255"/>
        </xsd:restriction>
      </xsd:simpleType>
    </xsd:element>
    <xsd:element name="Contact" ma:index="9" nillable="true" ma:displayName="Contact" ma:list="UserInfo" ma:SharePointGroup="0" ma:internalName="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ate" ma:index="10"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37399D27-9BFE-4155-AE52-51AF6A72D0EF}">
  <ds:schemaRefs>
    <ds:schemaRef ds:uri="http://schemas.microsoft.com/office/2006/documentManagement/types"/>
    <ds:schemaRef ds:uri="fbd72ae0-9096-4723-b141-e2d95183ae65"/>
    <ds:schemaRef ds:uri="http://www.w3.org/XML/1998/namespace"/>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3FE7590-AFD5-4218-A7DB-D6070D1179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72ae0-9096-4723-b141-e2d95183ae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Instructions</vt:lpstr>
      <vt:lpstr>Methodology</vt:lpstr>
      <vt:lpstr>Summary</vt:lpstr>
      <vt:lpstr>Auto Milker Takeoff Calculator</vt:lpstr>
      <vt:lpstr>Dairy Scroll Comp Calculator</vt:lpstr>
      <vt:lpstr>Livestock Waterer Calculator</vt:lpstr>
      <vt:lpstr>VSD Controller</vt:lpstr>
      <vt:lpstr>Hi Eff Vent Fans</vt:lpstr>
      <vt:lpstr>Hi Vol Low Speed Fans</vt:lpstr>
      <vt:lpstr>Ag Measures Calcs</vt:lpstr>
      <vt:lpstr>Version Log</vt:lpstr>
      <vt:lpstr>'Auto Milker Takeoff Calculator'!Print_Area</vt:lpstr>
      <vt:lpstr>'Dairy Scroll Comp Calculator'!Print_Area</vt:lpstr>
      <vt:lpstr>'Hi Eff Vent Fans'!Print_Area</vt:lpstr>
      <vt:lpstr>'Hi Vol Low Speed Fans'!Print_Area</vt:lpstr>
      <vt:lpstr>'Livestock Waterer Calculator'!Print_Area</vt:lpstr>
      <vt:lpstr>'VSD Controller'!Print_Area</vt:lpstr>
    </vt:vector>
  </TitlesOfParts>
  <Company>CLEAResult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Janine Morency</dc:creator>
  <cp:lastModifiedBy>Brandy Lehman</cp:lastModifiedBy>
  <cp:lastPrinted>2014-05-07T20:29:46Z</cp:lastPrinted>
  <dcterms:created xsi:type="dcterms:W3CDTF">2014-05-06T17:45:34Z</dcterms:created>
  <dcterms:modified xsi:type="dcterms:W3CDTF">2018-08-25T00:32:39Z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0x0101008D7A58740030AB47B2DA8490D43544A4</vt:lpwstr>
  </property>
  <property fmtid="{D5CDD505-2E9C-101B-9397-08002B2CF9AE}" pid="5" name="TaxKeyword">
    <vt:lpwstr/>
  </property>
</Properties>
</file>