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66925"/>
  <mc:AlternateContent xmlns:mc="http://schemas.openxmlformats.org/markup-compatibility/2006">
    <mc:Choice Requires="x15">
      <x15ac:absPath xmlns:x15ac="http://schemas.microsoft.com/office/spreadsheetml/2010/11/ac" url="https://clearesult5.sharepoint.com/sites/MidAtlanticEngineering/Shared Documents/Potomac Edison/Phase VI/Calculators and Templates/6.03/Final Calcs/"/>
    </mc:Choice>
  </mc:AlternateContent>
  <xr:revisionPtr revIDLastSave="54" documentId="8_{3DBDE41D-4A5F-4DC2-B45C-EA9705457CB7}" xr6:coauthVersionLast="47" xr6:coauthVersionMax="47" xr10:uidLastSave="{F252D4DA-CB04-4F1F-90F8-23EDC3E3B99E}"/>
  <workbookProtection workbookAlgorithmName="SHA-512" workbookHashValue="UecYy9rPZOi/RIYo228Yny6+tOWSMyFLn8d2teXDSTuDnIwwJNEAXc+NNHHdRWgD4MVtp4SHs8Q0B+ZAZmFe0A==" workbookSaltValue="I1qql/uH4x294dwWAiLH6A==" workbookSpinCount="100000" lockStructure="1"/>
  <bookViews>
    <workbookView xWindow="-120" yWindow="-120" windowWidth="29040" windowHeight="15840" activeTab="3" xr2:uid="{00000000-000D-0000-FFFF-FFFF00000000}"/>
  </bookViews>
  <sheets>
    <sheet name="Instructions" sheetId="6" r:id="rId1"/>
    <sheet name="Methodology" sheetId="10" state="hidden" r:id="rId2"/>
    <sheet name="Prescriptive Rebate Table" sheetId="4" r:id="rId3"/>
    <sheet name="Project Info &amp; Summary" sheetId="7" r:id="rId4"/>
    <sheet name="Calculator" sheetId="1" r:id="rId5"/>
    <sheet name="Additional Opportunities" sheetId="12" state="hidden" r:id="rId6"/>
    <sheet name="Lookups" sheetId="2" state="hidden" r:id="rId7"/>
    <sheet name="Fixture Codes" sheetId="3" r:id="rId8"/>
    <sheet name="Report" sheetId="9" state="hidden" r:id="rId9"/>
    <sheet name="Version Log" sheetId="11" state="hidden" r:id="rId10"/>
  </sheets>
  <definedNames>
    <definedName name="_xlnm._FilterDatabase" localSheetId="7" hidden="1">'Fixture Codes'!$B$7:$M$976</definedName>
    <definedName name="_xlnm._FilterDatabase" localSheetId="6" hidden="1">Lookups!$A$1:$C$38</definedName>
    <definedName name="_xlnm._FilterDatabase" localSheetId="2" hidden="1">'Prescriptive Rebate Table'!$B$2:$M$65</definedName>
    <definedName name="AC">Lookups!$W$2:$W$5</definedName>
    <definedName name="All">Lookups!$G$2:$G$42</definedName>
    <definedName name="All_Fixtures">'Fixture Codes'!$B$8:$B$976</definedName>
    <definedName name="BuildingTypefromApp">Lookups!$A$2:$A$38</definedName>
    <definedName name="CFLs_and_Custom">'Fixture Codes'!$O$8:$O$221</definedName>
    <definedName name="Custom_Fixtures">'Fixture Codes'!$B$919:$B$976</definedName>
    <definedName name="Daylight_Controls">'Prescriptive Rebate Table'!$C$59:$C$60</definedName>
    <definedName name="Dual_Daylight_Occupancy_Controls">'Prescriptive Rebate Table'!$C$57:$C$58</definedName>
    <definedName name="Education">Lookups!$G$43:$G$83</definedName>
    <definedName name="Exit_Signs">'Prescriptive Rebate Table'!$C$47</definedName>
    <definedName name="Exit_Signs_and_Custom">'Fixture Codes'!$P$8:$P$103</definedName>
    <definedName name="Fluorescents_and_Custom">'Fixture Codes'!$B$430:$B$976</definedName>
    <definedName name="Freezer">Lookups!$W$10</definedName>
    <definedName name="Grocery">Lookups!$G$84:$G$124</definedName>
    <definedName name="Health">Lookups!$G$125:$G$165</definedName>
    <definedName name="HIDs_and_Custom">'Fixture Codes'!$Q$8:$Q$132</definedName>
    <definedName name="HP">Lookups!$W$6:$W$8</definedName>
    <definedName name="Incandescents_and_Custom">'Fixture Codes'!$R$8:$R$186</definedName>
    <definedName name="LED_Display_Case_Luminaires">'Prescriptive Rebate Table'!$C$12:$C$13</definedName>
    <definedName name="LED_ENERGY_STAR_Fixtures">'Prescriptive Rebate Table'!$C$34:$C$36</definedName>
    <definedName name="LED_Exterior_Luminaires">'Prescriptive Rebate Table'!$C$19:$C$24</definedName>
    <definedName name="LED_Flat_Panel_Luminaires">'Prescriptive Rebate Table'!$C$5:$C$6</definedName>
    <definedName name="LED_High_Low_Bay_Luminaires">'Prescriptive Rebate Table'!$C$14:$C$18</definedName>
    <definedName name="LED_Interior_Directional_Luminaires">'Prescriptive Rebate Table'!$C$10:$C$11</definedName>
    <definedName name="LED_Linear_Ambient_Stairwell_Luminaires">'Prescriptive Rebate Table'!$C$7:$C$9</definedName>
    <definedName name="LED_Replacement_Lamps">'Prescriptive Rebate Table'!$C$37:$C$46</definedName>
    <definedName name="LED_Retrofit_Kits">'Prescriptive Rebate Table'!$C$25:$C$33</definedName>
    <definedName name="LED_Troffer_Luminaires">'Prescriptive Rebate Table'!$C$3:$C$4</definedName>
    <definedName name="LEDs_and_Custom">'Fixture Codes'!$S$8:$S$87</definedName>
    <definedName name="Lighting_Custom">'Prescriptive Rebate Table'!$C$51</definedName>
    <definedName name="Lighting_Other">'Prescriptive Rebate Table'!$C$50</definedName>
    <definedName name="Linear_Fluorescents">'Prescriptive Rebate Table'!$C$48</definedName>
    <definedName name="Multi_Family">Lookups!$G$168:$G$210</definedName>
    <definedName name="Networked_Lighting_Controls">'Prescriptive Rebate Table'!$C$52:$C$56</definedName>
    <definedName name="None">Lookups!$W$11:$W$14</definedName>
    <definedName name="Occupancy_Vacancy_Controls">'Prescriptive Rebate Table'!$C$61:$C$64</definedName>
    <definedName name="Office">Lookups!$G$251:$G$2119</definedName>
    <definedName name="Refrigerated">Lookups!$W$9</definedName>
    <definedName name="Retail">Lookups!$G$252:$G$291</definedName>
    <definedName name="Selected_Building_Type_from_App">Lookups!$AA$2</definedName>
    <definedName name="Street_and_Area_Lighting">'Prescriptive Rebate Table'!$C$49</definedName>
    <definedName name="Unknown">Lookups!$W$15:$W$18</definedName>
    <definedName name="Warehouse_Industrial">Lookups!$G$292:$G$332</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7" l="1"/>
  <c r="CB6" i="1" l="1"/>
  <c r="CB12" i="1"/>
  <c r="CB13" i="1"/>
  <c r="CB14" i="1"/>
  <c r="CB15" i="1"/>
  <c r="CB16" i="1"/>
  <c r="CB17" i="1"/>
  <c r="CB18" i="1"/>
  <c r="CB19" i="1"/>
  <c r="CB20" i="1"/>
  <c r="CB21" i="1"/>
  <c r="CB22" i="1"/>
  <c r="CB23" i="1"/>
  <c r="CB24" i="1"/>
  <c r="CB25" i="1"/>
  <c r="CB26" i="1"/>
  <c r="CB27" i="1"/>
  <c r="CB28" i="1"/>
  <c r="CB29" i="1"/>
  <c r="CB30" i="1"/>
  <c r="CB31" i="1"/>
  <c r="CB32" i="1"/>
  <c r="CB33" i="1"/>
  <c r="CB34" i="1"/>
  <c r="CB35" i="1"/>
  <c r="CB36" i="1"/>
  <c r="CB37" i="1"/>
  <c r="CB38" i="1"/>
  <c r="CB39" i="1"/>
  <c r="CB40" i="1"/>
  <c r="CB41" i="1"/>
  <c r="CB42" i="1"/>
  <c r="CB43" i="1"/>
  <c r="CB44" i="1"/>
  <c r="CB45" i="1"/>
  <c r="CB46" i="1"/>
  <c r="CB47" i="1"/>
  <c r="CB48" i="1"/>
  <c r="CB49" i="1"/>
  <c r="CB50" i="1"/>
  <c r="CB51" i="1"/>
  <c r="CB52" i="1"/>
  <c r="CB53" i="1"/>
  <c r="CB54" i="1"/>
  <c r="CB55" i="1"/>
  <c r="CB56" i="1"/>
  <c r="CB57" i="1"/>
  <c r="CB58" i="1"/>
  <c r="CB59" i="1"/>
  <c r="CB60" i="1"/>
  <c r="CB61" i="1"/>
  <c r="CB62" i="1"/>
  <c r="CB63" i="1"/>
  <c r="CB64" i="1"/>
  <c r="CB65" i="1"/>
  <c r="CB66" i="1"/>
  <c r="CB67" i="1"/>
  <c r="CB68" i="1"/>
  <c r="CB69" i="1"/>
  <c r="CB70" i="1"/>
  <c r="CB71" i="1"/>
  <c r="CB72" i="1"/>
  <c r="CB73" i="1"/>
  <c r="CB74" i="1"/>
  <c r="CB75" i="1"/>
  <c r="CB76" i="1"/>
  <c r="CB77" i="1"/>
  <c r="CB78" i="1"/>
  <c r="CB79" i="1"/>
  <c r="CB80" i="1"/>
  <c r="CB81" i="1"/>
  <c r="CB82" i="1"/>
  <c r="CB83" i="1"/>
  <c r="CB84" i="1"/>
  <c r="CB85" i="1"/>
  <c r="CB86" i="1"/>
  <c r="CB87" i="1"/>
  <c r="CB88" i="1"/>
  <c r="CB89" i="1"/>
  <c r="CB90" i="1"/>
  <c r="CB91" i="1"/>
  <c r="CB92" i="1"/>
  <c r="CB93" i="1"/>
  <c r="CB94" i="1"/>
  <c r="CB95" i="1"/>
  <c r="CB96" i="1"/>
  <c r="CB97" i="1"/>
  <c r="CB98" i="1"/>
  <c r="CB99" i="1"/>
  <c r="CB100" i="1"/>
  <c r="CB101" i="1"/>
  <c r="CB102" i="1"/>
  <c r="CB103" i="1"/>
  <c r="CB104" i="1"/>
  <c r="CB105" i="1"/>
  <c r="CB106" i="1"/>
  <c r="CB107" i="1"/>
  <c r="CB108" i="1"/>
  <c r="CB109" i="1"/>
  <c r="CB110" i="1"/>
  <c r="CB111" i="1"/>
  <c r="CB112" i="1"/>
  <c r="CB113" i="1"/>
  <c r="CB114" i="1"/>
  <c r="CB115" i="1"/>
  <c r="CB116" i="1"/>
  <c r="CB117" i="1"/>
  <c r="CB118" i="1"/>
  <c r="CB119" i="1"/>
  <c r="CB120" i="1"/>
  <c r="CB121" i="1"/>
  <c r="CB122" i="1"/>
  <c r="CB123" i="1"/>
  <c r="CB124" i="1"/>
  <c r="CB125" i="1"/>
  <c r="CB126" i="1"/>
  <c r="CB127" i="1"/>
  <c r="CB128" i="1"/>
  <c r="CB129" i="1"/>
  <c r="CB130" i="1"/>
  <c r="CB131" i="1"/>
  <c r="CB132" i="1"/>
  <c r="CB133" i="1"/>
  <c r="CB134" i="1"/>
  <c r="CB135" i="1"/>
  <c r="CB136" i="1"/>
  <c r="CB137" i="1"/>
  <c r="CB138" i="1"/>
  <c r="CB139" i="1"/>
  <c r="CB140" i="1"/>
  <c r="CB141" i="1"/>
  <c r="CB142" i="1"/>
  <c r="CB143" i="1"/>
  <c r="CB144" i="1"/>
  <c r="CB145" i="1"/>
  <c r="CB146" i="1"/>
  <c r="CB147" i="1"/>
  <c r="CB148" i="1"/>
  <c r="CB149" i="1"/>
  <c r="CB150" i="1"/>
  <c r="CB151" i="1"/>
  <c r="CB152" i="1"/>
  <c r="CB153" i="1"/>
  <c r="CB154" i="1"/>
  <c r="CB155" i="1"/>
  <c r="CB156" i="1"/>
  <c r="CB157" i="1"/>
  <c r="CB158" i="1"/>
  <c r="CB159" i="1"/>
  <c r="CB160" i="1"/>
  <c r="CB161" i="1"/>
  <c r="CB162" i="1"/>
  <c r="CB163" i="1"/>
  <c r="CB164" i="1"/>
  <c r="CB165" i="1"/>
  <c r="CB166" i="1"/>
  <c r="CB167" i="1"/>
  <c r="CB168" i="1"/>
  <c r="CB169" i="1"/>
  <c r="CB170" i="1"/>
  <c r="CB171" i="1"/>
  <c r="CB172" i="1"/>
  <c r="CB173" i="1"/>
  <c r="CB174" i="1"/>
  <c r="CB175" i="1"/>
  <c r="CB176" i="1"/>
  <c r="CB177" i="1"/>
  <c r="CB178" i="1"/>
  <c r="CB179" i="1"/>
  <c r="CB180" i="1"/>
  <c r="CB181" i="1"/>
  <c r="CB182" i="1"/>
  <c r="CB183" i="1"/>
  <c r="CB184" i="1"/>
  <c r="CB185" i="1"/>
  <c r="CB186" i="1"/>
  <c r="CB187" i="1"/>
  <c r="CB188" i="1"/>
  <c r="CB189" i="1"/>
  <c r="CB190" i="1"/>
  <c r="CB191" i="1"/>
  <c r="CB192" i="1"/>
  <c r="CB193" i="1"/>
  <c r="CB194" i="1"/>
  <c r="CB195" i="1"/>
  <c r="CB196" i="1"/>
  <c r="CB197" i="1"/>
  <c r="CB198" i="1"/>
  <c r="CB199" i="1"/>
  <c r="CB200" i="1"/>
  <c r="CB201" i="1"/>
  <c r="CB202" i="1"/>
  <c r="CB203" i="1"/>
  <c r="CB204" i="1"/>
  <c r="CB205" i="1"/>
  <c r="CB206" i="1"/>
  <c r="CB207" i="1"/>
  <c r="CB208" i="1"/>
  <c r="CB209" i="1"/>
  <c r="CB210" i="1"/>
  <c r="CB211" i="1"/>
  <c r="CB212" i="1"/>
  <c r="CB213" i="1"/>
  <c r="CB214" i="1"/>
  <c r="CB215" i="1"/>
  <c r="CB216" i="1"/>
  <c r="CB217" i="1"/>
  <c r="CB218" i="1"/>
  <c r="CB219" i="1"/>
  <c r="CB220" i="1"/>
  <c r="CB221" i="1"/>
  <c r="CB222" i="1"/>
  <c r="CB223" i="1"/>
  <c r="CB224" i="1"/>
  <c r="CB225" i="1"/>
  <c r="CB226" i="1"/>
  <c r="CB227" i="1"/>
  <c r="CB228" i="1"/>
  <c r="CB229" i="1"/>
  <c r="CB230" i="1"/>
  <c r="CB231" i="1"/>
  <c r="CB232" i="1"/>
  <c r="CB233" i="1"/>
  <c r="CB234" i="1"/>
  <c r="CB235" i="1"/>
  <c r="CB236" i="1"/>
  <c r="CB237" i="1"/>
  <c r="CB238" i="1"/>
  <c r="CB239" i="1"/>
  <c r="CB240" i="1"/>
  <c r="CB241" i="1"/>
  <c r="CB242" i="1"/>
  <c r="CB243" i="1"/>
  <c r="CB244" i="1"/>
  <c r="CB245" i="1"/>
  <c r="CB246" i="1"/>
  <c r="CB247" i="1"/>
  <c r="CB248" i="1"/>
  <c r="CB249" i="1"/>
  <c r="CB250" i="1"/>
  <c r="CB251" i="1"/>
  <c r="CB252" i="1"/>
  <c r="CB253" i="1"/>
  <c r="CB254" i="1"/>
  <c r="C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5" i="1"/>
  <c r="C62" i="2"/>
  <c r="B62" i="2"/>
  <c r="AJ6" i="1" l="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5" i="1"/>
  <c r="CC6" i="1" l="1"/>
  <c r="CC16" i="1"/>
  <c r="CC17" i="1"/>
  <c r="CC18" i="1"/>
  <c r="CC28" i="1"/>
  <c r="CC29" i="1"/>
  <c r="CC30" i="1"/>
  <c r="CC40" i="1"/>
  <c r="CC41" i="1"/>
  <c r="CC42" i="1"/>
  <c r="CC52" i="1"/>
  <c r="CC53" i="1"/>
  <c r="CC54" i="1"/>
  <c r="CC64" i="1"/>
  <c r="CC65" i="1"/>
  <c r="CC66" i="1"/>
  <c r="CC76" i="1"/>
  <c r="CC77" i="1"/>
  <c r="CC78" i="1"/>
  <c r="CC88" i="1"/>
  <c r="CC89" i="1"/>
  <c r="CC90" i="1"/>
  <c r="CC100" i="1"/>
  <c r="CC101" i="1"/>
  <c r="CC102" i="1"/>
  <c r="CC112" i="1"/>
  <c r="CC113" i="1"/>
  <c r="CC114" i="1"/>
  <c r="CC124" i="1"/>
  <c r="CC125" i="1"/>
  <c r="CC126" i="1"/>
  <c r="CC136" i="1"/>
  <c r="CC137" i="1"/>
  <c r="CC138" i="1"/>
  <c r="CC148" i="1"/>
  <c r="CC149" i="1"/>
  <c r="CC150" i="1"/>
  <c r="CC160" i="1"/>
  <c r="CC161" i="1"/>
  <c r="CC162" i="1"/>
  <c r="CC172" i="1"/>
  <c r="CC173" i="1"/>
  <c r="CC174" i="1"/>
  <c r="CC184" i="1"/>
  <c r="CC185" i="1"/>
  <c r="CC186" i="1"/>
  <c r="CC196" i="1"/>
  <c r="CC197" i="1"/>
  <c r="CC198" i="1"/>
  <c r="CC208" i="1"/>
  <c r="CC209" i="1"/>
  <c r="CC210" i="1"/>
  <c r="CC220" i="1"/>
  <c r="CC221" i="1"/>
  <c r="CC222" i="1"/>
  <c r="CC232" i="1"/>
  <c r="CC233" i="1"/>
  <c r="CC234" i="1"/>
  <c r="CC244" i="1"/>
  <c r="CC245" i="1"/>
  <c r="CC246" i="1"/>
  <c r="CK5" i="1"/>
  <c r="CC5" i="1" s="1"/>
  <c r="CC19" i="1"/>
  <c r="CC31" i="1"/>
  <c r="CC43" i="1"/>
  <c r="CC55" i="1"/>
  <c r="CC67" i="1"/>
  <c r="CC79" i="1"/>
  <c r="CC91" i="1"/>
  <c r="CC103" i="1"/>
  <c r="CC115" i="1"/>
  <c r="CC127" i="1"/>
  <c r="CC139" i="1"/>
  <c r="CC151" i="1"/>
  <c r="CC163" i="1"/>
  <c r="CC175" i="1"/>
  <c r="CC187" i="1"/>
  <c r="CC199" i="1"/>
  <c r="CC211" i="1"/>
  <c r="CC223" i="1"/>
  <c r="CC235" i="1"/>
  <c r="CC247" i="1"/>
  <c r="CK12" i="1"/>
  <c r="CC12" i="1" s="1"/>
  <c r="CK13" i="1"/>
  <c r="CC13" i="1" s="1"/>
  <c r="CK14" i="1"/>
  <c r="CC14" i="1" s="1"/>
  <c r="CK15" i="1"/>
  <c r="CC15" i="1" s="1"/>
  <c r="CK16" i="1"/>
  <c r="CK17" i="1"/>
  <c r="CK18" i="1"/>
  <c r="CK19" i="1"/>
  <c r="CK20" i="1"/>
  <c r="CC20" i="1" s="1"/>
  <c r="CK21" i="1"/>
  <c r="CC21" i="1" s="1"/>
  <c r="CK22" i="1"/>
  <c r="CC22" i="1" s="1"/>
  <c r="CK23" i="1"/>
  <c r="CC23" i="1" s="1"/>
  <c r="CK24" i="1"/>
  <c r="CC24" i="1" s="1"/>
  <c r="CK25" i="1"/>
  <c r="CC25" i="1" s="1"/>
  <c r="CK26" i="1"/>
  <c r="CC26" i="1" s="1"/>
  <c r="CK27" i="1"/>
  <c r="CC27" i="1" s="1"/>
  <c r="CK28" i="1"/>
  <c r="CK29" i="1"/>
  <c r="CK30" i="1"/>
  <c r="CK31" i="1"/>
  <c r="CK32" i="1"/>
  <c r="CC32" i="1" s="1"/>
  <c r="CK33" i="1"/>
  <c r="CC33" i="1" s="1"/>
  <c r="CK34" i="1"/>
  <c r="CC34" i="1" s="1"/>
  <c r="CK35" i="1"/>
  <c r="CC35" i="1" s="1"/>
  <c r="CK36" i="1"/>
  <c r="CC36" i="1" s="1"/>
  <c r="CK37" i="1"/>
  <c r="CC37" i="1" s="1"/>
  <c r="CK38" i="1"/>
  <c r="CC38" i="1" s="1"/>
  <c r="CK39" i="1"/>
  <c r="CC39" i="1" s="1"/>
  <c r="CK40" i="1"/>
  <c r="CK41" i="1"/>
  <c r="CK42" i="1"/>
  <c r="CK43" i="1"/>
  <c r="CK44" i="1"/>
  <c r="CC44" i="1" s="1"/>
  <c r="CK45" i="1"/>
  <c r="CC45" i="1" s="1"/>
  <c r="CK46" i="1"/>
  <c r="CC46" i="1" s="1"/>
  <c r="CK47" i="1"/>
  <c r="CC47" i="1" s="1"/>
  <c r="CK48" i="1"/>
  <c r="CC48" i="1" s="1"/>
  <c r="CK49" i="1"/>
  <c r="CC49" i="1" s="1"/>
  <c r="CK50" i="1"/>
  <c r="CC50" i="1" s="1"/>
  <c r="CK51" i="1"/>
  <c r="CC51" i="1" s="1"/>
  <c r="CK52" i="1"/>
  <c r="CK53" i="1"/>
  <c r="CK54" i="1"/>
  <c r="CK55" i="1"/>
  <c r="CK56" i="1"/>
  <c r="CC56" i="1" s="1"/>
  <c r="CK57" i="1"/>
  <c r="CC57" i="1" s="1"/>
  <c r="CK58" i="1"/>
  <c r="CC58" i="1" s="1"/>
  <c r="CK59" i="1"/>
  <c r="CC59" i="1" s="1"/>
  <c r="CK60" i="1"/>
  <c r="CC60" i="1" s="1"/>
  <c r="CK61" i="1"/>
  <c r="CC61" i="1" s="1"/>
  <c r="CK62" i="1"/>
  <c r="CC62" i="1" s="1"/>
  <c r="CK63" i="1"/>
  <c r="CC63" i="1" s="1"/>
  <c r="CK64" i="1"/>
  <c r="CK65" i="1"/>
  <c r="CK66" i="1"/>
  <c r="CK67" i="1"/>
  <c r="CK68" i="1"/>
  <c r="CC68" i="1" s="1"/>
  <c r="CK69" i="1"/>
  <c r="CC69" i="1" s="1"/>
  <c r="CK70" i="1"/>
  <c r="CC70" i="1" s="1"/>
  <c r="CK71" i="1"/>
  <c r="CC71" i="1" s="1"/>
  <c r="CK72" i="1"/>
  <c r="CC72" i="1" s="1"/>
  <c r="CK73" i="1"/>
  <c r="CC73" i="1" s="1"/>
  <c r="CK74" i="1"/>
  <c r="CC74" i="1" s="1"/>
  <c r="CK75" i="1"/>
  <c r="CC75" i="1" s="1"/>
  <c r="CK76" i="1"/>
  <c r="CK77" i="1"/>
  <c r="CK78" i="1"/>
  <c r="CK79" i="1"/>
  <c r="CK80" i="1"/>
  <c r="CC80" i="1" s="1"/>
  <c r="CK81" i="1"/>
  <c r="CC81" i="1" s="1"/>
  <c r="CK82" i="1"/>
  <c r="CC82" i="1" s="1"/>
  <c r="CK83" i="1"/>
  <c r="CC83" i="1" s="1"/>
  <c r="CK84" i="1"/>
  <c r="CC84" i="1" s="1"/>
  <c r="CK85" i="1"/>
  <c r="CC85" i="1" s="1"/>
  <c r="CK86" i="1"/>
  <c r="CC86" i="1" s="1"/>
  <c r="CK87" i="1"/>
  <c r="CC87" i="1" s="1"/>
  <c r="CK88" i="1"/>
  <c r="CK89" i="1"/>
  <c r="CK90" i="1"/>
  <c r="CK91" i="1"/>
  <c r="CK92" i="1"/>
  <c r="CC92" i="1" s="1"/>
  <c r="CK93" i="1"/>
  <c r="CC93" i="1" s="1"/>
  <c r="CK94" i="1"/>
  <c r="CC94" i="1" s="1"/>
  <c r="CK95" i="1"/>
  <c r="CC95" i="1" s="1"/>
  <c r="CK96" i="1"/>
  <c r="CC96" i="1" s="1"/>
  <c r="CK97" i="1"/>
  <c r="CC97" i="1" s="1"/>
  <c r="CK98" i="1"/>
  <c r="CC98" i="1" s="1"/>
  <c r="CK99" i="1"/>
  <c r="CC99" i="1" s="1"/>
  <c r="CK100" i="1"/>
  <c r="CK101" i="1"/>
  <c r="CK102" i="1"/>
  <c r="CK103" i="1"/>
  <c r="CK104" i="1"/>
  <c r="CC104" i="1" s="1"/>
  <c r="CK105" i="1"/>
  <c r="CC105" i="1" s="1"/>
  <c r="CK106" i="1"/>
  <c r="CC106" i="1" s="1"/>
  <c r="CK107" i="1"/>
  <c r="CC107" i="1" s="1"/>
  <c r="CK108" i="1"/>
  <c r="CC108" i="1" s="1"/>
  <c r="CK109" i="1"/>
  <c r="CC109" i="1" s="1"/>
  <c r="CK110" i="1"/>
  <c r="CC110" i="1" s="1"/>
  <c r="CK111" i="1"/>
  <c r="CC111" i="1" s="1"/>
  <c r="CK112" i="1"/>
  <c r="CK113" i="1"/>
  <c r="CK114" i="1"/>
  <c r="CK115" i="1"/>
  <c r="CK116" i="1"/>
  <c r="CC116" i="1" s="1"/>
  <c r="CK117" i="1"/>
  <c r="CC117" i="1" s="1"/>
  <c r="CK118" i="1"/>
  <c r="CC118" i="1" s="1"/>
  <c r="CK119" i="1"/>
  <c r="CC119" i="1" s="1"/>
  <c r="CK120" i="1"/>
  <c r="CC120" i="1" s="1"/>
  <c r="CK121" i="1"/>
  <c r="CC121" i="1" s="1"/>
  <c r="CK122" i="1"/>
  <c r="CC122" i="1" s="1"/>
  <c r="CK123" i="1"/>
  <c r="CC123" i="1" s="1"/>
  <c r="CK124" i="1"/>
  <c r="CK125" i="1"/>
  <c r="CK126" i="1"/>
  <c r="CK127" i="1"/>
  <c r="CK128" i="1"/>
  <c r="CC128" i="1" s="1"/>
  <c r="CK129" i="1"/>
  <c r="CC129" i="1" s="1"/>
  <c r="CK130" i="1"/>
  <c r="CC130" i="1" s="1"/>
  <c r="CK131" i="1"/>
  <c r="CC131" i="1" s="1"/>
  <c r="CK132" i="1"/>
  <c r="CC132" i="1" s="1"/>
  <c r="CK133" i="1"/>
  <c r="CC133" i="1" s="1"/>
  <c r="CK134" i="1"/>
  <c r="CC134" i="1" s="1"/>
  <c r="CK135" i="1"/>
  <c r="CC135" i="1" s="1"/>
  <c r="CK136" i="1"/>
  <c r="CK137" i="1"/>
  <c r="CK138" i="1"/>
  <c r="CK139" i="1"/>
  <c r="CK140" i="1"/>
  <c r="CC140" i="1" s="1"/>
  <c r="CK141" i="1"/>
  <c r="CC141" i="1" s="1"/>
  <c r="CK142" i="1"/>
  <c r="CC142" i="1" s="1"/>
  <c r="CK143" i="1"/>
  <c r="CC143" i="1" s="1"/>
  <c r="CK144" i="1"/>
  <c r="CC144" i="1" s="1"/>
  <c r="CK145" i="1"/>
  <c r="CC145" i="1" s="1"/>
  <c r="CK146" i="1"/>
  <c r="CC146" i="1" s="1"/>
  <c r="CK147" i="1"/>
  <c r="CC147" i="1" s="1"/>
  <c r="CK148" i="1"/>
  <c r="CK149" i="1"/>
  <c r="CK150" i="1"/>
  <c r="CK151" i="1"/>
  <c r="CK152" i="1"/>
  <c r="CC152" i="1" s="1"/>
  <c r="CK153" i="1"/>
  <c r="CC153" i="1" s="1"/>
  <c r="CK154" i="1"/>
  <c r="CC154" i="1" s="1"/>
  <c r="CK155" i="1"/>
  <c r="CC155" i="1" s="1"/>
  <c r="CK156" i="1"/>
  <c r="CC156" i="1" s="1"/>
  <c r="CK157" i="1"/>
  <c r="CC157" i="1" s="1"/>
  <c r="CK158" i="1"/>
  <c r="CC158" i="1" s="1"/>
  <c r="CK159" i="1"/>
  <c r="CC159" i="1" s="1"/>
  <c r="CK160" i="1"/>
  <c r="CK161" i="1"/>
  <c r="CK162" i="1"/>
  <c r="CK163" i="1"/>
  <c r="CK164" i="1"/>
  <c r="CC164" i="1" s="1"/>
  <c r="CK165" i="1"/>
  <c r="CC165" i="1" s="1"/>
  <c r="CK166" i="1"/>
  <c r="CC166" i="1" s="1"/>
  <c r="CK167" i="1"/>
  <c r="CC167" i="1" s="1"/>
  <c r="CK168" i="1"/>
  <c r="CC168" i="1" s="1"/>
  <c r="CK169" i="1"/>
  <c r="CC169" i="1" s="1"/>
  <c r="CK170" i="1"/>
  <c r="CC170" i="1" s="1"/>
  <c r="CK171" i="1"/>
  <c r="CC171" i="1" s="1"/>
  <c r="CK172" i="1"/>
  <c r="CK173" i="1"/>
  <c r="CK174" i="1"/>
  <c r="CK175" i="1"/>
  <c r="CK176" i="1"/>
  <c r="CC176" i="1" s="1"/>
  <c r="CK177" i="1"/>
  <c r="CC177" i="1" s="1"/>
  <c r="CK178" i="1"/>
  <c r="CC178" i="1" s="1"/>
  <c r="CK179" i="1"/>
  <c r="CC179" i="1" s="1"/>
  <c r="CK180" i="1"/>
  <c r="CC180" i="1" s="1"/>
  <c r="CK181" i="1"/>
  <c r="CC181" i="1" s="1"/>
  <c r="CK182" i="1"/>
  <c r="CC182" i="1" s="1"/>
  <c r="CK183" i="1"/>
  <c r="CC183" i="1" s="1"/>
  <c r="CK184" i="1"/>
  <c r="CK185" i="1"/>
  <c r="CK186" i="1"/>
  <c r="CK187" i="1"/>
  <c r="CK188" i="1"/>
  <c r="CC188" i="1" s="1"/>
  <c r="CK189" i="1"/>
  <c r="CC189" i="1" s="1"/>
  <c r="CK190" i="1"/>
  <c r="CC190" i="1" s="1"/>
  <c r="CK191" i="1"/>
  <c r="CC191" i="1" s="1"/>
  <c r="CK192" i="1"/>
  <c r="CC192" i="1" s="1"/>
  <c r="CK193" i="1"/>
  <c r="CC193" i="1" s="1"/>
  <c r="CK194" i="1"/>
  <c r="CC194" i="1" s="1"/>
  <c r="CK195" i="1"/>
  <c r="CC195" i="1" s="1"/>
  <c r="CK196" i="1"/>
  <c r="CK197" i="1"/>
  <c r="CK198" i="1"/>
  <c r="CK199" i="1"/>
  <c r="CK200" i="1"/>
  <c r="CC200" i="1" s="1"/>
  <c r="CK201" i="1"/>
  <c r="CC201" i="1" s="1"/>
  <c r="CK202" i="1"/>
  <c r="CC202" i="1" s="1"/>
  <c r="CK203" i="1"/>
  <c r="CC203" i="1" s="1"/>
  <c r="CK204" i="1"/>
  <c r="CC204" i="1" s="1"/>
  <c r="CK205" i="1"/>
  <c r="CC205" i="1" s="1"/>
  <c r="CK206" i="1"/>
  <c r="CC206" i="1" s="1"/>
  <c r="CK207" i="1"/>
  <c r="CC207" i="1" s="1"/>
  <c r="CK208" i="1"/>
  <c r="CK209" i="1"/>
  <c r="CK210" i="1"/>
  <c r="CK211" i="1"/>
  <c r="CK212" i="1"/>
  <c r="CC212" i="1" s="1"/>
  <c r="CK213" i="1"/>
  <c r="CC213" i="1" s="1"/>
  <c r="CK214" i="1"/>
  <c r="CC214" i="1" s="1"/>
  <c r="CK215" i="1"/>
  <c r="CC215" i="1" s="1"/>
  <c r="CK216" i="1"/>
  <c r="CC216" i="1" s="1"/>
  <c r="CK217" i="1"/>
  <c r="CC217" i="1" s="1"/>
  <c r="CK218" i="1"/>
  <c r="CC218" i="1" s="1"/>
  <c r="CK219" i="1"/>
  <c r="CC219" i="1" s="1"/>
  <c r="CK220" i="1"/>
  <c r="CK221" i="1"/>
  <c r="CK222" i="1"/>
  <c r="CK223" i="1"/>
  <c r="CK224" i="1"/>
  <c r="CC224" i="1" s="1"/>
  <c r="CK225" i="1"/>
  <c r="CC225" i="1" s="1"/>
  <c r="CK226" i="1"/>
  <c r="CC226" i="1" s="1"/>
  <c r="CK227" i="1"/>
  <c r="CC227" i="1" s="1"/>
  <c r="CK228" i="1"/>
  <c r="CC228" i="1" s="1"/>
  <c r="CK229" i="1"/>
  <c r="CC229" i="1" s="1"/>
  <c r="CK230" i="1"/>
  <c r="CC230" i="1" s="1"/>
  <c r="CK231" i="1"/>
  <c r="CC231" i="1" s="1"/>
  <c r="CK232" i="1"/>
  <c r="CK233" i="1"/>
  <c r="CK234" i="1"/>
  <c r="CK235" i="1"/>
  <c r="CK236" i="1"/>
  <c r="CC236" i="1" s="1"/>
  <c r="CK237" i="1"/>
  <c r="CC237" i="1" s="1"/>
  <c r="CK238" i="1"/>
  <c r="CC238" i="1" s="1"/>
  <c r="CK239" i="1"/>
  <c r="CC239" i="1" s="1"/>
  <c r="CK240" i="1"/>
  <c r="CC240" i="1" s="1"/>
  <c r="CK241" i="1"/>
  <c r="CC241" i="1" s="1"/>
  <c r="CK242" i="1"/>
  <c r="CC242" i="1" s="1"/>
  <c r="CK243" i="1"/>
  <c r="CC243" i="1" s="1"/>
  <c r="CK244" i="1"/>
  <c r="CK245" i="1"/>
  <c r="CK246" i="1"/>
  <c r="CK247" i="1"/>
  <c r="CK248" i="1"/>
  <c r="CC248" i="1" s="1"/>
  <c r="CK249" i="1"/>
  <c r="CC249" i="1" s="1"/>
  <c r="CK250" i="1"/>
  <c r="CC250" i="1" s="1"/>
  <c r="CK251" i="1"/>
  <c r="CC251" i="1" s="1"/>
  <c r="CK252" i="1"/>
  <c r="CC252" i="1" s="1"/>
  <c r="CK253" i="1"/>
  <c r="CC253" i="1" s="1"/>
  <c r="CK254" i="1"/>
  <c r="CC254" i="1" s="1"/>
  <c r="CK6" i="1"/>
  <c r="CK10" i="1"/>
  <c r="CB10" i="1" s="1"/>
  <c r="BC6" i="1"/>
  <c r="BD6" i="1"/>
  <c r="BC7" i="1"/>
  <c r="BD7" i="1"/>
  <c r="BC8" i="1"/>
  <c r="BD8" i="1"/>
  <c r="BC9" i="1"/>
  <c r="BD9" i="1"/>
  <c r="BC10" i="1"/>
  <c r="BD10" i="1"/>
  <c r="BC11" i="1"/>
  <c r="BD11" i="1"/>
  <c r="BC12" i="1"/>
  <c r="BD12" i="1"/>
  <c r="BC13" i="1"/>
  <c r="BD13" i="1"/>
  <c r="BC14" i="1"/>
  <c r="BD14" i="1"/>
  <c r="BC15" i="1"/>
  <c r="BD15" i="1"/>
  <c r="BC16" i="1"/>
  <c r="BD16" i="1"/>
  <c r="BC17" i="1"/>
  <c r="BD17" i="1"/>
  <c r="BC18" i="1"/>
  <c r="BD18" i="1"/>
  <c r="BC19" i="1"/>
  <c r="BD19" i="1"/>
  <c r="BC20" i="1"/>
  <c r="BD20" i="1"/>
  <c r="BC21" i="1"/>
  <c r="BD21" i="1"/>
  <c r="BC22" i="1"/>
  <c r="BD22" i="1"/>
  <c r="BC23" i="1"/>
  <c r="BD23" i="1"/>
  <c r="BC24" i="1"/>
  <c r="BD24" i="1"/>
  <c r="BC25" i="1"/>
  <c r="BD25" i="1"/>
  <c r="BC26" i="1"/>
  <c r="BD26" i="1"/>
  <c r="BC27" i="1"/>
  <c r="BD27" i="1"/>
  <c r="BC28" i="1"/>
  <c r="BD28" i="1"/>
  <c r="BC29" i="1"/>
  <c r="BD29" i="1"/>
  <c r="BC30" i="1"/>
  <c r="BD30" i="1"/>
  <c r="BC31" i="1"/>
  <c r="BD31" i="1"/>
  <c r="BC32" i="1"/>
  <c r="BD32" i="1"/>
  <c r="BC33" i="1"/>
  <c r="BD33" i="1"/>
  <c r="BC34" i="1"/>
  <c r="BD34" i="1"/>
  <c r="BC35" i="1"/>
  <c r="BD35" i="1"/>
  <c r="BC36" i="1"/>
  <c r="BD36" i="1"/>
  <c r="BC37" i="1"/>
  <c r="BD37" i="1"/>
  <c r="BC38" i="1"/>
  <c r="BD38" i="1"/>
  <c r="BC39" i="1"/>
  <c r="BD39" i="1"/>
  <c r="BC40" i="1"/>
  <c r="BD40" i="1"/>
  <c r="BC41" i="1"/>
  <c r="BD41" i="1"/>
  <c r="BC42" i="1"/>
  <c r="BD42" i="1"/>
  <c r="BC43" i="1"/>
  <c r="BD43" i="1"/>
  <c r="BC44" i="1"/>
  <c r="BD44" i="1"/>
  <c r="BC45" i="1"/>
  <c r="BD45" i="1"/>
  <c r="BC46" i="1"/>
  <c r="BD46" i="1"/>
  <c r="BC47" i="1"/>
  <c r="BD47" i="1"/>
  <c r="BC48" i="1"/>
  <c r="BD48" i="1"/>
  <c r="BC49" i="1"/>
  <c r="BD49" i="1"/>
  <c r="BC50" i="1"/>
  <c r="BD50" i="1"/>
  <c r="BC51" i="1"/>
  <c r="BD51" i="1"/>
  <c r="BC52" i="1"/>
  <c r="BD52" i="1"/>
  <c r="BC53" i="1"/>
  <c r="BD53" i="1"/>
  <c r="BC54" i="1"/>
  <c r="BD54" i="1"/>
  <c r="BC55" i="1"/>
  <c r="BD55" i="1"/>
  <c r="BC56" i="1"/>
  <c r="BD56" i="1"/>
  <c r="BC57" i="1"/>
  <c r="BD57" i="1"/>
  <c r="BC58" i="1"/>
  <c r="BD58" i="1"/>
  <c r="BC59" i="1"/>
  <c r="BD59" i="1"/>
  <c r="BC60" i="1"/>
  <c r="BD60" i="1"/>
  <c r="BC61" i="1"/>
  <c r="BD61" i="1"/>
  <c r="BC62" i="1"/>
  <c r="BD62" i="1"/>
  <c r="BC63" i="1"/>
  <c r="BD63" i="1"/>
  <c r="BC64" i="1"/>
  <c r="BD64" i="1"/>
  <c r="BC65" i="1"/>
  <c r="BD65" i="1"/>
  <c r="BC66" i="1"/>
  <c r="BD66" i="1"/>
  <c r="BC67" i="1"/>
  <c r="BD67" i="1"/>
  <c r="BC68" i="1"/>
  <c r="BD68" i="1"/>
  <c r="BC69" i="1"/>
  <c r="BD69" i="1"/>
  <c r="BC70" i="1"/>
  <c r="BD70" i="1"/>
  <c r="BC71" i="1"/>
  <c r="BD71" i="1"/>
  <c r="BC72" i="1"/>
  <c r="BD72" i="1"/>
  <c r="BC73" i="1"/>
  <c r="BD73" i="1"/>
  <c r="BC74" i="1"/>
  <c r="BD74" i="1"/>
  <c r="BC75" i="1"/>
  <c r="BD75" i="1"/>
  <c r="BC76" i="1"/>
  <c r="BD76" i="1"/>
  <c r="BC77" i="1"/>
  <c r="BD77" i="1"/>
  <c r="BC78" i="1"/>
  <c r="BD78" i="1"/>
  <c r="BC79" i="1"/>
  <c r="BD79" i="1"/>
  <c r="BC80" i="1"/>
  <c r="BD80" i="1"/>
  <c r="BC81" i="1"/>
  <c r="BD81" i="1"/>
  <c r="BC82" i="1"/>
  <c r="BD82" i="1"/>
  <c r="BC83" i="1"/>
  <c r="BD83" i="1"/>
  <c r="BC84" i="1"/>
  <c r="BD84" i="1"/>
  <c r="BC85" i="1"/>
  <c r="BD85" i="1"/>
  <c r="BC86" i="1"/>
  <c r="BD86" i="1"/>
  <c r="BC87" i="1"/>
  <c r="BD87" i="1"/>
  <c r="BC88" i="1"/>
  <c r="BD88" i="1"/>
  <c r="BC89" i="1"/>
  <c r="BD89" i="1"/>
  <c r="BC90" i="1"/>
  <c r="BD90" i="1"/>
  <c r="BC91" i="1"/>
  <c r="BD91" i="1"/>
  <c r="BC92" i="1"/>
  <c r="BD92" i="1"/>
  <c r="BC93" i="1"/>
  <c r="BD93" i="1"/>
  <c r="BC94" i="1"/>
  <c r="BD94" i="1"/>
  <c r="BC95" i="1"/>
  <c r="BD95" i="1"/>
  <c r="BC96" i="1"/>
  <c r="BD96" i="1"/>
  <c r="BC97" i="1"/>
  <c r="BD97" i="1"/>
  <c r="BC98" i="1"/>
  <c r="BD98" i="1"/>
  <c r="BC99" i="1"/>
  <c r="BD99" i="1"/>
  <c r="BC100" i="1"/>
  <c r="BD100" i="1"/>
  <c r="BC101" i="1"/>
  <c r="BD101" i="1"/>
  <c r="BC102" i="1"/>
  <c r="BD102" i="1"/>
  <c r="BC103" i="1"/>
  <c r="BD103" i="1"/>
  <c r="BC104" i="1"/>
  <c r="BD104" i="1"/>
  <c r="BC105" i="1"/>
  <c r="BD105" i="1"/>
  <c r="BC106" i="1"/>
  <c r="BD106" i="1"/>
  <c r="BC107" i="1"/>
  <c r="BD107" i="1"/>
  <c r="BC108" i="1"/>
  <c r="BD108" i="1"/>
  <c r="BC109" i="1"/>
  <c r="BD109" i="1"/>
  <c r="BC110" i="1"/>
  <c r="BD110" i="1"/>
  <c r="BC111" i="1"/>
  <c r="BD111" i="1"/>
  <c r="BC112" i="1"/>
  <c r="BD112" i="1"/>
  <c r="BC113" i="1"/>
  <c r="BD113" i="1"/>
  <c r="BC114" i="1"/>
  <c r="BD114" i="1"/>
  <c r="BC115" i="1"/>
  <c r="BD115" i="1"/>
  <c r="BC116" i="1"/>
  <c r="BD116" i="1"/>
  <c r="BC117" i="1"/>
  <c r="BD117" i="1"/>
  <c r="BC118" i="1"/>
  <c r="BD118" i="1"/>
  <c r="BC119" i="1"/>
  <c r="BD119" i="1"/>
  <c r="BC120" i="1"/>
  <c r="BD120" i="1"/>
  <c r="BC121" i="1"/>
  <c r="BD121" i="1"/>
  <c r="BC122" i="1"/>
  <c r="BD122" i="1"/>
  <c r="BC123" i="1"/>
  <c r="BD123" i="1"/>
  <c r="BC124" i="1"/>
  <c r="BD124" i="1"/>
  <c r="BC125" i="1"/>
  <c r="BD125" i="1"/>
  <c r="BC126" i="1"/>
  <c r="BD126" i="1"/>
  <c r="BC127" i="1"/>
  <c r="BD127" i="1"/>
  <c r="BC128" i="1"/>
  <c r="BD128" i="1"/>
  <c r="BC129" i="1"/>
  <c r="BD129" i="1"/>
  <c r="BC130" i="1"/>
  <c r="BD130" i="1"/>
  <c r="BC131" i="1"/>
  <c r="BD131" i="1"/>
  <c r="BC132" i="1"/>
  <c r="BD132" i="1"/>
  <c r="BC133" i="1"/>
  <c r="BD133" i="1"/>
  <c r="BC134" i="1"/>
  <c r="BD134" i="1"/>
  <c r="BC135" i="1"/>
  <c r="BD135" i="1"/>
  <c r="BC136" i="1"/>
  <c r="BD136" i="1"/>
  <c r="BC137" i="1"/>
  <c r="BD137" i="1"/>
  <c r="BC138" i="1"/>
  <c r="BD138" i="1"/>
  <c r="BC139" i="1"/>
  <c r="BD139" i="1"/>
  <c r="BC140" i="1"/>
  <c r="BD140" i="1"/>
  <c r="BC141" i="1"/>
  <c r="BD141" i="1"/>
  <c r="BC142" i="1"/>
  <c r="BD142" i="1"/>
  <c r="BC143" i="1"/>
  <c r="BD143" i="1"/>
  <c r="BC144" i="1"/>
  <c r="BD144" i="1"/>
  <c r="BC145" i="1"/>
  <c r="BD145" i="1"/>
  <c r="BC146" i="1"/>
  <c r="BD146" i="1"/>
  <c r="BC147" i="1"/>
  <c r="BD147" i="1"/>
  <c r="BC148" i="1"/>
  <c r="BD148" i="1"/>
  <c r="BC149" i="1"/>
  <c r="BD149" i="1"/>
  <c r="BC150" i="1"/>
  <c r="BD150" i="1"/>
  <c r="BC151" i="1"/>
  <c r="BD151" i="1"/>
  <c r="BC152" i="1"/>
  <c r="BD152" i="1"/>
  <c r="BC153" i="1"/>
  <c r="BD153" i="1"/>
  <c r="BC154" i="1"/>
  <c r="BD154" i="1"/>
  <c r="BC155" i="1"/>
  <c r="BD155" i="1"/>
  <c r="BC156" i="1"/>
  <c r="BD156" i="1"/>
  <c r="BC157" i="1"/>
  <c r="BD157" i="1"/>
  <c r="BC158" i="1"/>
  <c r="BD158" i="1"/>
  <c r="BC159" i="1"/>
  <c r="BD159" i="1"/>
  <c r="BC160" i="1"/>
  <c r="BD160" i="1"/>
  <c r="BC161" i="1"/>
  <c r="BD161" i="1"/>
  <c r="BC162" i="1"/>
  <c r="BD162" i="1"/>
  <c r="BC163" i="1"/>
  <c r="BD163" i="1"/>
  <c r="BC164" i="1"/>
  <c r="BD164" i="1"/>
  <c r="BC165" i="1"/>
  <c r="BD165" i="1"/>
  <c r="BC166" i="1"/>
  <c r="BD166" i="1"/>
  <c r="BC167" i="1"/>
  <c r="BD167" i="1"/>
  <c r="BC168" i="1"/>
  <c r="BD168" i="1"/>
  <c r="BC169" i="1"/>
  <c r="BD169" i="1"/>
  <c r="BC170" i="1"/>
  <c r="BD170" i="1"/>
  <c r="BC171" i="1"/>
  <c r="BD171" i="1"/>
  <c r="BC172" i="1"/>
  <c r="BD172" i="1"/>
  <c r="BC173" i="1"/>
  <c r="BD173" i="1"/>
  <c r="BC174" i="1"/>
  <c r="BD174" i="1"/>
  <c r="BC175" i="1"/>
  <c r="BD175" i="1"/>
  <c r="BC176" i="1"/>
  <c r="BD176" i="1"/>
  <c r="BC177" i="1"/>
  <c r="BD177" i="1"/>
  <c r="BC178" i="1"/>
  <c r="BD178" i="1"/>
  <c r="BC179" i="1"/>
  <c r="BD179" i="1"/>
  <c r="BC180" i="1"/>
  <c r="BD180" i="1"/>
  <c r="BC181" i="1"/>
  <c r="BD181" i="1"/>
  <c r="BC182" i="1"/>
  <c r="BD182" i="1"/>
  <c r="BC183" i="1"/>
  <c r="BD183" i="1"/>
  <c r="BC184" i="1"/>
  <c r="BD184" i="1"/>
  <c r="BC185" i="1"/>
  <c r="BD185" i="1"/>
  <c r="BC186" i="1"/>
  <c r="BD186" i="1"/>
  <c r="BC187" i="1"/>
  <c r="BD187" i="1"/>
  <c r="BC188" i="1"/>
  <c r="BD188" i="1"/>
  <c r="BC189" i="1"/>
  <c r="BD189" i="1"/>
  <c r="BC190" i="1"/>
  <c r="BD190" i="1"/>
  <c r="BC191" i="1"/>
  <c r="BD191" i="1"/>
  <c r="BC192" i="1"/>
  <c r="BD192" i="1"/>
  <c r="BC193" i="1"/>
  <c r="BD193" i="1"/>
  <c r="BC194" i="1"/>
  <c r="BD194" i="1"/>
  <c r="BC195" i="1"/>
  <c r="BD195" i="1"/>
  <c r="BC196" i="1"/>
  <c r="BD196" i="1"/>
  <c r="BC197" i="1"/>
  <c r="BD197" i="1"/>
  <c r="BC198" i="1"/>
  <c r="BD198" i="1"/>
  <c r="BC199" i="1"/>
  <c r="BD199" i="1"/>
  <c r="BC200" i="1"/>
  <c r="BD200" i="1"/>
  <c r="BC201" i="1"/>
  <c r="BD201" i="1"/>
  <c r="BC202" i="1"/>
  <c r="BD202" i="1"/>
  <c r="BC203" i="1"/>
  <c r="BD203" i="1"/>
  <c r="BC204" i="1"/>
  <c r="BD204" i="1"/>
  <c r="BC205" i="1"/>
  <c r="BD205" i="1"/>
  <c r="BC206" i="1"/>
  <c r="BD206" i="1"/>
  <c r="BC207" i="1"/>
  <c r="BD207" i="1"/>
  <c r="BC208" i="1"/>
  <c r="BD208" i="1"/>
  <c r="BC209" i="1"/>
  <c r="BD209" i="1"/>
  <c r="BC210" i="1"/>
  <c r="BD210" i="1"/>
  <c r="BC211" i="1"/>
  <c r="BD211" i="1"/>
  <c r="BC212" i="1"/>
  <c r="BD212" i="1"/>
  <c r="BC213" i="1"/>
  <c r="BD213" i="1"/>
  <c r="BC214" i="1"/>
  <c r="BD214" i="1"/>
  <c r="BC215" i="1"/>
  <c r="BD215" i="1"/>
  <c r="BC216" i="1"/>
  <c r="BD216" i="1"/>
  <c r="BC217" i="1"/>
  <c r="BD217" i="1"/>
  <c r="BC218" i="1"/>
  <c r="BD218" i="1"/>
  <c r="BC219" i="1"/>
  <c r="BD219" i="1"/>
  <c r="BC220" i="1"/>
  <c r="BD220" i="1"/>
  <c r="BC221" i="1"/>
  <c r="BD221" i="1"/>
  <c r="BC222" i="1"/>
  <c r="BD222" i="1"/>
  <c r="BC223" i="1"/>
  <c r="BD223" i="1"/>
  <c r="BC224" i="1"/>
  <c r="BD224" i="1"/>
  <c r="BC225" i="1"/>
  <c r="BD225" i="1"/>
  <c r="BC226" i="1"/>
  <c r="BD226" i="1"/>
  <c r="BC227" i="1"/>
  <c r="BD227" i="1"/>
  <c r="BC228" i="1"/>
  <c r="BD228" i="1"/>
  <c r="BC229" i="1"/>
  <c r="BD229" i="1"/>
  <c r="BC230" i="1"/>
  <c r="BD230" i="1"/>
  <c r="BC231" i="1"/>
  <c r="BD231" i="1"/>
  <c r="BC232" i="1"/>
  <c r="BD232" i="1"/>
  <c r="BC233" i="1"/>
  <c r="BD233" i="1"/>
  <c r="BC234" i="1"/>
  <c r="BD234" i="1"/>
  <c r="BC235" i="1"/>
  <c r="BD235" i="1"/>
  <c r="BC236" i="1"/>
  <c r="BD236" i="1"/>
  <c r="BC237" i="1"/>
  <c r="BD237" i="1"/>
  <c r="BC238" i="1"/>
  <c r="BD238" i="1"/>
  <c r="BC239" i="1"/>
  <c r="BD239" i="1"/>
  <c r="BC240" i="1"/>
  <c r="BD240" i="1"/>
  <c r="BC241" i="1"/>
  <c r="BD241" i="1"/>
  <c r="BC242" i="1"/>
  <c r="BD242" i="1"/>
  <c r="BC243" i="1"/>
  <c r="BD243" i="1"/>
  <c r="BC244" i="1"/>
  <c r="BD244" i="1"/>
  <c r="BC245" i="1"/>
  <c r="BD245" i="1"/>
  <c r="BC246" i="1"/>
  <c r="BD246" i="1"/>
  <c r="BC247" i="1"/>
  <c r="BD247" i="1"/>
  <c r="BC248" i="1"/>
  <c r="BD248" i="1"/>
  <c r="BC249" i="1"/>
  <c r="BD249" i="1"/>
  <c r="BC250" i="1"/>
  <c r="BD250" i="1"/>
  <c r="BC251" i="1"/>
  <c r="BD251" i="1"/>
  <c r="BC252" i="1"/>
  <c r="BD252" i="1"/>
  <c r="BC253" i="1"/>
  <c r="BD253" i="1"/>
  <c r="BC254" i="1"/>
  <c r="BD254" i="1"/>
  <c r="BC5" i="1"/>
  <c r="BD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5" i="1"/>
  <c r="CJ5" i="1"/>
  <c r="CJ6" i="1"/>
  <c r="CJ7" i="1"/>
  <c r="CJ8" i="1"/>
  <c r="CJ9" i="1"/>
  <c r="CJ10" i="1"/>
  <c r="CC10" i="1" l="1"/>
  <c r="AE10" i="1"/>
  <c r="AE9" i="1"/>
  <c r="AE8" i="1"/>
  <c r="AE7" i="1"/>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19" i="3"/>
  <c r="R5" i="1" l="1"/>
  <c r="R6" i="1"/>
  <c r="R7" i="1"/>
  <c r="R8" i="1"/>
  <c r="R9" i="1"/>
  <c r="R10" i="1"/>
  <c r="R11" i="1"/>
  <c r="Q5" i="1"/>
  <c r="Q6" i="1"/>
  <c r="Q7" i="1"/>
  <c r="Q8" i="1"/>
  <c r="Q9" i="1"/>
  <c r="Q10" i="1"/>
  <c r="Q11" i="1"/>
  <c r="P5" i="1"/>
  <c r="P6" i="1"/>
  <c r="P7" i="1"/>
  <c r="P8" i="1"/>
  <c r="P9" i="1"/>
  <c r="P10" i="1"/>
  <c r="P11"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5" i="1"/>
  <c r="H166" i="2"/>
  <c r="H167" i="2"/>
  <c r="L10" i="7" l="1"/>
  <c r="J5" i="11" l="1" a="1"/>
  <c r="J5" i="11" s="1"/>
  <c r="K3" i="7" s="1"/>
  <c r="J4" i="11" a="1"/>
  <c r="J4" i="11" s="1"/>
  <c r="K2" i="7" s="1"/>
  <c r="J5" i="12" l="1"/>
  <c r="J4" i="12"/>
  <c r="J3" i="12"/>
  <c r="J2" i="12"/>
  <c r="N17" i="12" l="1"/>
  <c r="DA105" i="1"/>
  <c r="DA106" i="1"/>
  <c r="DA107" i="1"/>
  <c r="DA108"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47" i="1"/>
  <c r="DA148" i="1"/>
  <c r="DA149" i="1"/>
  <c r="DA150" i="1"/>
  <c r="DA151" i="1"/>
  <c r="DA152"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0"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B105" i="1" l="1"/>
  <c r="DB106" i="1"/>
  <c r="DB107" i="1"/>
  <c r="DB108" i="1"/>
  <c r="DB109" i="1"/>
  <c r="DB110" i="1"/>
  <c r="DB111" i="1"/>
  <c r="DB112" i="1"/>
  <c r="DB113" i="1"/>
  <c r="DB114" i="1"/>
  <c r="DB115" i="1"/>
  <c r="DB116" i="1"/>
  <c r="DB117" i="1"/>
  <c r="DB118" i="1"/>
  <c r="DB119" i="1"/>
  <c r="DB120" i="1"/>
  <c r="DB121" i="1"/>
  <c r="DB122" i="1"/>
  <c r="DB123" i="1"/>
  <c r="DB124" i="1"/>
  <c r="DB125" i="1"/>
  <c r="DB126" i="1"/>
  <c r="DB127" i="1"/>
  <c r="DB128" i="1"/>
  <c r="DB129" i="1"/>
  <c r="DB130" i="1"/>
  <c r="DB131" i="1"/>
  <c r="DB132" i="1"/>
  <c r="DB133" i="1"/>
  <c r="DB134" i="1"/>
  <c r="DB135" i="1"/>
  <c r="DB136" i="1"/>
  <c r="DB137" i="1"/>
  <c r="DB138" i="1"/>
  <c r="DB139" i="1"/>
  <c r="DB140" i="1"/>
  <c r="DB141" i="1"/>
  <c r="DB142" i="1"/>
  <c r="DB143" i="1"/>
  <c r="DB144" i="1"/>
  <c r="DB145" i="1"/>
  <c r="DB146" i="1"/>
  <c r="DB147" i="1"/>
  <c r="DB148" i="1"/>
  <c r="DB149" i="1"/>
  <c r="DB150" i="1"/>
  <c r="DB151" i="1"/>
  <c r="DB152" i="1"/>
  <c r="DB153" i="1"/>
  <c r="DB154" i="1"/>
  <c r="DB155" i="1"/>
  <c r="DB156" i="1"/>
  <c r="DB157" i="1"/>
  <c r="DB158" i="1"/>
  <c r="DB159" i="1"/>
  <c r="DB160" i="1"/>
  <c r="DB161" i="1"/>
  <c r="DB162" i="1"/>
  <c r="DB163" i="1"/>
  <c r="DB164" i="1"/>
  <c r="DB165" i="1"/>
  <c r="DB166" i="1"/>
  <c r="DB167" i="1"/>
  <c r="DB168" i="1"/>
  <c r="DB169" i="1"/>
  <c r="DB170" i="1"/>
  <c r="DB171" i="1"/>
  <c r="DB172" i="1"/>
  <c r="DB173" i="1"/>
  <c r="DB174" i="1"/>
  <c r="DB175" i="1"/>
  <c r="DB176" i="1"/>
  <c r="DB177" i="1"/>
  <c r="DB178" i="1"/>
  <c r="DB179" i="1"/>
  <c r="DB180" i="1"/>
  <c r="DB181" i="1"/>
  <c r="DB182" i="1"/>
  <c r="DB183" i="1"/>
  <c r="DB184" i="1"/>
  <c r="DB185" i="1"/>
  <c r="DB186" i="1"/>
  <c r="DB187" i="1"/>
  <c r="DB188" i="1"/>
  <c r="DB189" i="1"/>
  <c r="DB190" i="1"/>
  <c r="DB191" i="1"/>
  <c r="DB192" i="1"/>
  <c r="DB193" i="1"/>
  <c r="DB194" i="1"/>
  <c r="DB195" i="1"/>
  <c r="DB196" i="1"/>
  <c r="DB197" i="1"/>
  <c r="DB198" i="1"/>
  <c r="DB199" i="1"/>
  <c r="DB200" i="1"/>
  <c r="DB201" i="1"/>
  <c r="DB202" i="1"/>
  <c r="DB203" i="1"/>
  <c r="DB204" i="1"/>
  <c r="DB205" i="1"/>
  <c r="DB206" i="1"/>
  <c r="DB207" i="1"/>
  <c r="DB208" i="1"/>
  <c r="DB209" i="1"/>
  <c r="DB210" i="1"/>
  <c r="DB211" i="1"/>
  <c r="DB212" i="1"/>
  <c r="DB213" i="1"/>
  <c r="DB214" i="1"/>
  <c r="DB215" i="1"/>
  <c r="DB216" i="1"/>
  <c r="DB217" i="1"/>
  <c r="DB218" i="1"/>
  <c r="DB219" i="1"/>
  <c r="DB220" i="1"/>
  <c r="DB221" i="1"/>
  <c r="DB222" i="1"/>
  <c r="DB223" i="1"/>
  <c r="DB224" i="1"/>
  <c r="DB225" i="1"/>
  <c r="DB226" i="1"/>
  <c r="DB227" i="1"/>
  <c r="DB228" i="1"/>
  <c r="DB229" i="1"/>
  <c r="DB230" i="1"/>
  <c r="DB231" i="1"/>
  <c r="DB232" i="1"/>
  <c r="DB233" i="1"/>
  <c r="DB234" i="1"/>
  <c r="DB235" i="1"/>
  <c r="DB236" i="1"/>
  <c r="DB237" i="1"/>
  <c r="DB238" i="1"/>
  <c r="DB239" i="1"/>
  <c r="DB240" i="1"/>
  <c r="DB241" i="1"/>
  <c r="DB242" i="1"/>
  <c r="DB243" i="1"/>
  <c r="DB244" i="1"/>
  <c r="DB245" i="1"/>
  <c r="DB246" i="1"/>
  <c r="DB247" i="1"/>
  <c r="DB248" i="1"/>
  <c r="DB249" i="1"/>
  <c r="DB250" i="1"/>
  <c r="DB251" i="1"/>
  <c r="DB252" i="1"/>
  <c r="DB253" i="1"/>
  <c r="DB254" i="1"/>
  <c r="DD6" i="1"/>
  <c r="DD7"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1" i="1"/>
  <c r="DD112" i="1"/>
  <c r="DD113" i="1"/>
  <c r="DD114" i="1"/>
  <c r="DD115" i="1"/>
  <c r="DD116" i="1"/>
  <c r="DD117" i="1"/>
  <c r="DD118" i="1"/>
  <c r="DD119" i="1"/>
  <c r="DD120" i="1"/>
  <c r="DD121" i="1"/>
  <c r="DD122" i="1"/>
  <c r="DD123" i="1"/>
  <c r="DD124" i="1"/>
  <c r="DD125" i="1"/>
  <c r="DD126" i="1"/>
  <c r="DD127" i="1"/>
  <c r="DD128" i="1"/>
  <c r="DD129" i="1"/>
  <c r="DD130" i="1"/>
  <c r="DD131" i="1"/>
  <c r="DD132" i="1"/>
  <c r="DD133" i="1"/>
  <c r="DD134" i="1"/>
  <c r="DD135" i="1"/>
  <c r="DD136" i="1"/>
  <c r="DD137" i="1"/>
  <c r="DD138" i="1"/>
  <c r="DD139" i="1"/>
  <c r="DD140" i="1"/>
  <c r="DD141" i="1"/>
  <c r="DD142" i="1"/>
  <c r="DD143" i="1"/>
  <c r="DD144" i="1"/>
  <c r="DD145" i="1"/>
  <c r="DD146" i="1"/>
  <c r="DD147" i="1"/>
  <c r="DD148" i="1"/>
  <c r="DD149" i="1"/>
  <c r="DD150" i="1"/>
  <c r="DD151" i="1"/>
  <c r="DD152" i="1"/>
  <c r="DD153" i="1"/>
  <c r="DD154" i="1"/>
  <c r="DD155" i="1"/>
  <c r="DD156" i="1"/>
  <c r="DD157" i="1"/>
  <c r="DD158" i="1"/>
  <c r="DD159" i="1"/>
  <c r="DD160" i="1"/>
  <c r="DD161" i="1"/>
  <c r="DD162" i="1"/>
  <c r="DD163" i="1"/>
  <c r="DD164" i="1"/>
  <c r="DD165" i="1"/>
  <c r="DD166" i="1"/>
  <c r="DD167" i="1"/>
  <c r="DD168" i="1"/>
  <c r="DD169" i="1"/>
  <c r="DD170" i="1"/>
  <c r="DD171" i="1"/>
  <c r="DD172" i="1"/>
  <c r="DD173" i="1"/>
  <c r="DD174" i="1"/>
  <c r="DD175" i="1"/>
  <c r="DD176" i="1"/>
  <c r="DD177" i="1"/>
  <c r="DD178" i="1"/>
  <c r="DD179" i="1"/>
  <c r="DD180" i="1"/>
  <c r="DD181" i="1"/>
  <c r="DD182" i="1"/>
  <c r="DD183" i="1"/>
  <c r="DD184" i="1"/>
  <c r="DD185" i="1"/>
  <c r="DD186" i="1"/>
  <c r="DD187" i="1"/>
  <c r="DD188" i="1"/>
  <c r="DD189" i="1"/>
  <c r="DD190" i="1"/>
  <c r="DD191" i="1"/>
  <c r="DD192" i="1"/>
  <c r="DD193" i="1"/>
  <c r="DD194" i="1"/>
  <c r="DD195" i="1"/>
  <c r="DD196" i="1"/>
  <c r="DD197" i="1"/>
  <c r="DD198" i="1"/>
  <c r="DD199" i="1"/>
  <c r="DD200" i="1"/>
  <c r="DD201" i="1"/>
  <c r="DD202" i="1"/>
  <c r="DD203" i="1"/>
  <c r="DD204" i="1"/>
  <c r="DD205" i="1"/>
  <c r="DD206" i="1"/>
  <c r="DD207" i="1"/>
  <c r="DD208" i="1"/>
  <c r="DD209" i="1"/>
  <c r="DD210" i="1"/>
  <c r="DD211" i="1"/>
  <c r="DD212" i="1"/>
  <c r="DD213" i="1"/>
  <c r="DD214" i="1"/>
  <c r="DD215" i="1"/>
  <c r="DD216" i="1"/>
  <c r="DD217" i="1"/>
  <c r="DD218" i="1"/>
  <c r="DD219" i="1"/>
  <c r="DD220" i="1"/>
  <c r="DD221" i="1"/>
  <c r="DD222" i="1"/>
  <c r="DD223" i="1"/>
  <c r="DD224" i="1"/>
  <c r="DD225" i="1"/>
  <c r="DD226" i="1"/>
  <c r="DD227" i="1"/>
  <c r="DD228" i="1"/>
  <c r="DD229" i="1"/>
  <c r="DD230" i="1"/>
  <c r="DD231" i="1"/>
  <c r="DD232" i="1"/>
  <c r="DD233" i="1"/>
  <c r="DD234" i="1"/>
  <c r="DD235" i="1"/>
  <c r="DD236" i="1"/>
  <c r="DD237" i="1"/>
  <c r="DD238" i="1"/>
  <c r="DD239" i="1"/>
  <c r="DD240" i="1"/>
  <c r="DD241" i="1"/>
  <c r="DD242" i="1"/>
  <c r="DD243" i="1"/>
  <c r="DD244" i="1"/>
  <c r="DD245" i="1"/>
  <c r="DD246" i="1"/>
  <c r="DD247" i="1"/>
  <c r="DD248" i="1"/>
  <c r="DD249" i="1"/>
  <c r="DD250" i="1"/>
  <c r="DD251" i="1"/>
  <c r="DD252" i="1"/>
  <c r="DD253" i="1"/>
  <c r="DD254" i="1"/>
  <c r="DD5" i="1"/>
  <c r="CY6" i="1"/>
  <c r="CY7" i="1"/>
  <c r="CY8" i="1"/>
  <c r="CY9" i="1"/>
  <c r="CY10" i="1"/>
  <c r="CY11" i="1"/>
  <c r="CY12" i="1"/>
  <c r="CY13" i="1"/>
  <c r="CY14" i="1"/>
  <c r="CY15" i="1"/>
  <c r="CY16" i="1"/>
  <c r="CY17" i="1"/>
  <c r="CY18" i="1"/>
  <c r="CY19" i="1"/>
  <c r="CY20" i="1"/>
  <c r="CY21" i="1"/>
  <c r="CY22" i="1"/>
  <c r="CY23" i="1"/>
  <c r="CY24" i="1"/>
  <c r="CY25" i="1"/>
  <c r="CY26" i="1"/>
  <c r="CY27" i="1"/>
  <c r="CY28" i="1"/>
  <c r="CY29" i="1"/>
  <c r="CY30" i="1"/>
  <c r="CY31" i="1"/>
  <c r="CY32" i="1"/>
  <c r="CY33" i="1"/>
  <c r="CY34" i="1"/>
  <c r="CY35" i="1"/>
  <c r="CY36" i="1"/>
  <c r="CY37" i="1"/>
  <c r="CY38" i="1"/>
  <c r="CY39" i="1"/>
  <c r="CY40" i="1"/>
  <c r="CY41" i="1"/>
  <c r="CY42" i="1"/>
  <c r="CY43" i="1"/>
  <c r="CY44" i="1"/>
  <c r="CY45" i="1"/>
  <c r="CY46" i="1"/>
  <c r="CY47" i="1"/>
  <c r="CY48" i="1"/>
  <c r="CY49" i="1"/>
  <c r="CY50" i="1"/>
  <c r="CY51" i="1"/>
  <c r="CY52" i="1"/>
  <c r="CY53" i="1"/>
  <c r="CY54" i="1"/>
  <c r="CY55" i="1"/>
  <c r="CY56" i="1"/>
  <c r="CY57" i="1"/>
  <c r="CY58" i="1"/>
  <c r="CY59" i="1"/>
  <c r="CY60" i="1"/>
  <c r="CY61" i="1"/>
  <c r="CY62" i="1"/>
  <c r="CY63" i="1"/>
  <c r="CY64" i="1"/>
  <c r="CT5" i="1"/>
  <c r="CY5" i="1"/>
  <c r="DC105" i="1"/>
  <c r="DC106" i="1"/>
  <c r="DC107" i="1"/>
  <c r="DC108" i="1"/>
  <c r="DC109" i="1"/>
  <c r="DC110" i="1"/>
  <c r="DC111" i="1"/>
  <c r="DC112" i="1"/>
  <c r="DC113" i="1"/>
  <c r="DC114" i="1"/>
  <c r="DC115" i="1"/>
  <c r="DC116" i="1"/>
  <c r="DC117" i="1"/>
  <c r="DC118" i="1"/>
  <c r="DC119" i="1"/>
  <c r="DC120" i="1"/>
  <c r="DC121" i="1"/>
  <c r="DC122" i="1"/>
  <c r="DC123" i="1"/>
  <c r="DC124" i="1"/>
  <c r="DC125" i="1"/>
  <c r="DC126" i="1"/>
  <c r="DC127" i="1"/>
  <c r="DC128" i="1"/>
  <c r="DC129" i="1"/>
  <c r="DC130" i="1"/>
  <c r="DC131" i="1"/>
  <c r="DC132" i="1"/>
  <c r="DC133" i="1"/>
  <c r="DC134" i="1"/>
  <c r="DC135" i="1"/>
  <c r="DC136" i="1"/>
  <c r="DC137" i="1"/>
  <c r="DC138" i="1"/>
  <c r="DC139" i="1"/>
  <c r="DC140" i="1"/>
  <c r="DC141" i="1"/>
  <c r="DC142" i="1"/>
  <c r="DC143" i="1"/>
  <c r="DC144" i="1"/>
  <c r="DC145" i="1"/>
  <c r="DC146" i="1"/>
  <c r="DC147" i="1"/>
  <c r="DC148" i="1"/>
  <c r="DC149" i="1"/>
  <c r="DC150" i="1"/>
  <c r="DC151" i="1"/>
  <c r="DC152" i="1"/>
  <c r="DC153" i="1"/>
  <c r="DC154" i="1"/>
  <c r="DC155" i="1"/>
  <c r="DC156" i="1"/>
  <c r="DC157" i="1"/>
  <c r="DC158" i="1"/>
  <c r="DC159" i="1"/>
  <c r="DC160" i="1"/>
  <c r="DC161" i="1"/>
  <c r="DC162" i="1"/>
  <c r="DC163" i="1"/>
  <c r="DC164" i="1"/>
  <c r="DC165" i="1"/>
  <c r="DC166" i="1"/>
  <c r="DC167" i="1"/>
  <c r="DC168" i="1"/>
  <c r="DC169" i="1"/>
  <c r="DC170" i="1"/>
  <c r="DC171" i="1"/>
  <c r="DC172" i="1"/>
  <c r="DC173" i="1"/>
  <c r="DC174" i="1"/>
  <c r="DC175" i="1"/>
  <c r="DC176" i="1"/>
  <c r="DC177" i="1"/>
  <c r="DC178" i="1"/>
  <c r="DC179" i="1"/>
  <c r="DC180" i="1"/>
  <c r="DC181" i="1"/>
  <c r="DC182" i="1"/>
  <c r="DC183" i="1"/>
  <c r="DC184" i="1"/>
  <c r="DC185" i="1"/>
  <c r="DC186" i="1"/>
  <c r="DC187" i="1"/>
  <c r="DC188" i="1"/>
  <c r="DC189" i="1"/>
  <c r="DC190" i="1"/>
  <c r="DC191" i="1"/>
  <c r="DC192" i="1"/>
  <c r="DC193" i="1"/>
  <c r="DC194" i="1"/>
  <c r="DC195" i="1"/>
  <c r="DC196" i="1"/>
  <c r="DC197" i="1"/>
  <c r="DC198" i="1"/>
  <c r="DC199" i="1"/>
  <c r="DC200" i="1"/>
  <c r="DC201" i="1"/>
  <c r="DC202" i="1"/>
  <c r="DC203" i="1"/>
  <c r="DC204" i="1"/>
  <c r="DC205" i="1"/>
  <c r="DC206" i="1"/>
  <c r="DC207" i="1"/>
  <c r="DC208" i="1"/>
  <c r="DC209" i="1"/>
  <c r="DC210" i="1"/>
  <c r="DC211" i="1"/>
  <c r="DC212" i="1"/>
  <c r="DC213" i="1"/>
  <c r="DC214" i="1"/>
  <c r="DC215" i="1"/>
  <c r="DC216" i="1"/>
  <c r="DC217" i="1"/>
  <c r="DC218" i="1"/>
  <c r="DC219" i="1"/>
  <c r="DC220" i="1"/>
  <c r="DC221" i="1"/>
  <c r="DC222" i="1"/>
  <c r="DC223" i="1"/>
  <c r="DC224" i="1"/>
  <c r="DC225" i="1"/>
  <c r="DC226" i="1"/>
  <c r="DC227" i="1"/>
  <c r="DC228" i="1"/>
  <c r="DC229" i="1"/>
  <c r="DC230" i="1"/>
  <c r="DC231" i="1"/>
  <c r="DC232" i="1"/>
  <c r="DC233" i="1"/>
  <c r="DC234" i="1"/>
  <c r="DC235" i="1"/>
  <c r="DC236" i="1"/>
  <c r="DC237" i="1"/>
  <c r="DC238" i="1"/>
  <c r="DC239" i="1"/>
  <c r="DC240" i="1"/>
  <c r="DC241" i="1"/>
  <c r="DC242" i="1"/>
  <c r="DC243" i="1"/>
  <c r="DC244" i="1"/>
  <c r="DC245" i="1"/>
  <c r="DC246" i="1"/>
  <c r="DC247" i="1"/>
  <c r="DC248" i="1"/>
  <c r="DC249" i="1"/>
  <c r="DC250" i="1"/>
  <c r="DC251" i="1"/>
  <c r="DC252" i="1"/>
  <c r="DC253" i="1"/>
  <c r="DC254" i="1"/>
  <c r="N38" i="12" l="1"/>
  <c r="G35" i="12" s="1"/>
  <c r="CR105" i="1"/>
  <c r="CR106" i="1"/>
  <c r="CR107" i="1"/>
  <c r="CR108" i="1"/>
  <c r="CR109" i="1"/>
  <c r="CR110" i="1"/>
  <c r="CR111" i="1"/>
  <c r="CR112" i="1"/>
  <c r="CR113" i="1"/>
  <c r="CR114" i="1"/>
  <c r="CR115" i="1"/>
  <c r="CR116" i="1"/>
  <c r="CR117" i="1"/>
  <c r="CR118" i="1"/>
  <c r="CR119" i="1"/>
  <c r="CR120" i="1"/>
  <c r="CR121" i="1"/>
  <c r="CR122" i="1"/>
  <c r="CR123" i="1"/>
  <c r="CR124" i="1"/>
  <c r="CR125" i="1"/>
  <c r="CR126" i="1"/>
  <c r="CR127" i="1"/>
  <c r="CR128" i="1"/>
  <c r="CR129" i="1"/>
  <c r="CR130" i="1"/>
  <c r="CR131" i="1"/>
  <c r="CR132" i="1"/>
  <c r="CR133" i="1"/>
  <c r="CR134" i="1"/>
  <c r="CR135" i="1"/>
  <c r="CR136" i="1"/>
  <c r="CR137" i="1"/>
  <c r="CR138" i="1"/>
  <c r="CR139" i="1"/>
  <c r="CR140" i="1"/>
  <c r="CR141" i="1"/>
  <c r="CR142" i="1"/>
  <c r="CR143" i="1"/>
  <c r="CR144" i="1"/>
  <c r="CR145" i="1"/>
  <c r="CR146" i="1"/>
  <c r="CR147" i="1"/>
  <c r="CR148" i="1"/>
  <c r="CR149" i="1"/>
  <c r="CR150" i="1"/>
  <c r="CR151" i="1"/>
  <c r="CR152" i="1"/>
  <c r="CR153" i="1"/>
  <c r="CR154" i="1"/>
  <c r="CR155" i="1"/>
  <c r="CR156" i="1"/>
  <c r="CR157" i="1"/>
  <c r="CR158" i="1"/>
  <c r="CR159" i="1"/>
  <c r="CR160" i="1"/>
  <c r="CR161" i="1"/>
  <c r="CR162" i="1"/>
  <c r="CR163" i="1"/>
  <c r="CR164" i="1"/>
  <c r="CR165" i="1"/>
  <c r="CR166" i="1"/>
  <c r="CR167" i="1"/>
  <c r="CR168" i="1"/>
  <c r="CR169" i="1"/>
  <c r="CR170" i="1"/>
  <c r="CR171" i="1"/>
  <c r="CR172" i="1"/>
  <c r="CR173" i="1"/>
  <c r="CR174" i="1"/>
  <c r="CR175" i="1"/>
  <c r="CR176" i="1"/>
  <c r="CR177" i="1"/>
  <c r="CR178" i="1"/>
  <c r="CR179" i="1"/>
  <c r="CR180" i="1"/>
  <c r="CR181" i="1"/>
  <c r="CR182" i="1"/>
  <c r="CR183" i="1"/>
  <c r="CR184" i="1"/>
  <c r="CR185" i="1"/>
  <c r="CR186" i="1"/>
  <c r="CR187" i="1"/>
  <c r="CR188" i="1"/>
  <c r="CR189" i="1"/>
  <c r="CR190" i="1"/>
  <c r="CR191" i="1"/>
  <c r="CR192" i="1"/>
  <c r="CR193" i="1"/>
  <c r="CR194" i="1"/>
  <c r="CR195" i="1"/>
  <c r="CR196" i="1"/>
  <c r="CR197" i="1"/>
  <c r="CR198" i="1"/>
  <c r="CR199" i="1"/>
  <c r="CR200" i="1"/>
  <c r="CR201" i="1"/>
  <c r="CR202" i="1"/>
  <c r="CR203" i="1"/>
  <c r="CR204" i="1"/>
  <c r="CR205" i="1"/>
  <c r="CR206" i="1"/>
  <c r="CR207" i="1"/>
  <c r="CR208" i="1"/>
  <c r="CR209" i="1"/>
  <c r="CR210" i="1"/>
  <c r="CR211" i="1"/>
  <c r="CR212" i="1"/>
  <c r="CR213" i="1"/>
  <c r="CR214" i="1"/>
  <c r="CR215" i="1"/>
  <c r="CR216" i="1"/>
  <c r="CR217" i="1"/>
  <c r="CR218" i="1"/>
  <c r="CR219" i="1"/>
  <c r="CR220" i="1"/>
  <c r="CR221" i="1"/>
  <c r="CR222" i="1"/>
  <c r="CR223" i="1"/>
  <c r="CR224" i="1"/>
  <c r="CR225" i="1"/>
  <c r="CR226" i="1"/>
  <c r="CR227" i="1"/>
  <c r="CR228" i="1"/>
  <c r="CR229" i="1"/>
  <c r="CR230" i="1"/>
  <c r="CR231" i="1"/>
  <c r="CR232" i="1"/>
  <c r="CR233" i="1"/>
  <c r="CR234" i="1"/>
  <c r="CR235" i="1"/>
  <c r="CR236" i="1"/>
  <c r="CR237" i="1"/>
  <c r="CR238" i="1"/>
  <c r="CR239" i="1"/>
  <c r="CR240" i="1"/>
  <c r="CR241" i="1"/>
  <c r="CR242" i="1"/>
  <c r="CR243" i="1"/>
  <c r="CR244" i="1"/>
  <c r="CR245" i="1"/>
  <c r="CR246" i="1"/>
  <c r="CR247" i="1"/>
  <c r="CR248" i="1"/>
  <c r="CR249" i="1"/>
  <c r="CR250" i="1"/>
  <c r="CR251" i="1"/>
  <c r="CR252" i="1"/>
  <c r="CR253" i="1"/>
  <c r="CR254" i="1"/>
  <c r="N31" i="12" l="1"/>
  <c r="G28" i="12" s="1"/>
  <c r="G14" i="12" l="1"/>
  <c r="CQ105" i="1"/>
  <c r="CQ106" i="1"/>
  <c r="CQ107" i="1"/>
  <c r="CQ108" i="1"/>
  <c r="CQ109" i="1"/>
  <c r="CQ110" i="1"/>
  <c r="CQ111" i="1"/>
  <c r="CQ112" i="1"/>
  <c r="CQ113" i="1"/>
  <c r="CQ114" i="1"/>
  <c r="CQ115" i="1"/>
  <c r="CQ116" i="1"/>
  <c r="CQ117" i="1"/>
  <c r="CQ118" i="1"/>
  <c r="CQ119" i="1"/>
  <c r="CQ120" i="1"/>
  <c r="CQ121" i="1"/>
  <c r="CQ122" i="1"/>
  <c r="CQ123" i="1"/>
  <c r="CQ124" i="1"/>
  <c r="CQ125" i="1"/>
  <c r="CQ126" i="1"/>
  <c r="CQ127" i="1"/>
  <c r="CQ128" i="1"/>
  <c r="CQ129" i="1"/>
  <c r="CQ130" i="1"/>
  <c r="CQ131" i="1"/>
  <c r="CQ132" i="1"/>
  <c r="CQ133" i="1"/>
  <c r="CQ134" i="1"/>
  <c r="CQ135" i="1"/>
  <c r="CQ136" i="1"/>
  <c r="CQ137" i="1"/>
  <c r="CQ138" i="1"/>
  <c r="CQ139" i="1"/>
  <c r="CQ140" i="1"/>
  <c r="CQ141" i="1"/>
  <c r="CQ142" i="1"/>
  <c r="CQ143" i="1"/>
  <c r="CQ144" i="1"/>
  <c r="CQ145" i="1"/>
  <c r="CQ146" i="1"/>
  <c r="CQ147" i="1"/>
  <c r="CQ148" i="1"/>
  <c r="CQ149" i="1"/>
  <c r="CQ150" i="1"/>
  <c r="CQ151" i="1"/>
  <c r="CQ152" i="1"/>
  <c r="CQ153" i="1"/>
  <c r="CQ154" i="1"/>
  <c r="CQ155" i="1"/>
  <c r="CQ156" i="1"/>
  <c r="CQ157" i="1"/>
  <c r="CQ158" i="1"/>
  <c r="CQ159" i="1"/>
  <c r="CQ160" i="1"/>
  <c r="CQ161" i="1"/>
  <c r="CQ162" i="1"/>
  <c r="CQ163" i="1"/>
  <c r="CQ164" i="1"/>
  <c r="CQ165" i="1"/>
  <c r="CQ166" i="1"/>
  <c r="CQ167" i="1"/>
  <c r="CQ168" i="1"/>
  <c r="CQ169" i="1"/>
  <c r="CQ170" i="1"/>
  <c r="CQ171" i="1"/>
  <c r="CQ172" i="1"/>
  <c r="CQ173" i="1"/>
  <c r="CQ174" i="1"/>
  <c r="CQ175" i="1"/>
  <c r="CQ176" i="1"/>
  <c r="CQ177" i="1"/>
  <c r="CQ178" i="1"/>
  <c r="CQ179" i="1"/>
  <c r="CQ180" i="1"/>
  <c r="CQ181" i="1"/>
  <c r="CQ182" i="1"/>
  <c r="CQ183" i="1"/>
  <c r="CQ184" i="1"/>
  <c r="CQ185" i="1"/>
  <c r="CQ186" i="1"/>
  <c r="CQ187" i="1"/>
  <c r="CQ188" i="1"/>
  <c r="CQ189" i="1"/>
  <c r="CQ190" i="1"/>
  <c r="CQ191" i="1"/>
  <c r="CQ192" i="1"/>
  <c r="CQ193" i="1"/>
  <c r="CQ194" i="1"/>
  <c r="CQ195" i="1"/>
  <c r="CQ196" i="1"/>
  <c r="CQ197" i="1"/>
  <c r="CQ198" i="1"/>
  <c r="CQ199" i="1"/>
  <c r="CQ200" i="1"/>
  <c r="CQ201" i="1"/>
  <c r="CQ202" i="1"/>
  <c r="CQ203" i="1"/>
  <c r="CQ204" i="1"/>
  <c r="CQ205" i="1"/>
  <c r="CQ206" i="1"/>
  <c r="CQ207" i="1"/>
  <c r="CQ208" i="1"/>
  <c r="CQ209" i="1"/>
  <c r="CQ210" i="1"/>
  <c r="CQ211" i="1"/>
  <c r="CQ212" i="1"/>
  <c r="CQ213" i="1"/>
  <c r="CQ214" i="1"/>
  <c r="CQ215" i="1"/>
  <c r="CQ216" i="1"/>
  <c r="CQ217" i="1"/>
  <c r="CQ218" i="1"/>
  <c r="CQ219" i="1"/>
  <c r="CQ220" i="1"/>
  <c r="CQ221" i="1"/>
  <c r="CQ222" i="1"/>
  <c r="CQ223" i="1"/>
  <c r="CQ224" i="1"/>
  <c r="CQ225" i="1"/>
  <c r="CQ226" i="1"/>
  <c r="CQ227" i="1"/>
  <c r="CQ228" i="1"/>
  <c r="CQ229" i="1"/>
  <c r="CQ230" i="1"/>
  <c r="CQ231" i="1"/>
  <c r="CQ232" i="1"/>
  <c r="CQ233" i="1"/>
  <c r="CQ234" i="1"/>
  <c r="CQ235" i="1"/>
  <c r="CQ236" i="1"/>
  <c r="CQ237" i="1"/>
  <c r="CQ238" i="1"/>
  <c r="CQ239" i="1"/>
  <c r="CQ240" i="1"/>
  <c r="CQ241" i="1"/>
  <c r="CQ242" i="1"/>
  <c r="CQ243" i="1"/>
  <c r="CQ244" i="1"/>
  <c r="CQ245" i="1"/>
  <c r="CQ246" i="1"/>
  <c r="CQ247" i="1"/>
  <c r="CQ248" i="1"/>
  <c r="CQ249" i="1"/>
  <c r="CQ250" i="1"/>
  <c r="CQ251" i="1"/>
  <c r="CQ252" i="1"/>
  <c r="CQ253" i="1"/>
  <c r="CQ254" i="1"/>
  <c r="CP6" i="1" l="1"/>
  <c r="CT6" i="1" s="1"/>
  <c r="CP7" i="1"/>
  <c r="CT7" i="1" s="1"/>
  <c r="CP8" i="1"/>
  <c r="CT8" i="1" s="1"/>
  <c r="CP9" i="1"/>
  <c r="CT9" i="1" s="1"/>
  <c r="CP10" i="1"/>
  <c r="CT10" i="1" s="1"/>
  <c r="CP11" i="1"/>
  <c r="CT11" i="1" s="1"/>
  <c r="CP12" i="1"/>
  <c r="CT12" i="1" s="1"/>
  <c r="CP13" i="1"/>
  <c r="CT13" i="1" s="1"/>
  <c r="CP14" i="1"/>
  <c r="CT14" i="1" s="1"/>
  <c r="CP15" i="1"/>
  <c r="CT15" i="1" s="1"/>
  <c r="CP16" i="1"/>
  <c r="CT16" i="1" s="1"/>
  <c r="CP17" i="1"/>
  <c r="CT17" i="1" s="1"/>
  <c r="CP18" i="1"/>
  <c r="CT18" i="1" s="1"/>
  <c r="CP19" i="1"/>
  <c r="CT19" i="1" s="1"/>
  <c r="CP20" i="1"/>
  <c r="CT20" i="1" s="1"/>
  <c r="CP21" i="1"/>
  <c r="CT21" i="1" s="1"/>
  <c r="CP22" i="1"/>
  <c r="CT22" i="1" s="1"/>
  <c r="CP23" i="1"/>
  <c r="CT23" i="1" s="1"/>
  <c r="CP24" i="1"/>
  <c r="CT24" i="1" s="1"/>
  <c r="CP25" i="1"/>
  <c r="CT25" i="1" s="1"/>
  <c r="CP26" i="1"/>
  <c r="CT26" i="1" s="1"/>
  <c r="CP27" i="1"/>
  <c r="CT27" i="1" s="1"/>
  <c r="CP28" i="1"/>
  <c r="CT28" i="1" s="1"/>
  <c r="CP29" i="1"/>
  <c r="CT29" i="1" s="1"/>
  <c r="CP30" i="1"/>
  <c r="CT30" i="1" s="1"/>
  <c r="CP31" i="1"/>
  <c r="CT31" i="1" s="1"/>
  <c r="CP32" i="1"/>
  <c r="CT32" i="1" s="1"/>
  <c r="CP33" i="1"/>
  <c r="CT33" i="1" s="1"/>
  <c r="CP34" i="1"/>
  <c r="CT34" i="1" s="1"/>
  <c r="CP35" i="1"/>
  <c r="CT35" i="1" s="1"/>
  <c r="CP36" i="1"/>
  <c r="CT36" i="1" s="1"/>
  <c r="CP37" i="1"/>
  <c r="CT37" i="1" s="1"/>
  <c r="CP38" i="1"/>
  <c r="CT38" i="1" s="1"/>
  <c r="CP39" i="1"/>
  <c r="CT39" i="1" s="1"/>
  <c r="CP40" i="1"/>
  <c r="CT40" i="1" s="1"/>
  <c r="CP41" i="1"/>
  <c r="CT41" i="1" s="1"/>
  <c r="CP42" i="1"/>
  <c r="CT42" i="1" s="1"/>
  <c r="CP43" i="1"/>
  <c r="CT43" i="1" s="1"/>
  <c r="CP44" i="1"/>
  <c r="CT44" i="1" s="1"/>
  <c r="CP45" i="1"/>
  <c r="CT45" i="1" s="1"/>
  <c r="CP46" i="1"/>
  <c r="CT46" i="1" s="1"/>
  <c r="CP47" i="1"/>
  <c r="CT47" i="1" s="1"/>
  <c r="CP48" i="1"/>
  <c r="CT48" i="1" s="1"/>
  <c r="CP49" i="1"/>
  <c r="CT49" i="1" s="1"/>
  <c r="CP50" i="1"/>
  <c r="CT50" i="1" s="1"/>
  <c r="CP51" i="1"/>
  <c r="CT51" i="1" s="1"/>
  <c r="CP52" i="1"/>
  <c r="CT52" i="1" s="1"/>
  <c r="CP53" i="1"/>
  <c r="CT53" i="1" s="1"/>
  <c r="CP54" i="1"/>
  <c r="CT54" i="1" s="1"/>
  <c r="CP55" i="1"/>
  <c r="CT55" i="1" s="1"/>
  <c r="CP56" i="1"/>
  <c r="CT56" i="1" s="1"/>
  <c r="CP57" i="1"/>
  <c r="CT57" i="1" s="1"/>
  <c r="CP58" i="1"/>
  <c r="CT58" i="1" s="1"/>
  <c r="CP59" i="1"/>
  <c r="CT59" i="1" s="1"/>
  <c r="CP60" i="1"/>
  <c r="CT60" i="1" s="1"/>
  <c r="CP61" i="1"/>
  <c r="CT61" i="1" s="1"/>
  <c r="CP62" i="1"/>
  <c r="CT62" i="1" s="1"/>
  <c r="CP63" i="1"/>
  <c r="CT63" i="1" s="1"/>
  <c r="CP64" i="1"/>
  <c r="CT64" i="1" s="1"/>
  <c r="CP65" i="1"/>
  <c r="CT65" i="1" s="1"/>
  <c r="CP66" i="1"/>
  <c r="CT66" i="1" s="1"/>
  <c r="CP67" i="1"/>
  <c r="CT67" i="1" s="1"/>
  <c r="CP68" i="1"/>
  <c r="CT68" i="1" s="1"/>
  <c r="CP69" i="1"/>
  <c r="CT69" i="1" s="1"/>
  <c r="CP70" i="1"/>
  <c r="CT70" i="1" s="1"/>
  <c r="CP71" i="1"/>
  <c r="CT71" i="1" s="1"/>
  <c r="CP72" i="1"/>
  <c r="CT72" i="1" s="1"/>
  <c r="CP73" i="1"/>
  <c r="CT73" i="1" s="1"/>
  <c r="CP74" i="1"/>
  <c r="CT74" i="1" s="1"/>
  <c r="CP75" i="1"/>
  <c r="CT75" i="1" s="1"/>
  <c r="CP76" i="1"/>
  <c r="CT76" i="1" s="1"/>
  <c r="CP77" i="1"/>
  <c r="CT77" i="1" s="1"/>
  <c r="CP78" i="1"/>
  <c r="CT78" i="1" s="1"/>
  <c r="CP79" i="1"/>
  <c r="CT79" i="1" s="1"/>
  <c r="CP80" i="1"/>
  <c r="CT80" i="1" s="1"/>
  <c r="CP81" i="1"/>
  <c r="CT81" i="1" s="1"/>
  <c r="CP82" i="1"/>
  <c r="CT82" i="1" s="1"/>
  <c r="CP83" i="1"/>
  <c r="CT83" i="1" s="1"/>
  <c r="CP84" i="1"/>
  <c r="CT84" i="1" s="1"/>
  <c r="CP85" i="1"/>
  <c r="CT85" i="1" s="1"/>
  <c r="CP86" i="1"/>
  <c r="CT86" i="1" s="1"/>
  <c r="CP87" i="1"/>
  <c r="CT87" i="1" s="1"/>
  <c r="CP88" i="1"/>
  <c r="CT88" i="1" s="1"/>
  <c r="CP89" i="1"/>
  <c r="CT89" i="1" s="1"/>
  <c r="CP90" i="1"/>
  <c r="CT90" i="1" s="1"/>
  <c r="CP91" i="1"/>
  <c r="CT91" i="1" s="1"/>
  <c r="CP92" i="1"/>
  <c r="CT92" i="1" s="1"/>
  <c r="CP93" i="1"/>
  <c r="CT93" i="1" s="1"/>
  <c r="CP94" i="1"/>
  <c r="CT94" i="1" s="1"/>
  <c r="CP95" i="1"/>
  <c r="CT95" i="1" s="1"/>
  <c r="CP96" i="1"/>
  <c r="CT96" i="1" s="1"/>
  <c r="CP97" i="1"/>
  <c r="CT97" i="1" s="1"/>
  <c r="CP98" i="1"/>
  <c r="CT98" i="1" s="1"/>
  <c r="CP99" i="1"/>
  <c r="CT99" i="1" s="1"/>
  <c r="CP100" i="1"/>
  <c r="CT100" i="1" s="1"/>
  <c r="CP101" i="1"/>
  <c r="CT101" i="1" s="1"/>
  <c r="CP102" i="1"/>
  <c r="CT102" i="1" s="1"/>
  <c r="CP103" i="1"/>
  <c r="CT103" i="1" s="1"/>
  <c r="CP104" i="1"/>
  <c r="CT104" i="1" s="1"/>
  <c r="CP105" i="1"/>
  <c r="CT105" i="1" s="1"/>
  <c r="CP106" i="1"/>
  <c r="CT106" i="1" s="1"/>
  <c r="CP107" i="1"/>
  <c r="CT107" i="1" s="1"/>
  <c r="CP108" i="1"/>
  <c r="CT108" i="1" s="1"/>
  <c r="CP109" i="1"/>
  <c r="CT109" i="1" s="1"/>
  <c r="CP110" i="1"/>
  <c r="CT110" i="1" s="1"/>
  <c r="CP111" i="1"/>
  <c r="CT111" i="1" s="1"/>
  <c r="CP112" i="1"/>
  <c r="CT112" i="1" s="1"/>
  <c r="CP113" i="1"/>
  <c r="CT113" i="1" s="1"/>
  <c r="CP114" i="1"/>
  <c r="CT114" i="1" s="1"/>
  <c r="CP115" i="1"/>
  <c r="CT115" i="1" s="1"/>
  <c r="CP116" i="1"/>
  <c r="CT116" i="1" s="1"/>
  <c r="CP117" i="1"/>
  <c r="CT117" i="1" s="1"/>
  <c r="CP118" i="1"/>
  <c r="CT118" i="1" s="1"/>
  <c r="CP119" i="1"/>
  <c r="CT119" i="1" s="1"/>
  <c r="CP120" i="1"/>
  <c r="CT120" i="1" s="1"/>
  <c r="CP121" i="1"/>
  <c r="CT121" i="1" s="1"/>
  <c r="CP122" i="1"/>
  <c r="CT122" i="1" s="1"/>
  <c r="CP123" i="1"/>
  <c r="CT123" i="1" s="1"/>
  <c r="CP124" i="1"/>
  <c r="CT124" i="1" s="1"/>
  <c r="CP125" i="1"/>
  <c r="CT125" i="1" s="1"/>
  <c r="CP126" i="1"/>
  <c r="CT126" i="1" s="1"/>
  <c r="CP127" i="1"/>
  <c r="CT127" i="1" s="1"/>
  <c r="CP128" i="1"/>
  <c r="CT128" i="1" s="1"/>
  <c r="CP129" i="1"/>
  <c r="CT129" i="1" s="1"/>
  <c r="CP130" i="1"/>
  <c r="CT130" i="1" s="1"/>
  <c r="CP131" i="1"/>
  <c r="CT131" i="1" s="1"/>
  <c r="CP132" i="1"/>
  <c r="CT132" i="1" s="1"/>
  <c r="CP133" i="1"/>
  <c r="CT133" i="1" s="1"/>
  <c r="CP134" i="1"/>
  <c r="CT134" i="1" s="1"/>
  <c r="CP135" i="1"/>
  <c r="CT135" i="1" s="1"/>
  <c r="CP136" i="1"/>
  <c r="CT136" i="1" s="1"/>
  <c r="CP137" i="1"/>
  <c r="CT137" i="1" s="1"/>
  <c r="CP138" i="1"/>
  <c r="CT138" i="1" s="1"/>
  <c r="CP139" i="1"/>
  <c r="CT139" i="1" s="1"/>
  <c r="CP140" i="1"/>
  <c r="CT140" i="1" s="1"/>
  <c r="CP141" i="1"/>
  <c r="CT141" i="1" s="1"/>
  <c r="CP142" i="1"/>
  <c r="CT142" i="1" s="1"/>
  <c r="CP143" i="1"/>
  <c r="CT143" i="1" s="1"/>
  <c r="CP144" i="1"/>
  <c r="CT144" i="1" s="1"/>
  <c r="CP145" i="1"/>
  <c r="CT145" i="1" s="1"/>
  <c r="CP146" i="1"/>
  <c r="CT146" i="1" s="1"/>
  <c r="CP147" i="1"/>
  <c r="CT147" i="1" s="1"/>
  <c r="CP148" i="1"/>
  <c r="CT148" i="1" s="1"/>
  <c r="CP149" i="1"/>
  <c r="CT149" i="1" s="1"/>
  <c r="CP150" i="1"/>
  <c r="CT150" i="1" s="1"/>
  <c r="CP151" i="1"/>
  <c r="CT151" i="1" s="1"/>
  <c r="CP152" i="1"/>
  <c r="CT152" i="1" s="1"/>
  <c r="CP153" i="1"/>
  <c r="CT153" i="1" s="1"/>
  <c r="CP154" i="1"/>
  <c r="CT154" i="1" s="1"/>
  <c r="CP155" i="1"/>
  <c r="CT155" i="1" s="1"/>
  <c r="CP156" i="1"/>
  <c r="CT156" i="1" s="1"/>
  <c r="CP157" i="1"/>
  <c r="CT157" i="1" s="1"/>
  <c r="CP158" i="1"/>
  <c r="CT158" i="1" s="1"/>
  <c r="CP159" i="1"/>
  <c r="CT159" i="1" s="1"/>
  <c r="CP160" i="1"/>
  <c r="CT160" i="1" s="1"/>
  <c r="CP161" i="1"/>
  <c r="CT161" i="1" s="1"/>
  <c r="CP162" i="1"/>
  <c r="CT162" i="1" s="1"/>
  <c r="CP163" i="1"/>
  <c r="CT163" i="1" s="1"/>
  <c r="CP164" i="1"/>
  <c r="CT164" i="1" s="1"/>
  <c r="CP165" i="1"/>
  <c r="CT165" i="1" s="1"/>
  <c r="CP166" i="1"/>
  <c r="CT166" i="1" s="1"/>
  <c r="CP167" i="1"/>
  <c r="CT167" i="1" s="1"/>
  <c r="CP168" i="1"/>
  <c r="CT168" i="1" s="1"/>
  <c r="CP169" i="1"/>
  <c r="CT169" i="1" s="1"/>
  <c r="CP170" i="1"/>
  <c r="CT170" i="1" s="1"/>
  <c r="CP171" i="1"/>
  <c r="CT171" i="1" s="1"/>
  <c r="CP172" i="1"/>
  <c r="CT172" i="1" s="1"/>
  <c r="CP173" i="1"/>
  <c r="CT173" i="1" s="1"/>
  <c r="CP174" i="1"/>
  <c r="CT174" i="1" s="1"/>
  <c r="CP175" i="1"/>
  <c r="CT175" i="1" s="1"/>
  <c r="CP176" i="1"/>
  <c r="CT176" i="1" s="1"/>
  <c r="CP177" i="1"/>
  <c r="CT177" i="1" s="1"/>
  <c r="CP178" i="1"/>
  <c r="CT178" i="1" s="1"/>
  <c r="CP179" i="1"/>
  <c r="CT179" i="1" s="1"/>
  <c r="CP180" i="1"/>
  <c r="CT180" i="1" s="1"/>
  <c r="CP181" i="1"/>
  <c r="CT181" i="1" s="1"/>
  <c r="CP182" i="1"/>
  <c r="CT182" i="1" s="1"/>
  <c r="CP183" i="1"/>
  <c r="CT183" i="1" s="1"/>
  <c r="CP184" i="1"/>
  <c r="CT184" i="1" s="1"/>
  <c r="CP185" i="1"/>
  <c r="CT185" i="1" s="1"/>
  <c r="CP186" i="1"/>
  <c r="CT186" i="1" s="1"/>
  <c r="CP187" i="1"/>
  <c r="CT187" i="1" s="1"/>
  <c r="CP188" i="1"/>
  <c r="CT188" i="1" s="1"/>
  <c r="CP189" i="1"/>
  <c r="CT189" i="1" s="1"/>
  <c r="CP190" i="1"/>
  <c r="CT190" i="1" s="1"/>
  <c r="CP191" i="1"/>
  <c r="CT191" i="1" s="1"/>
  <c r="CP192" i="1"/>
  <c r="CT192" i="1" s="1"/>
  <c r="CP193" i="1"/>
  <c r="CT193" i="1" s="1"/>
  <c r="CP194" i="1"/>
  <c r="CT194" i="1" s="1"/>
  <c r="CP195" i="1"/>
  <c r="CT195" i="1" s="1"/>
  <c r="CP196" i="1"/>
  <c r="CT196" i="1" s="1"/>
  <c r="CP197" i="1"/>
  <c r="CT197" i="1" s="1"/>
  <c r="CP198" i="1"/>
  <c r="CT198" i="1" s="1"/>
  <c r="CP199" i="1"/>
  <c r="CT199" i="1" s="1"/>
  <c r="CP200" i="1"/>
  <c r="CT200" i="1" s="1"/>
  <c r="CP201" i="1"/>
  <c r="CT201" i="1" s="1"/>
  <c r="CP202" i="1"/>
  <c r="CT202" i="1" s="1"/>
  <c r="CP203" i="1"/>
  <c r="CT203" i="1" s="1"/>
  <c r="CP204" i="1"/>
  <c r="CT204" i="1" s="1"/>
  <c r="CP205" i="1"/>
  <c r="CT205" i="1" s="1"/>
  <c r="CP206" i="1"/>
  <c r="CT206" i="1" s="1"/>
  <c r="CP207" i="1"/>
  <c r="CT207" i="1" s="1"/>
  <c r="CP208" i="1"/>
  <c r="CT208" i="1" s="1"/>
  <c r="CP209" i="1"/>
  <c r="CT209" i="1" s="1"/>
  <c r="CP210" i="1"/>
  <c r="CT210" i="1" s="1"/>
  <c r="CP211" i="1"/>
  <c r="CT211" i="1" s="1"/>
  <c r="CP212" i="1"/>
  <c r="CT212" i="1" s="1"/>
  <c r="CP213" i="1"/>
  <c r="CT213" i="1" s="1"/>
  <c r="CP214" i="1"/>
  <c r="CT214" i="1" s="1"/>
  <c r="CP215" i="1"/>
  <c r="CT215" i="1" s="1"/>
  <c r="CP216" i="1"/>
  <c r="CT216" i="1" s="1"/>
  <c r="CP217" i="1"/>
  <c r="CT217" i="1" s="1"/>
  <c r="CP218" i="1"/>
  <c r="CT218" i="1" s="1"/>
  <c r="CP219" i="1"/>
  <c r="CT219" i="1" s="1"/>
  <c r="CP220" i="1"/>
  <c r="CT220" i="1" s="1"/>
  <c r="CP221" i="1"/>
  <c r="CT221" i="1" s="1"/>
  <c r="CP222" i="1"/>
  <c r="CT222" i="1" s="1"/>
  <c r="CP223" i="1"/>
  <c r="CT223" i="1" s="1"/>
  <c r="CP224" i="1"/>
  <c r="CT224" i="1" s="1"/>
  <c r="CP225" i="1"/>
  <c r="CT225" i="1" s="1"/>
  <c r="CP226" i="1"/>
  <c r="CT226" i="1" s="1"/>
  <c r="CP227" i="1"/>
  <c r="CT227" i="1" s="1"/>
  <c r="CP228" i="1"/>
  <c r="CT228" i="1" s="1"/>
  <c r="CP229" i="1"/>
  <c r="CT229" i="1" s="1"/>
  <c r="CP230" i="1"/>
  <c r="CT230" i="1" s="1"/>
  <c r="CP231" i="1"/>
  <c r="CT231" i="1" s="1"/>
  <c r="CP232" i="1"/>
  <c r="CT232" i="1" s="1"/>
  <c r="CP233" i="1"/>
  <c r="CT233" i="1" s="1"/>
  <c r="CP234" i="1"/>
  <c r="CT234" i="1" s="1"/>
  <c r="CP235" i="1"/>
  <c r="CT235" i="1" s="1"/>
  <c r="CP236" i="1"/>
  <c r="CT236" i="1" s="1"/>
  <c r="CP237" i="1"/>
  <c r="CT237" i="1" s="1"/>
  <c r="CP238" i="1"/>
  <c r="CT238" i="1" s="1"/>
  <c r="CP239" i="1"/>
  <c r="CT239" i="1" s="1"/>
  <c r="CP240" i="1"/>
  <c r="CT240" i="1" s="1"/>
  <c r="CP241" i="1"/>
  <c r="CT241" i="1" s="1"/>
  <c r="CP242" i="1"/>
  <c r="CT242" i="1" s="1"/>
  <c r="CP243" i="1"/>
  <c r="CT243" i="1" s="1"/>
  <c r="CP244" i="1"/>
  <c r="CT244" i="1" s="1"/>
  <c r="CP245" i="1"/>
  <c r="CT245" i="1" s="1"/>
  <c r="CP246" i="1"/>
  <c r="CT246" i="1" s="1"/>
  <c r="CP247" i="1"/>
  <c r="CT247" i="1" s="1"/>
  <c r="CP248" i="1"/>
  <c r="CT248" i="1" s="1"/>
  <c r="CP249" i="1"/>
  <c r="CT249" i="1" s="1"/>
  <c r="CP250" i="1"/>
  <c r="CT250" i="1" s="1"/>
  <c r="CP251" i="1"/>
  <c r="CT251" i="1" s="1"/>
  <c r="CP252" i="1"/>
  <c r="CT252" i="1" s="1"/>
  <c r="CP253" i="1"/>
  <c r="CT253" i="1" s="1"/>
  <c r="CP254" i="1"/>
  <c r="CT254" i="1" s="1"/>
  <c r="CP5" i="1"/>
  <c r="CS5" i="1" l="1"/>
  <c r="N24" i="12"/>
  <c r="G21" i="12" s="1"/>
  <c r="N5" i="1" l="1"/>
  <c r="N6" i="1"/>
  <c r="N7" i="1"/>
  <c r="N8" i="1"/>
  <c r="N9" i="1"/>
  <c r="N10" i="1"/>
  <c r="N11" i="1"/>
  <c r="N12" i="1"/>
  <c r="N13" i="1"/>
  <c r="N14" i="1"/>
  <c r="N15" i="1"/>
  <c r="N16" i="1"/>
  <c r="N17" i="1"/>
  <c r="CS13" i="1" l="1"/>
  <c r="CS14" i="1"/>
  <c r="CS15" i="1"/>
  <c r="CS16" i="1"/>
  <c r="CS17" i="1"/>
  <c r="CS18" i="1"/>
  <c r="CS19" i="1"/>
  <c r="CS20" i="1"/>
  <c r="CS21" i="1"/>
  <c r="CS22" i="1"/>
  <c r="CS23" i="1"/>
  <c r="CS24" i="1"/>
  <c r="CS25" i="1"/>
  <c r="CS26" i="1"/>
  <c r="CS27" i="1"/>
  <c r="CS28" i="1"/>
  <c r="CS29" i="1"/>
  <c r="CS30" i="1"/>
  <c r="CS31" i="1"/>
  <c r="CS32" i="1"/>
  <c r="CS33" i="1"/>
  <c r="CS34" i="1"/>
  <c r="CS35" i="1"/>
  <c r="CS36" i="1"/>
  <c r="CS37" i="1"/>
  <c r="CS38" i="1"/>
  <c r="CS39" i="1"/>
  <c r="CS40" i="1"/>
  <c r="CS41" i="1"/>
  <c r="CS42" i="1"/>
  <c r="CS43" i="1"/>
  <c r="CS44" i="1"/>
  <c r="CS45" i="1"/>
  <c r="CS46" i="1"/>
  <c r="CS47" i="1"/>
  <c r="CS48" i="1"/>
  <c r="CS49" i="1"/>
  <c r="CS50" i="1"/>
  <c r="CS51" i="1"/>
  <c r="CS52" i="1"/>
  <c r="CS53" i="1"/>
  <c r="CS54" i="1"/>
  <c r="CS55" i="1"/>
  <c r="CS56" i="1"/>
  <c r="CS57" i="1"/>
  <c r="CS58" i="1"/>
  <c r="CS59" i="1"/>
  <c r="CS60" i="1"/>
  <c r="CS61" i="1"/>
  <c r="CS62" i="1"/>
  <c r="CS63" i="1"/>
  <c r="CS64" i="1"/>
  <c r="CS65" i="1"/>
  <c r="CS66" i="1"/>
  <c r="CS67" i="1"/>
  <c r="CS68" i="1"/>
  <c r="CS69" i="1"/>
  <c r="CS70" i="1"/>
  <c r="CS71" i="1"/>
  <c r="CS72" i="1"/>
  <c r="CS73" i="1"/>
  <c r="CS74" i="1"/>
  <c r="CS75" i="1"/>
  <c r="CS76" i="1"/>
  <c r="CS77" i="1"/>
  <c r="CS78" i="1"/>
  <c r="CS79" i="1"/>
  <c r="CS80" i="1"/>
  <c r="CS81" i="1"/>
  <c r="CS82" i="1"/>
  <c r="CS83" i="1"/>
  <c r="CS84" i="1"/>
  <c r="CS85" i="1"/>
  <c r="CS86" i="1"/>
  <c r="CS87" i="1"/>
  <c r="CS88" i="1"/>
  <c r="CS89" i="1"/>
  <c r="CS90" i="1"/>
  <c r="CS91" i="1"/>
  <c r="CS92" i="1"/>
  <c r="CS93" i="1"/>
  <c r="CS94" i="1"/>
  <c r="CS95" i="1"/>
  <c r="CS96" i="1"/>
  <c r="CS97" i="1"/>
  <c r="CS98" i="1"/>
  <c r="CS99" i="1"/>
  <c r="CS100" i="1"/>
  <c r="CS101" i="1"/>
  <c r="CS102" i="1"/>
  <c r="CS103" i="1"/>
  <c r="CS104" i="1"/>
  <c r="CS105" i="1"/>
  <c r="CS106" i="1"/>
  <c r="CS107" i="1"/>
  <c r="CS108" i="1"/>
  <c r="CS109" i="1"/>
  <c r="CS110" i="1"/>
  <c r="CS111" i="1"/>
  <c r="CS112" i="1"/>
  <c r="CS113" i="1"/>
  <c r="CS114" i="1"/>
  <c r="CS115" i="1"/>
  <c r="CS116" i="1"/>
  <c r="CS117" i="1"/>
  <c r="CS118" i="1"/>
  <c r="CS119" i="1"/>
  <c r="CS120" i="1"/>
  <c r="CS121" i="1"/>
  <c r="CS122" i="1"/>
  <c r="CS123" i="1"/>
  <c r="CS124" i="1"/>
  <c r="CS125" i="1"/>
  <c r="CS126" i="1"/>
  <c r="CS127" i="1"/>
  <c r="CS128" i="1"/>
  <c r="CS129" i="1"/>
  <c r="CS130" i="1"/>
  <c r="CS131" i="1"/>
  <c r="CS132" i="1"/>
  <c r="CS133" i="1"/>
  <c r="CS134" i="1"/>
  <c r="CS135" i="1"/>
  <c r="CS136" i="1"/>
  <c r="CS137" i="1"/>
  <c r="CS138" i="1"/>
  <c r="CS139" i="1"/>
  <c r="CS140" i="1"/>
  <c r="CS141" i="1"/>
  <c r="CS142" i="1"/>
  <c r="CS143" i="1"/>
  <c r="CS144" i="1"/>
  <c r="CS145" i="1"/>
  <c r="CS146" i="1"/>
  <c r="CS147" i="1"/>
  <c r="CS148" i="1"/>
  <c r="CS149" i="1"/>
  <c r="CS150" i="1"/>
  <c r="CS151" i="1"/>
  <c r="CS152" i="1"/>
  <c r="CS153" i="1"/>
  <c r="CS154" i="1"/>
  <c r="CS155" i="1"/>
  <c r="CS156" i="1"/>
  <c r="CS157" i="1"/>
  <c r="CS158" i="1"/>
  <c r="CS159" i="1"/>
  <c r="CS160" i="1"/>
  <c r="CS161" i="1"/>
  <c r="CS162" i="1"/>
  <c r="CS163" i="1"/>
  <c r="CS164" i="1"/>
  <c r="CS165" i="1"/>
  <c r="CS166" i="1"/>
  <c r="CS167" i="1"/>
  <c r="CS168" i="1"/>
  <c r="CS169" i="1"/>
  <c r="CS170" i="1"/>
  <c r="CS171" i="1"/>
  <c r="CS172" i="1"/>
  <c r="CS173" i="1"/>
  <c r="CS174" i="1"/>
  <c r="CS175" i="1"/>
  <c r="CS176" i="1"/>
  <c r="CS177" i="1"/>
  <c r="CS178" i="1"/>
  <c r="CS179" i="1"/>
  <c r="CS180" i="1"/>
  <c r="CS181" i="1"/>
  <c r="CS182" i="1"/>
  <c r="CS183" i="1"/>
  <c r="CS184" i="1"/>
  <c r="CS185" i="1"/>
  <c r="CS186" i="1"/>
  <c r="CS187" i="1"/>
  <c r="CS188" i="1"/>
  <c r="CS189" i="1"/>
  <c r="CS190" i="1"/>
  <c r="CS191" i="1"/>
  <c r="CS192" i="1"/>
  <c r="CS193" i="1"/>
  <c r="CS194" i="1"/>
  <c r="CS195" i="1"/>
  <c r="CS196" i="1"/>
  <c r="CS197" i="1"/>
  <c r="CS198" i="1"/>
  <c r="CS199" i="1"/>
  <c r="CS200" i="1"/>
  <c r="CS201" i="1"/>
  <c r="CS202" i="1"/>
  <c r="CS203" i="1"/>
  <c r="CS204" i="1"/>
  <c r="CS205" i="1"/>
  <c r="CS206" i="1"/>
  <c r="CS207" i="1"/>
  <c r="CS208" i="1"/>
  <c r="CS209" i="1"/>
  <c r="CS210" i="1"/>
  <c r="CS211" i="1"/>
  <c r="CS212" i="1"/>
  <c r="CS213" i="1"/>
  <c r="CS214" i="1"/>
  <c r="CS215" i="1"/>
  <c r="CS216" i="1"/>
  <c r="CS217" i="1"/>
  <c r="CS218" i="1"/>
  <c r="CS219" i="1"/>
  <c r="CS220" i="1"/>
  <c r="CS221" i="1"/>
  <c r="CS222" i="1"/>
  <c r="CS223" i="1"/>
  <c r="CS224" i="1"/>
  <c r="CS225" i="1"/>
  <c r="CS226" i="1"/>
  <c r="CS227" i="1"/>
  <c r="CS228" i="1"/>
  <c r="CS229" i="1"/>
  <c r="CS230" i="1"/>
  <c r="CS231" i="1"/>
  <c r="CS232" i="1"/>
  <c r="CS233" i="1"/>
  <c r="CS234" i="1"/>
  <c r="CS235" i="1"/>
  <c r="CS236" i="1"/>
  <c r="CS237" i="1"/>
  <c r="CS238" i="1"/>
  <c r="CS239" i="1"/>
  <c r="CS240" i="1"/>
  <c r="CS241" i="1"/>
  <c r="CS242" i="1"/>
  <c r="CS243" i="1"/>
  <c r="CS244" i="1"/>
  <c r="CS245" i="1"/>
  <c r="CS246" i="1"/>
  <c r="CS247" i="1"/>
  <c r="CS248" i="1"/>
  <c r="CS249" i="1"/>
  <c r="CS250" i="1"/>
  <c r="CS251" i="1"/>
  <c r="CS252" i="1"/>
  <c r="CS253" i="1"/>
  <c r="CS254" i="1"/>
  <c r="CS6" i="1"/>
  <c r="CS7" i="1"/>
  <c r="CS8" i="1"/>
  <c r="CS9" i="1"/>
  <c r="CS10" i="1"/>
  <c r="CS11" i="1"/>
  <c r="CS12" i="1"/>
  <c r="P4" i="1"/>
  <c r="Q4" i="1"/>
  <c r="R4" i="1"/>
  <c r="U4" i="1"/>
  <c r="Z4" i="1"/>
  <c r="AE4" i="1"/>
  <c r="AJ4" i="1"/>
  <c r="BE4" i="1"/>
  <c r="BF4" i="1"/>
  <c r="C44" i="2"/>
  <c r="C45" i="2"/>
  <c r="C46" i="2"/>
  <c r="C47" i="2"/>
  <c r="C43" i="2"/>
  <c r="B44" i="2"/>
  <c r="B45" i="2"/>
  <c r="B46" i="2"/>
  <c r="B47" i="2"/>
  <c r="B43" i="2"/>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163" i="1"/>
  <c r="BY164"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197" i="1"/>
  <c r="BY198" i="1"/>
  <c r="BY199" i="1"/>
  <c r="BY200" i="1"/>
  <c r="BY201" i="1"/>
  <c r="BY202" i="1"/>
  <c r="BY203" i="1"/>
  <c r="BY204" i="1"/>
  <c r="BY205" i="1"/>
  <c r="BY206" i="1"/>
  <c r="BY207" i="1"/>
  <c r="BY208" i="1"/>
  <c r="BY209" i="1"/>
  <c r="BY210" i="1"/>
  <c r="BY211" i="1"/>
  <c r="BY212" i="1"/>
  <c r="BY213" i="1"/>
  <c r="BY214" i="1"/>
  <c r="BY215" i="1"/>
  <c r="BY216" i="1"/>
  <c r="BY217" i="1"/>
  <c r="BY218" i="1"/>
  <c r="BY219" i="1"/>
  <c r="BY220" i="1"/>
  <c r="BY221" i="1"/>
  <c r="BY222" i="1"/>
  <c r="BY223" i="1"/>
  <c r="BY224" i="1"/>
  <c r="BY225" i="1"/>
  <c r="BY226" i="1"/>
  <c r="BY227" i="1"/>
  <c r="BY228" i="1"/>
  <c r="BY229" i="1"/>
  <c r="BY230" i="1"/>
  <c r="BY231" i="1"/>
  <c r="BY232" i="1"/>
  <c r="BY233" i="1"/>
  <c r="BY234" i="1"/>
  <c r="BY235" i="1"/>
  <c r="BY236" i="1"/>
  <c r="BY237" i="1"/>
  <c r="BY238" i="1"/>
  <c r="BY239" i="1"/>
  <c r="BY240" i="1"/>
  <c r="BY241" i="1"/>
  <c r="BY242" i="1"/>
  <c r="BY243" i="1"/>
  <c r="BY244" i="1"/>
  <c r="BY245" i="1"/>
  <c r="BY246" i="1"/>
  <c r="BY247" i="1"/>
  <c r="BY248" i="1"/>
  <c r="BY249" i="1"/>
  <c r="BY250" i="1"/>
  <c r="BY251" i="1"/>
  <c r="BY252" i="1"/>
  <c r="BY253" i="1"/>
  <c r="BY254" i="1"/>
  <c r="BX105" i="1"/>
  <c r="BX106" i="1"/>
  <c r="BX107" i="1"/>
  <c r="BX108" i="1"/>
  <c r="BX109" i="1"/>
  <c r="BX110" i="1"/>
  <c r="BX111" i="1"/>
  <c r="BX112" i="1"/>
  <c r="BX113" i="1"/>
  <c r="BX114" i="1"/>
  <c r="BX115" i="1"/>
  <c r="BX116" i="1"/>
  <c r="BX117" i="1"/>
  <c r="BX118" i="1"/>
  <c r="BX119" i="1"/>
  <c r="BX120" i="1"/>
  <c r="BX121" i="1"/>
  <c r="BX122" i="1"/>
  <c r="BX123" i="1"/>
  <c r="BX124" i="1"/>
  <c r="BX125" i="1"/>
  <c r="BX126" i="1"/>
  <c r="BX127" i="1"/>
  <c r="BX128" i="1"/>
  <c r="BX129" i="1"/>
  <c r="BX130" i="1"/>
  <c r="BX131" i="1"/>
  <c r="BX132" i="1"/>
  <c r="BX133" i="1"/>
  <c r="BX134" i="1"/>
  <c r="BX135" i="1"/>
  <c r="BX136" i="1"/>
  <c r="BX137" i="1"/>
  <c r="BX138" i="1"/>
  <c r="BX139" i="1"/>
  <c r="BX140" i="1"/>
  <c r="BX141" i="1"/>
  <c r="BX142" i="1"/>
  <c r="BX143" i="1"/>
  <c r="BX144" i="1"/>
  <c r="BX145" i="1"/>
  <c r="BX146" i="1"/>
  <c r="BX147" i="1"/>
  <c r="BX148" i="1"/>
  <c r="BX149" i="1"/>
  <c r="BX150" i="1"/>
  <c r="BX151" i="1"/>
  <c r="BX152" i="1"/>
  <c r="BX153" i="1"/>
  <c r="BX154" i="1"/>
  <c r="BX155" i="1"/>
  <c r="BX156" i="1"/>
  <c r="BX157" i="1"/>
  <c r="BX158" i="1"/>
  <c r="BX159" i="1"/>
  <c r="BX160" i="1"/>
  <c r="BX161" i="1"/>
  <c r="BX162" i="1"/>
  <c r="BX163" i="1"/>
  <c r="BX164" i="1"/>
  <c r="BX165" i="1"/>
  <c r="BX166" i="1"/>
  <c r="BX167" i="1"/>
  <c r="BX168" i="1"/>
  <c r="BX169" i="1"/>
  <c r="BX170" i="1"/>
  <c r="BX171" i="1"/>
  <c r="BX172" i="1"/>
  <c r="BX173" i="1"/>
  <c r="BX174" i="1"/>
  <c r="BX175" i="1"/>
  <c r="BX176" i="1"/>
  <c r="BX177" i="1"/>
  <c r="BX178" i="1"/>
  <c r="BX179" i="1"/>
  <c r="BX180" i="1"/>
  <c r="BX181" i="1"/>
  <c r="BX182" i="1"/>
  <c r="BX183" i="1"/>
  <c r="BX184" i="1"/>
  <c r="BX185" i="1"/>
  <c r="BX186" i="1"/>
  <c r="BX187" i="1"/>
  <c r="BX188" i="1"/>
  <c r="BX189" i="1"/>
  <c r="BX190" i="1"/>
  <c r="BX191" i="1"/>
  <c r="BX192" i="1"/>
  <c r="BX193" i="1"/>
  <c r="BX194" i="1"/>
  <c r="BX195" i="1"/>
  <c r="BX196" i="1"/>
  <c r="BX197" i="1"/>
  <c r="BX198" i="1"/>
  <c r="BX199" i="1"/>
  <c r="BX200" i="1"/>
  <c r="BX201" i="1"/>
  <c r="BX202" i="1"/>
  <c r="BX203" i="1"/>
  <c r="BX204" i="1"/>
  <c r="BX205" i="1"/>
  <c r="BX206" i="1"/>
  <c r="BX207" i="1"/>
  <c r="BX208" i="1"/>
  <c r="BX209" i="1"/>
  <c r="BX210" i="1"/>
  <c r="BX211" i="1"/>
  <c r="BX212" i="1"/>
  <c r="BX213" i="1"/>
  <c r="BX214" i="1"/>
  <c r="BX215" i="1"/>
  <c r="BX216" i="1"/>
  <c r="BX217" i="1"/>
  <c r="BX218" i="1"/>
  <c r="BX219" i="1"/>
  <c r="BX220" i="1"/>
  <c r="BX221" i="1"/>
  <c r="BX222" i="1"/>
  <c r="BX223" i="1"/>
  <c r="BX224" i="1"/>
  <c r="BX225" i="1"/>
  <c r="BX226" i="1"/>
  <c r="BX227" i="1"/>
  <c r="BX228" i="1"/>
  <c r="BX229" i="1"/>
  <c r="BX230" i="1"/>
  <c r="BX231" i="1"/>
  <c r="BX232" i="1"/>
  <c r="BX233" i="1"/>
  <c r="BX234" i="1"/>
  <c r="BX235" i="1"/>
  <c r="BX236" i="1"/>
  <c r="BX237" i="1"/>
  <c r="BX238" i="1"/>
  <c r="BX239" i="1"/>
  <c r="BX240" i="1"/>
  <c r="BX241" i="1"/>
  <c r="BX242" i="1"/>
  <c r="BX243" i="1"/>
  <c r="BX244" i="1"/>
  <c r="BX245" i="1"/>
  <c r="BX246" i="1"/>
  <c r="BX247" i="1"/>
  <c r="BX248" i="1"/>
  <c r="BX249" i="1"/>
  <c r="BX250" i="1"/>
  <c r="BX251" i="1"/>
  <c r="BX252" i="1"/>
  <c r="BX253" i="1"/>
  <c r="BX254" i="1"/>
  <c r="J65" i="1" l="1"/>
  <c r="J62" i="1"/>
  <c r="N62" i="1"/>
  <c r="P62" i="1"/>
  <c r="Q62" i="1"/>
  <c r="R62" i="1"/>
  <c r="J63" i="1"/>
  <c r="N63" i="1"/>
  <c r="P63" i="1"/>
  <c r="Q63" i="1"/>
  <c r="R63" i="1"/>
  <c r="J64" i="1"/>
  <c r="N64" i="1"/>
  <c r="P64" i="1"/>
  <c r="Q64" i="1"/>
  <c r="R64" i="1"/>
  <c r="J21" i="1"/>
  <c r="J22" i="1"/>
  <c r="J23" i="1"/>
  <c r="J24" i="1"/>
  <c r="J25" i="1"/>
  <c r="AW5" i="1" l="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5" i="1"/>
  <c r="AZ6"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5" i="1"/>
  <c r="AE5" i="1" l="1"/>
  <c r="AV49"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U49"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U151" i="1"/>
  <c r="AU152" i="1"/>
  <c r="AU153" i="1"/>
  <c r="AU154" i="1"/>
  <c r="AU155" i="1"/>
  <c r="AU156" i="1"/>
  <c r="AU157" i="1"/>
  <c r="AU158" i="1"/>
  <c r="AU159" i="1"/>
  <c r="AU160" i="1"/>
  <c r="AU161" i="1"/>
  <c r="AU162" i="1"/>
  <c r="AU163" i="1"/>
  <c r="AU164" i="1"/>
  <c r="AU165" i="1"/>
  <c r="AU166" i="1"/>
  <c r="AU167" i="1"/>
  <c r="AU168" i="1"/>
  <c r="AU169" i="1"/>
  <c r="AU170" i="1"/>
  <c r="AU171" i="1"/>
  <c r="AU172" i="1"/>
  <c r="AU173" i="1"/>
  <c r="AU174" i="1"/>
  <c r="AU175" i="1"/>
  <c r="AU176" i="1"/>
  <c r="AU177" i="1"/>
  <c r="AU178" i="1"/>
  <c r="AU179" i="1"/>
  <c r="AU180" i="1"/>
  <c r="AU181" i="1"/>
  <c r="AU182" i="1"/>
  <c r="AU183" i="1"/>
  <c r="AU184" i="1"/>
  <c r="AU185" i="1"/>
  <c r="AU186" i="1"/>
  <c r="AU187" i="1"/>
  <c r="AU188" i="1"/>
  <c r="AU189" i="1"/>
  <c r="AU190" i="1"/>
  <c r="AU191" i="1"/>
  <c r="AU192" i="1"/>
  <c r="AU193" i="1"/>
  <c r="AU194" i="1"/>
  <c r="AU195" i="1"/>
  <c r="AU196" i="1"/>
  <c r="AU197" i="1"/>
  <c r="AU198" i="1"/>
  <c r="AU199" i="1"/>
  <c r="AU200" i="1"/>
  <c r="AU201" i="1"/>
  <c r="AU202" i="1"/>
  <c r="AU203" i="1"/>
  <c r="AU204" i="1"/>
  <c r="AU205" i="1"/>
  <c r="AU206" i="1"/>
  <c r="AU207" i="1"/>
  <c r="AU208" i="1"/>
  <c r="AU209" i="1"/>
  <c r="AU210" i="1"/>
  <c r="AU211" i="1"/>
  <c r="AU212" i="1"/>
  <c r="AU213" i="1"/>
  <c r="AU214" i="1"/>
  <c r="AU215" i="1"/>
  <c r="AU216" i="1"/>
  <c r="AU217" i="1"/>
  <c r="AU218" i="1"/>
  <c r="AU219" i="1"/>
  <c r="AU220" i="1"/>
  <c r="AU221" i="1"/>
  <c r="AU222" i="1"/>
  <c r="AU223" i="1"/>
  <c r="AU224" i="1"/>
  <c r="AU225" i="1"/>
  <c r="AU226" i="1"/>
  <c r="AU227" i="1"/>
  <c r="AU228" i="1"/>
  <c r="AU229" i="1"/>
  <c r="AU230" i="1"/>
  <c r="AU231" i="1"/>
  <c r="AU232" i="1"/>
  <c r="AU233" i="1"/>
  <c r="AU234" i="1"/>
  <c r="AU235" i="1"/>
  <c r="AU236" i="1"/>
  <c r="AU237" i="1"/>
  <c r="AU238" i="1"/>
  <c r="AU239" i="1"/>
  <c r="AU240" i="1"/>
  <c r="AU241" i="1"/>
  <c r="AU242" i="1"/>
  <c r="AU243" i="1"/>
  <c r="AU244" i="1"/>
  <c r="AU245" i="1"/>
  <c r="AU246" i="1"/>
  <c r="AU247" i="1"/>
  <c r="AU248" i="1"/>
  <c r="AU249" i="1"/>
  <c r="AU250" i="1"/>
  <c r="AU251" i="1"/>
  <c r="AU252" i="1"/>
  <c r="AU253" i="1"/>
  <c r="AU254" i="1"/>
  <c r="AT49"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M49"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BZ6" i="1"/>
  <c r="BZ7" i="1"/>
  <c r="BZ8" i="1"/>
  <c r="BZ9" i="1"/>
  <c r="BZ10" i="1"/>
  <c r="BZ11" i="1"/>
  <c r="BZ12" i="1"/>
  <c r="BZ13" i="1"/>
  <c r="BZ14" i="1"/>
  <c r="BZ15" i="1"/>
  <c r="BZ16" i="1"/>
  <c r="BZ17" i="1"/>
  <c r="BZ18" i="1"/>
  <c r="BZ19" i="1"/>
  <c r="BZ20" i="1"/>
  <c r="BZ21" i="1"/>
  <c r="BZ22" i="1"/>
  <c r="BZ23" i="1"/>
  <c r="BZ24" i="1"/>
  <c r="BZ25" i="1"/>
  <c r="BZ26" i="1"/>
  <c r="BZ27" i="1"/>
  <c r="BZ28" i="1"/>
  <c r="BZ29" i="1"/>
  <c r="BZ30" i="1"/>
  <c r="BZ31" i="1"/>
  <c r="BZ32" i="1"/>
  <c r="BZ33" i="1"/>
  <c r="BZ34" i="1"/>
  <c r="BZ35" i="1"/>
  <c r="BZ36" i="1"/>
  <c r="BZ37" i="1"/>
  <c r="BZ38" i="1"/>
  <c r="BZ39" i="1"/>
  <c r="BZ40" i="1"/>
  <c r="BZ41" i="1"/>
  <c r="BZ42" i="1"/>
  <c r="BZ43" i="1"/>
  <c r="BZ44" i="1"/>
  <c r="BZ45" i="1"/>
  <c r="BZ46" i="1"/>
  <c r="BZ47" i="1"/>
  <c r="BZ48" i="1"/>
  <c r="BZ49" i="1"/>
  <c r="BZ50" i="1"/>
  <c r="BZ51" i="1"/>
  <c r="BZ52" i="1"/>
  <c r="BZ53" i="1"/>
  <c r="BZ54" i="1"/>
  <c r="BZ55" i="1"/>
  <c r="BZ56" i="1"/>
  <c r="BZ57" i="1"/>
  <c r="BZ58" i="1"/>
  <c r="BZ59" i="1"/>
  <c r="BZ60" i="1"/>
  <c r="BZ61" i="1"/>
  <c r="BZ62" i="1"/>
  <c r="BZ63" i="1"/>
  <c r="BZ64" i="1"/>
  <c r="BZ65" i="1"/>
  <c r="BZ66" i="1"/>
  <c r="BZ67" i="1"/>
  <c r="BZ68" i="1"/>
  <c r="BZ69" i="1"/>
  <c r="BZ70" i="1"/>
  <c r="BZ71" i="1"/>
  <c r="BZ72" i="1"/>
  <c r="BZ73" i="1"/>
  <c r="BZ74" i="1"/>
  <c r="BZ75" i="1"/>
  <c r="BZ76" i="1"/>
  <c r="BZ77" i="1"/>
  <c r="BZ78" i="1"/>
  <c r="BZ79" i="1"/>
  <c r="BZ80" i="1"/>
  <c r="BZ81" i="1"/>
  <c r="BZ82" i="1"/>
  <c r="BZ83" i="1"/>
  <c r="BZ84" i="1"/>
  <c r="BZ85" i="1"/>
  <c r="BZ86" i="1"/>
  <c r="BZ87" i="1"/>
  <c r="BZ88" i="1"/>
  <c r="BZ89" i="1"/>
  <c r="BZ90" i="1"/>
  <c r="BZ91" i="1"/>
  <c r="BZ92" i="1"/>
  <c r="BZ93" i="1"/>
  <c r="BZ94" i="1"/>
  <c r="BZ95" i="1"/>
  <c r="BZ96" i="1"/>
  <c r="BZ97" i="1"/>
  <c r="BZ98" i="1"/>
  <c r="BZ99" i="1"/>
  <c r="BZ100" i="1"/>
  <c r="BZ101" i="1"/>
  <c r="BZ102" i="1"/>
  <c r="BZ103" i="1"/>
  <c r="BZ104" i="1"/>
  <c r="BZ105" i="1"/>
  <c r="BZ106" i="1"/>
  <c r="BZ107" i="1"/>
  <c r="BZ108" i="1"/>
  <c r="BZ109" i="1"/>
  <c r="BZ110" i="1"/>
  <c r="BZ111" i="1"/>
  <c r="BZ112" i="1"/>
  <c r="BZ113" i="1"/>
  <c r="BZ114" i="1"/>
  <c r="BZ115" i="1"/>
  <c r="BZ116" i="1"/>
  <c r="BZ117" i="1"/>
  <c r="BZ118" i="1"/>
  <c r="BZ119" i="1"/>
  <c r="BZ120" i="1"/>
  <c r="BZ121" i="1"/>
  <c r="BZ122" i="1"/>
  <c r="BZ123" i="1"/>
  <c r="BZ124" i="1"/>
  <c r="BZ125" i="1"/>
  <c r="BZ126" i="1"/>
  <c r="BZ127" i="1"/>
  <c r="BZ128" i="1"/>
  <c r="BZ129" i="1"/>
  <c r="BZ130" i="1"/>
  <c r="BZ131" i="1"/>
  <c r="BZ132" i="1"/>
  <c r="BZ133" i="1"/>
  <c r="BZ134" i="1"/>
  <c r="BZ135" i="1"/>
  <c r="BZ136" i="1"/>
  <c r="BZ137" i="1"/>
  <c r="BZ138" i="1"/>
  <c r="BZ139" i="1"/>
  <c r="BZ140" i="1"/>
  <c r="BZ141" i="1"/>
  <c r="BZ142" i="1"/>
  <c r="BZ143" i="1"/>
  <c r="BZ144" i="1"/>
  <c r="BZ145" i="1"/>
  <c r="BZ146" i="1"/>
  <c r="BZ147" i="1"/>
  <c r="BZ148" i="1"/>
  <c r="BZ149" i="1"/>
  <c r="BZ150" i="1"/>
  <c r="BZ151" i="1"/>
  <c r="BZ152" i="1"/>
  <c r="BZ153" i="1"/>
  <c r="BZ154" i="1"/>
  <c r="BZ155" i="1"/>
  <c r="BZ156" i="1"/>
  <c r="BZ157" i="1"/>
  <c r="BZ158" i="1"/>
  <c r="BZ159" i="1"/>
  <c r="BZ160" i="1"/>
  <c r="BZ161" i="1"/>
  <c r="BZ162" i="1"/>
  <c r="BZ163" i="1"/>
  <c r="BZ164" i="1"/>
  <c r="BZ165" i="1"/>
  <c r="BZ166" i="1"/>
  <c r="BZ167" i="1"/>
  <c r="BZ168" i="1"/>
  <c r="BZ169" i="1"/>
  <c r="BZ170" i="1"/>
  <c r="BZ171" i="1"/>
  <c r="BZ172" i="1"/>
  <c r="BZ173" i="1"/>
  <c r="BZ174" i="1"/>
  <c r="BZ175" i="1"/>
  <c r="BZ176" i="1"/>
  <c r="BZ177" i="1"/>
  <c r="BZ178" i="1"/>
  <c r="BZ179" i="1"/>
  <c r="BZ180" i="1"/>
  <c r="BZ181" i="1"/>
  <c r="BZ182" i="1"/>
  <c r="BZ183" i="1"/>
  <c r="BZ184" i="1"/>
  <c r="BZ185" i="1"/>
  <c r="BZ186" i="1"/>
  <c r="BZ187" i="1"/>
  <c r="BZ188" i="1"/>
  <c r="BZ189" i="1"/>
  <c r="BZ190" i="1"/>
  <c r="BZ191" i="1"/>
  <c r="BZ192" i="1"/>
  <c r="BZ193" i="1"/>
  <c r="BZ194" i="1"/>
  <c r="BZ195" i="1"/>
  <c r="BZ196" i="1"/>
  <c r="BZ197" i="1"/>
  <c r="BZ198" i="1"/>
  <c r="BZ199" i="1"/>
  <c r="BZ200" i="1"/>
  <c r="BZ201" i="1"/>
  <c r="BZ202" i="1"/>
  <c r="BZ203" i="1"/>
  <c r="BZ204" i="1"/>
  <c r="BZ205" i="1"/>
  <c r="BZ206" i="1"/>
  <c r="BZ207" i="1"/>
  <c r="BZ208" i="1"/>
  <c r="BZ209" i="1"/>
  <c r="BZ210" i="1"/>
  <c r="BZ211" i="1"/>
  <c r="BZ212" i="1"/>
  <c r="BZ213" i="1"/>
  <c r="BZ214" i="1"/>
  <c r="BZ215" i="1"/>
  <c r="BZ216" i="1"/>
  <c r="BZ217" i="1"/>
  <c r="BZ218" i="1"/>
  <c r="BZ219" i="1"/>
  <c r="BZ220" i="1"/>
  <c r="BZ221" i="1"/>
  <c r="BZ222" i="1"/>
  <c r="BZ223" i="1"/>
  <c r="BZ224" i="1"/>
  <c r="BZ225" i="1"/>
  <c r="BZ226" i="1"/>
  <c r="BZ227" i="1"/>
  <c r="BZ228" i="1"/>
  <c r="BZ229" i="1"/>
  <c r="BZ230" i="1"/>
  <c r="BZ231" i="1"/>
  <c r="BZ232" i="1"/>
  <c r="BZ233" i="1"/>
  <c r="BZ234" i="1"/>
  <c r="BZ235" i="1"/>
  <c r="BZ236" i="1"/>
  <c r="BZ237" i="1"/>
  <c r="BZ238" i="1"/>
  <c r="BZ239" i="1"/>
  <c r="BZ240" i="1"/>
  <c r="BZ241" i="1"/>
  <c r="BZ242" i="1"/>
  <c r="BZ243" i="1"/>
  <c r="BZ244" i="1"/>
  <c r="BZ245" i="1"/>
  <c r="BZ246" i="1"/>
  <c r="BZ247" i="1"/>
  <c r="BZ248" i="1"/>
  <c r="BZ249" i="1"/>
  <c r="BZ250" i="1"/>
  <c r="BZ251" i="1"/>
  <c r="BZ252" i="1"/>
  <c r="BZ253" i="1"/>
  <c r="BZ254" i="1"/>
  <c r="BP186" i="1" l="1"/>
  <c r="BO186" i="1"/>
  <c r="BP65" i="1"/>
  <c r="BO65" i="1"/>
  <c r="BP234" i="1"/>
  <c r="BO234" i="1"/>
  <c r="BP162" i="1"/>
  <c r="BO162" i="1"/>
  <c r="BP78" i="1"/>
  <c r="BO78" i="1"/>
  <c r="BP245" i="1"/>
  <c r="BO245" i="1"/>
  <c r="BP197" i="1"/>
  <c r="BO197" i="1"/>
  <c r="BP149" i="1"/>
  <c r="BO149" i="1"/>
  <c r="BO101" i="1"/>
  <c r="BP101" i="1"/>
  <c r="BP29" i="1"/>
  <c r="BO29" i="1"/>
  <c r="BP244" i="1"/>
  <c r="BO244" i="1"/>
  <c r="BP232" i="1"/>
  <c r="BO232" i="1"/>
  <c r="BO220" i="1"/>
  <c r="BP220" i="1"/>
  <c r="BO208" i="1"/>
  <c r="BP208" i="1"/>
  <c r="BO196" i="1"/>
  <c r="BP196" i="1"/>
  <c r="BO184" i="1"/>
  <c r="BP184" i="1"/>
  <c r="BO172" i="1"/>
  <c r="BP172" i="1"/>
  <c r="BO160" i="1"/>
  <c r="BP160" i="1"/>
  <c r="BO148" i="1"/>
  <c r="BP148" i="1"/>
  <c r="BO136" i="1"/>
  <c r="BP136" i="1"/>
  <c r="BO124" i="1"/>
  <c r="BP124" i="1"/>
  <c r="BO112" i="1"/>
  <c r="BP112" i="1"/>
  <c r="BO100" i="1"/>
  <c r="BP100" i="1"/>
  <c r="BO88" i="1"/>
  <c r="BP88" i="1"/>
  <c r="BO76" i="1"/>
  <c r="BP76" i="1"/>
  <c r="BO64" i="1"/>
  <c r="BP64" i="1"/>
  <c r="BO52" i="1"/>
  <c r="BP52" i="1"/>
  <c r="BO40" i="1"/>
  <c r="BP40" i="1"/>
  <c r="BO28" i="1"/>
  <c r="BP28" i="1"/>
  <c r="BO16" i="1"/>
  <c r="BP16" i="1"/>
  <c r="BP222" i="1"/>
  <c r="BO222" i="1"/>
  <c r="BP150" i="1"/>
  <c r="BO150" i="1"/>
  <c r="BP42" i="1"/>
  <c r="BO42" i="1"/>
  <c r="BP209" i="1"/>
  <c r="BO209" i="1"/>
  <c r="BP185" i="1"/>
  <c r="BO185" i="1"/>
  <c r="BP137" i="1"/>
  <c r="BO137" i="1"/>
  <c r="BP77" i="1"/>
  <c r="BO77" i="1"/>
  <c r="BP17" i="1"/>
  <c r="BO17" i="1"/>
  <c r="BO243" i="1"/>
  <c r="BP243" i="1"/>
  <c r="BO219" i="1"/>
  <c r="BP219" i="1"/>
  <c r="BO195" i="1"/>
  <c r="BP195" i="1"/>
  <c r="BO171" i="1"/>
  <c r="BP171" i="1"/>
  <c r="BO147" i="1"/>
  <c r="BP147" i="1"/>
  <c r="BO123" i="1"/>
  <c r="BP123" i="1"/>
  <c r="BO99" i="1"/>
  <c r="BP99" i="1"/>
  <c r="BO75" i="1"/>
  <c r="BP75" i="1"/>
  <c r="BO51" i="1"/>
  <c r="BP51" i="1"/>
  <c r="BO27" i="1"/>
  <c r="BP27" i="1"/>
  <c r="BP198" i="1"/>
  <c r="BO198" i="1"/>
  <c r="BP102" i="1"/>
  <c r="BO102" i="1"/>
  <c r="BP18" i="1"/>
  <c r="BO18" i="1"/>
  <c r="BP221" i="1"/>
  <c r="BO221" i="1"/>
  <c r="BO173" i="1"/>
  <c r="BP173" i="1"/>
  <c r="BP125" i="1"/>
  <c r="BO125" i="1"/>
  <c r="BP89" i="1"/>
  <c r="BO89" i="1"/>
  <c r="BP53" i="1"/>
  <c r="BO53" i="1"/>
  <c r="BO231" i="1"/>
  <c r="BP231" i="1"/>
  <c r="BO207" i="1"/>
  <c r="BP207" i="1"/>
  <c r="BO183" i="1"/>
  <c r="BP183" i="1"/>
  <c r="BO159" i="1"/>
  <c r="BP159" i="1"/>
  <c r="BO135" i="1"/>
  <c r="BP135" i="1"/>
  <c r="BO111" i="1"/>
  <c r="BP111" i="1"/>
  <c r="BO87" i="1"/>
  <c r="BP87" i="1"/>
  <c r="BO63" i="1"/>
  <c r="BP63" i="1"/>
  <c r="BO39" i="1"/>
  <c r="BP39" i="1"/>
  <c r="BO15" i="1"/>
  <c r="BP15" i="1"/>
  <c r="BO254" i="1"/>
  <c r="BP254" i="1"/>
  <c r="BP242" i="1"/>
  <c r="BO242" i="1"/>
  <c r="BP230" i="1"/>
  <c r="BO230" i="1"/>
  <c r="BO218" i="1"/>
  <c r="BP218" i="1"/>
  <c r="BO206" i="1"/>
  <c r="BP206" i="1"/>
  <c r="BO194" i="1"/>
  <c r="BP194" i="1"/>
  <c r="BO182" i="1"/>
  <c r="BP182" i="1"/>
  <c r="BO170" i="1"/>
  <c r="BP170" i="1"/>
  <c r="BO158" i="1"/>
  <c r="BP158" i="1"/>
  <c r="BO146" i="1"/>
  <c r="BP146" i="1"/>
  <c r="BO134" i="1"/>
  <c r="BP134" i="1"/>
  <c r="BO122" i="1"/>
  <c r="BP122" i="1"/>
  <c r="BO110" i="1"/>
  <c r="BP110" i="1"/>
  <c r="BO98" i="1"/>
  <c r="BP98" i="1"/>
  <c r="BO86" i="1"/>
  <c r="BP86" i="1"/>
  <c r="BO74" i="1"/>
  <c r="BP74" i="1"/>
  <c r="BO62" i="1"/>
  <c r="BP62" i="1"/>
  <c r="BO50" i="1"/>
  <c r="BP50" i="1"/>
  <c r="BO38" i="1"/>
  <c r="BP38" i="1"/>
  <c r="BO26" i="1"/>
  <c r="BP26" i="1"/>
  <c r="BO14" i="1"/>
  <c r="BP14" i="1"/>
  <c r="BP174" i="1"/>
  <c r="BO174" i="1"/>
  <c r="BP30" i="1"/>
  <c r="BO30" i="1"/>
  <c r="BP233" i="1"/>
  <c r="BO233" i="1"/>
  <c r="BP161" i="1"/>
  <c r="BO161" i="1"/>
  <c r="BP113" i="1"/>
  <c r="BO113" i="1"/>
  <c r="BP41" i="1"/>
  <c r="BO41" i="1"/>
  <c r="BO253" i="1"/>
  <c r="BP253" i="1"/>
  <c r="BO241" i="1"/>
  <c r="BP241" i="1"/>
  <c r="BO229" i="1"/>
  <c r="BP229" i="1"/>
  <c r="BO217" i="1"/>
  <c r="BP217" i="1"/>
  <c r="BO205" i="1"/>
  <c r="BP205" i="1"/>
  <c r="BO193" i="1"/>
  <c r="BP193" i="1"/>
  <c r="BO181" i="1"/>
  <c r="BP181" i="1"/>
  <c r="BO169" i="1"/>
  <c r="BP169" i="1"/>
  <c r="BO157" i="1"/>
  <c r="BP157" i="1"/>
  <c r="BO145" i="1"/>
  <c r="BP145" i="1"/>
  <c r="BO133" i="1"/>
  <c r="BP133" i="1"/>
  <c r="BO121" i="1"/>
  <c r="BP121" i="1"/>
  <c r="BO109" i="1"/>
  <c r="BP109" i="1"/>
  <c r="BO97" i="1"/>
  <c r="BP97" i="1"/>
  <c r="BO85" i="1"/>
  <c r="BP85" i="1"/>
  <c r="BO73" i="1"/>
  <c r="BP73" i="1"/>
  <c r="BO61" i="1"/>
  <c r="BP61" i="1"/>
  <c r="BO49" i="1"/>
  <c r="BP49" i="1"/>
  <c r="BO37" i="1"/>
  <c r="BP37" i="1"/>
  <c r="BO25" i="1"/>
  <c r="BP25" i="1"/>
  <c r="BO13" i="1"/>
  <c r="BP13" i="1"/>
  <c r="BP90" i="1"/>
  <c r="BO90" i="1"/>
  <c r="BO252" i="1"/>
  <c r="BP252" i="1"/>
  <c r="BO180" i="1"/>
  <c r="BP180" i="1"/>
  <c r="BO108" i="1"/>
  <c r="BP108" i="1"/>
  <c r="BO60" i="1"/>
  <c r="BP60" i="1"/>
  <c r="BP210" i="1"/>
  <c r="BO210" i="1"/>
  <c r="BP54" i="1"/>
  <c r="BO54" i="1"/>
  <c r="BO204" i="1"/>
  <c r="BP204" i="1"/>
  <c r="BO120" i="1"/>
  <c r="BP120" i="1"/>
  <c r="BO48" i="1"/>
  <c r="BP48" i="1"/>
  <c r="BO251" i="1"/>
  <c r="BP251" i="1"/>
  <c r="BO239" i="1"/>
  <c r="BP239" i="1"/>
  <c r="BO227" i="1"/>
  <c r="BP227" i="1"/>
  <c r="BO215" i="1"/>
  <c r="BP215" i="1"/>
  <c r="BO203" i="1"/>
  <c r="BP203" i="1"/>
  <c r="BO191" i="1"/>
  <c r="BP191" i="1"/>
  <c r="BO179" i="1"/>
  <c r="BP179" i="1"/>
  <c r="BO167" i="1"/>
  <c r="BP167" i="1"/>
  <c r="BO155" i="1"/>
  <c r="BP155" i="1"/>
  <c r="BO143" i="1"/>
  <c r="BP143" i="1"/>
  <c r="BO131" i="1"/>
  <c r="BP131" i="1"/>
  <c r="BO119" i="1"/>
  <c r="BP119" i="1"/>
  <c r="BO107" i="1"/>
  <c r="BP107" i="1"/>
  <c r="BO95" i="1"/>
  <c r="BP95" i="1"/>
  <c r="BO83" i="1"/>
  <c r="BP83" i="1"/>
  <c r="BO71" i="1"/>
  <c r="BP71" i="1"/>
  <c r="BO59" i="1"/>
  <c r="BP59" i="1"/>
  <c r="BO47" i="1"/>
  <c r="BP47" i="1"/>
  <c r="BO35" i="1"/>
  <c r="BP35" i="1"/>
  <c r="BO23" i="1"/>
  <c r="BP23" i="1"/>
  <c r="BP66" i="1"/>
  <c r="BO66" i="1"/>
  <c r="BO228" i="1"/>
  <c r="BP228" i="1"/>
  <c r="BO156" i="1"/>
  <c r="BP156" i="1"/>
  <c r="BO96" i="1"/>
  <c r="BP96" i="1"/>
  <c r="BO24" i="1"/>
  <c r="BP24" i="1"/>
  <c r="BO238" i="1"/>
  <c r="BP238" i="1"/>
  <c r="BO226" i="1"/>
  <c r="BP226" i="1"/>
  <c r="BO214" i="1"/>
  <c r="BP214" i="1"/>
  <c r="BO190" i="1"/>
  <c r="BP190" i="1"/>
  <c r="BO154" i="1"/>
  <c r="BP154" i="1"/>
  <c r="BO142" i="1"/>
  <c r="BP142" i="1"/>
  <c r="BO130" i="1"/>
  <c r="BP130" i="1"/>
  <c r="BO118" i="1"/>
  <c r="BP118" i="1"/>
  <c r="BO106" i="1"/>
  <c r="BP106" i="1"/>
  <c r="BO94" i="1"/>
  <c r="BP94" i="1"/>
  <c r="BO82" i="1"/>
  <c r="BP82" i="1"/>
  <c r="BO70" i="1"/>
  <c r="BP70" i="1"/>
  <c r="BO58" i="1"/>
  <c r="BP58" i="1"/>
  <c r="BO46" i="1"/>
  <c r="BP46" i="1"/>
  <c r="BO34" i="1"/>
  <c r="BP34" i="1"/>
  <c r="BO22" i="1"/>
  <c r="BP22" i="1"/>
  <c r="BP126" i="1"/>
  <c r="BO126" i="1"/>
  <c r="BO240" i="1"/>
  <c r="BP240" i="1"/>
  <c r="BO192" i="1"/>
  <c r="BP192" i="1"/>
  <c r="BO132" i="1"/>
  <c r="BP132" i="1"/>
  <c r="BO84" i="1"/>
  <c r="BP84" i="1"/>
  <c r="BO12" i="1"/>
  <c r="BP12" i="1"/>
  <c r="BO178" i="1"/>
  <c r="BP178" i="1"/>
  <c r="BO249" i="1"/>
  <c r="BP249" i="1"/>
  <c r="BO237" i="1"/>
  <c r="BP237" i="1"/>
  <c r="BO225" i="1"/>
  <c r="BP225" i="1"/>
  <c r="BP213" i="1"/>
  <c r="BO213" i="1"/>
  <c r="BO201" i="1"/>
  <c r="BP201" i="1"/>
  <c r="BO189" i="1"/>
  <c r="BP189" i="1"/>
  <c r="BO177" i="1"/>
  <c r="BP177" i="1"/>
  <c r="BP165" i="1"/>
  <c r="BO165" i="1"/>
  <c r="BO153" i="1"/>
  <c r="BP153" i="1"/>
  <c r="BO141" i="1"/>
  <c r="BP141" i="1"/>
  <c r="BO129" i="1"/>
  <c r="BP129" i="1"/>
  <c r="BO117" i="1"/>
  <c r="BP117" i="1"/>
  <c r="BO105" i="1"/>
  <c r="BP105" i="1"/>
  <c r="BO93" i="1"/>
  <c r="BP93" i="1"/>
  <c r="BO81" i="1"/>
  <c r="BP81" i="1"/>
  <c r="BO69" i="1"/>
  <c r="BP69" i="1"/>
  <c r="BO57" i="1"/>
  <c r="BP57" i="1"/>
  <c r="BP45" i="1"/>
  <c r="BO45" i="1"/>
  <c r="BO33" i="1"/>
  <c r="BP33" i="1"/>
  <c r="BO21" i="1"/>
  <c r="BP21" i="1"/>
  <c r="BP246" i="1"/>
  <c r="BO246" i="1"/>
  <c r="BP114" i="1"/>
  <c r="BO114" i="1"/>
  <c r="BO168" i="1"/>
  <c r="BP168" i="1"/>
  <c r="BO36" i="1"/>
  <c r="BP36" i="1"/>
  <c r="BO250" i="1"/>
  <c r="BP250" i="1"/>
  <c r="BO166" i="1"/>
  <c r="BP166" i="1"/>
  <c r="BO248" i="1"/>
  <c r="BP248" i="1"/>
  <c r="BO236" i="1"/>
  <c r="BP236" i="1"/>
  <c r="BO224" i="1"/>
  <c r="BP224" i="1"/>
  <c r="BO212" i="1"/>
  <c r="BP212" i="1"/>
  <c r="BO200" i="1"/>
  <c r="BP200" i="1"/>
  <c r="BO188" i="1"/>
  <c r="BP188" i="1"/>
  <c r="BO176" i="1"/>
  <c r="BP176" i="1"/>
  <c r="BO164" i="1"/>
  <c r="BP164" i="1"/>
  <c r="BO152" i="1"/>
  <c r="BP152" i="1"/>
  <c r="BO140" i="1"/>
  <c r="BP140" i="1"/>
  <c r="BO128" i="1"/>
  <c r="BP128" i="1"/>
  <c r="BO116" i="1"/>
  <c r="BP116" i="1"/>
  <c r="BO104" i="1"/>
  <c r="BP104" i="1"/>
  <c r="BO92" i="1"/>
  <c r="BP92" i="1"/>
  <c r="BO80" i="1"/>
  <c r="BP80" i="1"/>
  <c r="BO68" i="1"/>
  <c r="BP68" i="1"/>
  <c r="BO56" i="1"/>
  <c r="BP56" i="1"/>
  <c r="BO44" i="1"/>
  <c r="BP44" i="1"/>
  <c r="BO32" i="1"/>
  <c r="BP32" i="1"/>
  <c r="BO20" i="1"/>
  <c r="BP20" i="1"/>
  <c r="BP138" i="1"/>
  <c r="BO138" i="1"/>
  <c r="BO216" i="1"/>
  <c r="BP216" i="1"/>
  <c r="BO144" i="1"/>
  <c r="BP144" i="1"/>
  <c r="BO72" i="1"/>
  <c r="BP72" i="1"/>
  <c r="BO202" i="1"/>
  <c r="BP202" i="1"/>
  <c r="BP247" i="1"/>
  <c r="BO247" i="1"/>
  <c r="BP235" i="1"/>
  <c r="BO235" i="1"/>
  <c r="BO223" i="1"/>
  <c r="BP223" i="1"/>
  <c r="BP211" i="1"/>
  <c r="BO211" i="1"/>
  <c r="BP199" i="1"/>
  <c r="BO199" i="1"/>
  <c r="BP187" i="1"/>
  <c r="BO187" i="1"/>
  <c r="BP175" i="1"/>
  <c r="BO175" i="1"/>
  <c r="BP163" i="1"/>
  <c r="BO163" i="1"/>
  <c r="BP151" i="1"/>
  <c r="BO151" i="1"/>
  <c r="BP139" i="1"/>
  <c r="BO139" i="1"/>
  <c r="BP127" i="1"/>
  <c r="BO127" i="1"/>
  <c r="BP115" i="1"/>
  <c r="BO115" i="1"/>
  <c r="BO103" i="1"/>
  <c r="BP103" i="1"/>
  <c r="BP91" i="1"/>
  <c r="BO91" i="1"/>
  <c r="BP79" i="1"/>
  <c r="BO79" i="1"/>
  <c r="BP67" i="1"/>
  <c r="BO67" i="1"/>
  <c r="BP55" i="1"/>
  <c r="BO55" i="1"/>
  <c r="BP43" i="1"/>
  <c r="BO43" i="1"/>
  <c r="BP31" i="1"/>
  <c r="BO31" i="1"/>
  <c r="BP19" i="1"/>
  <c r="BO19" i="1"/>
  <c r="BN242" i="1"/>
  <c r="BQ242" i="1"/>
  <c r="BQ238" i="1"/>
  <c r="BN238" i="1"/>
  <c r="BN234" i="1"/>
  <c r="BQ234" i="1"/>
  <c r="BN222" i="1"/>
  <c r="BQ222" i="1"/>
  <c r="BN218" i="1"/>
  <c r="BQ218" i="1"/>
  <c r="BN214" i="1"/>
  <c r="BQ214" i="1"/>
  <c r="BN210" i="1"/>
  <c r="BQ210" i="1"/>
  <c r="BN206" i="1"/>
  <c r="BQ206" i="1"/>
  <c r="BQ202" i="1"/>
  <c r="BN202" i="1"/>
  <c r="BN198" i="1"/>
  <c r="BQ198" i="1"/>
  <c r="BQ194" i="1"/>
  <c r="BN194" i="1"/>
  <c r="BN190" i="1"/>
  <c r="BQ190" i="1"/>
  <c r="BN186" i="1"/>
  <c r="BQ186" i="1"/>
  <c r="BN182" i="1"/>
  <c r="BQ182" i="1"/>
  <c r="BN178" i="1"/>
  <c r="BQ178" i="1"/>
  <c r="BN174" i="1"/>
  <c r="BQ174" i="1"/>
  <c r="BQ170" i="1"/>
  <c r="BN170" i="1"/>
  <c r="BQ166" i="1"/>
  <c r="BN166" i="1"/>
  <c r="BN162" i="1"/>
  <c r="BQ162" i="1"/>
  <c r="BN158" i="1"/>
  <c r="BQ158" i="1"/>
  <c r="BQ154" i="1"/>
  <c r="BN154" i="1"/>
  <c r="BQ150" i="1"/>
  <c r="BN150" i="1"/>
  <c r="BN146" i="1"/>
  <c r="BQ146" i="1"/>
  <c r="BN142" i="1"/>
  <c r="BQ142" i="1"/>
  <c r="BQ138" i="1"/>
  <c r="BN138" i="1"/>
  <c r="BQ134" i="1"/>
  <c r="BN134" i="1"/>
  <c r="BN130" i="1"/>
  <c r="BQ130" i="1"/>
  <c r="BN126" i="1"/>
  <c r="BQ126" i="1"/>
  <c r="BQ122" i="1"/>
  <c r="BN122" i="1"/>
  <c r="BQ118" i="1"/>
  <c r="BN118" i="1"/>
  <c r="BN114" i="1"/>
  <c r="BQ114" i="1"/>
  <c r="BN110" i="1"/>
  <c r="BQ110" i="1"/>
  <c r="BQ106" i="1"/>
  <c r="BN106" i="1"/>
  <c r="BN102" i="1"/>
  <c r="BQ102" i="1"/>
  <c r="BN98" i="1"/>
  <c r="BQ98" i="1"/>
  <c r="BQ94" i="1"/>
  <c r="BN94" i="1"/>
  <c r="BQ90" i="1"/>
  <c r="BN90" i="1"/>
  <c r="BN86" i="1"/>
  <c r="BQ86" i="1"/>
  <c r="BN82" i="1"/>
  <c r="BQ82" i="1"/>
  <c r="BQ78" i="1"/>
  <c r="BN78" i="1"/>
  <c r="BQ74" i="1"/>
  <c r="BN74" i="1"/>
  <c r="BN70" i="1"/>
  <c r="BQ70" i="1"/>
  <c r="BQ66" i="1"/>
  <c r="BN66" i="1"/>
  <c r="BN62" i="1"/>
  <c r="BQ62" i="1"/>
  <c r="BN58" i="1"/>
  <c r="BQ58" i="1"/>
  <c r="BQ54" i="1"/>
  <c r="BN54" i="1"/>
  <c r="BQ50" i="1"/>
  <c r="BN50" i="1"/>
  <c r="BN46" i="1"/>
  <c r="BQ46" i="1"/>
  <c r="BN42" i="1"/>
  <c r="BQ42" i="1"/>
  <c r="BQ38" i="1"/>
  <c r="BN38" i="1"/>
  <c r="BQ34" i="1"/>
  <c r="BN34" i="1"/>
  <c r="BN30" i="1"/>
  <c r="BQ30" i="1"/>
  <c r="BN26" i="1"/>
  <c r="BQ26" i="1"/>
  <c r="BN250" i="1"/>
  <c r="BQ250" i="1"/>
  <c r="BN226" i="1"/>
  <c r="BQ226" i="1"/>
  <c r="BN253" i="1"/>
  <c r="BQ253" i="1"/>
  <c r="BQ249" i="1"/>
  <c r="BN249" i="1"/>
  <c r="BN245" i="1"/>
  <c r="BQ245" i="1"/>
  <c r="BQ241" i="1"/>
  <c r="BN241" i="1"/>
  <c r="BN237" i="1"/>
  <c r="BQ237" i="1"/>
  <c r="BQ233" i="1"/>
  <c r="BN233" i="1"/>
  <c r="BN229" i="1"/>
  <c r="BQ229" i="1"/>
  <c r="BQ225" i="1"/>
  <c r="BN225" i="1"/>
  <c r="BQ221" i="1"/>
  <c r="BN221" i="1"/>
  <c r="BQ217" i="1"/>
  <c r="BN217" i="1"/>
  <c r="BQ213" i="1"/>
  <c r="BN213" i="1"/>
  <c r="BQ209" i="1"/>
  <c r="BN209" i="1"/>
  <c r="BN205" i="1"/>
  <c r="BQ205" i="1"/>
  <c r="BQ201" i="1"/>
  <c r="BN201" i="1"/>
  <c r="BN197" i="1"/>
  <c r="BQ197" i="1"/>
  <c r="BQ193" i="1"/>
  <c r="BN193" i="1"/>
  <c r="BQ189" i="1"/>
  <c r="BN189" i="1"/>
  <c r="BQ185" i="1"/>
  <c r="BN185" i="1"/>
  <c r="BQ181" i="1"/>
  <c r="BN181" i="1"/>
  <c r="BQ177" i="1"/>
  <c r="BN177" i="1"/>
  <c r="BN173" i="1"/>
  <c r="BQ173" i="1"/>
  <c r="BQ169" i="1"/>
  <c r="BN169" i="1"/>
  <c r="BN165" i="1"/>
  <c r="BQ165" i="1"/>
  <c r="BQ161" i="1"/>
  <c r="BN161" i="1"/>
  <c r="BN157" i="1"/>
  <c r="BQ157" i="1"/>
  <c r="BQ153" i="1"/>
  <c r="BN153" i="1"/>
  <c r="BQ149" i="1"/>
  <c r="BN149" i="1"/>
  <c r="BN145" i="1"/>
  <c r="BQ145" i="1"/>
  <c r="BN141" i="1"/>
  <c r="BQ141" i="1"/>
  <c r="BQ137" i="1"/>
  <c r="BN137" i="1"/>
  <c r="BN133" i="1"/>
  <c r="BQ133" i="1"/>
  <c r="BN129" i="1"/>
  <c r="BQ129" i="1"/>
  <c r="BN125" i="1"/>
  <c r="BQ125" i="1"/>
  <c r="BQ121" i="1"/>
  <c r="BN121" i="1"/>
  <c r="BQ117" i="1"/>
  <c r="BN117" i="1"/>
  <c r="BN113" i="1"/>
  <c r="BQ113" i="1"/>
  <c r="BN109" i="1"/>
  <c r="BQ109" i="1"/>
  <c r="BQ105" i="1"/>
  <c r="BN105" i="1"/>
  <c r="BQ101" i="1"/>
  <c r="BN101" i="1"/>
  <c r="BN97" i="1"/>
  <c r="BQ97" i="1"/>
  <c r="BQ93" i="1"/>
  <c r="BN93" i="1"/>
  <c r="BQ89" i="1"/>
  <c r="BN89" i="1"/>
  <c r="BN85" i="1"/>
  <c r="BQ85" i="1"/>
  <c r="BN81" i="1"/>
  <c r="BQ81" i="1"/>
  <c r="BQ77" i="1"/>
  <c r="BN77" i="1"/>
  <c r="BQ73" i="1"/>
  <c r="BN73" i="1"/>
  <c r="BN69" i="1"/>
  <c r="BQ69" i="1"/>
  <c r="BQ65" i="1"/>
  <c r="BN65" i="1"/>
  <c r="BQ61" i="1"/>
  <c r="BN61" i="1"/>
  <c r="BN57" i="1"/>
  <c r="BQ57" i="1"/>
  <c r="BQ53" i="1"/>
  <c r="BN53" i="1"/>
  <c r="BQ49" i="1"/>
  <c r="BN49" i="1"/>
  <c r="BN45" i="1"/>
  <c r="BQ45" i="1"/>
  <c r="BN41" i="1"/>
  <c r="BQ41" i="1"/>
  <c r="BQ37" i="1"/>
  <c r="BN37" i="1"/>
  <c r="BQ33" i="1"/>
  <c r="BN33" i="1"/>
  <c r="BN29" i="1"/>
  <c r="BQ29" i="1"/>
  <c r="BN25" i="1"/>
  <c r="BQ25" i="1"/>
  <c r="BQ246" i="1"/>
  <c r="BN246" i="1"/>
  <c r="BQ230" i="1"/>
  <c r="BN230" i="1"/>
  <c r="BN252" i="1"/>
  <c r="BQ252" i="1"/>
  <c r="BQ248" i="1"/>
  <c r="BN248" i="1"/>
  <c r="BN244" i="1"/>
  <c r="BQ244" i="1"/>
  <c r="BQ240" i="1"/>
  <c r="BN240" i="1"/>
  <c r="BN236" i="1"/>
  <c r="BQ236" i="1"/>
  <c r="BQ232" i="1"/>
  <c r="BN232" i="1"/>
  <c r="BN228" i="1"/>
  <c r="BQ228" i="1"/>
  <c r="BQ224" i="1"/>
  <c r="BN224" i="1"/>
  <c r="BQ220" i="1"/>
  <c r="BN220" i="1"/>
  <c r="BQ216" i="1"/>
  <c r="BN216" i="1"/>
  <c r="BN212" i="1"/>
  <c r="BQ212" i="1"/>
  <c r="BQ208" i="1"/>
  <c r="BN208" i="1"/>
  <c r="BN204" i="1"/>
  <c r="BQ204" i="1"/>
  <c r="BQ200" i="1"/>
  <c r="BN200" i="1"/>
  <c r="BQ196" i="1"/>
  <c r="BN196" i="1"/>
  <c r="BQ192" i="1"/>
  <c r="BN192" i="1"/>
  <c r="BQ188" i="1"/>
  <c r="BN188" i="1"/>
  <c r="BQ184" i="1"/>
  <c r="BN184" i="1"/>
  <c r="BN180" i="1"/>
  <c r="BQ180" i="1"/>
  <c r="BQ176" i="1"/>
  <c r="BN176" i="1"/>
  <c r="BN172" i="1"/>
  <c r="BQ172" i="1"/>
  <c r="BQ168" i="1"/>
  <c r="BN168" i="1"/>
  <c r="BN164" i="1"/>
  <c r="BQ164" i="1"/>
  <c r="BQ160" i="1"/>
  <c r="BN160" i="1"/>
  <c r="BQ156" i="1"/>
  <c r="BN156" i="1"/>
  <c r="BN152" i="1"/>
  <c r="BQ152" i="1"/>
  <c r="BN148" i="1"/>
  <c r="BQ148" i="1"/>
  <c r="BQ144" i="1"/>
  <c r="BN144" i="1"/>
  <c r="BQ140" i="1"/>
  <c r="BN140" i="1"/>
  <c r="BQ136" i="1"/>
  <c r="BN136" i="1"/>
  <c r="BN132" i="1"/>
  <c r="BQ132" i="1"/>
  <c r="BQ128" i="1"/>
  <c r="BN128" i="1"/>
  <c r="BQ124" i="1"/>
  <c r="BN124" i="1"/>
  <c r="BN120" i="1"/>
  <c r="BQ120" i="1"/>
  <c r="BN116" i="1"/>
  <c r="BQ116" i="1"/>
  <c r="BQ112" i="1"/>
  <c r="BN112" i="1"/>
  <c r="BN108" i="1"/>
  <c r="BQ108" i="1"/>
  <c r="BQ104" i="1"/>
  <c r="BN104" i="1"/>
  <c r="BQ100" i="1"/>
  <c r="BN100" i="1"/>
  <c r="BQ96" i="1"/>
  <c r="BN96" i="1"/>
  <c r="BN92" i="1"/>
  <c r="BQ92" i="1"/>
  <c r="BN88" i="1"/>
  <c r="BQ88" i="1"/>
  <c r="BQ84" i="1"/>
  <c r="BN84" i="1"/>
  <c r="BQ80" i="1"/>
  <c r="BN80" i="1"/>
  <c r="BN76" i="1"/>
  <c r="BQ76" i="1"/>
  <c r="BQ72" i="1"/>
  <c r="BN72" i="1"/>
  <c r="BN68" i="1"/>
  <c r="BQ68" i="1"/>
  <c r="BQ64" i="1"/>
  <c r="BN64" i="1"/>
  <c r="BQ60" i="1"/>
  <c r="BN60" i="1"/>
  <c r="BQ56" i="1"/>
  <c r="BN56" i="1"/>
  <c r="BN52" i="1"/>
  <c r="BQ52" i="1"/>
  <c r="BN48" i="1"/>
  <c r="BQ48" i="1"/>
  <c r="BQ44" i="1"/>
  <c r="BN44" i="1"/>
  <c r="BQ40" i="1"/>
  <c r="BN40" i="1"/>
  <c r="BN36" i="1"/>
  <c r="BQ36" i="1"/>
  <c r="BN32" i="1"/>
  <c r="BQ32" i="1"/>
  <c r="BQ28" i="1"/>
  <c r="BN28" i="1"/>
  <c r="BN24" i="1"/>
  <c r="BQ24" i="1"/>
  <c r="BQ254" i="1"/>
  <c r="BN254" i="1"/>
  <c r="BN251" i="1"/>
  <c r="BQ251" i="1"/>
  <c r="BQ247" i="1"/>
  <c r="BN247" i="1"/>
  <c r="BN243" i="1"/>
  <c r="BQ243" i="1"/>
  <c r="BQ239" i="1"/>
  <c r="BN239" i="1"/>
  <c r="BN235" i="1"/>
  <c r="BQ235" i="1"/>
  <c r="BQ231" i="1"/>
  <c r="BN231" i="1"/>
  <c r="BN227" i="1"/>
  <c r="BQ227" i="1"/>
  <c r="BQ223" i="1"/>
  <c r="BN223" i="1"/>
  <c r="BN219" i="1"/>
  <c r="BQ219" i="1"/>
  <c r="BQ215" i="1"/>
  <c r="BN215" i="1"/>
  <c r="BN211" i="1"/>
  <c r="BQ211" i="1"/>
  <c r="BQ207" i="1"/>
  <c r="BN207" i="1"/>
  <c r="BQ203" i="1"/>
  <c r="BN203" i="1"/>
  <c r="BQ199" i="1"/>
  <c r="BN199" i="1"/>
  <c r="BQ195" i="1"/>
  <c r="BN195" i="1"/>
  <c r="BQ191" i="1"/>
  <c r="BN191" i="1"/>
  <c r="BQ187" i="1"/>
  <c r="BN187" i="1"/>
  <c r="BN183" i="1"/>
  <c r="BQ183" i="1"/>
  <c r="BN179" i="1"/>
  <c r="BQ179" i="1"/>
  <c r="BQ175" i="1"/>
  <c r="BN175" i="1"/>
  <c r="BN171" i="1"/>
  <c r="BQ171" i="1"/>
  <c r="BQ167" i="1"/>
  <c r="BN167" i="1"/>
  <c r="BN163" i="1"/>
  <c r="BQ163" i="1"/>
  <c r="BQ159" i="1"/>
  <c r="BN159" i="1"/>
  <c r="BN155" i="1"/>
  <c r="BQ155" i="1"/>
  <c r="BQ151" i="1"/>
  <c r="BN151" i="1"/>
  <c r="BN147" i="1"/>
  <c r="BQ147" i="1"/>
  <c r="BQ143" i="1"/>
  <c r="BN143" i="1"/>
  <c r="BN139" i="1"/>
  <c r="BQ139" i="1"/>
  <c r="BQ135" i="1"/>
  <c r="BN135" i="1"/>
  <c r="BN131" i="1"/>
  <c r="BQ131" i="1"/>
  <c r="BQ127" i="1"/>
  <c r="BN127" i="1"/>
  <c r="BN123" i="1"/>
  <c r="BQ123" i="1"/>
  <c r="BQ119" i="1"/>
  <c r="BN119" i="1"/>
  <c r="BN115" i="1"/>
  <c r="BQ115" i="1"/>
  <c r="BQ111" i="1"/>
  <c r="BN111" i="1"/>
  <c r="BQ107" i="1"/>
  <c r="BN107" i="1"/>
  <c r="BN103" i="1"/>
  <c r="BQ103" i="1"/>
  <c r="BQ99" i="1"/>
  <c r="BN99" i="1"/>
  <c r="BQ95" i="1"/>
  <c r="BN95" i="1"/>
  <c r="BN91" i="1"/>
  <c r="BQ91" i="1"/>
  <c r="BN87" i="1"/>
  <c r="BQ87" i="1"/>
  <c r="BQ83" i="1"/>
  <c r="BN83" i="1"/>
  <c r="BQ79" i="1"/>
  <c r="BN79" i="1"/>
  <c r="BN75" i="1"/>
  <c r="BQ75" i="1"/>
  <c r="BQ71" i="1"/>
  <c r="BN71" i="1"/>
  <c r="BN67" i="1"/>
  <c r="BQ67" i="1"/>
  <c r="BQ63" i="1"/>
  <c r="BN63" i="1"/>
  <c r="BQ59" i="1"/>
  <c r="BN59" i="1"/>
  <c r="BQ55" i="1"/>
  <c r="BN55" i="1"/>
  <c r="BN51" i="1"/>
  <c r="BQ51" i="1"/>
  <c r="BN47" i="1"/>
  <c r="BQ47" i="1"/>
  <c r="BQ43" i="1"/>
  <c r="BN43" i="1"/>
  <c r="BQ39" i="1"/>
  <c r="BN39" i="1"/>
  <c r="BN35" i="1"/>
  <c r="BQ35" i="1"/>
  <c r="BN31" i="1"/>
  <c r="BQ31" i="1"/>
  <c r="BQ27" i="1"/>
  <c r="BN27"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BR103" i="1" l="1"/>
  <c r="BS103" i="1" s="1"/>
  <c r="CG103" i="1"/>
  <c r="BR132" i="1"/>
  <c r="BS132" i="1" s="1"/>
  <c r="CG132" i="1"/>
  <c r="BR204" i="1"/>
  <c r="BS204" i="1" s="1"/>
  <c r="CG204" i="1"/>
  <c r="BR85" i="1"/>
  <c r="BS85" i="1" s="1"/>
  <c r="CG85" i="1"/>
  <c r="BR133" i="1"/>
  <c r="BS133" i="1" s="1"/>
  <c r="CG133" i="1"/>
  <c r="BR253" i="1"/>
  <c r="BS253" i="1" s="1"/>
  <c r="CG253" i="1"/>
  <c r="BR62" i="1"/>
  <c r="BS62" i="1" s="1"/>
  <c r="CG62" i="1"/>
  <c r="BR110" i="1"/>
  <c r="BS110" i="1" s="1"/>
  <c r="CG110" i="1"/>
  <c r="BR55" i="1"/>
  <c r="BS55" i="1" s="1"/>
  <c r="CG55" i="1"/>
  <c r="BR127" i="1"/>
  <c r="BS127" i="1" s="1"/>
  <c r="CG127" i="1"/>
  <c r="BR223" i="1"/>
  <c r="BS223" i="1" s="1"/>
  <c r="CG223" i="1"/>
  <c r="BR37" i="1"/>
  <c r="BS37" i="1" s="1"/>
  <c r="CG37" i="1"/>
  <c r="BR181" i="1"/>
  <c r="BS181" i="1" s="1"/>
  <c r="CG181" i="1"/>
  <c r="BR134" i="1"/>
  <c r="BS134" i="1" s="1"/>
  <c r="CG134" i="1"/>
  <c r="BR35" i="1"/>
  <c r="BS35" i="1" s="1"/>
  <c r="CG35" i="1"/>
  <c r="BR155" i="1"/>
  <c r="BS155" i="1" s="1"/>
  <c r="CG155" i="1"/>
  <c r="BR242" i="1"/>
  <c r="BS242" i="1" s="1"/>
  <c r="CG242" i="1"/>
  <c r="BR64" i="1"/>
  <c r="BS64" i="1" s="1"/>
  <c r="CG64" i="1"/>
  <c r="BR112" i="1"/>
  <c r="BS112" i="1" s="1"/>
  <c r="CG112" i="1"/>
  <c r="BR232" i="1"/>
  <c r="BS232" i="1" s="1"/>
  <c r="CG232" i="1"/>
  <c r="BR137" i="1"/>
  <c r="BS137" i="1" s="1"/>
  <c r="CG137" i="1"/>
  <c r="BR185" i="1"/>
  <c r="BS185" i="1" s="1"/>
  <c r="CG185" i="1"/>
  <c r="BR209" i="1"/>
  <c r="BS209" i="1" s="1"/>
  <c r="CG209" i="1"/>
  <c r="BR66" i="1"/>
  <c r="BS66" i="1" s="1"/>
  <c r="CG66" i="1"/>
  <c r="BR138" i="1"/>
  <c r="BS138" i="1" s="1"/>
  <c r="CG138" i="1"/>
  <c r="BR183" i="1"/>
  <c r="BS183" i="1" s="1"/>
  <c r="CG183" i="1"/>
  <c r="BR116" i="1"/>
  <c r="BS116" i="1" s="1"/>
  <c r="CG116" i="1"/>
  <c r="BR164" i="1"/>
  <c r="BS164" i="1" s="1"/>
  <c r="CG164" i="1"/>
  <c r="BR212" i="1"/>
  <c r="BS212" i="1" s="1"/>
  <c r="CG212" i="1"/>
  <c r="BR69" i="1"/>
  <c r="BS69" i="1" s="1"/>
  <c r="CG69" i="1"/>
  <c r="BR141" i="1"/>
  <c r="BS141" i="1" s="1"/>
  <c r="CG141" i="1"/>
  <c r="BR250" i="1"/>
  <c r="BS250" i="1" s="1"/>
  <c r="CG250" i="1"/>
  <c r="BR142" i="1"/>
  <c r="BS142" i="1" s="1"/>
  <c r="CG142" i="1"/>
  <c r="BR254" i="1"/>
  <c r="BS254" i="1" s="1"/>
  <c r="CG254" i="1"/>
  <c r="BR44" i="1"/>
  <c r="BS44" i="1" s="1"/>
  <c r="CG44" i="1"/>
  <c r="BR188" i="1"/>
  <c r="BS188" i="1" s="1"/>
  <c r="CG188" i="1"/>
  <c r="BR117" i="1"/>
  <c r="BS117" i="1" s="1"/>
  <c r="CG117" i="1"/>
  <c r="BR189" i="1"/>
  <c r="BS189" i="1" s="1"/>
  <c r="CG189" i="1"/>
  <c r="BR67" i="1"/>
  <c r="BS67" i="1" s="1"/>
  <c r="CG67" i="1"/>
  <c r="BR139" i="1"/>
  <c r="BS139" i="1" s="1"/>
  <c r="CG139" i="1"/>
  <c r="BR211" i="1"/>
  <c r="BS211" i="1" s="1"/>
  <c r="CG211" i="1"/>
  <c r="BR24" i="1"/>
  <c r="BS24" i="1" s="1"/>
  <c r="CG24" i="1"/>
  <c r="BR120" i="1"/>
  <c r="BS120" i="1" s="1"/>
  <c r="CG120" i="1"/>
  <c r="BR26" i="1"/>
  <c r="BS26" i="1" s="1"/>
  <c r="CG26" i="1"/>
  <c r="BR218" i="1"/>
  <c r="BS218" i="1" s="1"/>
  <c r="CG218" i="1"/>
  <c r="BR144" i="1"/>
  <c r="BS144" i="1" s="1"/>
  <c r="CG144" i="1"/>
  <c r="BR73" i="1"/>
  <c r="BS73" i="1" s="1"/>
  <c r="CG73" i="1"/>
  <c r="BR121" i="1"/>
  <c r="BS121" i="1" s="1"/>
  <c r="CG121" i="1"/>
  <c r="BR193" i="1"/>
  <c r="BS193" i="1" s="1"/>
  <c r="CG193" i="1"/>
  <c r="BR241" i="1"/>
  <c r="BS241" i="1" s="1"/>
  <c r="CG241" i="1"/>
  <c r="BR122" i="1"/>
  <c r="BS122" i="1" s="1"/>
  <c r="CG122" i="1"/>
  <c r="BR170" i="1"/>
  <c r="BS170" i="1" s="1"/>
  <c r="CG170" i="1"/>
  <c r="BR47" i="1"/>
  <c r="BS47" i="1" s="1"/>
  <c r="CG47" i="1"/>
  <c r="BR52" i="1"/>
  <c r="BS52" i="1" s="1"/>
  <c r="CG52" i="1"/>
  <c r="BR76" i="1"/>
  <c r="BS76" i="1" s="1"/>
  <c r="CG76" i="1"/>
  <c r="BR148" i="1"/>
  <c r="BS148" i="1" s="1"/>
  <c r="CG148" i="1"/>
  <c r="BR172" i="1"/>
  <c r="BS172" i="1" s="1"/>
  <c r="CG172" i="1"/>
  <c r="BR244" i="1"/>
  <c r="BS244" i="1" s="1"/>
  <c r="CG244" i="1"/>
  <c r="BR29" i="1"/>
  <c r="BS29" i="1" s="1"/>
  <c r="CG29" i="1"/>
  <c r="BR125" i="1"/>
  <c r="BS125" i="1" s="1"/>
  <c r="CG125" i="1"/>
  <c r="BR173" i="1"/>
  <c r="BS173" i="1" s="1"/>
  <c r="CG173" i="1"/>
  <c r="BR197" i="1"/>
  <c r="BS197" i="1" s="1"/>
  <c r="CG197" i="1"/>
  <c r="BR245" i="1"/>
  <c r="BS245" i="1" s="1"/>
  <c r="CG245" i="1"/>
  <c r="BR30" i="1"/>
  <c r="BS30" i="1" s="1"/>
  <c r="CG30" i="1"/>
  <c r="BR102" i="1"/>
  <c r="BS102" i="1" s="1"/>
  <c r="CG102" i="1"/>
  <c r="BR126" i="1"/>
  <c r="BS126" i="1" s="1"/>
  <c r="CG126" i="1"/>
  <c r="BR174" i="1"/>
  <c r="BS174" i="1" s="1"/>
  <c r="CG174" i="1"/>
  <c r="BR198" i="1"/>
  <c r="BS198" i="1" s="1"/>
  <c r="CG198" i="1"/>
  <c r="BR222" i="1"/>
  <c r="BS222" i="1" s="1"/>
  <c r="CG222" i="1"/>
  <c r="BR252" i="1"/>
  <c r="BS252" i="1" s="1"/>
  <c r="CG252" i="1"/>
  <c r="BR205" i="1"/>
  <c r="BS205" i="1" s="1"/>
  <c r="CG205" i="1"/>
  <c r="BR182" i="1"/>
  <c r="BS182" i="1" s="1"/>
  <c r="CG182" i="1"/>
  <c r="BR79" i="1"/>
  <c r="BS79" i="1" s="1"/>
  <c r="CG79" i="1"/>
  <c r="BR84" i="1"/>
  <c r="BS84" i="1" s="1"/>
  <c r="CG84" i="1"/>
  <c r="BR61" i="1"/>
  <c r="BS61" i="1" s="1"/>
  <c r="CG61" i="1"/>
  <c r="BR38" i="1"/>
  <c r="BS38" i="1" s="1"/>
  <c r="CG38" i="1"/>
  <c r="BR179" i="1"/>
  <c r="BS179" i="1" s="1"/>
  <c r="CG179" i="1"/>
  <c r="BR88" i="1"/>
  <c r="BS88" i="1" s="1"/>
  <c r="CG88" i="1"/>
  <c r="BR186" i="1"/>
  <c r="BS186" i="1" s="1"/>
  <c r="CG186" i="1"/>
  <c r="BR107" i="1"/>
  <c r="BS107" i="1" s="1"/>
  <c r="CG107" i="1"/>
  <c r="BR184" i="1"/>
  <c r="BS184" i="1" s="1"/>
  <c r="CG184" i="1"/>
  <c r="BR65" i="1"/>
  <c r="BS65" i="1" s="1"/>
  <c r="CG65" i="1"/>
  <c r="BR233" i="1"/>
  <c r="BS233" i="1" s="1"/>
  <c r="CG233" i="1"/>
  <c r="BR87" i="1"/>
  <c r="BS87" i="1" s="1"/>
  <c r="CG87" i="1"/>
  <c r="BR92" i="1"/>
  <c r="BS92" i="1" s="1"/>
  <c r="CG92" i="1"/>
  <c r="BR45" i="1"/>
  <c r="BS45" i="1" s="1"/>
  <c r="CG45" i="1"/>
  <c r="BR46" i="1"/>
  <c r="BS46" i="1" s="1"/>
  <c r="CG46" i="1"/>
  <c r="BR190" i="1"/>
  <c r="BS190" i="1" s="1"/>
  <c r="CG190" i="1"/>
  <c r="BR159" i="1"/>
  <c r="BS159" i="1" s="1"/>
  <c r="CG159" i="1"/>
  <c r="BR140" i="1"/>
  <c r="BS140" i="1" s="1"/>
  <c r="CG140" i="1"/>
  <c r="BR97" i="1"/>
  <c r="BS97" i="1" s="1"/>
  <c r="CG97" i="1"/>
  <c r="BR146" i="1"/>
  <c r="BS146" i="1" s="1"/>
  <c r="CG146" i="1"/>
  <c r="BR168" i="1"/>
  <c r="BS168" i="1" s="1"/>
  <c r="CG168" i="1"/>
  <c r="BR71" i="1"/>
  <c r="BS71" i="1" s="1"/>
  <c r="CG71" i="1"/>
  <c r="BR95" i="1"/>
  <c r="BS95" i="1" s="1"/>
  <c r="CG95" i="1"/>
  <c r="BR119" i="1"/>
  <c r="BS119" i="1" s="1"/>
  <c r="CG119" i="1"/>
  <c r="BR143" i="1"/>
  <c r="BS143" i="1" s="1"/>
  <c r="CG143" i="1"/>
  <c r="BR167" i="1"/>
  <c r="BS167" i="1" s="1"/>
  <c r="CG167" i="1"/>
  <c r="BR191" i="1"/>
  <c r="BS191" i="1" s="1"/>
  <c r="CG191" i="1"/>
  <c r="BR215" i="1"/>
  <c r="BS215" i="1" s="1"/>
  <c r="CG215" i="1"/>
  <c r="BR239" i="1"/>
  <c r="BS239" i="1" s="1"/>
  <c r="CG239" i="1"/>
  <c r="BR28" i="1"/>
  <c r="BS28" i="1" s="1"/>
  <c r="CG28" i="1"/>
  <c r="BR100" i="1"/>
  <c r="BS100" i="1" s="1"/>
  <c r="CG100" i="1"/>
  <c r="BR124" i="1"/>
  <c r="BS124" i="1" s="1"/>
  <c r="CG124" i="1"/>
  <c r="BR196" i="1"/>
  <c r="BS196" i="1" s="1"/>
  <c r="CG196" i="1"/>
  <c r="BR220" i="1"/>
  <c r="BS220" i="1" s="1"/>
  <c r="CG220" i="1"/>
  <c r="BR53" i="1"/>
  <c r="BS53" i="1" s="1"/>
  <c r="CG53" i="1"/>
  <c r="BR77" i="1"/>
  <c r="BS77" i="1" s="1"/>
  <c r="CG77" i="1"/>
  <c r="BR101" i="1"/>
  <c r="BS101" i="1" s="1"/>
  <c r="CG101" i="1"/>
  <c r="BR149" i="1"/>
  <c r="BS149" i="1" s="1"/>
  <c r="CG149" i="1"/>
  <c r="BR221" i="1"/>
  <c r="BS221" i="1" s="1"/>
  <c r="CG221" i="1"/>
  <c r="BR54" i="1"/>
  <c r="BS54" i="1" s="1"/>
  <c r="CG54" i="1"/>
  <c r="BR78" i="1"/>
  <c r="BS78" i="1" s="1"/>
  <c r="CG78" i="1"/>
  <c r="BR150" i="1"/>
  <c r="BS150" i="1" s="1"/>
  <c r="CG150" i="1"/>
  <c r="BR31" i="1"/>
  <c r="BS31" i="1" s="1"/>
  <c r="CG31" i="1"/>
  <c r="BR228" i="1"/>
  <c r="BS228" i="1" s="1"/>
  <c r="CG228" i="1"/>
  <c r="BR158" i="1"/>
  <c r="BS158" i="1" s="1"/>
  <c r="CG158" i="1"/>
  <c r="BR151" i="1"/>
  <c r="BS151" i="1" s="1"/>
  <c r="CG151" i="1"/>
  <c r="BR251" i="1"/>
  <c r="BS251" i="1" s="1"/>
  <c r="CG251" i="1"/>
  <c r="BR226" i="1"/>
  <c r="BS226" i="1" s="1"/>
  <c r="CG226" i="1"/>
  <c r="BR114" i="1"/>
  <c r="BS114" i="1" s="1"/>
  <c r="CG114" i="1"/>
  <c r="BR162" i="1"/>
  <c r="BS162" i="1" s="1"/>
  <c r="CG162" i="1"/>
  <c r="BR203" i="1"/>
  <c r="BS203" i="1" s="1"/>
  <c r="CG203" i="1"/>
  <c r="BR136" i="1"/>
  <c r="BS136" i="1" s="1"/>
  <c r="CG136" i="1"/>
  <c r="BR230" i="1"/>
  <c r="BS230" i="1" s="1"/>
  <c r="CG230" i="1"/>
  <c r="BR236" i="1"/>
  <c r="BS236" i="1" s="1"/>
  <c r="CG236" i="1"/>
  <c r="BR165" i="1"/>
  <c r="BS165" i="1" s="1"/>
  <c r="CG165" i="1"/>
  <c r="BR63" i="1"/>
  <c r="BS63" i="1" s="1"/>
  <c r="CG63" i="1"/>
  <c r="BR135" i="1"/>
  <c r="BS135" i="1" s="1"/>
  <c r="CG135" i="1"/>
  <c r="BR231" i="1"/>
  <c r="BS231" i="1" s="1"/>
  <c r="CG231" i="1"/>
  <c r="BR94" i="1"/>
  <c r="BS94" i="1" s="1"/>
  <c r="CG94" i="1"/>
  <c r="BR48" i="1"/>
  <c r="BS48" i="1" s="1"/>
  <c r="CG48" i="1"/>
  <c r="BR25" i="1"/>
  <c r="BS25" i="1" s="1"/>
  <c r="CG25" i="1"/>
  <c r="BR98" i="1"/>
  <c r="BS98" i="1" s="1"/>
  <c r="CG98" i="1"/>
  <c r="BR187" i="1"/>
  <c r="BS187" i="1" s="1"/>
  <c r="CG187" i="1"/>
  <c r="BR96" i="1"/>
  <c r="BS96" i="1" s="1"/>
  <c r="CG96" i="1"/>
  <c r="BR216" i="1"/>
  <c r="BS216" i="1" s="1"/>
  <c r="CG216" i="1"/>
  <c r="BR169" i="1"/>
  <c r="BS169" i="1" s="1"/>
  <c r="CG169" i="1"/>
  <c r="BR74" i="1"/>
  <c r="BS74" i="1" s="1"/>
  <c r="CG74" i="1"/>
  <c r="BR51" i="1"/>
  <c r="BS51" i="1" s="1"/>
  <c r="CG51" i="1"/>
  <c r="BR75" i="1"/>
  <c r="BS75" i="1" s="1"/>
  <c r="CG75" i="1"/>
  <c r="BR123" i="1"/>
  <c r="BS123" i="1" s="1"/>
  <c r="CG123" i="1"/>
  <c r="BR147" i="1"/>
  <c r="BS147" i="1" s="1"/>
  <c r="CG147" i="1"/>
  <c r="BR171" i="1"/>
  <c r="BS171" i="1" s="1"/>
  <c r="CG171" i="1"/>
  <c r="BR219" i="1"/>
  <c r="BS219" i="1" s="1"/>
  <c r="CG219" i="1"/>
  <c r="BR243" i="1"/>
  <c r="BS243" i="1" s="1"/>
  <c r="CG243" i="1"/>
  <c r="BR32" i="1"/>
  <c r="BS32" i="1" s="1"/>
  <c r="CG32" i="1"/>
  <c r="BR152" i="1"/>
  <c r="BS152" i="1" s="1"/>
  <c r="CG152" i="1"/>
  <c r="BR57" i="1"/>
  <c r="BS57" i="1" s="1"/>
  <c r="CG57" i="1"/>
  <c r="BR81" i="1"/>
  <c r="BS81" i="1" s="1"/>
  <c r="CG81" i="1"/>
  <c r="BR129" i="1"/>
  <c r="BS129" i="1" s="1"/>
  <c r="CG129" i="1"/>
  <c r="BR58" i="1"/>
  <c r="BS58" i="1" s="1"/>
  <c r="CG58" i="1"/>
  <c r="BR82" i="1"/>
  <c r="BS82" i="1" s="1"/>
  <c r="CG82" i="1"/>
  <c r="BR130" i="1"/>
  <c r="BS130" i="1" s="1"/>
  <c r="CG130" i="1"/>
  <c r="BR178" i="1"/>
  <c r="BS178" i="1" s="1"/>
  <c r="CG178" i="1"/>
  <c r="BR234" i="1"/>
  <c r="BS234" i="1" s="1"/>
  <c r="CG234" i="1"/>
  <c r="BR36" i="1"/>
  <c r="BS36" i="1" s="1"/>
  <c r="CG36" i="1"/>
  <c r="BR108" i="1"/>
  <c r="BS108" i="1" s="1"/>
  <c r="CG108" i="1"/>
  <c r="BR180" i="1"/>
  <c r="BS180" i="1" s="1"/>
  <c r="CG180" i="1"/>
  <c r="BR109" i="1"/>
  <c r="BS109" i="1" s="1"/>
  <c r="CG109" i="1"/>
  <c r="BR157" i="1"/>
  <c r="BS157" i="1" s="1"/>
  <c r="CG157" i="1"/>
  <c r="BR229" i="1"/>
  <c r="BS229" i="1" s="1"/>
  <c r="CG229" i="1"/>
  <c r="BR86" i="1"/>
  <c r="BS86" i="1" s="1"/>
  <c r="CG86" i="1"/>
  <c r="BR206" i="1"/>
  <c r="BS206" i="1" s="1"/>
  <c r="CG206" i="1"/>
  <c r="BR175" i="1"/>
  <c r="BS175" i="1" s="1"/>
  <c r="CG175" i="1"/>
  <c r="BR199" i="1"/>
  <c r="BS199" i="1" s="1"/>
  <c r="CG199" i="1"/>
  <c r="BR247" i="1"/>
  <c r="BS247" i="1" s="1"/>
  <c r="CG247" i="1"/>
  <c r="BR60" i="1"/>
  <c r="BS60" i="1" s="1"/>
  <c r="CG60" i="1"/>
  <c r="BR156" i="1"/>
  <c r="BS156" i="1" s="1"/>
  <c r="CG156" i="1"/>
  <c r="BR238" i="1"/>
  <c r="BS238" i="1" s="1"/>
  <c r="CG238" i="1"/>
  <c r="BR131" i="1"/>
  <c r="BS131" i="1" s="1"/>
  <c r="CG131" i="1"/>
  <c r="BR227" i="1"/>
  <c r="BS227" i="1" s="1"/>
  <c r="CG227" i="1"/>
  <c r="BR41" i="1"/>
  <c r="BS41" i="1" s="1"/>
  <c r="CG41" i="1"/>
  <c r="BR113" i="1"/>
  <c r="BS113" i="1" s="1"/>
  <c r="CG113" i="1"/>
  <c r="BR42" i="1"/>
  <c r="BS42" i="1" s="1"/>
  <c r="CG42" i="1"/>
  <c r="BR210" i="1"/>
  <c r="BS210" i="1" s="1"/>
  <c r="CG210" i="1"/>
  <c r="BR59" i="1"/>
  <c r="BS59" i="1" s="1"/>
  <c r="CG59" i="1"/>
  <c r="BR83" i="1"/>
  <c r="BS83" i="1" s="1"/>
  <c r="CG83" i="1"/>
  <c r="BR40" i="1"/>
  <c r="BS40" i="1" s="1"/>
  <c r="CG40" i="1"/>
  <c r="BR160" i="1"/>
  <c r="BS160" i="1" s="1"/>
  <c r="CG160" i="1"/>
  <c r="BR208" i="1"/>
  <c r="BS208" i="1" s="1"/>
  <c r="CG208" i="1"/>
  <c r="BR89" i="1"/>
  <c r="BS89" i="1" s="1"/>
  <c r="CG89" i="1"/>
  <c r="BR161" i="1"/>
  <c r="BS161" i="1" s="1"/>
  <c r="CG161" i="1"/>
  <c r="BR90" i="1"/>
  <c r="BS90" i="1" s="1"/>
  <c r="CG90" i="1"/>
  <c r="BR68" i="1"/>
  <c r="BS68" i="1" s="1"/>
  <c r="CG68" i="1"/>
  <c r="BR237" i="1"/>
  <c r="BS237" i="1" s="1"/>
  <c r="CG237" i="1"/>
  <c r="BR70" i="1"/>
  <c r="BS70" i="1" s="1"/>
  <c r="CG70" i="1"/>
  <c r="BR214" i="1"/>
  <c r="BS214" i="1" s="1"/>
  <c r="CG214" i="1"/>
  <c r="BR39" i="1"/>
  <c r="BS39" i="1" s="1"/>
  <c r="CG39" i="1"/>
  <c r="BR111" i="1"/>
  <c r="BS111" i="1" s="1"/>
  <c r="CG111" i="1"/>
  <c r="BR207" i="1"/>
  <c r="BS207" i="1" s="1"/>
  <c r="CG207" i="1"/>
  <c r="BR246" i="1"/>
  <c r="BS246" i="1" s="1"/>
  <c r="CG246" i="1"/>
  <c r="BR93" i="1"/>
  <c r="BS93" i="1" s="1"/>
  <c r="CG93" i="1"/>
  <c r="BR213" i="1"/>
  <c r="BS213" i="1" s="1"/>
  <c r="CG213" i="1"/>
  <c r="BR118" i="1"/>
  <c r="BS118" i="1" s="1"/>
  <c r="CG118" i="1"/>
  <c r="BR166" i="1"/>
  <c r="BS166" i="1" s="1"/>
  <c r="CG166" i="1"/>
  <c r="BR91" i="1"/>
  <c r="BS91" i="1" s="1"/>
  <c r="CG91" i="1"/>
  <c r="BR115" i="1"/>
  <c r="BS115" i="1" s="1"/>
  <c r="CG115" i="1"/>
  <c r="BR163" i="1"/>
  <c r="BS163" i="1" s="1"/>
  <c r="CG163" i="1"/>
  <c r="BR235" i="1"/>
  <c r="BS235" i="1" s="1"/>
  <c r="CG235" i="1"/>
  <c r="BR145" i="1"/>
  <c r="BS145" i="1" s="1"/>
  <c r="CG145" i="1"/>
  <c r="BR43" i="1"/>
  <c r="BS43" i="1" s="1"/>
  <c r="CG43" i="1"/>
  <c r="BR72" i="1"/>
  <c r="BS72" i="1" s="1"/>
  <c r="CG72" i="1"/>
  <c r="BR192" i="1"/>
  <c r="BS192" i="1" s="1"/>
  <c r="CG192" i="1"/>
  <c r="BR240" i="1"/>
  <c r="BS240" i="1" s="1"/>
  <c r="CG240" i="1"/>
  <c r="BR49" i="1"/>
  <c r="BS49" i="1" s="1"/>
  <c r="CG49" i="1"/>
  <c r="BR217" i="1"/>
  <c r="BS217" i="1" s="1"/>
  <c r="CG217" i="1"/>
  <c r="BR50" i="1"/>
  <c r="BS50" i="1" s="1"/>
  <c r="CG50" i="1"/>
  <c r="BR194" i="1"/>
  <c r="BS194" i="1" s="1"/>
  <c r="CG194" i="1"/>
  <c r="BR27" i="1"/>
  <c r="BS27" i="1" s="1"/>
  <c r="CG27" i="1"/>
  <c r="BR99" i="1"/>
  <c r="BS99" i="1" s="1"/>
  <c r="CG99" i="1"/>
  <c r="BR195" i="1"/>
  <c r="BS195" i="1" s="1"/>
  <c r="CG195" i="1"/>
  <c r="BR56" i="1"/>
  <c r="BS56" i="1" s="1"/>
  <c r="CG56" i="1"/>
  <c r="BR80" i="1"/>
  <c r="BS80" i="1" s="1"/>
  <c r="CG80" i="1"/>
  <c r="BR104" i="1"/>
  <c r="BS104" i="1" s="1"/>
  <c r="CG104" i="1"/>
  <c r="BR128" i="1"/>
  <c r="BS128" i="1" s="1"/>
  <c r="CG128" i="1"/>
  <c r="BR176" i="1"/>
  <c r="BS176" i="1" s="1"/>
  <c r="CG176" i="1"/>
  <c r="BR200" i="1"/>
  <c r="BS200" i="1" s="1"/>
  <c r="CG200" i="1"/>
  <c r="BR224" i="1"/>
  <c r="BS224" i="1" s="1"/>
  <c r="CG224" i="1"/>
  <c r="BR248" i="1"/>
  <c r="BS248" i="1" s="1"/>
  <c r="CG248" i="1"/>
  <c r="BR33" i="1"/>
  <c r="BS33" i="1" s="1"/>
  <c r="CG33" i="1"/>
  <c r="BR105" i="1"/>
  <c r="BS105" i="1" s="1"/>
  <c r="CG105" i="1"/>
  <c r="BR153" i="1"/>
  <c r="BS153" i="1" s="1"/>
  <c r="CG153" i="1"/>
  <c r="BR177" i="1"/>
  <c r="BS177" i="1" s="1"/>
  <c r="CG177" i="1"/>
  <c r="BR201" i="1"/>
  <c r="BS201" i="1" s="1"/>
  <c r="CG201" i="1"/>
  <c r="BR225" i="1"/>
  <c r="BS225" i="1" s="1"/>
  <c r="CG225" i="1"/>
  <c r="BR249" i="1"/>
  <c r="BS249" i="1" s="1"/>
  <c r="CG249" i="1"/>
  <c r="BR34" i="1"/>
  <c r="BS34" i="1" s="1"/>
  <c r="CG34" i="1"/>
  <c r="BR106" i="1"/>
  <c r="BS106" i="1" s="1"/>
  <c r="CG106" i="1"/>
  <c r="BR154" i="1"/>
  <c r="BS154" i="1" s="1"/>
  <c r="CG154" i="1"/>
  <c r="BR202" i="1"/>
  <c r="BS202" i="1" s="1"/>
  <c r="CG202" i="1"/>
  <c r="CE254" i="1"/>
  <c r="CD254" i="1"/>
  <c r="CE253" i="1"/>
  <c r="CD253" i="1"/>
  <c r="CE252" i="1"/>
  <c r="CD252" i="1"/>
  <c r="CE251" i="1"/>
  <c r="CD251" i="1"/>
  <c r="CE250" i="1"/>
  <c r="CD250" i="1"/>
  <c r="CE249" i="1"/>
  <c r="CD249" i="1"/>
  <c r="CE248" i="1"/>
  <c r="CD248" i="1"/>
  <c r="CE247" i="1"/>
  <c r="CD247" i="1"/>
  <c r="CE246" i="1"/>
  <c r="CD246" i="1"/>
  <c r="CE245" i="1"/>
  <c r="CD245" i="1"/>
  <c r="CE244" i="1"/>
  <c r="CD244" i="1"/>
  <c r="CE243" i="1"/>
  <c r="CD243" i="1"/>
  <c r="CE242" i="1"/>
  <c r="CD242" i="1"/>
  <c r="CE241" i="1"/>
  <c r="CD241" i="1"/>
  <c r="CE240" i="1"/>
  <c r="CD240" i="1"/>
  <c r="CE239" i="1"/>
  <c r="CD239" i="1"/>
  <c r="CE238" i="1"/>
  <c r="CD238" i="1"/>
  <c r="CE237" i="1"/>
  <c r="CD237" i="1"/>
  <c r="CE236" i="1"/>
  <c r="CD236" i="1"/>
  <c r="CE235" i="1"/>
  <c r="CD235" i="1"/>
  <c r="CE234" i="1"/>
  <c r="CD234" i="1"/>
  <c r="CE233" i="1"/>
  <c r="CD233" i="1"/>
  <c r="CE232" i="1"/>
  <c r="CD232" i="1"/>
  <c r="CE231" i="1"/>
  <c r="CD231" i="1"/>
  <c r="CE230" i="1"/>
  <c r="CD230" i="1"/>
  <c r="CE229" i="1"/>
  <c r="CD229" i="1"/>
  <c r="CE228" i="1"/>
  <c r="CD228" i="1"/>
  <c r="CE227" i="1"/>
  <c r="CD227" i="1"/>
  <c r="CE226" i="1"/>
  <c r="CD226" i="1"/>
  <c r="CE225" i="1"/>
  <c r="CD225" i="1"/>
  <c r="CE224" i="1"/>
  <c r="CD224" i="1"/>
  <c r="CE223" i="1"/>
  <c r="CD223" i="1"/>
  <c r="CE222" i="1"/>
  <c r="CD222" i="1"/>
  <c r="CE221" i="1"/>
  <c r="CD221" i="1"/>
  <c r="CE220" i="1"/>
  <c r="CD220" i="1"/>
  <c r="CE219" i="1"/>
  <c r="CD219" i="1"/>
  <c r="CE218" i="1"/>
  <c r="CD218" i="1"/>
  <c r="CE217" i="1"/>
  <c r="CD217" i="1"/>
  <c r="CE216" i="1"/>
  <c r="CD216" i="1"/>
  <c r="CE215" i="1"/>
  <c r="CD215" i="1"/>
  <c r="CE214" i="1"/>
  <c r="CD214" i="1"/>
  <c r="CE213" i="1"/>
  <c r="CD213" i="1"/>
  <c r="CE212" i="1"/>
  <c r="CD212" i="1"/>
  <c r="CE211" i="1"/>
  <c r="CD211" i="1"/>
  <c r="CE210" i="1"/>
  <c r="CD210" i="1"/>
  <c r="CE209" i="1"/>
  <c r="CD209" i="1"/>
  <c r="CE208" i="1"/>
  <c r="CD208" i="1"/>
  <c r="CE207" i="1"/>
  <c r="CD207" i="1"/>
  <c r="CE206" i="1"/>
  <c r="CD206" i="1"/>
  <c r="CE205" i="1"/>
  <c r="CD205" i="1"/>
  <c r="CE204" i="1"/>
  <c r="CD204" i="1"/>
  <c r="CE203" i="1"/>
  <c r="CD203" i="1"/>
  <c r="CE202" i="1"/>
  <c r="CD202" i="1"/>
  <c r="CE201" i="1"/>
  <c r="CD201" i="1"/>
  <c r="CE200" i="1"/>
  <c r="CD200" i="1"/>
  <c r="CE199" i="1"/>
  <c r="CD199" i="1"/>
  <c r="CE198" i="1"/>
  <c r="CD198" i="1"/>
  <c r="CE197" i="1"/>
  <c r="CD197" i="1"/>
  <c r="CE196" i="1"/>
  <c r="CD196" i="1"/>
  <c r="CE195" i="1"/>
  <c r="CD195" i="1"/>
  <c r="CE194" i="1"/>
  <c r="CD194" i="1"/>
  <c r="CE193" i="1"/>
  <c r="CD193" i="1"/>
  <c r="CE192" i="1"/>
  <c r="CD192" i="1"/>
  <c r="CE191" i="1"/>
  <c r="CD191" i="1"/>
  <c r="CE190" i="1"/>
  <c r="CD190" i="1"/>
  <c r="CE189" i="1"/>
  <c r="CD189" i="1"/>
  <c r="CE188" i="1"/>
  <c r="CD188" i="1"/>
  <c r="CE187" i="1"/>
  <c r="CD187" i="1"/>
  <c r="CE186" i="1"/>
  <c r="CD186" i="1"/>
  <c r="CE185" i="1"/>
  <c r="CD185" i="1"/>
  <c r="CE184" i="1"/>
  <c r="CD184" i="1"/>
  <c r="CE183" i="1"/>
  <c r="CD183" i="1"/>
  <c r="CE182" i="1"/>
  <c r="CD182" i="1"/>
  <c r="CE181" i="1"/>
  <c r="CD181" i="1"/>
  <c r="CE180" i="1"/>
  <c r="CD180" i="1"/>
  <c r="CE179" i="1"/>
  <c r="CD179" i="1"/>
  <c r="CE178" i="1"/>
  <c r="CD178" i="1"/>
  <c r="CE177" i="1"/>
  <c r="CD177" i="1"/>
  <c r="CE176" i="1"/>
  <c r="CD176" i="1"/>
  <c r="CE175" i="1"/>
  <c r="CD175" i="1"/>
  <c r="CE174" i="1"/>
  <c r="CD174" i="1"/>
  <c r="CE173" i="1"/>
  <c r="CD173" i="1"/>
  <c r="CE172" i="1"/>
  <c r="CD172" i="1"/>
  <c r="CE171" i="1"/>
  <c r="CD171" i="1"/>
  <c r="CE170" i="1"/>
  <c r="CD170" i="1"/>
  <c r="CE169" i="1"/>
  <c r="CD169" i="1"/>
  <c r="CE168" i="1"/>
  <c r="CD168" i="1"/>
  <c r="CE167" i="1"/>
  <c r="CD167" i="1"/>
  <c r="CE166" i="1"/>
  <c r="CD166" i="1"/>
  <c r="CE165" i="1"/>
  <c r="CD165" i="1"/>
  <c r="CE164" i="1"/>
  <c r="CD164" i="1"/>
  <c r="CE163" i="1"/>
  <c r="CD163" i="1"/>
  <c r="CE162" i="1"/>
  <c r="CD162" i="1"/>
  <c r="CE161" i="1"/>
  <c r="CD161" i="1"/>
  <c r="CE160" i="1"/>
  <c r="CD160" i="1"/>
  <c r="CE159" i="1"/>
  <c r="CD159" i="1"/>
  <c r="CE158" i="1"/>
  <c r="CD158" i="1"/>
  <c r="CE157" i="1"/>
  <c r="CD157" i="1"/>
  <c r="CE156" i="1"/>
  <c r="CD156" i="1"/>
  <c r="CE155" i="1"/>
  <c r="CD155" i="1"/>
  <c r="CE154" i="1"/>
  <c r="CD154" i="1"/>
  <c r="CE153" i="1"/>
  <c r="CD153" i="1"/>
  <c r="CE152" i="1"/>
  <c r="CD152" i="1"/>
  <c r="CE151" i="1"/>
  <c r="CD151" i="1"/>
  <c r="CE150" i="1"/>
  <c r="CD150" i="1"/>
  <c r="CE149" i="1"/>
  <c r="CD149" i="1"/>
  <c r="CE148" i="1"/>
  <c r="CD148" i="1"/>
  <c r="CE147" i="1"/>
  <c r="CD147" i="1"/>
  <c r="CE146" i="1"/>
  <c r="CD146" i="1"/>
  <c r="CE145" i="1"/>
  <c r="CD145" i="1"/>
  <c r="CE144" i="1"/>
  <c r="CD144" i="1"/>
  <c r="CE143" i="1"/>
  <c r="CD143" i="1"/>
  <c r="CE142" i="1"/>
  <c r="CD142" i="1"/>
  <c r="CE141" i="1"/>
  <c r="CD141" i="1"/>
  <c r="CE140" i="1"/>
  <c r="CD140" i="1"/>
  <c r="CE139" i="1"/>
  <c r="CD139" i="1"/>
  <c r="CE138" i="1"/>
  <c r="CD138" i="1"/>
  <c r="CE137" i="1"/>
  <c r="CD137" i="1"/>
  <c r="CE136" i="1"/>
  <c r="CD136" i="1"/>
  <c r="CE135" i="1"/>
  <c r="CD135" i="1"/>
  <c r="CE134" i="1"/>
  <c r="CD134" i="1"/>
  <c r="CE133" i="1"/>
  <c r="CD133" i="1"/>
  <c r="CE132" i="1"/>
  <c r="CD132" i="1"/>
  <c r="CE131" i="1"/>
  <c r="CD131" i="1"/>
  <c r="CE130" i="1"/>
  <c r="CD130" i="1"/>
  <c r="CE129" i="1"/>
  <c r="CD129" i="1"/>
  <c r="CE128" i="1"/>
  <c r="CD128" i="1"/>
  <c r="CE127" i="1"/>
  <c r="CD127" i="1"/>
  <c r="CE126" i="1"/>
  <c r="CD126" i="1"/>
  <c r="CE125" i="1"/>
  <c r="CD125" i="1"/>
  <c r="CE124" i="1"/>
  <c r="CD124" i="1"/>
  <c r="CE123" i="1"/>
  <c r="CD123" i="1"/>
  <c r="CE122" i="1"/>
  <c r="CD122" i="1"/>
  <c r="CE121" i="1"/>
  <c r="CD121" i="1"/>
  <c r="CE120" i="1"/>
  <c r="CD120" i="1"/>
  <c r="CE119" i="1"/>
  <c r="CD119" i="1"/>
  <c r="CE118" i="1"/>
  <c r="CD118" i="1"/>
  <c r="CE117" i="1"/>
  <c r="CD117" i="1"/>
  <c r="CE116" i="1"/>
  <c r="CD116" i="1"/>
  <c r="CE115" i="1"/>
  <c r="CD115" i="1"/>
  <c r="CE114" i="1"/>
  <c r="CD114" i="1"/>
  <c r="CE113" i="1"/>
  <c r="CD113" i="1"/>
  <c r="CE112" i="1"/>
  <c r="CD112" i="1"/>
  <c r="CE111" i="1"/>
  <c r="CD111" i="1"/>
  <c r="CE110" i="1"/>
  <c r="CD110" i="1"/>
  <c r="CE109" i="1"/>
  <c r="CD109" i="1"/>
  <c r="CE108" i="1"/>
  <c r="CD108" i="1"/>
  <c r="CE107" i="1"/>
  <c r="CD107" i="1"/>
  <c r="CE106" i="1"/>
  <c r="CD106" i="1"/>
  <c r="CE105" i="1"/>
  <c r="CD105" i="1"/>
  <c r="CE104" i="1"/>
  <c r="CD104" i="1"/>
  <c r="CE103" i="1"/>
  <c r="CD103" i="1"/>
  <c r="CE102" i="1"/>
  <c r="CD102" i="1"/>
  <c r="CE101" i="1"/>
  <c r="CD101" i="1"/>
  <c r="CE100" i="1"/>
  <c r="CD100" i="1"/>
  <c r="CE99" i="1"/>
  <c r="CD99" i="1"/>
  <c r="CE98" i="1"/>
  <c r="CD98" i="1"/>
  <c r="CE97" i="1"/>
  <c r="CD97" i="1"/>
  <c r="CE96" i="1"/>
  <c r="CD96" i="1"/>
  <c r="CE95" i="1"/>
  <c r="CD95" i="1"/>
  <c r="CE94" i="1"/>
  <c r="CD94" i="1"/>
  <c r="CE93" i="1"/>
  <c r="CD93" i="1"/>
  <c r="CE92" i="1"/>
  <c r="CD92" i="1"/>
  <c r="CE91" i="1"/>
  <c r="CD91" i="1"/>
  <c r="CE90" i="1"/>
  <c r="CD90" i="1"/>
  <c r="CE89" i="1"/>
  <c r="CD89" i="1"/>
  <c r="CE88" i="1"/>
  <c r="CD88" i="1"/>
  <c r="CE87" i="1"/>
  <c r="CD87" i="1"/>
  <c r="CE86" i="1"/>
  <c r="CD86" i="1"/>
  <c r="CE85" i="1"/>
  <c r="CD85" i="1"/>
  <c r="CE84" i="1"/>
  <c r="CD84" i="1"/>
  <c r="CE83" i="1"/>
  <c r="CD83" i="1"/>
  <c r="CE82" i="1"/>
  <c r="CD82" i="1"/>
  <c r="CE81" i="1"/>
  <c r="CD81" i="1"/>
  <c r="CE80" i="1"/>
  <c r="CD80" i="1"/>
  <c r="CE79" i="1"/>
  <c r="CD79" i="1"/>
  <c r="CE78" i="1"/>
  <c r="CD78" i="1"/>
  <c r="CE77" i="1"/>
  <c r="CD77" i="1"/>
  <c r="CE76" i="1"/>
  <c r="CD76" i="1"/>
  <c r="CE75" i="1"/>
  <c r="CD75" i="1"/>
  <c r="CE74" i="1"/>
  <c r="CD74" i="1"/>
  <c r="CE73" i="1"/>
  <c r="CD73" i="1"/>
  <c r="CE72" i="1"/>
  <c r="CD72" i="1"/>
  <c r="CE71" i="1"/>
  <c r="CD71" i="1"/>
  <c r="CE70" i="1"/>
  <c r="CD70" i="1"/>
  <c r="CE69" i="1"/>
  <c r="CD69" i="1"/>
  <c r="CE68" i="1"/>
  <c r="CD68" i="1"/>
  <c r="CE67" i="1"/>
  <c r="CD67" i="1"/>
  <c r="CE66" i="1"/>
  <c r="CD66" i="1"/>
  <c r="CE65" i="1"/>
  <c r="CD65" i="1"/>
  <c r="CE64" i="1"/>
  <c r="CD64" i="1"/>
  <c r="CE63" i="1"/>
  <c r="CD63" i="1"/>
  <c r="CE62" i="1"/>
  <c r="CD62" i="1"/>
  <c r="CE61" i="1"/>
  <c r="CD61" i="1"/>
  <c r="CE60" i="1"/>
  <c r="CD60" i="1"/>
  <c r="CE59" i="1"/>
  <c r="CD59" i="1"/>
  <c r="CE58" i="1"/>
  <c r="CD58" i="1"/>
  <c r="CE57" i="1"/>
  <c r="CD57" i="1"/>
  <c r="CE56" i="1"/>
  <c r="CD56" i="1"/>
  <c r="CE55" i="1"/>
  <c r="CD55" i="1"/>
  <c r="CE54" i="1"/>
  <c r="CD54" i="1"/>
  <c r="CE53" i="1"/>
  <c r="CD53" i="1"/>
  <c r="CE52" i="1"/>
  <c r="CD52" i="1"/>
  <c r="CE51" i="1"/>
  <c r="CD51" i="1"/>
  <c r="CE50" i="1"/>
  <c r="CD50" i="1"/>
  <c r="CE49" i="1"/>
  <c r="CD49" i="1"/>
  <c r="CE48" i="1"/>
  <c r="CD48" i="1"/>
  <c r="CE47" i="1"/>
  <c r="CD47" i="1"/>
  <c r="CE46" i="1"/>
  <c r="CD46" i="1"/>
  <c r="CE45" i="1"/>
  <c r="CD45" i="1"/>
  <c r="CE44" i="1"/>
  <c r="CD44" i="1"/>
  <c r="CE43" i="1"/>
  <c r="CD43" i="1"/>
  <c r="CE42" i="1"/>
  <c r="CD42" i="1"/>
  <c r="CE41" i="1"/>
  <c r="CD41" i="1"/>
  <c r="CE40" i="1"/>
  <c r="CD40" i="1"/>
  <c r="CE39" i="1"/>
  <c r="CD39" i="1"/>
  <c r="CE38" i="1"/>
  <c r="CD38" i="1"/>
  <c r="CE37" i="1"/>
  <c r="CD37" i="1"/>
  <c r="CE36" i="1"/>
  <c r="CD36" i="1"/>
  <c r="CE35" i="1"/>
  <c r="CD35" i="1"/>
  <c r="CE34" i="1"/>
  <c r="CD34" i="1"/>
  <c r="CE33" i="1"/>
  <c r="CD33" i="1"/>
  <c r="CE32" i="1"/>
  <c r="CD32" i="1"/>
  <c r="CE31" i="1"/>
  <c r="CD31" i="1"/>
  <c r="CE30" i="1"/>
  <c r="CD30" i="1"/>
  <c r="CE29" i="1"/>
  <c r="CD29" i="1"/>
  <c r="CE28" i="1"/>
  <c r="CD28" i="1"/>
  <c r="CE27" i="1"/>
  <c r="CD27" i="1"/>
  <c r="CE26" i="1"/>
  <c r="CD26" i="1"/>
  <c r="CE25" i="1"/>
  <c r="CD25" i="1"/>
  <c r="CE24" i="1"/>
  <c r="CD24" i="1"/>
  <c r="CE23" i="1"/>
  <c r="CD23" i="1"/>
  <c r="CE22" i="1"/>
  <c r="CD22" i="1"/>
  <c r="CE21" i="1"/>
  <c r="CD21" i="1"/>
  <c r="CE20" i="1"/>
  <c r="CD20" i="1"/>
  <c r="CE19" i="1"/>
  <c r="CD19" i="1"/>
  <c r="CE18" i="1"/>
  <c r="CD18" i="1"/>
  <c r="CE17" i="1"/>
  <c r="CD17" i="1"/>
  <c r="CE16" i="1"/>
  <c r="CD16" i="1"/>
  <c r="CE15" i="1"/>
  <c r="CD15" i="1"/>
  <c r="CE14" i="1"/>
  <c r="CD14" i="1"/>
  <c r="CE13" i="1"/>
  <c r="CD13" i="1"/>
  <c r="CE12" i="1"/>
  <c r="CD12" i="1"/>
  <c r="CE11" i="1"/>
  <c r="CD11" i="1"/>
  <c r="CE10" i="1"/>
  <c r="CD10" i="1"/>
  <c r="CE9" i="1"/>
  <c r="CD9" i="1"/>
  <c r="CE8" i="1"/>
  <c r="CD8" i="1"/>
  <c r="CE7" i="1"/>
  <c r="CD7" i="1"/>
  <c r="CE6" i="1"/>
  <c r="CD6" i="1"/>
  <c r="CE5" i="1"/>
  <c r="CD5" i="1"/>
  <c r="Q254" i="1" l="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AE254" i="1" l="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AE60" i="1"/>
  <c r="AE59" i="1"/>
  <c r="AE58" i="1"/>
  <c r="AE57" i="1"/>
  <c r="AE56" i="1"/>
  <c r="AE55" i="1"/>
  <c r="AE54" i="1"/>
  <c r="AE53" i="1"/>
  <c r="AE52" i="1"/>
  <c r="AE51" i="1"/>
  <c r="AE50" i="1"/>
  <c r="AE49" i="1"/>
  <c r="AE48"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6"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CA254" i="1" l="1"/>
  <c r="CA253" i="1"/>
  <c r="CA252" i="1"/>
  <c r="CA251" i="1"/>
  <c r="CA250" i="1"/>
  <c r="CA249" i="1"/>
  <c r="CA248" i="1"/>
  <c r="CA247" i="1"/>
  <c r="CA246" i="1"/>
  <c r="CA245" i="1"/>
  <c r="CA244" i="1"/>
  <c r="CA243" i="1"/>
  <c r="CA242" i="1"/>
  <c r="CA241" i="1"/>
  <c r="CA240" i="1"/>
  <c r="CA239" i="1"/>
  <c r="CA238" i="1"/>
  <c r="CA237" i="1"/>
  <c r="CA236" i="1"/>
  <c r="CA235" i="1"/>
  <c r="CA234" i="1"/>
  <c r="CA233" i="1"/>
  <c r="CA232" i="1"/>
  <c r="CA231" i="1"/>
  <c r="CA230" i="1"/>
  <c r="CA229" i="1"/>
  <c r="CA228" i="1"/>
  <c r="CA227" i="1"/>
  <c r="CA226" i="1"/>
  <c r="CA225" i="1"/>
  <c r="CA224" i="1"/>
  <c r="CA223" i="1"/>
  <c r="CA222" i="1"/>
  <c r="CA221" i="1"/>
  <c r="CA220" i="1"/>
  <c r="CA219" i="1"/>
  <c r="CA218" i="1"/>
  <c r="CA217" i="1"/>
  <c r="CA216" i="1"/>
  <c r="CA215" i="1"/>
  <c r="CA214" i="1"/>
  <c r="CA213" i="1"/>
  <c r="CA212" i="1"/>
  <c r="CA211" i="1"/>
  <c r="CA210" i="1"/>
  <c r="CA209" i="1"/>
  <c r="CA208" i="1"/>
  <c r="CA207" i="1"/>
  <c r="CA206" i="1"/>
  <c r="CA205" i="1"/>
  <c r="CA204" i="1"/>
  <c r="CA203" i="1"/>
  <c r="CA202" i="1"/>
  <c r="CA201" i="1"/>
  <c r="CA200" i="1"/>
  <c r="CA199" i="1"/>
  <c r="CA198" i="1"/>
  <c r="CA197" i="1"/>
  <c r="CA196" i="1"/>
  <c r="CA195" i="1"/>
  <c r="CA194" i="1"/>
  <c r="CA193" i="1"/>
  <c r="CA192" i="1"/>
  <c r="CA191" i="1"/>
  <c r="CA190" i="1"/>
  <c r="CA189" i="1"/>
  <c r="CA188" i="1"/>
  <c r="CA187" i="1"/>
  <c r="CA186" i="1"/>
  <c r="CA185" i="1"/>
  <c r="CA184" i="1"/>
  <c r="CA183" i="1"/>
  <c r="CA182" i="1"/>
  <c r="CA181" i="1"/>
  <c r="CA180" i="1"/>
  <c r="CA179" i="1"/>
  <c r="CA178" i="1"/>
  <c r="CA177" i="1"/>
  <c r="CA176" i="1"/>
  <c r="CA175" i="1"/>
  <c r="CA174" i="1"/>
  <c r="CA173" i="1"/>
  <c r="CA172" i="1"/>
  <c r="CA171" i="1"/>
  <c r="CA170" i="1"/>
  <c r="CA169" i="1"/>
  <c r="CA168" i="1"/>
  <c r="CA167" i="1"/>
  <c r="CA166" i="1"/>
  <c r="CA165" i="1"/>
  <c r="CA164" i="1"/>
  <c r="CA163" i="1"/>
  <c r="CA162" i="1"/>
  <c r="CA161" i="1"/>
  <c r="CA160" i="1"/>
  <c r="CA159" i="1"/>
  <c r="CA158" i="1"/>
  <c r="CA157" i="1"/>
  <c r="CA156" i="1"/>
  <c r="CA155" i="1"/>
  <c r="CA154" i="1"/>
  <c r="CA153" i="1"/>
  <c r="CA152" i="1"/>
  <c r="CA151" i="1"/>
  <c r="CA150" i="1"/>
  <c r="CA149" i="1"/>
  <c r="CA148" i="1"/>
  <c r="CA147" i="1"/>
  <c r="CA146" i="1"/>
  <c r="CA145" i="1"/>
  <c r="CA144" i="1"/>
  <c r="CA143" i="1"/>
  <c r="CA142" i="1"/>
  <c r="CA141" i="1"/>
  <c r="CA140" i="1"/>
  <c r="CA139" i="1"/>
  <c r="CA138" i="1"/>
  <c r="CA137" i="1"/>
  <c r="CA136" i="1"/>
  <c r="CA135" i="1"/>
  <c r="CA134" i="1"/>
  <c r="CA133" i="1"/>
  <c r="CA132" i="1"/>
  <c r="CA131" i="1"/>
  <c r="CA130" i="1"/>
  <c r="CA129" i="1"/>
  <c r="CA128" i="1"/>
  <c r="CA127" i="1"/>
  <c r="CA126" i="1"/>
  <c r="CA125" i="1"/>
  <c r="CA124" i="1"/>
  <c r="CA123" i="1"/>
  <c r="CA122" i="1"/>
  <c r="CA121" i="1"/>
  <c r="CA120" i="1"/>
  <c r="CA119" i="1"/>
  <c r="CA118" i="1"/>
  <c r="CA117" i="1"/>
  <c r="CA116" i="1"/>
  <c r="CA115" i="1"/>
  <c r="CA114" i="1"/>
  <c r="CA113" i="1"/>
  <c r="CA112" i="1"/>
  <c r="CA111" i="1"/>
  <c r="CA110" i="1"/>
  <c r="CA109" i="1"/>
  <c r="CA108" i="1"/>
  <c r="CA107" i="1"/>
  <c r="CA106" i="1"/>
  <c r="CA105" i="1"/>
  <c r="CA104" i="1"/>
  <c r="CA103" i="1"/>
  <c r="CA102" i="1"/>
  <c r="CA101" i="1"/>
  <c r="CA100" i="1"/>
  <c r="CA99" i="1"/>
  <c r="CA98" i="1"/>
  <c r="CA97" i="1"/>
  <c r="CA96" i="1"/>
  <c r="CA95" i="1"/>
  <c r="CA94" i="1"/>
  <c r="CA93" i="1"/>
  <c r="CA92" i="1"/>
  <c r="CA91" i="1"/>
  <c r="CA90" i="1"/>
  <c r="CA89" i="1"/>
  <c r="CA88" i="1"/>
  <c r="CA87" i="1"/>
  <c r="CA86" i="1"/>
  <c r="CA85" i="1"/>
  <c r="CA84" i="1"/>
  <c r="CA83" i="1"/>
  <c r="CA82" i="1"/>
  <c r="CA81" i="1"/>
  <c r="CA80" i="1"/>
  <c r="CA79" i="1"/>
  <c r="CA78" i="1"/>
  <c r="CA77" i="1"/>
  <c r="CA76" i="1"/>
  <c r="CA75" i="1"/>
  <c r="CA74" i="1"/>
  <c r="CA73" i="1"/>
  <c r="CA72" i="1"/>
  <c r="CA71" i="1"/>
  <c r="CA70" i="1"/>
  <c r="CA69" i="1"/>
  <c r="CA68" i="1"/>
  <c r="CA67" i="1"/>
  <c r="CA66" i="1"/>
  <c r="CA65" i="1"/>
  <c r="CA64" i="1"/>
  <c r="CA63" i="1"/>
  <c r="CA62" i="1"/>
  <c r="CA61" i="1"/>
  <c r="CA60" i="1"/>
  <c r="CA59" i="1"/>
  <c r="CA58" i="1"/>
  <c r="CA57" i="1"/>
  <c r="CA56" i="1"/>
  <c r="CA55" i="1"/>
  <c r="CA54" i="1"/>
  <c r="CA53" i="1"/>
  <c r="CA52" i="1"/>
  <c r="CA51" i="1"/>
  <c r="CA50" i="1"/>
  <c r="CA49" i="1"/>
  <c r="CA48" i="1"/>
  <c r="CA47" i="1"/>
  <c r="CA46" i="1"/>
  <c r="CA45" i="1"/>
  <c r="CA44" i="1"/>
  <c r="CA43" i="1"/>
  <c r="CA42" i="1"/>
  <c r="CA41" i="1"/>
  <c r="CA40" i="1"/>
  <c r="CA39" i="1"/>
  <c r="CA38" i="1"/>
  <c r="CA37" i="1"/>
  <c r="CA36" i="1"/>
  <c r="CA35" i="1"/>
  <c r="CA34" i="1"/>
  <c r="CA33" i="1"/>
  <c r="CA32" i="1"/>
  <c r="CA31" i="1"/>
  <c r="CA30" i="1"/>
  <c r="CA29" i="1"/>
  <c r="CA28" i="1"/>
  <c r="CA27" i="1"/>
  <c r="CA26" i="1"/>
  <c r="CA25" i="1"/>
  <c r="CA24" i="1"/>
  <c r="CA23" i="1"/>
  <c r="CA22" i="1"/>
  <c r="CA21" i="1"/>
  <c r="CA20" i="1"/>
  <c r="CA19" i="1"/>
  <c r="CA18" i="1"/>
  <c r="CA17" i="1"/>
  <c r="CA16" i="1"/>
  <c r="CA15" i="1"/>
  <c r="CA14" i="1"/>
  <c r="CA13" i="1"/>
  <c r="CA12" i="1"/>
  <c r="CA11" i="1"/>
  <c r="CA10" i="1"/>
  <c r="CA9" i="1"/>
  <c r="CA8" i="1"/>
  <c r="CA7" i="1"/>
  <c r="CA6" i="1"/>
  <c r="CA5" i="1"/>
  <c r="BZ5" i="1"/>
  <c r="C254" i="1" l="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T254" i="1" l="1"/>
  <c r="U254" i="1" s="1"/>
  <c r="T253" i="1"/>
  <c r="U253" i="1" s="1"/>
  <c r="T252" i="1"/>
  <c r="U252" i="1" s="1"/>
  <c r="T251" i="1"/>
  <c r="U251" i="1" s="1"/>
  <c r="T250" i="1"/>
  <c r="U250" i="1" s="1"/>
  <c r="T249" i="1"/>
  <c r="U249" i="1" s="1"/>
  <c r="T248" i="1"/>
  <c r="U248" i="1" s="1"/>
  <c r="T247" i="1"/>
  <c r="U247" i="1" s="1"/>
  <c r="T246" i="1"/>
  <c r="U246" i="1" s="1"/>
  <c r="T245" i="1"/>
  <c r="U245" i="1" s="1"/>
  <c r="T244" i="1"/>
  <c r="U244" i="1" s="1"/>
  <c r="T243" i="1"/>
  <c r="U243" i="1" s="1"/>
  <c r="T242" i="1"/>
  <c r="U242" i="1" s="1"/>
  <c r="T241" i="1"/>
  <c r="U241" i="1" s="1"/>
  <c r="T240" i="1"/>
  <c r="U240" i="1" s="1"/>
  <c r="T239" i="1"/>
  <c r="U239" i="1" s="1"/>
  <c r="T238" i="1"/>
  <c r="U238" i="1" s="1"/>
  <c r="T237" i="1"/>
  <c r="U237" i="1" s="1"/>
  <c r="T236" i="1"/>
  <c r="U236" i="1" s="1"/>
  <c r="T235" i="1"/>
  <c r="U235" i="1" s="1"/>
  <c r="T234" i="1"/>
  <c r="U234" i="1" s="1"/>
  <c r="T233" i="1"/>
  <c r="U233" i="1" s="1"/>
  <c r="T232" i="1"/>
  <c r="U232" i="1" s="1"/>
  <c r="T231" i="1"/>
  <c r="U231" i="1" s="1"/>
  <c r="T230" i="1"/>
  <c r="U230" i="1" s="1"/>
  <c r="T229" i="1"/>
  <c r="U229" i="1" s="1"/>
  <c r="T228" i="1"/>
  <c r="U228" i="1" s="1"/>
  <c r="T227" i="1"/>
  <c r="U227" i="1" s="1"/>
  <c r="T226" i="1"/>
  <c r="U226" i="1" s="1"/>
  <c r="T225" i="1"/>
  <c r="U225" i="1" s="1"/>
  <c r="T224" i="1"/>
  <c r="U224" i="1" s="1"/>
  <c r="T223" i="1"/>
  <c r="U223" i="1" s="1"/>
  <c r="T222" i="1"/>
  <c r="U222" i="1" s="1"/>
  <c r="T221" i="1"/>
  <c r="U221" i="1" s="1"/>
  <c r="T220" i="1"/>
  <c r="U220" i="1" s="1"/>
  <c r="T219" i="1"/>
  <c r="U219" i="1" s="1"/>
  <c r="T218" i="1"/>
  <c r="U218" i="1" s="1"/>
  <c r="T217" i="1"/>
  <c r="U217" i="1" s="1"/>
  <c r="T216" i="1"/>
  <c r="U216" i="1" s="1"/>
  <c r="T215" i="1"/>
  <c r="U215" i="1" s="1"/>
  <c r="T214" i="1"/>
  <c r="U214" i="1" s="1"/>
  <c r="T213" i="1"/>
  <c r="U213" i="1" s="1"/>
  <c r="T212" i="1"/>
  <c r="U212" i="1" s="1"/>
  <c r="T211" i="1"/>
  <c r="U211" i="1" s="1"/>
  <c r="T210" i="1"/>
  <c r="U210" i="1" s="1"/>
  <c r="T209" i="1"/>
  <c r="U209" i="1" s="1"/>
  <c r="T208" i="1"/>
  <c r="U208" i="1" s="1"/>
  <c r="T207" i="1"/>
  <c r="U207" i="1" s="1"/>
  <c r="T206" i="1"/>
  <c r="U206" i="1" s="1"/>
  <c r="T205" i="1"/>
  <c r="U205" i="1" s="1"/>
  <c r="T204" i="1"/>
  <c r="U204" i="1" s="1"/>
  <c r="T203" i="1"/>
  <c r="U203" i="1" s="1"/>
  <c r="T202" i="1"/>
  <c r="U202" i="1" s="1"/>
  <c r="T201" i="1"/>
  <c r="U201" i="1" s="1"/>
  <c r="T200" i="1"/>
  <c r="U200" i="1" s="1"/>
  <c r="T199" i="1"/>
  <c r="U199" i="1" s="1"/>
  <c r="T198" i="1"/>
  <c r="U198" i="1" s="1"/>
  <c r="T197" i="1"/>
  <c r="U197" i="1" s="1"/>
  <c r="T196" i="1"/>
  <c r="U196" i="1" s="1"/>
  <c r="T195" i="1"/>
  <c r="U195" i="1" s="1"/>
  <c r="T194" i="1"/>
  <c r="U194" i="1" s="1"/>
  <c r="T193" i="1"/>
  <c r="U193" i="1" s="1"/>
  <c r="T192" i="1"/>
  <c r="U192" i="1" s="1"/>
  <c r="T191" i="1"/>
  <c r="U191" i="1" s="1"/>
  <c r="T190" i="1"/>
  <c r="U190" i="1" s="1"/>
  <c r="T189" i="1"/>
  <c r="U189" i="1" s="1"/>
  <c r="T188" i="1"/>
  <c r="U188" i="1" s="1"/>
  <c r="T187" i="1"/>
  <c r="U187" i="1" s="1"/>
  <c r="T186" i="1"/>
  <c r="U186" i="1" s="1"/>
  <c r="T185" i="1"/>
  <c r="U185" i="1" s="1"/>
  <c r="T184" i="1"/>
  <c r="U184" i="1" s="1"/>
  <c r="T183" i="1"/>
  <c r="U183" i="1" s="1"/>
  <c r="T182" i="1"/>
  <c r="U182" i="1" s="1"/>
  <c r="T181" i="1"/>
  <c r="U181" i="1" s="1"/>
  <c r="T180" i="1"/>
  <c r="U180" i="1" s="1"/>
  <c r="T179" i="1"/>
  <c r="U179" i="1" s="1"/>
  <c r="T178" i="1"/>
  <c r="U178" i="1" s="1"/>
  <c r="T177" i="1"/>
  <c r="U177" i="1" s="1"/>
  <c r="T176" i="1"/>
  <c r="U176" i="1" s="1"/>
  <c r="T175" i="1"/>
  <c r="U175" i="1" s="1"/>
  <c r="T174" i="1"/>
  <c r="U174" i="1" s="1"/>
  <c r="T173" i="1"/>
  <c r="U173" i="1" s="1"/>
  <c r="T172" i="1"/>
  <c r="U172" i="1" s="1"/>
  <c r="T171" i="1"/>
  <c r="U171" i="1" s="1"/>
  <c r="T170" i="1"/>
  <c r="U170" i="1" s="1"/>
  <c r="T169" i="1"/>
  <c r="U169" i="1" s="1"/>
  <c r="T168" i="1"/>
  <c r="U168" i="1" s="1"/>
  <c r="T167" i="1"/>
  <c r="U167" i="1" s="1"/>
  <c r="T166" i="1"/>
  <c r="U166" i="1" s="1"/>
  <c r="T165" i="1"/>
  <c r="U165" i="1" s="1"/>
  <c r="T164" i="1"/>
  <c r="U164" i="1" s="1"/>
  <c r="T163" i="1"/>
  <c r="U163" i="1" s="1"/>
  <c r="T162" i="1"/>
  <c r="U162" i="1" s="1"/>
  <c r="T161" i="1"/>
  <c r="U161" i="1" s="1"/>
  <c r="T160" i="1"/>
  <c r="U160" i="1" s="1"/>
  <c r="T159" i="1"/>
  <c r="U159" i="1" s="1"/>
  <c r="T158" i="1"/>
  <c r="U158" i="1" s="1"/>
  <c r="T157" i="1"/>
  <c r="U157" i="1" s="1"/>
  <c r="T156" i="1"/>
  <c r="U156" i="1" s="1"/>
  <c r="T155" i="1"/>
  <c r="U155" i="1" s="1"/>
  <c r="T154" i="1"/>
  <c r="U154" i="1" s="1"/>
  <c r="T153" i="1"/>
  <c r="U153" i="1" s="1"/>
  <c r="T152" i="1"/>
  <c r="U152" i="1" s="1"/>
  <c r="T151" i="1"/>
  <c r="U151" i="1" s="1"/>
  <c r="T150" i="1"/>
  <c r="U150" i="1" s="1"/>
  <c r="T149" i="1"/>
  <c r="U149" i="1" s="1"/>
  <c r="T148" i="1"/>
  <c r="U148" i="1" s="1"/>
  <c r="T147" i="1"/>
  <c r="U147" i="1" s="1"/>
  <c r="T146" i="1"/>
  <c r="U146" i="1" s="1"/>
  <c r="T145" i="1"/>
  <c r="U145" i="1" s="1"/>
  <c r="T144" i="1"/>
  <c r="U144" i="1" s="1"/>
  <c r="T143" i="1"/>
  <c r="U143" i="1" s="1"/>
  <c r="T142" i="1"/>
  <c r="U142" i="1" s="1"/>
  <c r="T141" i="1"/>
  <c r="U141" i="1" s="1"/>
  <c r="T140" i="1"/>
  <c r="U140" i="1" s="1"/>
  <c r="T139" i="1"/>
  <c r="U139" i="1" s="1"/>
  <c r="T138" i="1"/>
  <c r="U138" i="1" s="1"/>
  <c r="T137" i="1"/>
  <c r="U137" i="1" s="1"/>
  <c r="T136" i="1"/>
  <c r="U136" i="1" s="1"/>
  <c r="T135" i="1"/>
  <c r="U135" i="1" s="1"/>
  <c r="T134" i="1"/>
  <c r="U134" i="1" s="1"/>
  <c r="T133" i="1"/>
  <c r="U133" i="1" s="1"/>
  <c r="T132" i="1"/>
  <c r="U132" i="1" s="1"/>
  <c r="T131" i="1"/>
  <c r="U131" i="1" s="1"/>
  <c r="T130" i="1"/>
  <c r="U130" i="1" s="1"/>
  <c r="T129" i="1"/>
  <c r="U129" i="1" s="1"/>
  <c r="T128" i="1"/>
  <c r="U128" i="1" s="1"/>
  <c r="T127" i="1"/>
  <c r="U127" i="1" s="1"/>
  <c r="T126" i="1"/>
  <c r="U126" i="1" s="1"/>
  <c r="T125" i="1"/>
  <c r="U125" i="1" s="1"/>
  <c r="T124" i="1"/>
  <c r="U124" i="1" s="1"/>
  <c r="T123" i="1"/>
  <c r="U123" i="1" s="1"/>
  <c r="T122" i="1"/>
  <c r="U122" i="1" s="1"/>
  <c r="T121" i="1"/>
  <c r="U121" i="1" s="1"/>
  <c r="T120" i="1"/>
  <c r="U120" i="1" s="1"/>
  <c r="T119" i="1"/>
  <c r="U119" i="1" s="1"/>
  <c r="T118" i="1"/>
  <c r="U118" i="1" s="1"/>
  <c r="T117" i="1"/>
  <c r="U117" i="1" s="1"/>
  <c r="T116" i="1"/>
  <c r="U116" i="1" s="1"/>
  <c r="T115" i="1"/>
  <c r="U115" i="1" s="1"/>
  <c r="T114" i="1"/>
  <c r="U114" i="1" s="1"/>
  <c r="T113" i="1"/>
  <c r="U113" i="1" s="1"/>
  <c r="T112" i="1"/>
  <c r="U112" i="1" s="1"/>
  <c r="T111" i="1"/>
  <c r="U111" i="1" s="1"/>
  <c r="T110" i="1"/>
  <c r="U110" i="1" s="1"/>
  <c r="T109" i="1"/>
  <c r="U109" i="1" s="1"/>
  <c r="T108" i="1"/>
  <c r="U108" i="1" s="1"/>
  <c r="T107" i="1"/>
  <c r="U107" i="1" s="1"/>
  <c r="T106" i="1"/>
  <c r="U106" i="1" s="1"/>
  <c r="T105" i="1"/>
  <c r="U105" i="1" s="1"/>
  <c r="T104" i="1"/>
  <c r="U104" i="1" s="1"/>
  <c r="T103" i="1"/>
  <c r="U103" i="1" s="1"/>
  <c r="T102" i="1"/>
  <c r="U102" i="1" s="1"/>
  <c r="T101" i="1"/>
  <c r="U101" i="1" s="1"/>
  <c r="T100" i="1"/>
  <c r="U100" i="1" s="1"/>
  <c r="T99" i="1"/>
  <c r="U99" i="1" s="1"/>
  <c r="T98" i="1"/>
  <c r="U98" i="1" s="1"/>
  <c r="T97" i="1"/>
  <c r="U97" i="1" s="1"/>
  <c r="T96" i="1"/>
  <c r="U96" i="1" s="1"/>
  <c r="T95" i="1"/>
  <c r="U95" i="1" s="1"/>
  <c r="T94" i="1"/>
  <c r="U94" i="1" s="1"/>
  <c r="T93" i="1"/>
  <c r="U93" i="1" s="1"/>
  <c r="T92" i="1"/>
  <c r="U92" i="1" s="1"/>
  <c r="T91" i="1"/>
  <c r="U91" i="1" s="1"/>
  <c r="T90" i="1"/>
  <c r="U90" i="1" s="1"/>
  <c r="T89" i="1"/>
  <c r="U89" i="1" s="1"/>
  <c r="T88" i="1"/>
  <c r="U88" i="1" s="1"/>
  <c r="T87" i="1"/>
  <c r="U87" i="1" s="1"/>
  <c r="T86" i="1"/>
  <c r="U86" i="1" s="1"/>
  <c r="T85" i="1"/>
  <c r="U85" i="1" s="1"/>
  <c r="T84" i="1"/>
  <c r="U84" i="1" s="1"/>
  <c r="T83" i="1"/>
  <c r="U83" i="1" s="1"/>
  <c r="T82" i="1"/>
  <c r="U82" i="1" s="1"/>
  <c r="T81" i="1"/>
  <c r="U81" i="1" s="1"/>
  <c r="T80" i="1"/>
  <c r="U80" i="1" s="1"/>
  <c r="T79" i="1"/>
  <c r="U79" i="1" s="1"/>
  <c r="T78" i="1"/>
  <c r="U78" i="1" s="1"/>
  <c r="T77" i="1"/>
  <c r="U77" i="1" s="1"/>
  <c r="T76" i="1"/>
  <c r="U76" i="1" s="1"/>
  <c r="T75" i="1"/>
  <c r="U75" i="1" s="1"/>
  <c r="T74" i="1"/>
  <c r="U74" i="1" s="1"/>
  <c r="T73" i="1"/>
  <c r="U73" i="1" s="1"/>
  <c r="T72" i="1"/>
  <c r="U72" i="1" s="1"/>
  <c r="T71" i="1"/>
  <c r="U71" i="1" s="1"/>
  <c r="T70" i="1"/>
  <c r="U70" i="1" s="1"/>
  <c r="T69" i="1"/>
  <c r="U69" i="1" s="1"/>
  <c r="T68" i="1"/>
  <c r="U68" i="1" s="1"/>
  <c r="T67" i="1"/>
  <c r="U67" i="1" s="1"/>
  <c r="T66" i="1"/>
  <c r="U66" i="1" s="1"/>
  <c r="T65" i="1"/>
  <c r="U65" i="1" s="1"/>
  <c r="T64" i="1"/>
  <c r="U64" i="1" s="1"/>
  <c r="T63" i="1"/>
  <c r="U63" i="1" s="1"/>
  <c r="T62" i="1"/>
  <c r="U62" i="1" s="1"/>
  <c r="T61" i="1"/>
  <c r="U61" i="1" s="1"/>
  <c r="T60" i="1"/>
  <c r="U60" i="1" s="1"/>
  <c r="T59" i="1"/>
  <c r="U59" i="1" s="1"/>
  <c r="T58" i="1"/>
  <c r="U58" i="1" s="1"/>
  <c r="T57" i="1"/>
  <c r="U57" i="1" s="1"/>
  <c r="T56" i="1"/>
  <c r="U56" i="1" s="1"/>
  <c r="T55" i="1"/>
  <c r="U55" i="1" s="1"/>
  <c r="T54" i="1"/>
  <c r="U54" i="1" s="1"/>
  <c r="T53" i="1"/>
  <c r="U53" i="1" s="1"/>
  <c r="T52" i="1"/>
  <c r="U52" i="1" s="1"/>
  <c r="T51" i="1"/>
  <c r="U51" i="1" s="1"/>
  <c r="T50" i="1"/>
  <c r="U50" i="1" s="1"/>
  <c r="T49" i="1"/>
  <c r="U49" i="1" s="1"/>
  <c r="T48" i="1"/>
  <c r="U48" i="1" s="1"/>
  <c r="T47" i="1"/>
  <c r="U47" i="1" s="1"/>
  <c r="T46" i="1"/>
  <c r="U46" i="1" s="1"/>
  <c r="T45" i="1"/>
  <c r="U45" i="1" s="1"/>
  <c r="T44" i="1"/>
  <c r="U44" i="1" s="1"/>
  <c r="T43" i="1"/>
  <c r="U43" i="1" s="1"/>
  <c r="T42" i="1"/>
  <c r="U42" i="1" s="1"/>
  <c r="T41" i="1"/>
  <c r="U41" i="1" s="1"/>
  <c r="T40" i="1"/>
  <c r="U40" i="1" s="1"/>
  <c r="T39" i="1"/>
  <c r="U39" i="1" s="1"/>
  <c r="T38" i="1"/>
  <c r="U38" i="1" s="1"/>
  <c r="T37" i="1"/>
  <c r="U37" i="1" s="1"/>
  <c r="T36" i="1"/>
  <c r="U36" i="1" s="1"/>
  <c r="T35" i="1"/>
  <c r="U35" i="1" s="1"/>
  <c r="T34" i="1"/>
  <c r="U34" i="1" s="1"/>
  <c r="T33" i="1"/>
  <c r="U33" i="1" s="1"/>
  <c r="T32" i="1"/>
  <c r="U32" i="1" s="1"/>
  <c r="T31" i="1"/>
  <c r="U31" i="1" s="1"/>
  <c r="T30" i="1"/>
  <c r="U30" i="1" s="1"/>
  <c r="T29" i="1"/>
  <c r="U29" i="1" s="1"/>
  <c r="T28" i="1"/>
  <c r="U28" i="1" s="1"/>
  <c r="T27" i="1"/>
  <c r="U27" i="1" s="1"/>
  <c r="T26" i="1"/>
  <c r="U26" i="1" s="1"/>
  <c r="T25" i="1"/>
  <c r="U25" i="1" s="1"/>
  <c r="T24" i="1"/>
  <c r="U24" i="1" s="1"/>
  <c r="T23" i="1"/>
  <c r="U23" i="1" s="1"/>
  <c r="T22" i="1"/>
  <c r="U22" i="1" s="1"/>
  <c r="T21" i="1"/>
  <c r="U21" i="1" s="1"/>
  <c r="T20" i="1"/>
  <c r="U20" i="1" s="1"/>
  <c r="T19" i="1"/>
  <c r="U19" i="1" s="1"/>
  <c r="T18" i="1"/>
  <c r="U18" i="1" s="1"/>
  <c r="T17" i="1"/>
  <c r="U17" i="1" s="1"/>
  <c r="T16" i="1"/>
  <c r="U16" i="1" s="1"/>
  <c r="T15" i="1"/>
  <c r="U15" i="1" s="1"/>
  <c r="T14" i="1"/>
  <c r="U14" i="1" s="1"/>
  <c r="T13" i="1"/>
  <c r="U13" i="1" s="1"/>
  <c r="T12" i="1"/>
  <c r="U12" i="1" s="1"/>
  <c r="T11" i="1"/>
  <c r="U11" i="1" s="1"/>
  <c r="T10" i="1"/>
  <c r="U10" i="1" s="1"/>
  <c r="T9" i="1"/>
  <c r="U9" i="1" s="1"/>
  <c r="T8" i="1"/>
  <c r="U8" i="1" s="1"/>
  <c r="T7" i="1"/>
  <c r="U7" i="1" s="1"/>
  <c r="T6" i="1"/>
  <c r="U6" i="1" s="1"/>
  <c r="T5" i="1"/>
  <c r="U5" i="1" s="1"/>
  <c r="AG5" i="1" l="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0" i="7"/>
  <c r="AS254" i="1"/>
  <c r="AR254" i="1"/>
  <c r="AQ254" i="1"/>
  <c r="AO254" i="1"/>
  <c r="AS253" i="1"/>
  <c r="AR253" i="1"/>
  <c r="AQ253" i="1"/>
  <c r="AO253" i="1"/>
  <c r="AS252" i="1"/>
  <c r="AR252" i="1"/>
  <c r="AQ252" i="1"/>
  <c r="AO252" i="1"/>
  <c r="AS251" i="1"/>
  <c r="AR251" i="1"/>
  <c r="AQ251" i="1"/>
  <c r="AO251" i="1"/>
  <c r="AS250" i="1"/>
  <c r="AR250" i="1"/>
  <c r="AQ250" i="1"/>
  <c r="AO250" i="1"/>
  <c r="AS249" i="1"/>
  <c r="AR249" i="1"/>
  <c r="AQ249" i="1"/>
  <c r="AO249" i="1"/>
  <c r="AS248" i="1"/>
  <c r="AR248" i="1"/>
  <c r="AQ248" i="1"/>
  <c r="AO248" i="1"/>
  <c r="AS247" i="1"/>
  <c r="AR247" i="1"/>
  <c r="AQ247" i="1"/>
  <c r="AO247" i="1"/>
  <c r="AS246" i="1"/>
  <c r="AR246" i="1"/>
  <c r="AQ246" i="1"/>
  <c r="AO246" i="1"/>
  <c r="AS245" i="1"/>
  <c r="AR245" i="1"/>
  <c r="AQ245" i="1"/>
  <c r="AO245" i="1"/>
  <c r="AS244" i="1"/>
  <c r="AR244" i="1"/>
  <c r="AQ244" i="1"/>
  <c r="AO244" i="1"/>
  <c r="AS243" i="1"/>
  <c r="AR243" i="1"/>
  <c r="AQ243" i="1"/>
  <c r="AO243" i="1"/>
  <c r="AS242" i="1"/>
  <c r="AR242" i="1"/>
  <c r="AQ242" i="1"/>
  <c r="AO242" i="1"/>
  <c r="AS241" i="1"/>
  <c r="AR241" i="1"/>
  <c r="AQ241" i="1"/>
  <c r="AO241" i="1"/>
  <c r="AS240" i="1"/>
  <c r="AR240" i="1"/>
  <c r="AQ240" i="1"/>
  <c r="AO240" i="1"/>
  <c r="AS239" i="1"/>
  <c r="AR239" i="1"/>
  <c r="AQ239" i="1"/>
  <c r="AO239" i="1"/>
  <c r="AS238" i="1"/>
  <c r="AR238" i="1"/>
  <c r="AQ238" i="1"/>
  <c r="AO238" i="1"/>
  <c r="AS237" i="1"/>
  <c r="AR237" i="1"/>
  <c r="AQ237" i="1"/>
  <c r="AO237" i="1"/>
  <c r="AS236" i="1"/>
  <c r="AR236" i="1"/>
  <c r="AQ236" i="1"/>
  <c r="AO236" i="1"/>
  <c r="AS235" i="1"/>
  <c r="AR235" i="1"/>
  <c r="AQ235" i="1"/>
  <c r="AO235" i="1"/>
  <c r="AS234" i="1"/>
  <c r="AR234" i="1"/>
  <c r="AQ234" i="1"/>
  <c r="AO234" i="1"/>
  <c r="AS233" i="1"/>
  <c r="AR233" i="1"/>
  <c r="AQ233" i="1"/>
  <c r="AO233" i="1"/>
  <c r="AS232" i="1"/>
  <c r="AR232" i="1"/>
  <c r="AQ232" i="1"/>
  <c r="AO232" i="1"/>
  <c r="AS231" i="1"/>
  <c r="AR231" i="1"/>
  <c r="AQ231" i="1"/>
  <c r="AO231" i="1"/>
  <c r="AS230" i="1"/>
  <c r="AR230" i="1"/>
  <c r="AQ230" i="1"/>
  <c r="AO230" i="1"/>
  <c r="AS229" i="1"/>
  <c r="AR229" i="1"/>
  <c r="AQ229" i="1"/>
  <c r="AO229" i="1"/>
  <c r="AS228" i="1"/>
  <c r="AR228" i="1"/>
  <c r="AQ228" i="1"/>
  <c r="AO228" i="1"/>
  <c r="AS227" i="1"/>
  <c r="AR227" i="1"/>
  <c r="AQ227" i="1"/>
  <c r="AO227" i="1"/>
  <c r="AS226" i="1"/>
  <c r="AR226" i="1"/>
  <c r="AQ226" i="1"/>
  <c r="AO226" i="1"/>
  <c r="AS225" i="1"/>
  <c r="AR225" i="1"/>
  <c r="AQ225" i="1"/>
  <c r="AO225" i="1"/>
  <c r="AS224" i="1"/>
  <c r="AR224" i="1"/>
  <c r="AQ224" i="1"/>
  <c r="AO224" i="1"/>
  <c r="AS223" i="1"/>
  <c r="AR223" i="1"/>
  <c r="AQ223" i="1"/>
  <c r="AO223" i="1"/>
  <c r="AS222" i="1"/>
  <c r="AR222" i="1"/>
  <c r="AQ222" i="1"/>
  <c r="AO222" i="1"/>
  <c r="AS221" i="1"/>
  <c r="AR221" i="1"/>
  <c r="AQ221" i="1"/>
  <c r="AO221" i="1"/>
  <c r="AS220" i="1"/>
  <c r="AR220" i="1"/>
  <c r="AQ220" i="1"/>
  <c r="AO220" i="1"/>
  <c r="AS219" i="1"/>
  <c r="AR219" i="1"/>
  <c r="AQ219" i="1"/>
  <c r="AO219" i="1"/>
  <c r="AS218" i="1"/>
  <c r="AR218" i="1"/>
  <c r="AQ218" i="1"/>
  <c r="AO218" i="1"/>
  <c r="AS217" i="1"/>
  <c r="AR217" i="1"/>
  <c r="AQ217" i="1"/>
  <c r="AO217" i="1"/>
  <c r="AS216" i="1"/>
  <c r="AR216" i="1"/>
  <c r="AQ216" i="1"/>
  <c r="AO216" i="1"/>
  <c r="AS215" i="1"/>
  <c r="AR215" i="1"/>
  <c r="AQ215" i="1"/>
  <c r="AO215" i="1"/>
  <c r="AS214" i="1"/>
  <c r="AR214" i="1"/>
  <c r="AQ214" i="1"/>
  <c r="AO214" i="1"/>
  <c r="AS213" i="1"/>
  <c r="AR213" i="1"/>
  <c r="AQ213" i="1"/>
  <c r="AO213" i="1"/>
  <c r="AS212" i="1"/>
  <c r="AR212" i="1"/>
  <c r="AQ212" i="1"/>
  <c r="AO212" i="1"/>
  <c r="AS211" i="1"/>
  <c r="AR211" i="1"/>
  <c r="AQ211" i="1"/>
  <c r="AO211" i="1"/>
  <c r="AS210" i="1"/>
  <c r="AR210" i="1"/>
  <c r="AQ210" i="1"/>
  <c r="AO210" i="1"/>
  <c r="AS209" i="1"/>
  <c r="AR209" i="1"/>
  <c r="AQ209" i="1"/>
  <c r="AO209" i="1"/>
  <c r="AS208" i="1"/>
  <c r="AR208" i="1"/>
  <c r="AQ208" i="1"/>
  <c r="AO208" i="1"/>
  <c r="AS207" i="1"/>
  <c r="AR207" i="1"/>
  <c r="AQ207" i="1"/>
  <c r="AO207" i="1"/>
  <c r="AS206" i="1"/>
  <c r="AR206" i="1"/>
  <c r="AQ206" i="1"/>
  <c r="AO206" i="1"/>
  <c r="AS205" i="1"/>
  <c r="AR205" i="1"/>
  <c r="AQ205" i="1"/>
  <c r="AO205" i="1"/>
  <c r="AS204" i="1"/>
  <c r="AR204" i="1"/>
  <c r="AQ204" i="1"/>
  <c r="AO204" i="1"/>
  <c r="AS203" i="1"/>
  <c r="AR203" i="1"/>
  <c r="AQ203" i="1"/>
  <c r="AO203" i="1"/>
  <c r="AS202" i="1"/>
  <c r="AR202" i="1"/>
  <c r="AQ202" i="1"/>
  <c r="AO202" i="1"/>
  <c r="AS201" i="1"/>
  <c r="AR201" i="1"/>
  <c r="AQ201" i="1"/>
  <c r="AO201" i="1"/>
  <c r="AS200" i="1"/>
  <c r="AR200" i="1"/>
  <c r="AQ200" i="1"/>
  <c r="AO200" i="1"/>
  <c r="AS199" i="1"/>
  <c r="AR199" i="1"/>
  <c r="AQ199" i="1"/>
  <c r="AO199" i="1"/>
  <c r="AS198" i="1"/>
  <c r="AR198" i="1"/>
  <c r="AQ198" i="1"/>
  <c r="AO198" i="1"/>
  <c r="AS197" i="1"/>
  <c r="AR197" i="1"/>
  <c r="AQ197" i="1"/>
  <c r="AO197" i="1"/>
  <c r="AS196" i="1"/>
  <c r="AR196" i="1"/>
  <c r="AQ196" i="1"/>
  <c r="AO196" i="1"/>
  <c r="AS195" i="1"/>
  <c r="AR195" i="1"/>
  <c r="AQ195" i="1"/>
  <c r="AO195" i="1"/>
  <c r="AS194" i="1"/>
  <c r="AR194" i="1"/>
  <c r="AQ194" i="1"/>
  <c r="AO194" i="1"/>
  <c r="AS193" i="1"/>
  <c r="AR193" i="1"/>
  <c r="AQ193" i="1"/>
  <c r="AO193" i="1"/>
  <c r="AS192" i="1"/>
  <c r="AR192" i="1"/>
  <c r="AQ192" i="1"/>
  <c r="AO192" i="1"/>
  <c r="AS191" i="1"/>
  <c r="AR191" i="1"/>
  <c r="AQ191" i="1"/>
  <c r="AO191" i="1"/>
  <c r="AS190" i="1"/>
  <c r="AR190" i="1"/>
  <c r="AQ190" i="1"/>
  <c r="AO190" i="1"/>
  <c r="AS189" i="1"/>
  <c r="AR189" i="1"/>
  <c r="AQ189" i="1"/>
  <c r="AO189" i="1"/>
  <c r="AS188" i="1"/>
  <c r="AR188" i="1"/>
  <c r="AQ188" i="1"/>
  <c r="AO188" i="1"/>
  <c r="AS187" i="1"/>
  <c r="AR187" i="1"/>
  <c r="AQ187" i="1"/>
  <c r="AO187" i="1"/>
  <c r="AS186" i="1"/>
  <c r="AR186" i="1"/>
  <c r="AQ186" i="1"/>
  <c r="AO186" i="1"/>
  <c r="AS185" i="1"/>
  <c r="AR185" i="1"/>
  <c r="AQ185" i="1"/>
  <c r="AO185" i="1"/>
  <c r="AS184" i="1"/>
  <c r="AR184" i="1"/>
  <c r="AQ184" i="1"/>
  <c r="AO184" i="1"/>
  <c r="AS183" i="1"/>
  <c r="AR183" i="1"/>
  <c r="AQ183" i="1"/>
  <c r="AO183" i="1"/>
  <c r="AS182" i="1"/>
  <c r="AR182" i="1"/>
  <c r="AQ182" i="1"/>
  <c r="AO182" i="1"/>
  <c r="AS181" i="1"/>
  <c r="AR181" i="1"/>
  <c r="AQ181" i="1"/>
  <c r="AO181" i="1"/>
  <c r="AS180" i="1"/>
  <c r="AR180" i="1"/>
  <c r="AQ180" i="1"/>
  <c r="AO180" i="1"/>
  <c r="AS179" i="1"/>
  <c r="AR179" i="1"/>
  <c r="AQ179" i="1"/>
  <c r="AO179" i="1"/>
  <c r="AS178" i="1"/>
  <c r="AR178" i="1"/>
  <c r="AQ178" i="1"/>
  <c r="AO178" i="1"/>
  <c r="AS177" i="1"/>
  <c r="AR177" i="1"/>
  <c r="AQ177" i="1"/>
  <c r="AO177" i="1"/>
  <c r="AS176" i="1"/>
  <c r="AR176" i="1"/>
  <c r="AQ176" i="1"/>
  <c r="AO176" i="1"/>
  <c r="AS175" i="1"/>
  <c r="AR175" i="1"/>
  <c r="AQ175" i="1"/>
  <c r="AO175" i="1"/>
  <c r="AS174" i="1"/>
  <c r="AR174" i="1"/>
  <c r="AQ174" i="1"/>
  <c r="AO174" i="1"/>
  <c r="AS173" i="1"/>
  <c r="AR173" i="1"/>
  <c r="AQ173" i="1"/>
  <c r="AO173" i="1"/>
  <c r="AS172" i="1"/>
  <c r="AR172" i="1"/>
  <c r="AQ172" i="1"/>
  <c r="AO172" i="1"/>
  <c r="AS171" i="1"/>
  <c r="AR171" i="1"/>
  <c r="AQ171" i="1"/>
  <c r="AO171" i="1"/>
  <c r="AS170" i="1"/>
  <c r="AR170" i="1"/>
  <c r="AQ170" i="1"/>
  <c r="AO170" i="1"/>
  <c r="AS169" i="1"/>
  <c r="AR169" i="1"/>
  <c r="AQ169" i="1"/>
  <c r="AO169" i="1"/>
  <c r="AS168" i="1"/>
  <c r="AR168" i="1"/>
  <c r="AQ168" i="1"/>
  <c r="AO168" i="1"/>
  <c r="AS167" i="1"/>
  <c r="AR167" i="1"/>
  <c r="AQ167" i="1"/>
  <c r="AO167" i="1"/>
  <c r="AS166" i="1"/>
  <c r="AR166" i="1"/>
  <c r="AQ166" i="1"/>
  <c r="AO166" i="1"/>
  <c r="AS165" i="1"/>
  <c r="AR165" i="1"/>
  <c r="AQ165" i="1"/>
  <c r="AO165" i="1"/>
  <c r="AS164" i="1"/>
  <c r="AR164" i="1"/>
  <c r="AQ164" i="1"/>
  <c r="AO164" i="1"/>
  <c r="AS163" i="1"/>
  <c r="AR163" i="1"/>
  <c r="AQ163" i="1"/>
  <c r="AO163" i="1"/>
  <c r="AS162" i="1"/>
  <c r="AR162" i="1"/>
  <c r="AQ162" i="1"/>
  <c r="AO162" i="1"/>
  <c r="AS161" i="1"/>
  <c r="AR161" i="1"/>
  <c r="AQ161" i="1"/>
  <c r="AO161" i="1"/>
  <c r="AS160" i="1"/>
  <c r="AR160" i="1"/>
  <c r="AQ160" i="1"/>
  <c r="AO160" i="1"/>
  <c r="AS159" i="1"/>
  <c r="AR159" i="1"/>
  <c r="AQ159" i="1"/>
  <c r="AO159" i="1"/>
  <c r="AS158" i="1"/>
  <c r="AR158" i="1"/>
  <c r="AQ158" i="1"/>
  <c r="AO158" i="1"/>
  <c r="AS157" i="1"/>
  <c r="AR157" i="1"/>
  <c r="AQ157" i="1"/>
  <c r="AO157" i="1"/>
  <c r="AS156" i="1"/>
  <c r="AR156" i="1"/>
  <c r="AQ156" i="1"/>
  <c r="AO156" i="1"/>
  <c r="AS155" i="1"/>
  <c r="AR155" i="1"/>
  <c r="AQ155" i="1"/>
  <c r="AO155" i="1"/>
  <c r="AS154" i="1"/>
  <c r="AR154" i="1"/>
  <c r="AQ154" i="1"/>
  <c r="AO154" i="1"/>
  <c r="AS153" i="1"/>
  <c r="AR153" i="1"/>
  <c r="AQ153" i="1"/>
  <c r="AO153" i="1"/>
  <c r="AS152" i="1"/>
  <c r="AR152" i="1"/>
  <c r="AQ152" i="1"/>
  <c r="AO152" i="1"/>
  <c r="AS151" i="1"/>
  <c r="AR151" i="1"/>
  <c r="AQ151" i="1"/>
  <c r="AO151" i="1"/>
  <c r="AS150" i="1"/>
  <c r="AR150" i="1"/>
  <c r="AQ150" i="1"/>
  <c r="AO150" i="1"/>
  <c r="AS149" i="1"/>
  <c r="AR149" i="1"/>
  <c r="AQ149" i="1"/>
  <c r="AO149" i="1"/>
  <c r="AS148" i="1"/>
  <c r="AR148" i="1"/>
  <c r="AQ148" i="1"/>
  <c r="AO148" i="1"/>
  <c r="AS147" i="1"/>
  <c r="AR147" i="1"/>
  <c r="AQ147" i="1"/>
  <c r="AO147" i="1"/>
  <c r="AS146" i="1"/>
  <c r="AR146" i="1"/>
  <c r="AQ146" i="1"/>
  <c r="AO146" i="1"/>
  <c r="AS145" i="1"/>
  <c r="AR145" i="1"/>
  <c r="AQ145" i="1"/>
  <c r="AO145" i="1"/>
  <c r="AS144" i="1"/>
  <c r="AR144" i="1"/>
  <c r="AQ144" i="1"/>
  <c r="AO144" i="1"/>
  <c r="AS143" i="1"/>
  <c r="AR143" i="1"/>
  <c r="AQ143" i="1"/>
  <c r="AO143" i="1"/>
  <c r="AS142" i="1"/>
  <c r="AR142" i="1"/>
  <c r="AQ142" i="1"/>
  <c r="AO142" i="1"/>
  <c r="AS141" i="1"/>
  <c r="AR141" i="1"/>
  <c r="AQ141" i="1"/>
  <c r="AO141" i="1"/>
  <c r="AS140" i="1"/>
  <c r="AR140" i="1"/>
  <c r="AQ140" i="1"/>
  <c r="AO140" i="1"/>
  <c r="AS139" i="1"/>
  <c r="AR139" i="1"/>
  <c r="AQ139" i="1"/>
  <c r="AO139" i="1"/>
  <c r="AS138" i="1"/>
  <c r="AR138" i="1"/>
  <c r="AQ138" i="1"/>
  <c r="AO138" i="1"/>
  <c r="AS137" i="1"/>
  <c r="AR137" i="1"/>
  <c r="AQ137" i="1"/>
  <c r="AO137" i="1"/>
  <c r="AS136" i="1"/>
  <c r="AR136" i="1"/>
  <c r="AQ136" i="1"/>
  <c r="AO136" i="1"/>
  <c r="AS135" i="1"/>
  <c r="AR135" i="1"/>
  <c r="AQ135" i="1"/>
  <c r="AO135" i="1"/>
  <c r="AS134" i="1"/>
  <c r="AR134" i="1"/>
  <c r="AQ134" i="1"/>
  <c r="AO134" i="1"/>
  <c r="AS133" i="1"/>
  <c r="AR133" i="1"/>
  <c r="AQ133" i="1"/>
  <c r="AO133" i="1"/>
  <c r="AS132" i="1"/>
  <c r="AR132" i="1"/>
  <c r="AQ132" i="1"/>
  <c r="AO132" i="1"/>
  <c r="AS131" i="1"/>
  <c r="AR131" i="1"/>
  <c r="AQ131" i="1"/>
  <c r="AO131" i="1"/>
  <c r="AS130" i="1"/>
  <c r="AR130" i="1"/>
  <c r="AQ130" i="1"/>
  <c r="AO130" i="1"/>
  <c r="AS129" i="1"/>
  <c r="AR129" i="1"/>
  <c r="AQ129" i="1"/>
  <c r="AO129" i="1"/>
  <c r="AS128" i="1"/>
  <c r="AR128" i="1"/>
  <c r="AQ128" i="1"/>
  <c r="AO128" i="1"/>
  <c r="AS127" i="1"/>
  <c r="AR127" i="1"/>
  <c r="AQ127" i="1"/>
  <c r="AO127" i="1"/>
  <c r="AS126" i="1"/>
  <c r="AR126" i="1"/>
  <c r="AQ126" i="1"/>
  <c r="AO126" i="1"/>
  <c r="AS125" i="1"/>
  <c r="AR125" i="1"/>
  <c r="AQ125" i="1"/>
  <c r="AO125" i="1"/>
  <c r="AS124" i="1"/>
  <c r="AR124" i="1"/>
  <c r="AQ124" i="1"/>
  <c r="AO124" i="1"/>
  <c r="AS123" i="1"/>
  <c r="AR123" i="1"/>
  <c r="AQ123" i="1"/>
  <c r="AO123" i="1"/>
  <c r="AS122" i="1"/>
  <c r="AR122" i="1"/>
  <c r="AQ122" i="1"/>
  <c r="AO122" i="1"/>
  <c r="AS121" i="1"/>
  <c r="AR121" i="1"/>
  <c r="AQ121" i="1"/>
  <c r="AO121" i="1"/>
  <c r="AS120" i="1"/>
  <c r="AR120" i="1"/>
  <c r="AQ120" i="1"/>
  <c r="AO120" i="1"/>
  <c r="AS119" i="1"/>
  <c r="AR119" i="1"/>
  <c r="AQ119" i="1"/>
  <c r="AO119" i="1"/>
  <c r="AS118" i="1"/>
  <c r="AR118" i="1"/>
  <c r="AQ118" i="1"/>
  <c r="AO118" i="1"/>
  <c r="AS117" i="1"/>
  <c r="AR117" i="1"/>
  <c r="AQ117" i="1"/>
  <c r="AO117" i="1"/>
  <c r="AS116" i="1"/>
  <c r="AR116" i="1"/>
  <c r="AQ116" i="1"/>
  <c r="AO116" i="1"/>
  <c r="AS115" i="1"/>
  <c r="AR115" i="1"/>
  <c r="AQ115" i="1"/>
  <c r="AO115" i="1"/>
  <c r="AS114" i="1"/>
  <c r="AR114" i="1"/>
  <c r="AQ114" i="1"/>
  <c r="AO114" i="1"/>
  <c r="AS113" i="1"/>
  <c r="AR113" i="1"/>
  <c r="AQ113" i="1"/>
  <c r="AO113" i="1"/>
  <c r="AS112" i="1"/>
  <c r="AR112" i="1"/>
  <c r="AQ112" i="1"/>
  <c r="AO112" i="1"/>
  <c r="AS111" i="1"/>
  <c r="AR111" i="1"/>
  <c r="AQ111" i="1"/>
  <c r="AO111" i="1"/>
  <c r="AS110" i="1"/>
  <c r="AR110" i="1"/>
  <c r="AQ110" i="1"/>
  <c r="AO110" i="1"/>
  <c r="AS109" i="1"/>
  <c r="AR109" i="1"/>
  <c r="AQ109" i="1"/>
  <c r="AO109" i="1"/>
  <c r="AS108" i="1"/>
  <c r="AR108" i="1"/>
  <c r="AQ108" i="1"/>
  <c r="AO108" i="1"/>
  <c r="AS107" i="1"/>
  <c r="AR107" i="1"/>
  <c r="AQ107" i="1"/>
  <c r="AO107" i="1"/>
  <c r="AS106" i="1"/>
  <c r="AR106" i="1"/>
  <c r="AQ106" i="1"/>
  <c r="AO106" i="1"/>
  <c r="AS105" i="1"/>
  <c r="AR105" i="1"/>
  <c r="AQ105" i="1"/>
  <c r="AO105" i="1"/>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X10" i="2"/>
  <c r="X9" i="2"/>
  <c r="P3" i="2"/>
  <c r="P4" i="2"/>
  <c r="P5" i="2"/>
  <c r="P6" i="2"/>
  <c r="P7" i="2"/>
  <c r="P8" i="2"/>
  <c r="P9" i="2"/>
  <c r="P10" i="2"/>
  <c r="P11" i="2"/>
  <c r="P12" i="2"/>
  <c r="P13" i="2"/>
  <c r="P14" i="2"/>
  <c r="P15" i="2"/>
  <c r="P16" i="2"/>
  <c r="X16" i="2"/>
  <c r="X17" i="2"/>
  <c r="X18" i="2"/>
  <c r="X12" i="2"/>
  <c r="X13" i="2"/>
  <c r="X14" i="2"/>
  <c r="X7" i="2"/>
  <c r="X8" i="2"/>
  <c r="X3" i="2"/>
  <c r="X4" i="2"/>
  <c r="X5"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AA2" i="2"/>
  <c r="M10" i="7"/>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DC104" i="1" s="1"/>
  <c r="AG103" i="1"/>
  <c r="DC103" i="1" s="1"/>
  <c r="AG102" i="1"/>
  <c r="DC102" i="1" s="1"/>
  <c r="AG101" i="1"/>
  <c r="DC101" i="1" s="1"/>
  <c r="AG100" i="1"/>
  <c r="DC100" i="1" s="1"/>
  <c r="AG99" i="1"/>
  <c r="DC99" i="1" s="1"/>
  <c r="AG98" i="1"/>
  <c r="DC98" i="1" s="1"/>
  <c r="AG97" i="1"/>
  <c r="DC97" i="1" s="1"/>
  <c r="AG96" i="1"/>
  <c r="DC96" i="1" s="1"/>
  <c r="AG95" i="1"/>
  <c r="DC95" i="1" s="1"/>
  <c r="AG94" i="1"/>
  <c r="DC94" i="1" s="1"/>
  <c r="AG93" i="1"/>
  <c r="DC93" i="1" s="1"/>
  <c r="AG92" i="1"/>
  <c r="DC92" i="1" s="1"/>
  <c r="AG91" i="1"/>
  <c r="DC91" i="1" s="1"/>
  <c r="AG90" i="1"/>
  <c r="DC90" i="1" s="1"/>
  <c r="AG89" i="1"/>
  <c r="DC89" i="1" s="1"/>
  <c r="AG88" i="1"/>
  <c r="DC88" i="1" s="1"/>
  <c r="AG87" i="1"/>
  <c r="DC87" i="1" s="1"/>
  <c r="AG86" i="1"/>
  <c r="DC86" i="1" s="1"/>
  <c r="AG85" i="1"/>
  <c r="DC85" i="1" s="1"/>
  <c r="AG84" i="1"/>
  <c r="DC84" i="1" s="1"/>
  <c r="AG83" i="1"/>
  <c r="DC83" i="1" s="1"/>
  <c r="AG82" i="1"/>
  <c r="DC82" i="1" s="1"/>
  <c r="AG81" i="1"/>
  <c r="DC81" i="1" s="1"/>
  <c r="AG80" i="1"/>
  <c r="DC80" i="1" s="1"/>
  <c r="AG79" i="1"/>
  <c r="DC79" i="1" s="1"/>
  <c r="AG78" i="1"/>
  <c r="DC78" i="1" s="1"/>
  <c r="AG77" i="1"/>
  <c r="DC77" i="1" s="1"/>
  <c r="AG76" i="1"/>
  <c r="DC76" i="1" s="1"/>
  <c r="AG75" i="1"/>
  <c r="DC75" i="1" s="1"/>
  <c r="AG74" i="1"/>
  <c r="DC74" i="1" s="1"/>
  <c r="AG73" i="1"/>
  <c r="DC73" i="1" s="1"/>
  <c r="AG72" i="1"/>
  <c r="DC72" i="1" s="1"/>
  <c r="AG71" i="1"/>
  <c r="DC71" i="1" s="1"/>
  <c r="AG70" i="1"/>
  <c r="DC70" i="1" s="1"/>
  <c r="AG69" i="1"/>
  <c r="DC69" i="1" s="1"/>
  <c r="AG68" i="1"/>
  <c r="DC68" i="1" s="1"/>
  <c r="AG67" i="1"/>
  <c r="DC67" i="1" s="1"/>
  <c r="AG66" i="1"/>
  <c r="DC66" i="1" s="1"/>
  <c r="AG65" i="1"/>
  <c r="DC65" i="1" s="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J5" i="1"/>
  <c r="J6" i="1"/>
  <c r="J7" i="1"/>
  <c r="J8" i="1"/>
  <c r="J9" i="1"/>
  <c r="J10" i="1"/>
  <c r="J11" i="1"/>
  <c r="J12" i="1"/>
  <c r="J13" i="1"/>
  <c r="J14" i="1"/>
  <c r="J15" i="1"/>
  <c r="J16" i="1"/>
  <c r="J17" i="1"/>
  <c r="J18" i="1"/>
  <c r="J19" i="1"/>
  <c r="J20"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X6" i="2"/>
  <c r="X11" i="2"/>
  <c r="X15" i="2"/>
  <c r="X2" i="2"/>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30"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29"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75"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164"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46" i="3"/>
  <c r="L899" i="3"/>
  <c r="L898" i="3"/>
  <c r="L897" i="3"/>
  <c r="I897" i="3"/>
  <c r="L896" i="3"/>
  <c r="I896" i="3"/>
  <c r="L895" i="3"/>
  <c r="I895" i="3"/>
  <c r="L894" i="3"/>
  <c r="I894" i="3"/>
  <c r="L893" i="3"/>
  <c r="I893" i="3"/>
  <c r="L892" i="3"/>
  <c r="I892" i="3"/>
  <c r="I631" i="3"/>
  <c r="I890" i="3"/>
  <c r="I888" i="3"/>
  <c r="I889" i="3"/>
  <c r="I887" i="3"/>
  <c r="I886" i="3"/>
  <c r="I885" i="3"/>
  <c r="I884" i="3"/>
  <c r="I883" i="3"/>
  <c r="I882" i="3"/>
  <c r="I881" i="3"/>
  <c r="I878" i="3"/>
  <c r="I877" i="3"/>
  <c r="I876" i="3"/>
  <c r="I875" i="3"/>
  <c r="I874" i="3"/>
  <c r="I873" i="3"/>
  <c r="I872" i="3"/>
  <c r="I871" i="3"/>
  <c r="I870" i="3"/>
  <c r="I869" i="3"/>
  <c r="I867" i="3"/>
  <c r="I866" i="3"/>
  <c r="I865" i="3"/>
  <c r="I864" i="3"/>
  <c r="I863" i="3"/>
  <c r="I862" i="3"/>
  <c r="I861" i="3"/>
  <c r="I860" i="3"/>
  <c r="I859" i="3"/>
  <c r="I858" i="3"/>
  <c r="I857" i="3"/>
  <c r="I856" i="3"/>
  <c r="I855" i="3"/>
  <c r="I851" i="3"/>
  <c r="I850" i="3"/>
  <c r="I849" i="3"/>
  <c r="I848" i="3"/>
  <c r="I847" i="3"/>
  <c r="I846" i="3"/>
  <c r="I845" i="3"/>
  <c r="I844" i="3"/>
  <c r="I843" i="3"/>
  <c r="I842" i="3"/>
  <c r="I841" i="3"/>
  <c r="I840" i="3"/>
  <c r="I839" i="3"/>
  <c r="I838" i="3"/>
  <c r="I837" i="3"/>
  <c r="I828" i="3"/>
  <c r="I827" i="3"/>
  <c r="I826" i="3"/>
  <c r="I825" i="3"/>
  <c r="I824" i="3"/>
  <c r="I823" i="3"/>
  <c r="I822" i="3"/>
  <c r="I821" i="3"/>
  <c r="I820" i="3"/>
  <c r="I819" i="3"/>
  <c r="I818" i="3"/>
  <c r="I817" i="3"/>
  <c r="I816" i="3"/>
  <c r="I815" i="3"/>
  <c r="I814" i="3"/>
  <c r="I813" i="3"/>
  <c r="I812" i="3"/>
  <c r="I811" i="3"/>
  <c r="I810" i="3"/>
  <c r="I809" i="3"/>
  <c r="I808" i="3"/>
  <c r="I807" i="3"/>
  <c r="I806" i="3"/>
  <c r="I804" i="3"/>
  <c r="I803" i="3"/>
  <c r="I802" i="3"/>
  <c r="I801" i="3"/>
  <c r="I800" i="3"/>
  <c r="I795" i="3"/>
  <c r="I794" i="3"/>
  <c r="I793" i="3"/>
  <c r="I792" i="3"/>
  <c r="I791" i="3"/>
  <c r="I790" i="3"/>
  <c r="I785" i="3"/>
  <c r="I783" i="3"/>
  <c r="I782" i="3"/>
  <c r="I781" i="3"/>
  <c r="I780" i="3"/>
  <c r="I779" i="3"/>
  <c r="I778" i="3"/>
  <c r="I772" i="3"/>
  <c r="I765" i="3"/>
  <c r="I764" i="3"/>
  <c r="I762" i="3"/>
  <c r="I760" i="3"/>
  <c r="I750" i="3"/>
  <c r="I752" i="3"/>
  <c r="I751" i="3"/>
  <c r="I749" i="3"/>
  <c r="I746" i="3"/>
  <c r="I742" i="3"/>
  <c r="I741" i="3"/>
  <c r="I737" i="3"/>
  <c r="I736" i="3"/>
  <c r="I735" i="3"/>
  <c r="I722" i="3"/>
  <c r="I719" i="3"/>
  <c r="I718" i="3"/>
  <c r="I717" i="3"/>
  <c r="I716" i="3"/>
  <c r="I715" i="3"/>
  <c r="I714" i="3"/>
  <c r="I713" i="3"/>
  <c r="I712" i="3"/>
  <c r="I708" i="3"/>
  <c r="I707" i="3"/>
  <c r="I703" i="3"/>
  <c r="I702" i="3"/>
  <c r="I701" i="3"/>
  <c r="I687" i="3"/>
  <c r="I684" i="3"/>
  <c r="I683" i="3"/>
  <c r="I682" i="3"/>
  <c r="I681" i="3"/>
  <c r="I680" i="3"/>
  <c r="I679" i="3"/>
  <c r="I678" i="3"/>
  <c r="I672" i="3"/>
  <c r="I641" i="3"/>
  <c r="I671" i="3"/>
  <c r="I665" i="3"/>
  <c r="I664" i="3"/>
  <c r="I663" i="3"/>
  <c r="I643" i="3"/>
  <c r="I642" i="3"/>
  <c r="I638" i="3"/>
  <c r="I637" i="3"/>
  <c r="I636" i="3"/>
  <c r="I635" i="3"/>
  <c r="I634" i="3"/>
  <c r="I633" i="3"/>
  <c r="I632" i="3"/>
  <c r="I630" i="3"/>
  <c r="I618" i="3"/>
  <c r="I617" i="3"/>
  <c r="I616" i="3"/>
  <c r="I615" i="3"/>
  <c r="I603" i="3"/>
  <c r="I602" i="3"/>
  <c r="I601" i="3"/>
  <c r="I600" i="3"/>
  <c r="I565" i="3"/>
  <c r="I564" i="3"/>
  <c r="I563" i="3"/>
  <c r="I559" i="3"/>
  <c r="I558" i="3"/>
  <c r="I557" i="3"/>
  <c r="I556" i="3"/>
  <c r="I555" i="3"/>
  <c r="I554" i="3"/>
  <c r="I553" i="3"/>
  <c r="I552" i="3"/>
  <c r="I551" i="3"/>
  <c r="I548" i="3"/>
  <c r="I546" i="3"/>
  <c r="I545" i="3"/>
  <c r="I544" i="3"/>
  <c r="I543" i="3"/>
  <c r="I538" i="3"/>
  <c r="I537" i="3"/>
  <c r="I536" i="3"/>
  <c r="I535" i="3"/>
  <c r="I530" i="3"/>
  <c r="I529" i="3"/>
  <c r="I528" i="3"/>
  <c r="I527" i="3"/>
  <c r="I526" i="3"/>
  <c r="I524" i="3"/>
  <c r="I510" i="3"/>
  <c r="I509" i="3"/>
  <c r="I508" i="3"/>
  <c r="I507" i="3"/>
  <c r="I506" i="3"/>
  <c r="I505" i="3"/>
  <c r="I504" i="3"/>
  <c r="I503" i="3"/>
  <c r="I484" i="3"/>
  <c r="I483" i="3"/>
  <c r="I482" i="3"/>
  <c r="I481" i="3"/>
  <c r="I480" i="3"/>
  <c r="I479" i="3"/>
  <c r="I478" i="3"/>
  <c r="I477" i="3"/>
  <c r="I476" i="3"/>
  <c r="I471" i="3"/>
  <c r="I470" i="3"/>
  <c r="I464" i="3"/>
  <c r="I462" i="3"/>
  <c r="I463" i="3"/>
  <c r="I451" i="3"/>
  <c r="I450" i="3"/>
  <c r="I436" i="3"/>
  <c r="I433" i="3"/>
  <c r="I431" i="3"/>
  <c r="I784" i="3"/>
  <c r="I771" i="3"/>
  <c r="I770" i="3"/>
  <c r="I766" i="3"/>
  <c r="I754" i="3"/>
  <c r="I753" i="3"/>
  <c r="I747" i="3"/>
  <c r="I721" i="3"/>
  <c r="I720" i="3"/>
  <c r="I686" i="3"/>
  <c r="I685" i="3"/>
  <c r="I640" i="3"/>
  <c r="I639" i="3"/>
  <c r="I561" i="3"/>
  <c r="I562" i="3"/>
  <c r="I560" i="3"/>
  <c r="I512" i="3"/>
  <c r="I525" i="3"/>
  <c r="I511" i="3"/>
  <c r="I486" i="3"/>
  <c r="I485" i="3"/>
  <c r="I453" i="3"/>
  <c r="I452" i="3"/>
  <c r="I434" i="3"/>
  <c r="I435" i="3"/>
  <c r="I891" i="3"/>
  <c r="I880" i="3"/>
  <c r="I879" i="3"/>
  <c r="I868" i="3"/>
  <c r="I854" i="3"/>
  <c r="I853" i="3"/>
  <c r="I852" i="3"/>
  <c r="I836" i="3"/>
  <c r="I835" i="3"/>
  <c r="I834" i="3"/>
  <c r="I833" i="3"/>
  <c r="I832" i="3"/>
  <c r="I831" i="3"/>
  <c r="I830" i="3"/>
  <c r="I829" i="3"/>
  <c r="I805" i="3"/>
  <c r="I799" i="3"/>
  <c r="I798" i="3"/>
  <c r="I797" i="3"/>
  <c r="I796" i="3"/>
  <c r="I789" i="3"/>
  <c r="I788" i="3"/>
  <c r="I787" i="3"/>
  <c r="I786" i="3"/>
  <c r="I777" i="3"/>
  <c r="I776" i="3"/>
  <c r="I775" i="3"/>
  <c r="I774" i="3"/>
  <c r="I773" i="3"/>
  <c r="I550" i="3"/>
  <c r="I549" i="3"/>
  <c r="I769" i="3"/>
  <c r="I768" i="3"/>
  <c r="I767" i="3"/>
  <c r="I763" i="3"/>
  <c r="I761" i="3"/>
  <c r="I758" i="3"/>
  <c r="I756" i="3"/>
  <c r="I759" i="3"/>
  <c r="I757" i="3"/>
  <c r="I755" i="3"/>
  <c r="I748" i="3"/>
  <c r="I733" i="3"/>
  <c r="I734" i="3"/>
  <c r="I732" i="3"/>
  <c r="I725" i="3"/>
  <c r="I731" i="3"/>
  <c r="I730" i="3"/>
  <c r="I729" i="3"/>
  <c r="I728" i="3"/>
  <c r="I726" i="3"/>
  <c r="I724" i="3"/>
  <c r="I744" i="3"/>
  <c r="I745" i="3"/>
  <c r="I743" i="3"/>
  <c r="I739" i="3"/>
  <c r="I740" i="3"/>
  <c r="I738" i="3"/>
  <c r="I727" i="3"/>
  <c r="I723" i="3"/>
  <c r="I699" i="3"/>
  <c r="I700" i="3"/>
  <c r="I698" i="3"/>
  <c r="I697" i="3"/>
  <c r="I696" i="3"/>
  <c r="I695" i="3"/>
  <c r="I694" i="3"/>
  <c r="I693" i="3"/>
  <c r="I692" i="3"/>
  <c r="I691" i="3"/>
  <c r="I690" i="3"/>
  <c r="I689" i="3"/>
  <c r="I710" i="3"/>
  <c r="I711" i="3"/>
  <c r="I709" i="3"/>
  <c r="I705" i="3"/>
  <c r="I706" i="3"/>
  <c r="I704" i="3"/>
  <c r="I688" i="3"/>
  <c r="I660" i="3"/>
  <c r="I659" i="3"/>
  <c r="I662" i="3"/>
  <c r="I661" i="3"/>
  <c r="I658" i="3"/>
  <c r="I657" i="3"/>
  <c r="I656" i="3"/>
  <c r="I655" i="3"/>
  <c r="I654" i="3"/>
  <c r="I653" i="3"/>
  <c r="I652" i="3"/>
  <c r="I651" i="3"/>
  <c r="I650" i="3"/>
  <c r="I649" i="3"/>
  <c r="I648" i="3"/>
  <c r="I647" i="3"/>
  <c r="I646" i="3"/>
  <c r="I645" i="3"/>
  <c r="I676" i="3"/>
  <c r="I675" i="3"/>
  <c r="I677" i="3"/>
  <c r="I674" i="3"/>
  <c r="I673" i="3"/>
  <c r="I669" i="3"/>
  <c r="I668" i="3"/>
  <c r="I670" i="3"/>
  <c r="I667" i="3"/>
  <c r="I666" i="3"/>
  <c r="I644" i="3"/>
  <c r="I595" i="3"/>
  <c r="I594" i="3"/>
  <c r="I593" i="3"/>
  <c r="I592" i="3"/>
  <c r="I599" i="3"/>
  <c r="I598" i="3"/>
  <c r="I597" i="3"/>
  <c r="I596"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624" i="3"/>
  <c r="I621" i="3"/>
  <c r="I628" i="3"/>
  <c r="I627" i="3"/>
  <c r="I625" i="3"/>
  <c r="I622" i="3"/>
  <c r="I629" i="3"/>
  <c r="I626" i="3"/>
  <c r="I623" i="3"/>
  <c r="I620" i="3"/>
  <c r="I619" i="3"/>
  <c r="I609" i="3"/>
  <c r="I606" i="3"/>
  <c r="I613" i="3"/>
  <c r="I612" i="3"/>
  <c r="I610" i="3"/>
  <c r="I607" i="3"/>
  <c r="I614" i="3"/>
  <c r="I611" i="3"/>
  <c r="I608" i="3"/>
  <c r="I605" i="3"/>
  <c r="I604" i="3"/>
  <c r="I566" i="3"/>
  <c r="I547" i="3"/>
  <c r="I542" i="3"/>
  <c r="I541" i="3"/>
  <c r="I540" i="3"/>
  <c r="I539" i="3"/>
  <c r="I534" i="3"/>
  <c r="I533" i="3"/>
  <c r="I532" i="3"/>
  <c r="I531" i="3"/>
  <c r="I523" i="3"/>
  <c r="I522" i="3"/>
  <c r="I521" i="3"/>
  <c r="I520" i="3"/>
  <c r="I519" i="3"/>
  <c r="I518" i="3"/>
  <c r="I517" i="3"/>
  <c r="I516" i="3"/>
  <c r="I515" i="3"/>
  <c r="I514" i="3"/>
  <c r="I513" i="3"/>
  <c r="I502" i="3"/>
  <c r="I501" i="3"/>
  <c r="I500" i="3"/>
  <c r="I499" i="3"/>
  <c r="I498" i="3"/>
  <c r="I497" i="3"/>
  <c r="I496" i="3"/>
  <c r="I495" i="3"/>
  <c r="I494" i="3"/>
  <c r="I493" i="3"/>
  <c r="I492" i="3"/>
  <c r="I491" i="3"/>
  <c r="I490" i="3"/>
  <c r="I489" i="3"/>
  <c r="I488" i="3"/>
  <c r="I487" i="3"/>
  <c r="I475" i="3"/>
  <c r="I474" i="3"/>
  <c r="I473" i="3"/>
  <c r="I472" i="3"/>
  <c r="I469" i="3"/>
  <c r="I468" i="3"/>
  <c r="I467" i="3"/>
  <c r="I466" i="3"/>
  <c r="I465" i="3"/>
  <c r="I461" i="3"/>
  <c r="I460" i="3"/>
  <c r="I459" i="3"/>
  <c r="I458" i="3"/>
  <c r="I457" i="3"/>
  <c r="I456" i="3"/>
  <c r="I455" i="3"/>
  <c r="I454" i="3"/>
  <c r="I449" i="3"/>
  <c r="I448" i="3"/>
  <c r="I447" i="3"/>
  <c r="I446" i="3"/>
  <c r="I445" i="3"/>
  <c r="I444" i="3"/>
  <c r="I443" i="3"/>
  <c r="I442" i="3"/>
  <c r="I441" i="3"/>
  <c r="I440" i="3"/>
  <c r="I439" i="3"/>
  <c r="I438" i="3"/>
  <c r="I437" i="3"/>
  <c r="I432" i="3"/>
  <c r="I430" i="3"/>
  <c r="P2" i="2"/>
  <c r="H2" i="2"/>
  <c r="W5" i="1"/>
  <c r="W9" i="1"/>
  <c r="W13" i="1"/>
  <c r="W17" i="1"/>
  <c r="W25" i="1"/>
  <c r="W37" i="1"/>
  <c r="W41" i="1"/>
  <c r="W45" i="1"/>
  <c r="W49" i="1"/>
  <c r="W53" i="1"/>
  <c r="W57" i="1"/>
  <c r="W69" i="1"/>
  <c r="W73" i="1"/>
  <c r="W77" i="1"/>
  <c r="W81" i="1"/>
  <c r="W85" i="1"/>
  <c r="W89" i="1"/>
  <c r="W93" i="1"/>
  <c r="W97" i="1"/>
  <c r="W101" i="1"/>
  <c r="W105" i="1"/>
  <c r="W109" i="1"/>
  <c r="W113" i="1"/>
  <c r="W117" i="1"/>
  <c r="W121" i="1"/>
  <c r="W125" i="1"/>
  <c r="W129" i="1"/>
  <c r="W133" i="1"/>
  <c r="W137" i="1"/>
  <c r="W141" i="1"/>
  <c r="W145" i="1"/>
  <c r="W149" i="1"/>
  <c r="W153" i="1"/>
  <c r="W161" i="1"/>
  <c r="W165" i="1"/>
  <c r="W169" i="1"/>
  <c r="W173" i="1"/>
  <c r="W6" i="1"/>
  <c r="W11" i="1"/>
  <c r="W16" i="1"/>
  <c r="W22" i="1"/>
  <c r="W27" i="1"/>
  <c r="W38" i="1"/>
  <c r="W43" i="1"/>
  <c r="W48" i="1"/>
  <c r="W54" i="1"/>
  <c r="W59" i="1"/>
  <c r="W64" i="1"/>
  <c r="W70" i="1"/>
  <c r="W75" i="1"/>
  <c r="W80" i="1"/>
  <c r="W91" i="1"/>
  <c r="W96" i="1"/>
  <c r="W102" i="1"/>
  <c r="W107" i="1"/>
  <c r="W112" i="1"/>
  <c r="W118" i="1"/>
  <c r="W123" i="1"/>
  <c r="W128" i="1"/>
  <c r="W134" i="1"/>
  <c r="W139" i="1"/>
  <c r="W144" i="1"/>
  <c r="W160" i="1"/>
  <c r="W166" i="1"/>
  <c r="W171" i="1"/>
  <c r="W176" i="1"/>
  <c r="W180" i="1"/>
  <c r="W184" i="1"/>
  <c r="W188" i="1"/>
  <c r="W192" i="1"/>
  <c r="W196" i="1"/>
  <c r="W200" i="1"/>
  <c r="W204" i="1"/>
  <c r="W208" i="1"/>
  <c r="W212" i="1"/>
  <c r="W216" i="1"/>
  <c r="W224" i="1"/>
  <c r="W228" i="1"/>
  <c r="W232" i="1"/>
  <c r="W236" i="1"/>
  <c r="W240" i="1"/>
  <c r="W244" i="1"/>
  <c r="W248" i="1"/>
  <c r="W252" i="1"/>
  <c r="W15" i="1"/>
  <c r="W20" i="1"/>
  <c r="W26" i="1"/>
  <c r="W36" i="1"/>
  <c r="W42" i="1"/>
  <c r="W47" i="1"/>
  <c r="W58" i="1"/>
  <c r="W63" i="1"/>
  <c r="W68" i="1"/>
  <c r="W79" i="1"/>
  <c r="W84" i="1"/>
  <c r="W90" i="1"/>
  <c r="W100" i="1"/>
  <c r="W106" i="1"/>
  <c r="W111" i="1"/>
  <c r="W122" i="1"/>
  <c r="W127" i="1"/>
  <c r="W132" i="1"/>
  <c r="W143" i="1"/>
  <c r="W148" i="1"/>
  <c r="W154" i="1"/>
  <c r="W164" i="1"/>
  <c r="W170" i="1"/>
  <c r="W175" i="1"/>
  <c r="W183" i="1"/>
  <c r="W187" i="1"/>
  <c r="W191" i="1"/>
  <c r="W199" i="1"/>
  <c r="W203" i="1"/>
  <c r="W207" i="1"/>
  <c r="W215" i="1"/>
  <c r="W219" i="1"/>
  <c r="W223" i="1"/>
  <c r="W231" i="1"/>
  <c r="W235" i="1"/>
  <c r="W239" i="1"/>
  <c r="W247" i="1"/>
  <c r="W251" i="1"/>
  <c r="W14" i="1"/>
  <c r="W35" i="1"/>
  <c r="W46" i="1"/>
  <c r="W56" i="1"/>
  <c r="W78" i="1"/>
  <c r="W88" i="1"/>
  <c r="W99" i="1"/>
  <c r="W120" i="1"/>
  <c r="W131" i="1"/>
  <c r="W142" i="1"/>
  <c r="W163" i="1"/>
  <c r="W174" i="1"/>
  <c r="W182" i="1"/>
  <c r="W198" i="1"/>
  <c r="W206" i="1"/>
  <c r="W214" i="1"/>
  <c r="W230" i="1"/>
  <c r="W238" i="1"/>
  <c r="W246" i="1"/>
  <c r="W7" i="1"/>
  <c r="W18" i="1"/>
  <c r="W28" i="1"/>
  <c r="W50" i="1"/>
  <c r="W60" i="1"/>
  <c r="W71" i="1"/>
  <c r="W92" i="1"/>
  <c r="W103" i="1"/>
  <c r="W114" i="1"/>
  <c r="W135" i="1"/>
  <c r="W146" i="1"/>
  <c r="W156" i="1"/>
  <c r="W177" i="1"/>
  <c r="W185" i="1"/>
  <c r="W193" i="1"/>
  <c r="W209" i="1"/>
  <c r="W217" i="1"/>
  <c r="W225" i="1"/>
  <c r="W241" i="1"/>
  <c r="W12" i="1"/>
  <c r="W34" i="1"/>
  <c r="W55" i="1"/>
  <c r="W76" i="1"/>
  <c r="W119" i="1"/>
  <c r="W140" i="1"/>
  <c r="W162" i="1"/>
  <c r="W197" i="1"/>
  <c r="W213" i="1"/>
  <c r="W229" i="1"/>
  <c r="W245" i="1"/>
  <c r="W40" i="1"/>
  <c r="W62" i="1"/>
  <c r="W83" i="1"/>
  <c r="W126" i="1"/>
  <c r="W147" i="1"/>
  <c r="W168" i="1"/>
  <c r="W202" i="1"/>
  <c r="W218" i="1"/>
  <c r="W234" i="1"/>
  <c r="W8" i="1"/>
  <c r="W178" i="1"/>
  <c r="W44" i="1"/>
  <c r="W130" i="1"/>
  <c r="W172" i="1"/>
  <c r="W205" i="1"/>
  <c r="W51" i="1"/>
  <c r="W94" i="1"/>
  <c r="W136" i="1"/>
  <c r="W242" i="1"/>
  <c r="W23" i="1"/>
  <c r="W66" i="1"/>
  <c r="W151" i="1"/>
  <c r="W189" i="1"/>
  <c r="W221" i="1"/>
  <c r="W30" i="1"/>
  <c r="W72" i="1"/>
  <c r="W115" i="1"/>
  <c r="W158" i="1"/>
  <c r="W194" i="1"/>
  <c r="W226" i="1"/>
  <c r="W155" i="1"/>
  <c r="W65" i="1"/>
  <c r="W33" i="1"/>
  <c r="W253" i="1"/>
  <c r="W108" i="1"/>
  <c r="W210" i="1"/>
  <c r="W249" i="1"/>
  <c r="W220" i="1"/>
  <c r="W150" i="1"/>
  <c r="W86" i="1"/>
  <c r="W157" i="1"/>
  <c r="W61" i="1"/>
  <c r="W29" i="1"/>
  <c r="W237" i="1"/>
  <c r="W87" i="1"/>
  <c r="W250" i="1"/>
  <c r="W186" i="1"/>
  <c r="W104" i="1"/>
  <c r="W19" i="1"/>
  <c r="W181" i="1"/>
  <c r="W98" i="1"/>
  <c r="W233" i="1"/>
  <c r="W201" i="1"/>
  <c r="W167" i="1"/>
  <c r="W124" i="1"/>
  <c r="W82" i="1"/>
  <c r="W39" i="1"/>
  <c r="W254" i="1"/>
  <c r="W222" i="1"/>
  <c r="W190" i="1"/>
  <c r="W152" i="1"/>
  <c r="W110" i="1"/>
  <c r="W67" i="1"/>
  <c r="W24" i="1"/>
  <c r="W243" i="1"/>
  <c r="W227" i="1"/>
  <c r="W211" i="1"/>
  <c r="W195" i="1"/>
  <c r="W179" i="1"/>
  <c r="W159" i="1"/>
  <c r="W138" i="1"/>
  <c r="W116" i="1"/>
  <c r="W95" i="1"/>
  <c r="W74" i="1"/>
  <c r="W52" i="1"/>
  <c r="W31" i="1"/>
  <c r="W10" i="1"/>
  <c r="W32" i="1"/>
  <c r="W21" i="1"/>
  <c r="DC6" i="1" l="1"/>
  <c r="DC5" i="1"/>
  <c r="BK105" i="1"/>
  <c r="BK108" i="1"/>
  <c r="BK109" i="1"/>
  <c r="CF109" i="1" s="1"/>
  <c r="CH109" i="1" s="1"/>
  <c r="BK112" i="1"/>
  <c r="CF112" i="1" s="1"/>
  <c r="CH112" i="1" s="1"/>
  <c r="BK115" i="1"/>
  <c r="CF115" i="1" s="1"/>
  <c r="CH115" i="1" s="1"/>
  <c r="BK117" i="1"/>
  <c r="CF117" i="1" s="1"/>
  <c r="CH117" i="1" s="1"/>
  <c r="BK119" i="1"/>
  <c r="CF119" i="1" s="1"/>
  <c r="CH119" i="1" s="1"/>
  <c r="BK120" i="1"/>
  <c r="CF120" i="1" s="1"/>
  <c r="CH120" i="1" s="1"/>
  <c r="BK121" i="1"/>
  <c r="BL121" i="1" s="1"/>
  <c r="BK123" i="1"/>
  <c r="CF123" i="1" s="1"/>
  <c r="CH123" i="1" s="1"/>
  <c r="BK124" i="1"/>
  <c r="CF124" i="1" s="1"/>
  <c r="CH124" i="1" s="1"/>
  <c r="BK125" i="1"/>
  <c r="BL125" i="1" s="1"/>
  <c r="BK127" i="1"/>
  <c r="CF127" i="1" s="1"/>
  <c r="CH127" i="1" s="1"/>
  <c r="BK132" i="1"/>
  <c r="CF132" i="1" s="1"/>
  <c r="CH132" i="1" s="1"/>
  <c r="BK133" i="1"/>
  <c r="CF133" i="1" s="1"/>
  <c r="CH133" i="1" s="1"/>
  <c r="BK136" i="1"/>
  <c r="CF136" i="1" s="1"/>
  <c r="CH136" i="1" s="1"/>
  <c r="BK137" i="1"/>
  <c r="BL137" i="1" s="1"/>
  <c r="BK139" i="1"/>
  <c r="CF139" i="1" s="1"/>
  <c r="CH139" i="1" s="1"/>
  <c r="BK141" i="1"/>
  <c r="CF141" i="1" s="1"/>
  <c r="CH141" i="1" s="1"/>
  <c r="BK144" i="1"/>
  <c r="CF144" i="1" s="1"/>
  <c r="CH144" i="1" s="1"/>
  <c r="BK147" i="1"/>
  <c r="CF147" i="1" s="1"/>
  <c r="CH147" i="1" s="1"/>
  <c r="BK148" i="1"/>
  <c r="CF148" i="1" s="1"/>
  <c r="CH148" i="1" s="1"/>
  <c r="BK149" i="1"/>
  <c r="CF149" i="1" s="1"/>
  <c r="CH149" i="1" s="1"/>
  <c r="BK151" i="1"/>
  <c r="CF151" i="1" s="1"/>
  <c r="CH151" i="1" s="1"/>
  <c r="BK152" i="1"/>
  <c r="CF152" i="1" s="1"/>
  <c r="CH152" i="1" s="1"/>
  <c r="BK153" i="1"/>
  <c r="BL153" i="1" s="1"/>
  <c r="BK156" i="1"/>
  <c r="CF156" i="1" s="1"/>
  <c r="CH156" i="1" s="1"/>
  <c r="BK157" i="1"/>
  <c r="BL157" i="1" s="1"/>
  <c r="BK159" i="1"/>
  <c r="CF159" i="1" s="1"/>
  <c r="CH159" i="1" s="1"/>
  <c r="BK163" i="1"/>
  <c r="CF163" i="1" s="1"/>
  <c r="CH163" i="1" s="1"/>
  <c r="BK167" i="1"/>
  <c r="CF167" i="1" s="1"/>
  <c r="CH167" i="1" s="1"/>
  <c r="BK168" i="1"/>
  <c r="CF168" i="1" s="1"/>
  <c r="CH168" i="1" s="1"/>
  <c r="BK169" i="1"/>
  <c r="BL169" i="1" s="1"/>
  <c r="BK171" i="1"/>
  <c r="CF171" i="1" s="1"/>
  <c r="CH171" i="1" s="1"/>
  <c r="BK172" i="1"/>
  <c r="CF172" i="1" s="1"/>
  <c r="CH172" i="1" s="1"/>
  <c r="BK173" i="1"/>
  <c r="CF173" i="1" s="1"/>
  <c r="CH173" i="1" s="1"/>
  <c r="BK175" i="1"/>
  <c r="BK179" i="1"/>
  <c r="CF179" i="1" s="1"/>
  <c r="CH179" i="1" s="1"/>
  <c r="BK181" i="1"/>
  <c r="BL181" i="1" s="1"/>
  <c r="BK183" i="1"/>
  <c r="CF183" i="1" s="1"/>
  <c r="CH183" i="1" s="1"/>
  <c r="BK184" i="1"/>
  <c r="CF184" i="1" s="1"/>
  <c r="CH184" i="1" s="1"/>
  <c r="BK188" i="1"/>
  <c r="CF188" i="1" s="1"/>
  <c r="CH188" i="1" s="1"/>
  <c r="BK193" i="1"/>
  <c r="CF193" i="1" s="1"/>
  <c r="CH193" i="1" s="1"/>
  <c r="BK197" i="1"/>
  <c r="CF197" i="1" s="1"/>
  <c r="CH197" i="1" s="1"/>
  <c r="BK199" i="1"/>
  <c r="CF199" i="1" s="1"/>
  <c r="CH199" i="1" s="1"/>
  <c r="BK200" i="1"/>
  <c r="CF200" i="1" s="1"/>
  <c r="CH200" i="1" s="1"/>
  <c r="BK201" i="1"/>
  <c r="CF201" i="1" s="1"/>
  <c r="CH201" i="1" s="1"/>
  <c r="BK203" i="1"/>
  <c r="CF203" i="1" s="1"/>
  <c r="CH203" i="1" s="1"/>
  <c r="BK204" i="1"/>
  <c r="BK209" i="1"/>
  <c r="BK213" i="1"/>
  <c r="BK216" i="1"/>
  <c r="CF216" i="1" s="1"/>
  <c r="CH216" i="1" s="1"/>
  <c r="BK219" i="1"/>
  <c r="CF219" i="1" s="1"/>
  <c r="CH219" i="1" s="1"/>
  <c r="BK220" i="1"/>
  <c r="CF220" i="1" s="1"/>
  <c r="CH220" i="1" s="1"/>
  <c r="BK223" i="1"/>
  <c r="CF223" i="1" s="1"/>
  <c r="CH223" i="1" s="1"/>
  <c r="BK224" i="1"/>
  <c r="CF224" i="1" s="1"/>
  <c r="CH224" i="1" s="1"/>
  <c r="BK227" i="1"/>
  <c r="CF227" i="1" s="1"/>
  <c r="CH227" i="1" s="1"/>
  <c r="BK236" i="1"/>
  <c r="CF236" i="1" s="1"/>
  <c r="CH236" i="1" s="1"/>
  <c r="BK239" i="1"/>
  <c r="CF239" i="1" s="1"/>
  <c r="CH239" i="1" s="1"/>
  <c r="BK240" i="1"/>
  <c r="CF240" i="1" s="1"/>
  <c r="CH240" i="1" s="1"/>
  <c r="BK241" i="1"/>
  <c r="BK249" i="1"/>
  <c r="CF249" i="1" s="1"/>
  <c r="CH249" i="1" s="1"/>
  <c r="BK252" i="1"/>
  <c r="CF252" i="1" s="1"/>
  <c r="CH252" i="1" s="1"/>
  <c r="BK253" i="1"/>
  <c r="DC7" i="1"/>
  <c r="H8" i="7"/>
  <c r="BH105" i="1"/>
  <c r="BH112" i="1"/>
  <c r="BH117" i="1"/>
  <c r="BH121" i="1"/>
  <c r="BH133" i="1"/>
  <c r="BH136" i="1"/>
  <c r="BH137" i="1"/>
  <c r="BH148" i="1"/>
  <c r="BH149" i="1"/>
  <c r="BH152" i="1"/>
  <c r="BH153" i="1"/>
  <c r="BH156" i="1"/>
  <c r="BH157" i="1"/>
  <c r="BH168" i="1"/>
  <c r="BH169" i="1"/>
  <c r="BH172" i="1"/>
  <c r="BH173" i="1"/>
  <c r="BH181" i="1"/>
  <c r="BH184" i="1"/>
  <c r="BH188" i="1"/>
  <c r="BH193" i="1"/>
  <c r="BH197" i="1"/>
  <c r="BH200" i="1"/>
  <c r="BH201" i="1"/>
  <c r="BH204" i="1"/>
  <c r="BH209" i="1"/>
  <c r="BH213" i="1"/>
  <c r="BH216" i="1"/>
  <c r="BH220" i="1"/>
  <c r="BH224" i="1"/>
  <c r="BH236" i="1"/>
  <c r="BH240" i="1"/>
  <c r="BH241" i="1"/>
  <c r="BH249" i="1"/>
  <c r="BH252" i="1"/>
  <c r="BH253" i="1"/>
  <c r="BK107" i="1"/>
  <c r="CF107" i="1" s="1"/>
  <c r="CH107" i="1" s="1"/>
  <c r="BK116" i="1"/>
  <c r="CF116" i="1" s="1"/>
  <c r="CH116" i="1" s="1"/>
  <c r="BK118" i="1"/>
  <c r="CF118" i="1" s="1"/>
  <c r="CH118" i="1" s="1"/>
  <c r="BK122" i="1"/>
  <c r="CF122" i="1" s="1"/>
  <c r="CH122" i="1" s="1"/>
  <c r="BK126" i="1"/>
  <c r="CF126" i="1" s="1"/>
  <c r="CH126" i="1" s="1"/>
  <c r="BK128" i="1"/>
  <c r="CF128" i="1" s="1"/>
  <c r="CH128" i="1" s="1"/>
  <c r="BK130" i="1"/>
  <c r="CF130" i="1" s="1"/>
  <c r="CH130" i="1" s="1"/>
  <c r="BK134" i="1"/>
  <c r="CF134" i="1" s="1"/>
  <c r="CH134" i="1" s="1"/>
  <c r="BK135" i="1"/>
  <c r="CF135" i="1" s="1"/>
  <c r="CH135" i="1" s="1"/>
  <c r="BK138" i="1"/>
  <c r="CF138" i="1" s="1"/>
  <c r="CH138" i="1" s="1"/>
  <c r="BK140" i="1"/>
  <c r="CF140" i="1" s="1"/>
  <c r="CH140" i="1" s="1"/>
  <c r="BK142" i="1"/>
  <c r="CF142" i="1" s="1"/>
  <c r="CH142" i="1" s="1"/>
  <c r="BK143" i="1"/>
  <c r="CF143" i="1" s="1"/>
  <c r="CH143" i="1" s="1"/>
  <c r="BK145" i="1"/>
  <c r="BL145" i="1" s="1"/>
  <c r="BK146" i="1"/>
  <c r="CF146" i="1" s="1"/>
  <c r="CH146" i="1" s="1"/>
  <c r="BK150" i="1"/>
  <c r="CF150" i="1" s="1"/>
  <c r="CH150" i="1" s="1"/>
  <c r="BK154" i="1"/>
  <c r="CF154" i="1" s="1"/>
  <c r="CH154" i="1" s="1"/>
  <c r="BK155" i="1"/>
  <c r="CF155" i="1" s="1"/>
  <c r="CH155" i="1" s="1"/>
  <c r="BK158" i="1"/>
  <c r="CF158" i="1" s="1"/>
  <c r="CH158" i="1" s="1"/>
  <c r="BK160" i="1"/>
  <c r="CF160" i="1" s="1"/>
  <c r="CH160" i="1" s="1"/>
  <c r="BK161" i="1"/>
  <c r="CF161" i="1" s="1"/>
  <c r="CH161" i="1" s="1"/>
  <c r="BK162" i="1"/>
  <c r="CF162" i="1" s="1"/>
  <c r="CH162" i="1" s="1"/>
  <c r="BK164" i="1"/>
  <c r="CF164" i="1" s="1"/>
  <c r="CH164" i="1" s="1"/>
  <c r="BK165" i="1"/>
  <c r="BL165" i="1" s="1"/>
  <c r="BK166" i="1"/>
  <c r="CF166" i="1" s="1"/>
  <c r="CH166" i="1" s="1"/>
  <c r="BK170" i="1"/>
  <c r="CF170" i="1" s="1"/>
  <c r="CH170" i="1" s="1"/>
  <c r="BK174" i="1"/>
  <c r="CF174" i="1" s="1"/>
  <c r="CH174" i="1" s="1"/>
  <c r="BK176" i="1"/>
  <c r="CF176" i="1" s="1"/>
  <c r="CH176" i="1" s="1"/>
  <c r="BK177" i="1"/>
  <c r="CF177" i="1" s="1"/>
  <c r="CH177" i="1" s="1"/>
  <c r="BK178" i="1"/>
  <c r="CF178" i="1" s="1"/>
  <c r="CH178" i="1" s="1"/>
  <c r="BK180" i="1"/>
  <c r="CF180" i="1" s="1"/>
  <c r="CH180" i="1" s="1"/>
  <c r="BK182" i="1"/>
  <c r="CF182" i="1" s="1"/>
  <c r="CH182" i="1" s="1"/>
  <c r="BK185" i="1"/>
  <c r="CF185" i="1" s="1"/>
  <c r="CH185" i="1" s="1"/>
  <c r="BK186" i="1"/>
  <c r="CF186" i="1" s="1"/>
  <c r="CH186" i="1" s="1"/>
  <c r="BK187" i="1"/>
  <c r="CF187" i="1" s="1"/>
  <c r="CH187" i="1" s="1"/>
  <c r="BK189" i="1"/>
  <c r="CF189" i="1" s="1"/>
  <c r="CH189" i="1" s="1"/>
  <c r="BK190" i="1"/>
  <c r="CF190" i="1" s="1"/>
  <c r="CH190" i="1" s="1"/>
  <c r="BK191" i="1"/>
  <c r="BL191" i="1" s="1"/>
  <c r="BK192" i="1"/>
  <c r="CF192" i="1" s="1"/>
  <c r="CH192" i="1" s="1"/>
  <c r="BK194" i="1"/>
  <c r="CF194" i="1" s="1"/>
  <c r="CH194" i="1" s="1"/>
  <c r="BK195" i="1"/>
  <c r="CF195" i="1" s="1"/>
  <c r="CH195" i="1" s="1"/>
  <c r="BK196" i="1"/>
  <c r="CF196" i="1" s="1"/>
  <c r="CH196" i="1" s="1"/>
  <c r="BK198" i="1"/>
  <c r="CF198" i="1" s="1"/>
  <c r="CH198" i="1" s="1"/>
  <c r="BK202" i="1"/>
  <c r="CF202" i="1" s="1"/>
  <c r="CH202" i="1" s="1"/>
  <c r="BK205" i="1"/>
  <c r="BK206" i="1"/>
  <c r="CF206" i="1" s="1"/>
  <c r="CH206" i="1" s="1"/>
  <c r="BK207" i="1"/>
  <c r="CF207" i="1" s="1"/>
  <c r="CH207" i="1" s="1"/>
  <c r="BK208" i="1"/>
  <c r="CF208" i="1" s="1"/>
  <c r="CH208" i="1" s="1"/>
  <c r="BK210" i="1"/>
  <c r="CF210" i="1" s="1"/>
  <c r="CH210" i="1" s="1"/>
  <c r="BK211" i="1"/>
  <c r="BL211" i="1" s="1"/>
  <c r="BK212" i="1"/>
  <c r="CF212" i="1" s="1"/>
  <c r="CH212" i="1" s="1"/>
  <c r="BK214" i="1"/>
  <c r="CF214" i="1" s="1"/>
  <c r="CH214" i="1" s="1"/>
  <c r="BK215" i="1"/>
  <c r="CF215" i="1" s="1"/>
  <c r="CH215" i="1" s="1"/>
  <c r="BK217" i="1"/>
  <c r="BK218" i="1"/>
  <c r="CF218" i="1" s="1"/>
  <c r="CH218" i="1" s="1"/>
  <c r="BK221" i="1"/>
  <c r="CF221" i="1" s="1"/>
  <c r="CH221" i="1" s="1"/>
  <c r="BK222" i="1"/>
  <c r="CF222" i="1" s="1"/>
  <c r="CH222" i="1" s="1"/>
  <c r="BK225" i="1"/>
  <c r="BK226" i="1"/>
  <c r="CF226" i="1" s="1"/>
  <c r="CH226" i="1" s="1"/>
  <c r="BK228" i="1"/>
  <c r="CF228" i="1" s="1"/>
  <c r="CH228" i="1" s="1"/>
  <c r="BK229" i="1"/>
  <c r="CF229" i="1" s="1"/>
  <c r="CH229" i="1" s="1"/>
  <c r="BK230" i="1"/>
  <c r="CF230" i="1" s="1"/>
  <c r="CH230" i="1" s="1"/>
  <c r="BK231" i="1"/>
  <c r="CF231" i="1" s="1"/>
  <c r="CH231" i="1" s="1"/>
  <c r="BK232" i="1"/>
  <c r="CF232" i="1" s="1"/>
  <c r="CH232" i="1" s="1"/>
  <c r="BK233" i="1"/>
  <c r="BK234" i="1"/>
  <c r="CF234" i="1" s="1"/>
  <c r="CH234" i="1" s="1"/>
  <c r="BK235" i="1"/>
  <c r="CF235" i="1" s="1"/>
  <c r="CH235" i="1" s="1"/>
  <c r="BK237" i="1"/>
  <c r="BK238" i="1"/>
  <c r="CF238" i="1" s="1"/>
  <c r="CH238" i="1" s="1"/>
  <c r="BK242" i="1"/>
  <c r="CF242" i="1" s="1"/>
  <c r="CH242" i="1" s="1"/>
  <c r="BK243" i="1"/>
  <c r="CF243" i="1" s="1"/>
  <c r="CH243" i="1" s="1"/>
  <c r="BK244" i="1"/>
  <c r="CF244" i="1" s="1"/>
  <c r="CH244" i="1" s="1"/>
  <c r="BK245" i="1"/>
  <c r="CF245" i="1" s="1"/>
  <c r="CH245" i="1" s="1"/>
  <c r="BK246" i="1"/>
  <c r="CF246" i="1" s="1"/>
  <c r="CH246" i="1" s="1"/>
  <c r="BK247" i="1"/>
  <c r="CF247" i="1" s="1"/>
  <c r="CH247" i="1" s="1"/>
  <c r="BK248" i="1"/>
  <c r="CF248" i="1" s="1"/>
  <c r="CH248" i="1" s="1"/>
  <c r="BK250" i="1"/>
  <c r="CF250" i="1" s="1"/>
  <c r="CH250" i="1" s="1"/>
  <c r="BK251" i="1"/>
  <c r="CF251" i="1" s="1"/>
  <c r="CH251" i="1" s="1"/>
  <c r="BK254" i="1"/>
  <c r="CF254" i="1" s="1"/>
  <c r="CH254" i="1" s="1"/>
  <c r="BK106" i="1"/>
  <c r="BH106" i="1"/>
  <c r="BH119" i="1"/>
  <c r="BH122" i="1"/>
  <c r="BH125" i="1"/>
  <c r="BH128" i="1"/>
  <c r="BH130" i="1"/>
  <c r="BH132" i="1"/>
  <c r="BH134" i="1"/>
  <c r="BH135" i="1"/>
  <c r="BH138" i="1"/>
  <c r="BH141" i="1"/>
  <c r="BH145" i="1"/>
  <c r="BH160" i="1"/>
  <c r="BH164" i="1"/>
  <c r="BH176" i="1"/>
  <c r="BH182" i="1"/>
  <c r="BH185" i="1"/>
  <c r="BH186" i="1"/>
  <c r="BH187" i="1"/>
  <c r="BH190" i="1"/>
  <c r="BH195" i="1"/>
  <c r="BH196" i="1"/>
  <c r="BH198" i="1"/>
  <c r="BH206" i="1"/>
  <c r="BH207" i="1"/>
  <c r="BH208" i="1"/>
  <c r="BH210" i="1"/>
  <c r="BH214" i="1"/>
  <c r="BH215" i="1"/>
  <c r="BH217" i="1"/>
  <c r="BH218" i="1"/>
  <c r="BH219" i="1"/>
  <c r="BH221" i="1"/>
  <c r="BH222" i="1"/>
  <c r="BH223" i="1"/>
  <c r="BH225" i="1"/>
  <c r="BH227" i="1"/>
  <c r="BH229" i="1"/>
  <c r="BH231" i="1"/>
  <c r="BH233" i="1"/>
  <c r="BH237" i="1"/>
  <c r="BH238" i="1"/>
  <c r="BH239" i="1"/>
  <c r="BH243" i="1"/>
  <c r="BH245" i="1"/>
  <c r="BH254" i="1"/>
  <c r="BK111" i="1"/>
  <c r="CF111" i="1" s="1"/>
  <c r="CH111" i="1" s="1"/>
  <c r="BK114" i="1"/>
  <c r="CF114" i="1" s="1"/>
  <c r="CH114" i="1" s="1"/>
  <c r="BK131" i="1"/>
  <c r="CF131" i="1" s="1"/>
  <c r="CH131" i="1" s="1"/>
  <c r="BH107" i="1"/>
  <c r="BH109" i="1"/>
  <c r="BH111" i="1"/>
  <c r="BH113" i="1"/>
  <c r="BH115" i="1"/>
  <c r="BH116" i="1"/>
  <c r="BH118" i="1"/>
  <c r="BH120" i="1"/>
  <c r="BH123" i="1"/>
  <c r="BH127" i="1"/>
  <c r="BH140" i="1"/>
  <c r="BH143" i="1"/>
  <c r="BH151" i="1"/>
  <c r="BH159" i="1"/>
  <c r="BH161" i="1"/>
  <c r="BH163" i="1"/>
  <c r="BH166" i="1"/>
  <c r="BH167" i="1"/>
  <c r="BH170" i="1"/>
  <c r="BH171" i="1"/>
  <c r="BH174" i="1"/>
  <c r="BH177" i="1"/>
  <c r="BH178" i="1"/>
  <c r="BH180" i="1"/>
  <c r="BH183" i="1"/>
  <c r="BH194" i="1"/>
  <c r="BH250" i="1"/>
  <c r="BK110" i="1"/>
  <c r="CF110" i="1" s="1"/>
  <c r="CH110" i="1" s="1"/>
  <c r="BK113" i="1"/>
  <c r="BL113" i="1" s="1"/>
  <c r="BK129" i="1"/>
  <c r="CF129" i="1" s="1"/>
  <c r="CH129" i="1" s="1"/>
  <c r="BH108" i="1"/>
  <c r="BH110" i="1"/>
  <c r="BH114" i="1"/>
  <c r="BH124" i="1"/>
  <c r="BH126" i="1"/>
  <c r="BH129" i="1"/>
  <c r="BH131" i="1"/>
  <c r="BH139" i="1"/>
  <c r="BT139" i="1" s="1"/>
  <c r="BH142" i="1"/>
  <c r="BH144" i="1"/>
  <c r="BH146" i="1"/>
  <c r="BH147" i="1"/>
  <c r="BH150" i="1"/>
  <c r="BH154" i="1"/>
  <c r="BH155" i="1"/>
  <c r="BH158" i="1"/>
  <c r="BH162" i="1"/>
  <c r="BH165" i="1"/>
  <c r="BH175" i="1"/>
  <c r="BH179" i="1"/>
  <c r="BH189" i="1"/>
  <c r="BH191" i="1"/>
  <c r="BH192" i="1"/>
  <c r="BH199" i="1"/>
  <c r="BH202" i="1"/>
  <c r="BH203" i="1"/>
  <c r="BH205" i="1"/>
  <c r="BH211" i="1"/>
  <c r="BH212" i="1"/>
  <c r="BH226" i="1"/>
  <c r="BH228" i="1"/>
  <c r="BH230" i="1"/>
  <c r="BH232" i="1"/>
  <c r="BH234" i="1"/>
  <c r="BH235" i="1"/>
  <c r="BH242" i="1"/>
  <c r="BH244" i="1"/>
  <c r="BH246" i="1"/>
  <c r="BH247" i="1"/>
  <c r="BH248" i="1"/>
  <c r="BH251" i="1"/>
  <c r="DC10" i="1"/>
  <c r="DC11" i="1"/>
  <c r="BQ23" i="1"/>
  <c r="DC8" i="1"/>
  <c r="DC9" i="1"/>
  <c r="DC14" i="1"/>
  <c r="CX14" i="1"/>
  <c r="DC18" i="1"/>
  <c r="CX18" i="1"/>
  <c r="DC22" i="1"/>
  <c r="CX22" i="1"/>
  <c r="DC26" i="1"/>
  <c r="CX26" i="1"/>
  <c r="DC30" i="1"/>
  <c r="CX30" i="1"/>
  <c r="DC34" i="1"/>
  <c r="CX34" i="1"/>
  <c r="DC38" i="1"/>
  <c r="CX38" i="1"/>
  <c r="DC42" i="1"/>
  <c r="CX42" i="1"/>
  <c r="DC46" i="1"/>
  <c r="CX46" i="1"/>
  <c r="DC50" i="1"/>
  <c r="CX50" i="1"/>
  <c r="DC54" i="1"/>
  <c r="CX54" i="1"/>
  <c r="DC58" i="1"/>
  <c r="CX58" i="1"/>
  <c r="DC62" i="1"/>
  <c r="CX62" i="1"/>
  <c r="DC15" i="1"/>
  <c r="CX15" i="1"/>
  <c r="DC19" i="1"/>
  <c r="CX19" i="1"/>
  <c r="DC23" i="1"/>
  <c r="CX23" i="1"/>
  <c r="DC27" i="1"/>
  <c r="CX27" i="1"/>
  <c r="DC31" i="1"/>
  <c r="CX31" i="1"/>
  <c r="DC35" i="1"/>
  <c r="CX35" i="1"/>
  <c r="DC39" i="1"/>
  <c r="CX39" i="1"/>
  <c r="DC43" i="1"/>
  <c r="CX43" i="1"/>
  <c r="DC47" i="1"/>
  <c r="CX47" i="1"/>
  <c r="DC51" i="1"/>
  <c r="CX51" i="1"/>
  <c r="DC55" i="1"/>
  <c r="CX55" i="1"/>
  <c r="DC59" i="1"/>
  <c r="CX59" i="1"/>
  <c r="DC63" i="1"/>
  <c r="CX63" i="1"/>
  <c r="DC12" i="1"/>
  <c r="CX12" i="1"/>
  <c r="DC16" i="1"/>
  <c r="CX16" i="1"/>
  <c r="DC20" i="1"/>
  <c r="CX20" i="1"/>
  <c r="DC24" i="1"/>
  <c r="CX24" i="1"/>
  <c r="DC28" i="1"/>
  <c r="CX28" i="1"/>
  <c r="DC32" i="1"/>
  <c r="CX32" i="1"/>
  <c r="DC36" i="1"/>
  <c r="CX36" i="1"/>
  <c r="DC40" i="1"/>
  <c r="CX40" i="1"/>
  <c r="DC44" i="1"/>
  <c r="CX44" i="1"/>
  <c r="DC48" i="1"/>
  <c r="CX48" i="1"/>
  <c r="DC52" i="1"/>
  <c r="CX52" i="1"/>
  <c r="DC56" i="1"/>
  <c r="CX56" i="1"/>
  <c r="DC60" i="1"/>
  <c r="CX60" i="1"/>
  <c r="DC64" i="1"/>
  <c r="CX64" i="1"/>
  <c r="DC13" i="1"/>
  <c r="CX13" i="1"/>
  <c r="DC17" i="1"/>
  <c r="CX17" i="1"/>
  <c r="DC21" i="1"/>
  <c r="CX21" i="1"/>
  <c r="DC25" i="1"/>
  <c r="CX25" i="1"/>
  <c r="DC29" i="1"/>
  <c r="CX29" i="1"/>
  <c r="DC33" i="1"/>
  <c r="CX33" i="1"/>
  <c r="DC37" i="1"/>
  <c r="CX37" i="1"/>
  <c r="DC41" i="1"/>
  <c r="CX41" i="1"/>
  <c r="DC45" i="1"/>
  <c r="CX45" i="1"/>
  <c r="DC49" i="1"/>
  <c r="CX49" i="1"/>
  <c r="DC53" i="1"/>
  <c r="CX53" i="1"/>
  <c r="DC57" i="1"/>
  <c r="CX57" i="1"/>
  <c r="DC61" i="1"/>
  <c r="CX61" i="1"/>
  <c r="CX8" i="1"/>
  <c r="CX9" i="1"/>
  <c r="CX6" i="1"/>
  <c r="CX10" i="1"/>
  <c r="CX7" i="1"/>
  <c r="CX11" i="1"/>
  <c r="CX5" i="1"/>
  <c r="CF105" i="1"/>
  <c r="CH105" i="1" s="1"/>
  <c r="CF106" i="1"/>
  <c r="CH106" i="1" s="1"/>
  <c r="CF108" i="1"/>
  <c r="CH108" i="1" s="1"/>
  <c r="CF153" i="1"/>
  <c r="CH153" i="1" s="1"/>
  <c r="CF175" i="1"/>
  <c r="CH175" i="1" s="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CF204" i="1"/>
  <c r="CH204" i="1" s="1"/>
  <c r="BG5"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L63" i="1"/>
  <c r="L64" i="1"/>
  <c r="L62" i="1"/>
  <c r="BG205" i="1"/>
  <c r="BG229" i="1"/>
  <c r="BG217" i="1"/>
  <c r="AM6" i="1"/>
  <c r="AM14" i="1"/>
  <c r="BQ14" i="1" s="1"/>
  <c r="AM22" i="1"/>
  <c r="BQ22" i="1" s="1"/>
  <c r="AM30" i="1"/>
  <c r="AM38" i="1"/>
  <c r="AM46" i="1"/>
  <c r="AM54" i="1"/>
  <c r="AT7" i="1"/>
  <c r="AT15" i="1"/>
  <c r="BN15" i="1" s="1"/>
  <c r="AT23" i="1"/>
  <c r="BN23" i="1" s="1"/>
  <c r="AT31" i="1"/>
  <c r="AT39" i="1"/>
  <c r="AT47" i="1"/>
  <c r="AT55" i="1"/>
  <c r="AU8" i="1"/>
  <c r="AU16" i="1"/>
  <c r="AU24" i="1"/>
  <c r="AU32" i="1"/>
  <c r="AU40" i="1"/>
  <c r="AU48" i="1"/>
  <c r="AU56" i="1"/>
  <c r="AV9" i="1"/>
  <c r="AV17" i="1"/>
  <c r="AV25" i="1"/>
  <c r="AV33" i="1"/>
  <c r="AV41" i="1"/>
  <c r="AV53" i="1"/>
  <c r="AV61" i="1"/>
  <c r="AV6" i="1"/>
  <c r="AV14" i="1"/>
  <c r="AV22" i="1"/>
  <c r="AV30" i="1"/>
  <c r="AV38" i="1"/>
  <c r="AV46" i="1"/>
  <c r="AV54" i="1"/>
  <c r="AM7" i="1"/>
  <c r="AM15" i="1"/>
  <c r="BQ15" i="1" s="1"/>
  <c r="AM23" i="1"/>
  <c r="AM31" i="1"/>
  <c r="AM39" i="1"/>
  <c r="AM47" i="1"/>
  <c r="AM55" i="1"/>
  <c r="AT8" i="1"/>
  <c r="AT16" i="1"/>
  <c r="BN16" i="1" s="1"/>
  <c r="AT24" i="1"/>
  <c r="AT32" i="1"/>
  <c r="AT40" i="1"/>
  <c r="AT48" i="1"/>
  <c r="AT56" i="1"/>
  <c r="AU9" i="1"/>
  <c r="AU17" i="1"/>
  <c r="AU25" i="1"/>
  <c r="AU33" i="1"/>
  <c r="AU41" i="1"/>
  <c r="AU53" i="1"/>
  <c r="AU61" i="1"/>
  <c r="AU6" i="1"/>
  <c r="AU14" i="1"/>
  <c r="AU22" i="1"/>
  <c r="AU30" i="1"/>
  <c r="AU38" i="1"/>
  <c r="AU46" i="1"/>
  <c r="AU54" i="1"/>
  <c r="AV7" i="1"/>
  <c r="AV15" i="1"/>
  <c r="AV23" i="1"/>
  <c r="AV31" i="1"/>
  <c r="AV39" i="1"/>
  <c r="AV47" i="1"/>
  <c r="AV55" i="1"/>
  <c r="AM8" i="1"/>
  <c r="AM16" i="1"/>
  <c r="BQ16" i="1" s="1"/>
  <c r="AM24" i="1"/>
  <c r="AM32" i="1"/>
  <c r="AM40" i="1"/>
  <c r="AM48" i="1"/>
  <c r="AM56" i="1"/>
  <c r="AT9" i="1"/>
  <c r="AT17" i="1"/>
  <c r="BN17" i="1" s="1"/>
  <c r="AT25" i="1"/>
  <c r="AT33" i="1"/>
  <c r="AT41" i="1"/>
  <c r="AT53" i="1"/>
  <c r="AT61" i="1"/>
  <c r="AT6" i="1"/>
  <c r="AT14" i="1"/>
  <c r="BN14" i="1" s="1"/>
  <c r="AT22" i="1"/>
  <c r="BN22" i="1" s="1"/>
  <c r="AT30" i="1"/>
  <c r="AT38" i="1"/>
  <c r="AT46" i="1"/>
  <c r="AT54" i="1"/>
  <c r="AU7" i="1"/>
  <c r="AU15" i="1"/>
  <c r="AU23" i="1"/>
  <c r="AU31" i="1"/>
  <c r="AU39" i="1"/>
  <c r="AU47" i="1"/>
  <c r="AU55" i="1"/>
  <c r="AV8" i="1"/>
  <c r="AV16" i="1"/>
  <c r="AV24" i="1"/>
  <c r="AV32" i="1"/>
  <c r="AV40" i="1"/>
  <c r="AV48" i="1"/>
  <c r="AV56" i="1"/>
  <c r="AM9" i="1"/>
  <c r="AM17" i="1"/>
  <c r="BQ17" i="1" s="1"/>
  <c r="AM25" i="1"/>
  <c r="AM33" i="1"/>
  <c r="AM41" i="1"/>
  <c r="AM53" i="1"/>
  <c r="AM61" i="1"/>
  <c r="AM10" i="1"/>
  <c r="AM18" i="1"/>
  <c r="BQ18" i="1" s="1"/>
  <c r="AM26" i="1"/>
  <c r="AM34" i="1"/>
  <c r="AM42" i="1"/>
  <c r="AM50" i="1"/>
  <c r="AM58" i="1"/>
  <c r="AT11" i="1"/>
  <c r="AT19" i="1"/>
  <c r="BN19" i="1" s="1"/>
  <c r="AT27" i="1"/>
  <c r="AT35" i="1"/>
  <c r="AT43" i="1"/>
  <c r="AT51" i="1"/>
  <c r="AT59" i="1"/>
  <c r="AU12" i="1"/>
  <c r="AU20" i="1"/>
  <c r="AU28" i="1"/>
  <c r="AU36" i="1"/>
  <c r="AU44" i="1"/>
  <c r="AU52" i="1"/>
  <c r="AU60" i="1"/>
  <c r="AV13" i="1"/>
  <c r="AV21" i="1"/>
  <c r="AV29" i="1"/>
  <c r="AV37" i="1"/>
  <c r="AV45" i="1"/>
  <c r="AV57" i="1"/>
  <c r="AV10" i="1"/>
  <c r="AV18" i="1"/>
  <c r="AV26" i="1"/>
  <c r="AV34" i="1"/>
  <c r="AV42" i="1"/>
  <c r="AV50" i="1"/>
  <c r="AV58" i="1"/>
  <c r="AM11" i="1"/>
  <c r="AM19" i="1"/>
  <c r="BQ19" i="1" s="1"/>
  <c r="AM27" i="1"/>
  <c r="AM35" i="1"/>
  <c r="AM43" i="1"/>
  <c r="AM51" i="1"/>
  <c r="AM59" i="1"/>
  <c r="AT12" i="1"/>
  <c r="BN12" i="1" s="1"/>
  <c r="AT20" i="1"/>
  <c r="BN20" i="1" s="1"/>
  <c r="AT28" i="1"/>
  <c r="AT36" i="1"/>
  <c r="AT44" i="1"/>
  <c r="AT52" i="1"/>
  <c r="AT60" i="1"/>
  <c r="AU13" i="1"/>
  <c r="AU21" i="1"/>
  <c r="AU29" i="1"/>
  <c r="AU37" i="1"/>
  <c r="AU45" i="1"/>
  <c r="AU57" i="1"/>
  <c r="AU10" i="1"/>
  <c r="AU18" i="1"/>
  <c r="AU26" i="1"/>
  <c r="AU34" i="1"/>
  <c r="AU42" i="1"/>
  <c r="AU50" i="1"/>
  <c r="AU58" i="1"/>
  <c r="AV11" i="1"/>
  <c r="AV19" i="1"/>
  <c r="AV27" i="1"/>
  <c r="AV35" i="1"/>
  <c r="AV43" i="1"/>
  <c r="AV51" i="1"/>
  <c r="AV59" i="1"/>
  <c r="AM12" i="1"/>
  <c r="BQ12" i="1" s="1"/>
  <c r="AM20" i="1"/>
  <c r="BQ20" i="1" s="1"/>
  <c r="AM28" i="1"/>
  <c r="AM36" i="1"/>
  <c r="AM44" i="1"/>
  <c r="AM52" i="1"/>
  <c r="AM60" i="1"/>
  <c r="AT13" i="1"/>
  <c r="BN13" i="1" s="1"/>
  <c r="AT21" i="1"/>
  <c r="BN21" i="1" s="1"/>
  <c r="AT29" i="1"/>
  <c r="AT37" i="1"/>
  <c r="AT45" i="1"/>
  <c r="AT57" i="1"/>
  <c r="AT10" i="1"/>
  <c r="AT18" i="1"/>
  <c r="BN18" i="1" s="1"/>
  <c r="AT26" i="1"/>
  <c r="AT34" i="1"/>
  <c r="AT42" i="1"/>
  <c r="AT50" i="1"/>
  <c r="AT58" i="1"/>
  <c r="AU11" i="1"/>
  <c r="AU19" i="1"/>
  <c r="AU27" i="1"/>
  <c r="AU35" i="1"/>
  <c r="AU43" i="1"/>
  <c r="AU51" i="1"/>
  <c r="AU59" i="1"/>
  <c r="AV12" i="1"/>
  <c r="AV20" i="1"/>
  <c r="AV28" i="1"/>
  <c r="AV36" i="1"/>
  <c r="AV44" i="1"/>
  <c r="AV52" i="1"/>
  <c r="AV60" i="1"/>
  <c r="AM13" i="1"/>
  <c r="BQ13" i="1" s="1"/>
  <c r="AM21" i="1"/>
  <c r="BQ21" i="1" s="1"/>
  <c r="AM29" i="1"/>
  <c r="AM37" i="1"/>
  <c r="AM45" i="1"/>
  <c r="AM57" i="1"/>
  <c r="AM5" i="1"/>
  <c r="AU5" i="1"/>
  <c r="AV5" i="1"/>
  <c r="AT5" i="1"/>
  <c r="BG21" i="1"/>
  <c r="BG189" i="1"/>
  <c r="BG177" i="1"/>
  <c r="BG161" i="1"/>
  <c r="BG125" i="1"/>
  <c r="BG93" i="1"/>
  <c r="BG53" i="1"/>
  <c r="BG9" i="1"/>
  <c r="BG232" i="1"/>
  <c r="BG128" i="1"/>
  <c r="BG29" i="1"/>
  <c r="BG37" i="1"/>
  <c r="BG141" i="1"/>
  <c r="BG109" i="1"/>
  <c r="BG77" i="1"/>
  <c r="L254" i="1"/>
  <c r="L253" i="1"/>
  <c r="L249" i="1"/>
  <c r="L245" i="1"/>
  <c r="L241" i="1"/>
  <c r="L237" i="1"/>
  <c r="L233" i="1"/>
  <c r="L229" i="1"/>
  <c r="L225" i="1"/>
  <c r="L221" i="1"/>
  <c r="L217" i="1"/>
  <c r="L213" i="1"/>
  <c r="L209" i="1"/>
  <c r="L205" i="1"/>
  <c r="L201" i="1"/>
  <c r="L197" i="1"/>
  <c r="L193" i="1"/>
  <c r="L189" i="1"/>
  <c r="L185" i="1"/>
  <c r="L181" i="1"/>
  <c r="L177" i="1"/>
  <c r="L173" i="1"/>
  <c r="L169" i="1"/>
  <c r="L165" i="1"/>
  <c r="L161" i="1"/>
  <c r="L157" i="1"/>
  <c r="L153" i="1"/>
  <c r="L149" i="1"/>
  <c r="L145" i="1"/>
  <c r="L141" i="1"/>
  <c r="L137" i="1"/>
  <c r="L133" i="1"/>
  <c r="L129" i="1"/>
  <c r="L125" i="1"/>
  <c r="L121" i="1"/>
  <c r="L117" i="1"/>
  <c r="L113" i="1"/>
  <c r="L109" i="1"/>
  <c r="L105" i="1"/>
  <c r="L101" i="1"/>
  <c r="L97" i="1"/>
  <c r="L93" i="1"/>
  <c r="L89" i="1"/>
  <c r="L85" i="1"/>
  <c r="L81" i="1"/>
  <c r="L77" i="1"/>
  <c r="L73" i="1"/>
  <c r="L69" i="1"/>
  <c r="L65" i="1"/>
  <c r="L61" i="1"/>
  <c r="L57" i="1"/>
  <c r="L53" i="1"/>
  <c r="L49" i="1"/>
  <c r="L45" i="1"/>
  <c r="L41" i="1"/>
  <c r="L37" i="1"/>
  <c r="L33" i="1"/>
  <c r="L29" i="1"/>
  <c r="L25" i="1"/>
  <c r="L21" i="1"/>
  <c r="L17" i="1"/>
  <c r="L13" i="1"/>
  <c r="L9" i="1"/>
  <c r="L5" i="1"/>
  <c r="AS5" i="1" s="1"/>
  <c r="L247" i="1"/>
  <c r="L239" i="1"/>
  <c r="L235" i="1"/>
  <c r="L227" i="1"/>
  <c r="L219" i="1"/>
  <c r="L211" i="1"/>
  <c r="L207" i="1"/>
  <c r="L199" i="1"/>
  <c r="L191" i="1"/>
  <c r="L183" i="1"/>
  <c r="L175" i="1"/>
  <c r="L167" i="1"/>
  <c r="L163" i="1"/>
  <c r="L155" i="1"/>
  <c r="L147" i="1"/>
  <c r="L139" i="1"/>
  <c r="L131" i="1"/>
  <c r="L127" i="1"/>
  <c r="L119" i="1"/>
  <c r="L111" i="1"/>
  <c r="L103" i="1"/>
  <c r="L99" i="1"/>
  <c r="L252" i="1"/>
  <c r="L248" i="1"/>
  <c r="L244" i="1"/>
  <c r="L240" i="1"/>
  <c r="L236" i="1"/>
  <c r="L232" i="1"/>
  <c r="L228" i="1"/>
  <c r="L224" i="1"/>
  <c r="L220" i="1"/>
  <c r="L216" i="1"/>
  <c r="L212" i="1"/>
  <c r="L208" i="1"/>
  <c r="L204" i="1"/>
  <c r="L200" i="1"/>
  <c r="L196" i="1"/>
  <c r="L192" i="1"/>
  <c r="L188" i="1"/>
  <c r="L184" i="1"/>
  <c r="L180" i="1"/>
  <c r="L176" i="1"/>
  <c r="L172" i="1"/>
  <c r="L168" i="1"/>
  <c r="L164" i="1"/>
  <c r="L160" i="1"/>
  <c r="L156" i="1"/>
  <c r="L152" i="1"/>
  <c r="L148" i="1"/>
  <c r="L144" i="1"/>
  <c r="L140" i="1"/>
  <c r="L136" i="1"/>
  <c r="L132" i="1"/>
  <c r="L128" i="1"/>
  <c r="L124" i="1"/>
  <c r="L120" i="1"/>
  <c r="L116" i="1"/>
  <c r="L112" i="1"/>
  <c r="L108" i="1"/>
  <c r="L104" i="1"/>
  <c r="L100" i="1"/>
  <c r="L96" i="1"/>
  <c r="L92" i="1"/>
  <c r="L88" i="1"/>
  <c r="L84" i="1"/>
  <c r="L80" i="1"/>
  <c r="L76" i="1"/>
  <c r="L72" i="1"/>
  <c r="L68" i="1"/>
  <c r="L60" i="1"/>
  <c r="L56" i="1"/>
  <c r="L52" i="1"/>
  <c r="L48" i="1"/>
  <c r="L44" i="1"/>
  <c r="L40" i="1"/>
  <c r="L36" i="1"/>
  <c r="L32" i="1"/>
  <c r="L28" i="1"/>
  <c r="L24" i="1"/>
  <c r="L20" i="1"/>
  <c r="L16" i="1"/>
  <c r="L12" i="1"/>
  <c r="L8" i="1"/>
  <c r="L243" i="1"/>
  <c r="L231" i="1"/>
  <c r="L223" i="1"/>
  <c r="L215" i="1"/>
  <c r="L203" i="1"/>
  <c r="L195" i="1"/>
  <c r="L187" i="1"/>
  <c r="L179" i="1"/>
  <c r="L171" i="1"/>
  <c r="L159" i="1"/>
  <c r="L151" i="1"/>
  <c r="L143" i="1"/>
  <c r="L135" i="1"/>
  <c r="L123" i="1"/>
  <c r="L115" i="1"/>
  <c r="L107" i="1"/>
  <c r="L95" i="1"/>
  <c r="L251" i="1"/>
  <c r="L250" i="1"/>
  <c r="L234" i="1"/>
  <c r="L218" i="1"/>
  <c r="L202" i="1"/>
  <c r="L186" i="1"/>
  <c r="L170" i="1"/>
  <c r="L154" i="1"/>
  <c r="L138" i="1"/>
  <c r="L122" i="1"/>
  <c r="L106" i="1"/>
  <c r="L91" i="1"/>
  <c r="L83" i="1"/>
  <c r="L75" i="1"/>
  <c r="L67" i="1"/>
  <c r="L59" i="1"/>
  <c r="L51" i="1"/>
  <c r="L43" i="1"/>
  <c r="L35" i="1"/>
  <c r="L27" i="1"/>
  <c r="L19" i="1"/>
  <c r="L11" i="1"/>
  <c r="L222" i="1"/>
  <c r="L158" i="1"/>
  <c r="L126" i="1"/>
  <c r="L78" i="1"/>
  <c r="L46" i="1"/>
  <c r="L22" i="1"/>
  <c r="L246" i="1"/>
  <c r="L230" i="1"/>
  <c r="L214" i="1"/>
  <c r="L198" i="1"/>
  <c r="L182" i="1"/>
  <c r="L166" i="1"/>
  <c r="L150" i="1"/>
  <c r="L134" i="1"/>
  <c r="L118" i="1"/>
  <c r="L102" i="1"/>
  <c r="L90" i="1"/>
  <c r="L82" i="1"/>
  <c r="L74" i="1"/>
  <c r="L66" i="1"/>
  <c r="L58" i="1"/>
  <c r="L50" i="1"/>
  <c r="L42" i="1"/>
  <c r="L34" i="1"/>
  <c r="L26" i="1"/>
  <c r="L18" i="1"/>
  <c r="L10" i="1"/>
  <c r="L238" i="1"/>
  <c r="L174" i="1"/>
  <c r="L94" i="1"/>
  <c r="L70" i="1"/>
  <c r="L54" i="1"/>
  <c r="L30" i="1"/>
  <c r="L6" i="1"/>
  <c r="L242" i="1"/>
  <c r="L226" i="1"/>
  <c r="L210" i="1"/>
  <c r="L194" i="1"/>
  <c r="L178" i="1"/>
  <c r="L162" i="1"/>
  <c r="L146" i="1"/>
  <c r="L130" i="1"/>
  <c r="L114" i="1"/>
  <c r="L98" i="1"/>
  <c r="L87" i="1"/>
  <c r="L79" i="1"/>
  <c r="L71" i="1"/>
  <c r="L55" i="1"/>
  <c r="L47" i="1"/>
  <c r="L39" i="1"/>
  <c r="L31" i="1"/>
  <c r="L23" i="1"/>
  <c r="L15" i="1"/>
  <c r="L7" i="1"/>
  <c r="L206" i="1"/>
  <c r="L190" i="1"/>
  <c r="L142" i="1"/>
  <c r="L110" i="1"/>
  <c r="L86" i="1"/>
  <c r="L38" i="1"/>
  <c r="L14" i="1"/>
  <c r="BG124" i="1"/>
  <c r="BG140" i="1"/>
  <c r="BG108" i="1"/>
  <c r="BG120" i="1"/>
  <c r="BG201" i="1"/>
  <c r="BG238" i="1"/>
  <c r="BG236" i="1"/>
  <c r="BG181" i="1"/>
  <c r="BG61" i="1"/>
  <c r="BG253" i="1"/>
  <c r="BG209" i="1"/>
  <c r="BG137" i="1"/>
  <c r="BG105" i="1"/>
  <c r="BG73" i="1"/>
  <c r="BG49" i="1"/>
  <c r="BG25" i="1"/>
  <c r="BG157" i="1"/>
  <c r="BG249" i="1"/>
  <c r="BG33" i="1"/>
  <c r="BG197" i="1"/>
  <c r="BG241" i="1"/>
  <c r="BG193" i="1"/>
  <c r="BG169" i="1"/>
  <c r="BG149" i="1"/>
  <c r="BG133" i="1"/>
  <c r="BG117" i="1"/>
  <c r="BG101" i="1"/>
  <c r="BG85" i="1"/>
  <c r="BG45" i="1"/>
  <c r="BG17" i="1"/>
  <c r="BG213" i="1"/>
  <c r="BG153" i="1"/>
  <c r="BG121" i="1"/>
  <c r="BG89" i="1"/>
  <c r="BG233" i="1"/>
  <c r="BG237" i="1"/>
  <c r="BG65" i="1"/>
  <c r="BG221" i="1"/>
  <c r="BG245" i="1"/>
  <c r="BG225" i="1"/>
  <c r="BG185" i="1"/>
  <c r="BG165" i="1"/>
  <c r="BG145" i="1"/>
  <c r="BG129" i="1"/>
  <c r="BG113" i="1"/>
  <c r="BG97" i="1"/>
  <c r="BG81" i="1"/>
  <c r="BG57" i="1"/>
  <c r="BG41" i="1"/>
  <c r="BG13" i="1"/>
  <c r="BG198" i="1"/>
  <c r="BG142" i="1"/>
  <c r="BG35" i="1"/>
  <c r="BG139" i="1"/>
  <c r="BG163" i="1"/>
  <c r="BG171" i="1"/>
  <c r="BG203" i="1"/>
  <c r="BG31" i="1"/>
  <c r="BG195" i="1"/>
  <c r="BG158" i="1"/>
  <c r="BG18" i="1"/>
  <c r="BG230" i="1"/>
  <c r="BG143" i="1"/>
  <c r="BG59" i="1"/>
  <c r="BG38" i="1"/>
  <c r="BG15" i="1"/>
  <c r="BG103" i="1"/>
  <c r="BG119" i="1"/>
  <c r="BG151" i="1"/>
  <c r="BG183" i="1"/>
  <c r="BG222" i="1"/>
  <c r="BG98" i="1"/>
  <c r="BG186" i="1"/>
  <c r="BG34" i="1"/>
  <c r="BG214" i="1"/>
  <c r="BG54" i="1"/>
  <c r="BG72" i="1"/>
  <c r="BG156" i="1"/>
  <c r="BG168" i="1"/>
  <c r="BG240" i="1"/>
  <c r="BG252" i="1"/>
  <c r="BG22" i="1"/>
  <c r="BG206" i="1"/>
  <c r="BG44" i="1"/>
  <c r="BG228" i="1"/>
  <c r="BG11" i="1"/>
  <c r="BG23" i="1"/>
  <c r="BG51" i="1"/>
  <c r="BG55" i="1"/>
  <c r="BG71" i="1"/>
  <c r="BG107" i="1"/>
  <c r="BG111" i="1"/>
  <c r="BG235" i="1"/>
  <c r="BG104" i="1"/>
  <c r="BG180" i="1"/>
  <c r="BG138" i="1"/>
  <c r="BG74" i="1"/>
  <c r="BG46" i="1"/>
  <c r="BG155" i="1"/>
  <c r="BG7" i="1"/>
  <c r="BG47" i="1"/>
  <c r="BG27" i="1"/>
  <c r="BG67" i="1"/>
  <c r="BG251" i="1"/>
  <c r="BG187" i="1"/>
  <c r="BG79" i="1"/>
  <c r="BG75" i="1"/>
  <c r="BG115" i="1"/>
  <c r="BG159" i="1"/>
  <c r="BG167" i="1"/>
  <c r="BG99" i="1"/>
  <c r="BG127" i="1"/>
  <c r="BG224" i="1"/>
  <c r="BG95" i="1"/>
  <c r="BG179" i="1"/>
  <c r="BG39" i="1"/>
  <c r="BG19" i="1"/>
  <c r="BG87" i="1"/>
  <c r="BG219" i="1"/>
  <c r="BG175" i="1"/>
  <c r="BG63" i="1"/>
  <c r="BG91" i="1"/>
  <c r="BG43" i="1"/>
  <c r="BG8" i="1"/>
  <c r="BG12" i="1"/>
  <c r="BG16" i="1"/>
  <c r="BG24" i="1"/>
  <c r="BG32" i="1"/>
  <c r="BG40" i="1"/>
  <c r="BG60" i="1"/>
  <c r="BG68" i="1"/>
  <c r="BG80" i="1"/>
  <c r="BG88" i="1"/>
  <c r="BG96" i="1"/>
  <c r="BG100" i="1"/>
  <c r="BG112" i="1"/>
  <c r="BG116" i="1"/>
  <c r="BG132" i="1"/>
  <c r="BG136" i="1"/>
  <c r="BG148" i="1"/>
  <c r="BG152" i="1"/>
  <c r="BG160" i="1"/>
  <c r="BG164" i="1"/>
  <c r="BG176" i="1"/>
  <c r="BG188" i="1"/>
  <c r="BG192" i="1"/>
  <c r="BG196" i="1"/>
  <c r="BG200" i="1"/>
  <c r="BG204" i="1"/>
  <c r="BG208" i="1"/>
  <c r="BG212" i="1"/>
  <c r="BG244" i="1"/>
  <c r="BG66" i="1"/>
  <c r="BG6" i="1"/>
  <c r="BG14" i="1"/>
  <c r="BG26" i="1"/>
  <c r="BG30" i="1"/>
  <c r="BG42" i="1"/>
  <c r="BG50" i="1"/>
  <c r="BG82" i="1"/>
  <c r="BG86" i="1"/>
  <c r="BG94" i="1"/>
  <c r="BG102" i="1"/>
  <c r="BG110" i="1"/>
  <c r="BG114" i="1"/>
  <c r="BG118" i="1"/>
  <c r="BG126" i="1"/>
  <c r="BG130" i="1"/>
  <c r="BG134" i="1"/>
  <c r="BG146" i="1"/>
  <c r="BG150" i="1"/>
  <c r="BG162" i="1"/>
  <c r="BG170" i="1"/>
  <c r="BG178" i="1"/>
  <c r="BG182" i="1"/>
  <c r="BG190" i="1"/>
  <c r="BG194" i="1"/>
  <c r="BG218" i="1"/>
  <c r="BG226" i="1"/>
  <c r="BG234" i="1"/>
  <c r="BG246" i="1"/>
  <c r="BG250" i="1"/>
  <c r="BG254" i="1"/>
  <c r="BG62" i="1"/>
  <c r="BG70" i="1"/>
  <c r="BG90" i="1"/>
  <c r="BG122" i="1"/>
  <c r="BG202" i="1"/>
  <c r="BG210" i="1"/>
  <c r="BG69" i="1"/>
  <c r="BG174" i="1"/>
  <c r="BG78" i="1"/>
  <c r="BG154" i="1"/>
  <c r="BG106" i="1"/>
  <c r="BG58" i="1"/>
  <c r="BG144" i="1"/>
  <c r="BG28" i="1"/>
  <c r="BG36" i="1"/>
  <c r="BG48" i="1"/>
  <c r="BG52" i="1"/>
  <c r="BG56" i="1"/>
  <c r="BG64" i="1"/>
  <c r="BG84" i="1"/>
  <c r="BG92" i="1"/>
  <c r="BG172" i="1"/>
  <c r="BG76" i="1"/>
  <c r="BG166" i="1"/>
  <c r="BG131" i="1"/>
  <c r="BG135" i="1"/>
  <c r="BG191" i="1"/>
  <c r="BG199" i="1"/>
  <c r="BG207" i="1"/>
  <c r="BG211" i="1"/>
  <c r="BG215" i="1"/>
  <c r="BG223" i="1"/>
  <c r="BG227" i="1"/>
  <c r="BG231" i="1"/>
  <c r="BG243" i="1"/>
  <c r="BG247" i="1"/>
  <c r="BL105" i="1"/>
  <c r="BG242" i="1"/>
  <c r="BG248" i="1"/>
  <c r="BG239" i="1"/>
  <c r="BG10" i="1"/>
  <c r="BG184" i="1"/>
  <c r="BG216" i="1"/>
  <c r="BG220" i="1"/>
  <c r="BG20" i="1"/>
  <c r="BG83" i="1"/>
  <c r="BG123" i="1"/>
  <c r="BG147" i="1"/>
  <c r="BG173" i="1"/>
  <c r="BL175" i="1"/>
  <c r="BR18" i="1" l="1"/>
  <c r="BS18" i="1" s="1"/>
  <c r="CG18" i="1"/>
  <c r="BR19" i="1"/>
  <c r="BS19" i="1" s="1"/>
  <c r="CG19" i="1"/>
  <c r="BR22" i="1"/>
  <c r="BS22" i="1" s="1"/>
  <c r="CG22" i="1"/>
  <c r="BR23" i="1"/>
  <c r="BS23" i="1" s="1"/>
  <c r="CG23" i="1"/>
  <c r="BR20" i="1"/>
  <c r="BS20" i="1" s="1"/>
  <c r="CG20" i="1"/>
  <c r="BR14" i="1"/>
  <c r="BS14" i="1" s="1"/>
  <c r="CG14" i="1"/>
  <c r="BR12" i="1"/>
  <c r="BS12" i="1" s="1"/>
  <c r="CG12" i="1"/>
  <c r="BR15" i="1"/>
  <c r="BS15" i="1" s="1"/>
  <c r="CG15" i="1"/>
  <c r="BR21" i="1"/>
  <c r="BS21" i="1" s="1"/>
  <c r="CG21" i="1"/>
  <c r="BR16" i="1"/>
  <c r="BS16" i="1" s="1"/>
  <c r="CG16" i="1"/>
  <c r="BR13" i="1"/>
  <c r="BS13" i="1" s="1"/>
  <c r="CG13" i="1"/>
  <c r="BR17" i="1"/>
  <c r="BS17" i="1" s="1"/>
  <c r="CG17" i="1"/>
  <c r="BP5" i="1"/>
  <c r="CF137" i="1"/>
  <c r="CH137" i="1" s="1"/>
  <c r="AR5" i="1"/>
  <c r="BO5" i="1" s="1"/>
  <c r="AO5" i="1"/>
  <c r="BK5" i="1" s="1"/>
  <c r="BL185" i="1"/>
  <c r="BM185" i="1" s="1"/>
  <c r="BL117" i="1"/>
  <c r="BM117" i="1" s="1"/>
  <c r="BL161" i="1"/>
  <c r="BM161" i="1" s="1"/>
  <c r="CF169" i="1"/>
  <c r="CH169" i="1" s="1"/>
  <c r="BL195" i="1"/>
  <c r="BM195" i="1" s="1"/>
  <c r="BL223" i="1"/>
  <c r="BM223" i="1" s="1"/>
  <c r="BL141" i="1"/>
  <c r="BM141" i="1" s="1"/>
  <c r="CF121" i="1"/>
  <c r="CH121" i="1" s="1"/>
  <c r="CF181" i="1"/>
  <c r="CH181" i="1" s="1"/>
  <c r="BL109" i="1"/>
  <c r="BM109" i="1" s="1"/>
  <c r="CF157" i="1"/>
  <c r="CH157" i="1" s="1"/>
  <c r="CF191" i="1"/>
  <c r="CH191" i="1" s="1"/>
  <c r="BL173" i="1"/>
  <c r="CF125" i="1"/>
  <c r="CH125" i="1" s="1"/>
  <c r="CF113" i="1"/>
  <c r="CH113" i="1" s="1"/>
  <c r="BL133" i="1"/>
  <c r="BM133" i="1" s="1"/>
  <c r="CF211" i="1"/>
  <c r="CH211" i="1" s="1"/>
  <c r="CF145" i="1"/>
  <c r="CH145" i="1" s="1"/>
  <c r="BL177" i="1"/>
  <c r="BM177" i="1" s="1"/>
  <c r="BL149" i="1"/>
  <c r="BM149" i="1" s="1"/>
  <c r="BL207" i="1"/>
  <c r="BM207" i="1" s="1"/>
  <c r="BL243" i="1"/>
  <c r="BM243" i="1" s="1"/>
  <c r="BL129" i="1"/>
  <c r="BM129" i="1" s="1"/>
  <c r="CF165" i="1"/>
  <c r="CH165" i="1" s="1"/>
  <c r="BL159" i="1"/>
  <c r="BM159" i="1" s="1"/>
  <c r="BL135" i="1"/>
  <c r="BM135" i="1" s="1"/>
  <c r="BL162" i="1"/>
  <c r="BM162" i="1" s="1"/>
  <c r="BL119" i="1"/>
  <c r="BM119" i="1" s="1"/>
  <c r="AS86" i="1"/>
  <c r="BJ86" i="1" s="1"/>
  <c r="BV86" i="1" s="1"/>
  <c r="AR86" i="1"/>
  <c r="BI86" i="1" s="1"/>
  <c r="BU86" i="1" s="1"/>
  <c r="AQ86" i="1"/>
  <c r="BH86" i="1" s="1"/>
  <c r="AO86" i="1"/>
  <c r="BK86" i="1" s="1"/>
  <c r="AS79" i="1"/>
  <c r="BJ79" i="1" s="1"/>
  <c r="BV79" i="1" s="1"/>
  <c r="AR79" i="1"/>
  <c r="BI79" i="1" s="1"/>
  <c r="BU79" i="1" s="1"/>
  <c r="AQ79" i="1"/>
  <c r="BH79" i="1" s="1"/>
  <c r="AO79" i="1"/>
  <c r="BK79" i="1" s="1"/>
  <c r="AS94" i="1"/>
  <c r="BJ94" i="1" s="1"/>
  <c r="BV94" i="1" s="1"/>
  <c r="AR94" i="1"/>
  <c r="BI94" i="1" s="1"/>
  <c r="BU94" i="1" s="1"/>
  <c r="AQ94" i="1"/>
  <c r="BH94" i="1" s="1"/>
  <c r="AO94" i="1"/>
  <c r="BK94" i="1" s="1"/>
  <c r="AS82" i="1"/>
  <c r="BJ82" i="1" s="1"/>
  <c r="BV82" i="1" s="1"/>
  <c r="AR82" i="1"/>
  <c r="BI82" i="1" s="1"/>
  <c r="BU82" i="1" s="1"/>
  <c r="AQ82" i="1"/>
  <c r="BH82" i="1" s="1"/>
  <c r="AO82" i="1"/>
  <c r="BK82" i="1" s="1"/>
  <c r="AS22" i="1"/>
  <c r="BJ22" i="1" s="1"/>
  <c r="BV22" i="1" s="1"/>
  <c r="AR22" i="1"/>
  <c r="BI22" i="1" s="1"/>
  <c r="BU22" i="1" s="1"/>
  <c r="AQ22" i="1"/>
  <c r="AO22" i="1"/>
  <c r="CV22" i="1" s="1"/>
  <c r="AS91" i="1"/>
  <c r="BJ91" i="1" s="1"/>
  <c r="BV91" i="1" s="1"/>
  <c r="AR91" i="1"/>
  <c r="BI91" i="1" s="1"/>
  <c r="BU91" i="1" s="1"/>
  <c r="AQ91" i="1"/>
  <c r="BH91" i="1" s="1"/>
  <c r="AO91" i="1"/>
  <c r="BK91" i="1" s="1"/>
  <c r="AS87" i="1"/>
  <c r="BJ87" i="1" s="1"/>
  <c r="BV87" i="1" s="1"/>
  <c r="AR87" i="1"/>
  <c r="BI87" i="1" s="1"/>
  <c r="BU87" i="1" s="1"/>
  <c r="AQ87" i="1"/>
  <c r="BH87" i="1" s="1"/>
  <c r="AO87" i="1"/>
  <c r="BK87" i="1" s="1"/>
  <c r="AS23" i="1"/>
  <c r="BJ23" i="1" s="1"/>
  <c r="BV23" i="1" s="1"/>
  <c r="AR23" i="1"/>
  <c r="BI23" i="1" s="1"/>
  <c r="BU23" i="1" s="1"/>
  <c r="AQ23" i="1"/>
  <c r="AO23" i="1"/>
  <c r="CQ23" i="1" s="1"/>
  <c r="AS98" i="1"/>
  <c r="BJ98" i="1" s="1"/>
  <c r="BV98" i="1" s="1"/>
  <c r="AR98" i="1"/>
  <c r="BI98" i="1" s="1"/>
  <c r="BU98" i="1" s="1"/>
  <c r="AQ98" i="1"/>
  <c r="BH98" i="1" s="1"/>
  <c r="AO98" i="1"/>
  <c r="BK98" i="1" s="1"/>
  <c r="AS66" i="1"/>
  <c r="BJ66" i="1" s="1"/>
  <c r="BV66" i="1" s="1"/>
  <c r="AR66" i="1"/>
  <c r="BI66" i="1" s="1"/>
  <c r="BU66" i="1" s="1"/>
  <c r="AQ66" i="1"/>
  <c r="BH66" i="1" s="1"/>
  <c r="AO66" i="1"/>
  <c r="BK66" i="1" s="1"/>
  <c r="AS102" i="1"/>
  <c r="BJ102" i="1" s="1"/>
  <c r="BV102" i="1" s="1"/>
  <c r="AR102" i="1"/>
  <c r="BI102" i="1" s="1"/>
  <c r="BU102" i="1" s="1"/>
  <c r="AQ102" i="1"/>
  <c r="BH102" i="1" s="1"/>
  <c r="AO102" i="1"/>
  <c r="BK102" i="1" s="1"/>
  <c r="AS78" i="1"/>
  <c r="BJ78" i="1" s="1"/>
  <c r="BV78" i="1" s="1"/>
  <c r="AR78" i="1"/>
  <c r="BI78" i="1" s="1"/>
  <c r="BU78" i="1" s="1"/>
  <c r="AQ78" i="1"/>
  <c r="BH78" i="1" s="1"/>
  <c r="AO78" i="1"/>
  <c r="BK78" i="1" s="1"/>
  <c r="AS75" i="1"/>
  <c r="BJ75" i="1" s="1"/>
  <c r="BV75" i="1" s="1"/>
  <c r="AR75" i="1"/>
  <c r="BI75" i="1" s="1"/>
  <c r="BU75" i="1" s="1"/>
  <c r="AQ75" i="1"/>
  <c r="BH75" i="1" s="1"/>
  <c r="AO75" i="1"/>
  <c r="BK75" i="1" s="1"/>
  <c r="AS80" i="1"/>
  <c r="BJ80" i="1" s="1"/>
  <c r="BV80" i="1" s="1"/>
  <c r="AR80" i="1"/>
  <c r="BI80" i="1" s="1"/>
  <c r="BU80" i="1" s="1"/>
  <c r="AQ80" i="1"/>
  <c r="BH80" i="1" s="1"/>
  <c r="AO80" i="1"/>
  <c r="BK80" i="1" s="1"/>
  <c r="AS96" i="1"/>
  <c r="BJ96" i="1" s="1"/>
  <c r="BV96" i="1" s="1"/>
  <c r="AR96" i="1"/>
  <c r="BI96" i="1" s="1"/>
  <c r="BU96" i="1" s="1"/>
  <c r="AQ96" i="1"/>
  <c r="BH96" i="1" s="1"/>
  <c r="AO96" i="1"/>
  <c r="BK96" i="1" s="1"/>
  <c r="AS99" i="1"/>
  <c r="BJ99" i="1" s="1"/>
  <c r="BV99" i="1" s="1"/>
  <c r="AR99" i="1"/>
  <c r="BI99" i="1" s="1"/>
  <c r="BU99" i="1" s="1"/>
  <c r="AQ99" i="1"/>
  <c r="BH99" i="1" s="1"/>
  <c r="AO99" i="1"/>
  <c r="BK99" i="1" s="1"/>
  <c r="AS77" i="1"/>
  <c r="BJ77" i="1" s="1"/>
  <c r="BV77" i="1" s="1"/>
  <c r="AR77" i="1"/>
  <c r="BI77" i="1" s="1"/>
  <c r="BU77" i="1" s="1"/>
  <c r="AQ77" i="1"/>
  <c r="BH77" i="1" s="1"/>
  <c r="AO77" i="1"/>
  <c r="BK77" i="1" s="1"/>
  <c r="AS93" i="1"/>
  <c r="BJ93" i="1" s="1"/>
  <c r="BV93" i="1" s="1"/>
  <c r="AR93" i="1"/>
  <c r="BI93" i="1" s="1"/>
  <c r="BU93" i="1" s="1"/>
  <c r="AQ93" i="1"/>
  <c r="BH93" i="1" s="1"/>
  <c r="AO93" i="1"/>
  <c r="BK93" i="1" s="1"/>
  <c r="AS71" i="1"/>
  <c r="BJ71" i="1" s="1"/>
  <c r="BV71" i="1" s="1"/>
  <c r="AR71" i="1"/>
  <c r="BI71" i="1" s="1"/>
  <c r="BU71" i="1" s="1"/>
  <c r="AQ71" i="1"/>
  <c r="BH71" i="1" s="1"/>
  <c r="AO71" i="1"/>
  <c r="BK71" i="1" s="1"/>
  <c r="AS70" i="1"/>
  <c r="BJ70" i="1" s="1"/>
  <c r="BV70" i="1" s="1"/>
  <c r="AR70" i="1"/>
  <c r="BI70" i="1" s="1"/>
  <c r="BU70" i="1" s="1"/>
  <c r="AQ70" i="1"/>
  <c r="BH70" i="1" s="1"/>
  <c r="AO70" i="1"/>
  <c r="BK70" i="1" s="1"/>
  <c r="AS74" i="1"/>
  <c r="BJ74" i="1" s="1"/>
  <c r="BV74" i="1" s="1"/>
  <c r="AR74" i="1"/>
  <c r="BI74" i="1" s="1"/>
  <c r="BU74" i="1" s="1"/>
  <c r="AQ74" i="1"/>
  <c r="BH74" i="1" s="1"/>
  <c r="AO74" i="1"/>
  <c r="BK74" i="1" s="1"/>
  <c r="AS83" i="1"/>
  <c r="BJ83" i="1" s="1"/>
  <c r="BV83" i="1" s="1"/>
  <c r="AR83" i="1"/>
  <c r="BI83" i="1" s="1"/>
  <c r="BU83" i="1" s="1"/>
  <c r="AQ83" i="1"/>
  <c r="BH83" i="1" s="1"/>
  <c r="AO83" i="1"/>
  <c r="BK83" i="1" s="1"/>
  <c r="AS68" i="1"/>
  <c r="BJ68" i="1" s="1"/>
  <c r="BV68" i="1" s="1"/>
  <c r="AR68" i="1"/>
  <c r="BI68" i="1" s="1"/>
  <c r="BU68" i="1" s="1"/>
  <c r="AQ68" i="1"/>
  <c r="BH68" i="1" s="1"/>
  <c r="AO68" i="1"/>
  <c r="BK68" i="1" s="1"/>
  <c r="AS84" i="1"/>
  <c r="BJ84" i="1" s="1"/>
  <c r="BV84" i="1" s="1"/>
  <c r="AR84" i="1"/>
  <c r="BI84" i="1" s="1"/>
  <c r="BU84" i="1" s="1"/>
  <c r="AQ84" i="1"/>
  <c r="BH84" i="1" s="1"/>
  <c r="AO84" i="1"/>
  <c r="BK84" i="1" s="1"/>
  <c r="AS100" i="1"/>
  <c r="BJ100" i="1" s="1"/>
  <c r="BV100" i="1" s="1"/>
  <c r="AR100" i="1"/>
  <c r="BI100" i="1" s="1"/>
  <c r="BU100" i="1" s="1"/>
  <c r="AQ100" i="1"/>
  <c r="BH100" i="1" s="1"/>
  <c r="AO100" i="1"/>
  <c r="BK100" i="1" s="1"/>
  <c r="AS103" i="1"/>
  <c r="BJ103" i="1" s="1"/>
  <c r="BV103" i="1" s="1"/>
  <c r="AR103" i="1"/>
  <c r="BI103" i="1" s="1"/>
  <c r="BU103" i="1" s="1"/>
  <c r="AQ103" i="1"/>
  <c r="BH103" i="1" s="1"/>
  <c r="AO103" i="1"/>
  <c r="BK103" i="1" s="1"/>
  <c r="AS81" i="1"/>
  <c r="BJ81" i="1" s="1"/>
  <c r="BV81" i="1" s="1"/>
  <c r="AR81" i="1"/>
  <c r="BI81" i="1" s="1"/>
  <c r="BU81" i="1" s="1"/>
  <c r="AQ81" i="1"/>
  <c r="BH81" i="1" s="1"/>
  <c r="AO81" i="1"/>
  <c r="BK81" i="1" s="1"/>
  <c r="AS97" i="1"/>
  <c r="BJ97" i="1" s="1"/>
  <c r="BV97" i="1" s="1"/>
  <c r="AR97" i="1"/>
  <c r="BI97" i="1" s="1"/>
  <c r="BU97" i="1" s="1"/>
  <c r="AQ97" i="1"/>
  <c r="BH97" i="1" s="1"/>
  <c r="AO97" i="1"/>
  <c r="BK97" i="1" s="1"/>
  <c r="AS95" i="1"/>
  <c r="BJ95" i="1" s="1"/>
  <c r="BV95" i="1" s="1"/>
  <c r="AR95" i="1"/>
  <c r="BI95" i="1" s="1"/>
  <c r="BU95" i="1" s="1"/>
  <c r="AQ95" i="1"/>
  <c r="BH95" i="1" s="1"/>
  <c r="AO95" i="1"/>
  <c r="BK95" i="1" s="1"/>
  <c r="AS72" i="1"/>
  <c r="BJ72" i="1" s="1"/>
  <c r="BV72" i="1" s="1"/>
  <c r="AR72" i="1"/>
  <c r="BI72" i="1" s="1"/>
  <c r="BU72" i="1" s="1"/>
  <c r="AQ72" i="1"/>
  <c r="BH72" i="1" s="1"/>
  <c r="AO72" i="1"/>
  <c r="BK72" i="1" s="1"/>
  <c r="AS88" i="1"/>
  <c r="BJ88" i="1" s="1"/>
  <c r="BV88" i="1" s="1"/>
  <c r="AR88" i="1"/>
  <c r="BI88" i="1" s="1"/>
  <c r="BU88" i="1" s="1"/>
  <c r="AQ88" i="1"/>
  <c r="BH88" i="1" s="1"/>
  <c r="AO88" i="1"/>
  <c r="BK88" i="1" s="1"/>
  <c r="AS104" i="1"/>
  <c r="BJ104" i="1" s="1"/>
  <c r="BV104" i="1" s="1"/>
  <c r="AR104" i="1"/>
  <c r="BI104" i="1" s="1"/>
  <c r="BU104" i="1" s="1"/>
  <c r="AQ104" i="1"/>
  <c r="BH104" i="1" s="1"/>
  <c r="AO104" i="1"/>
  <c r="BK104" i="1" s="1"/>
  <c r="AS21" i="1"/>
  <c r="BJ21" i="1" s="1"/>
  <c r="BV21" i="1" s="1"/>
  <c r="AR21" i="1"/>
  <c r="BI21" i="1" s="1"/>
  <c r="BU21" i="1" s="1"/>
  <c r="AQ21" i="1"/>
  <c r="AO21" i="1"/>
  <c r="BK21" i="1" s="1"/>
  <c r="AS69" i="1"/>
  <c r="BJ69" i="1" s="1"/>
  <c r="BV69" i="1" s="1"/>
  <c r="AR69" i="1"/>
  <c r="BI69" i="1" s="1"/>
  <c r="BU69" i="1" s="1"/>
  <c r="AQ69" i="1"/>
  <c r="BH69" i="1" s="1"/>
  <c r="AO69" i="1"/>
  <c r="BK69" i="1" s="1"/>
  <c r="AS85" i="1"/>
  <c r="BJ85" i="1" s="1"/>
  <c r="BV85" i="1" s="1"/>
  <c r="AR85" i="1"/>
  <c r="BI85" i="1" s="1"/>
  <c r="BU85" i="1" s="1"/>
  <c r="AQ85" i="1"/>
  <c r="BH85" i="1" s="1"/>
  <c r="AO85" i="1"/>
  <c r="BK85" i="1" s="1"/>
  <c r="AS101" i="1"/>
  <c r="BJ101" i="1" s="1"/>
  <c r="BV101" i="1" s="1"/>
  <c r="AR101" i="1"/>
  <c r="BI101" i="1" s="1"/>
  <c r="BU101" i="1" s="1"/>
  <c r="AQ101" i="1"/>
  <c r="BH101" i="1" s="1"/>
  <c r="AO101" i="1"/>
  <c r="BK101" i="1" s="1"/>
  <c r="AS26" i="1"/>
  <c r="BJ26" i="1" s="1"/>
  <c r="BV26" i="1" s="1"/>
  <c r="AR26" i="1"/>
  <c r="BI26" i="1" s="1"/>
  <c r="BU26" i="1" s="1"/>
  <c r="AQ26" i="1"/>
  <c r="AO26" i="1"/>
  <c r="BK26" i="1" s="1"/>
  <c r="AS90" i="1"/>
  <c r="BJ90" i="1" s="1"/>
  <c r="BV90" i="1" s="1"/>
  <c r="AR90" i="1"/>
  <c r="BI90" i="1" s="1"/>
  <c r="BU90" i="1" s="1"/>
  <c r="AQ90" i="1"/>
  <c r="BH90" i="1" s="1"/>
  <c r="AO90" i="1"/>
  <c r="BK90" i="1" s="1"/>
  <c r="AS67" i="1"/>
  <c r="BJ67" i="1" s="1"/>
  <c r="BV67" i="1" s="1"/>
  <c r="AR67" i="1"/>
  <c r="BI67" i="1" s="1"/>
  <c r="BU67" i="1" s="1"/>
  <c r="AQ67" i="1"/>
  <c r="BH67" i="1" s="1"/>
  <c r="AO67" i="1"/>
  <c r="BK67" i="1" s="1"/>
  <c r="AS24" i="1"/>
  <c r="BJ24" i="1" s="1"/>
  <c r="BV24" i="1" s="1"/>
  <c r="AR24" i="1"/>
  <c r="BI24" i="1" s="1"/>
  <c r="BU24" i="1" s="1"/>
  <c r="AQ24" i="1"/>
  <c r="AO24" i="1"/>
  <c r="DA24" i="1" s="1"/>
  <c r="AS76" i="1"/>
  <c r="BJ76" i="1" s="1"/>
  <c r="BV76" i="1" s="1"/>
  <c r="AR76" i="1"/>
  <c r="BI76" i="1" s="1"/>
  <c r="BU76" i="1" s="1"/>
  <c r="AQ76" i="1"/>
  <c r="BH76" i="1" s="1"/>
  <c r="AO76" i="1"/>
  <c r="BK76" i="1" s="1"/>
  <c r="AS92" i="1"/>
  <c r="BJ92" i="1" s="1"/>
  <c r="BV92" i="1" s="1"/>
  <c r="AR92" i="1"/>
  <c r="BI92" i="1" s="1"/>
  <c r="BU92" i="1" s="1"/>
  <c r="AQ92" i="1"/>
  <c r="BH92" i="1" s="1"/>
  <c r="AO92" i="1"/>
  <c r="BK92" i="1" s="1"/>
  <c r="AS25" i="1"/>
  <c r="BJ25" i="1" s="1"/>
  <c r="BV25" i="1" s="1"/>
  <c r="AR25" i="1"/>
  <c r="BI25" i="1" s="1"/>
  <c r="BU25" i="1" s="1"/>
  <c r="AQ25" i="1"/>
  <c r="AO25" i="1"/>
  <c r="CQ25" i="1" s="1"/>
  <c r="AS73" i="1"/>
  <c r="BJ73" i="1" s="1"/>
  <c r="BV73" i="1" s="1"/>
  <c r="AR73" i="1"/>
  <c r="BI73" i="1" s="1"/>
  <c r="BU73" i="1" s="1"/>
  <c r="AQ73" i="1"/>
  <c r="BH73" i="1" s="1"/>
  <c r="AO73" i="1"/>
  <c r="BK73" i="1" s="1"/>
  <c r="AS89" i="1"/>
  <c r="BJ89" i="1" s="1"/>
  <c r="BV89" i="1" s="1"/>
  <c r="AR89" i="1"/>
  <c r="BI89" i="1" s="1"/>
  <c r="BU89" i="1" s="1"/>
  <c r="AQ89" i="1"/>
  <c r="BH89" i="1" s="1"/>
  <c r="AO89" i="1"/>
  <c r="BK89" i="1" s="1"/>
  <c r="DB23" i="1"/>
  <c r="BL155" i="1"/>
  <c r="BM155" i="1" s="1"/>
  <c r="BL111" i="1"/>
  <c r="BM111" i="1" s="1"/>
  <c r="BL183" i="1"/>
  <c r="BM183" i="1" s="1"/>
  <c r="BL139" i="1"/>
  <c r="BM139" i="1" s="1"/>
  <c r="BL245" i="1"/>
  <c r="BM245" i="1" s="1"/>
  <c r="BL171" i="1"/>
  <c r="BM171" i="1" s="1"/>
  <c r="BL151" i="1"/>
  <c r="BM151" i="1" s="1"/>
  <c r="BL127" i="1"/>
  <c r="BL107" i="1"/>
  <c r="BM107" i="1" s="1"/>
  <c r="BL197" i="1"/>
  <c r="BM197" i="1" s="1"/>
  <c r="BL187" i="1"/>
  <c r="BM187" i="1" s="1"/>
  <c r="BL167" i="1"/>
  <c r="BM167" i="1" s="1"/>
  <c r="BL143" i="1"/>
  <c r="BM143" i="1" s="1"/>
  <c r="BL123" i="1"/>
  <c r="BM123" i="1" s="1"/>
  <c r="BL179" i="1"/>
  <c r="BM179" i="1" s="1"/>
  <c r="BL163" i="1"/>
  <c r="BM163" i="1" s="1"/>
  <c r="BL147" i="1"/>
  <c r="BM147" i="1" s="1"/>
  <c r="BL131" i="1"/>
  <c r="BM131" i="1" s="1"/>
  <c r="BL115" i="1"/>
  <c r="BM115" i="1" s="1"/>
  <c r="BL130" i="1"/>
  <c r="BM130" i="1" s="1"/>
  <c r="BL252" i="1"/>
  <c r="BM252" i="1" s="1"/>
  <c r="BL186" i="1"/>
  <c r="BM186" i="1" s="1"/>
  <c r="BL114" i="1"/>
  <c r="BM114" i="1" s="1"/>
  <c r="BL146" i="1"/>
  <c r="BM146" i="1" s="1"/>
  <c r="BL200" i="1"/>
  <c r="BM200" i="1" s="1"/>
  <c r="BL224" i="1"/>
  <c r="BM224" i="1" s="1"/>
  <c r="BL220" i="1"/>
  <c r="BM220" i="1" s="1"/>
  <c r="BL214" i="1"/>
  <c r="BM214" i="1" s="1"/>
  <c r="BL144" i="1"/>
  <c r="BM144" i="1" s="1"/>
  <c r="BL128" i="1"/>
  <c r="BM128" i="1" s="1"/>
  <c r="AQ5" i="1"/>
  <c r="BL198" i="1"/>
  <c r="BM198" i="1" s="1"/>
  <c r="BL239" i="1"/>
  <c r="BM239" i="1" s="1"/>
  <c r="BL246" i="1"/>
  <c r="BM246" i="1" s="1"/>
  <c r="BL176" i="1"/>
  <c r="BM176" i="1" s="1"/>
  <c r="BL112" i="1"/>
  <c r="BM112" i="1" s="1"/>
  <c r="BL227" i="1"/>
  <c r="BL230" i="1"/>
  <c r="BM230" i="1" s="1"/>
  <c r="BL160" i="1"/>
  <c r="BM160" i="1" s="1"/>
  <c r="CQ5" i="1"/>
  <c r="BI5" i="1"/>
  <c r="BU253" i="1"/>
  <c r="BU189" i="1"/>
  <c r="BV148" i="1"/>
  <c r="BL247" i="1"/>
  <c r="BM247" i="1" s="1"/>
  <c r="BL231" i="1"/>
  <c r="BM231" i="1" s="1"/>
  <c r="BL215" i="1"/>
  <c r="BM215" i="1" s="1"/>
  <c r="BL199" i="1"/>
  <c r="BM199" i="1" s="1"/>
  <c r="BL251" i="1"/>
  <c r="BM251" i="1" s="1"/>
  <c r="BL235" i="1"/>
  <c r="BM235" i="1" s="1"/>
  <c r="BL219" i="1"/>
  <c r="BM219" i="1" s="1"/>
  <c r="BL203" i="1"/>
  <c r="BM203" i="1" s="1"/>
  <c r="BL229" i="1"/>
  <c r="BM229" i="1" s="1"/>
  <c r="BL193" i="1"/>
  <c r="BM193" i="1" s="1"/>
  <c r="BL221" i="1"/>
  <c r="BM221" i="1" s="1"/>
  <c r="BL189" i="1"/>
  <c r="BM189" i="1" s="1"/>
  <c r="BL249" i="1"/>
  <c r="BM249" i="1" s="1"/>
  <c r="BL201" i="1"/>
  <c r="BM201" i="1" s="1"/>
  <c r="BV242" i="1"/>
  <c r="BV218" i="1"/>
  <c r="BU251" i="1"/>
  <c r="BU215" i="1"/>
  <c r="BV221" i="1"/>
  <c r="BV157" i="1"/>
  <c r="BV105" i="1"/>
  <c r="BV195" i="1"/>
  <c r="BU240" i="1"/>
  <c r="BL158" i="1"/>
  <c r="BM158" i="1" s="1"/>
  <c r="BL126" i="1"/>
  <c r="BM126" i="1" s="1"/>
  <c r="BL204" i="1"/>
  <c r="BM204" i="1" s="1"/>
  <c r="BL170" i="1"/>
  <c r="BM170" i="1" s="1"/>
  <c r="BL150" i="1"/>
  <c r="BM150" i="1" s="1"/>
  <c r="BL134" i="1"/>
  <c r="BM134" i="1" s="1"/>
  <c r="BL118" i="1"/>
  <c r="BM118" i="1" s="1"/>
  <c r="BL174" i="1"/>
  <c r="BM174" i="1" s="1"/>
  <c r="BL240" i="1"/>
  <c r="BM240" i="1" s="1"/>
  <c r="BL228" i="1"/>
  <c r="BM228" i="1" s="1"/>
  <c r="BL208" i="1"/>
  <c r="BM208" i="1" s="1"/>
  <c r="BL244" i="1"/>
  <c r="BM244" i="1" s="1"/>
  <c r="BL216" i="1"/>
  <c r="BM216" i="1" s="1"/>
  <c r="BL196" i="1"/>
  <c r="BM196" i="1" s="1"/>
  <c r="BL166" i="1"/>
  <c r="BM166" i="1" s="1"/>
  <c r="BL248" i="1"/>
  <c r="BM248" i="1" s="1"/>
  <c r="BL182" i="1"/>
  <c r="BM182" i="1" s="1"/>
  <c r="BL142" i="1"/>
  <c r="BM142" i="1" s="1"/>
  <c r="BL110" i="1"/>
  <c r="BM110" i="1" s="1"/>
  <c r="BL232" i="1"/>
  <c r="BM232" i="1" s="1"/>
  <c r="BL178" i="1"/>
  <c r="BM178" i="1" s="1"/>
  <c r="BL154" i="1"/>
  <c r="BM154" i="1" s="1"/>
  <c r="BL138" i="1"/>
  <c r="BM138" i="1" s="1"/>
  <c r="BL122" i="1"/>
  <c r="BM122" i="1" s="1"/>
  <c r="BL106" i="1"/>
  <c r="BM106" i="1" s="1"/>
  <c r="BL236" i="1"/>
  <c r="BM236" i="1" s="1"/>
  <c r="BL212" i="1"/>
  <c r="BM212" i="1" s="1"/>
  <c r="BL192" i="1"/>
  <c r="BM192" i="1" s="1"/>
  <c r="BL242" i="1"/>
  <c r="BM242" i="1" s="1"/>
  <c r="BL226" i="1"/>
  <c r="BM226" i="1" s="1"/>
  <c r="BL210" i="1"/>
  <c r="BM210" i="1" s="1"/>
  <c r="BL194" i="1"/>
  <c r="BL172" i="1"/>
  <c r="BM172" i="1" s="1"/>
  <c r="BL156" i="1"/>
  <c r="BM156" i="1" s="1"/>
  <c r="BL140" i="1"/>
  <c r="BM140" i="1" s="1"/>
  <c r="BL124" i="1"/>
  <c r="BM124" i="1" s="1"/>
  <c r="BL108" i="1"/>
  <c r="BM108" i="1" s="1"/>
  <c r="BL254" i="1"/>
  <c r="BM254" i="1" s="1"/>
  <c r="BL238" i="1"/>
  <c r="BL222" i="1"/>
  <c r="BM222" i="1" s="1"/>
  <c r="BL206" i="1"/>
  <c r="BM206" i="1" s="1"/>
  <c r="BL190" i="1"/>
  <c r="BM190" i="1" s="1"/>
  <c r="BL188" i="1"/>
  <c r="BL168" i="1"/>
  <c r="BM168" i="1" s="1"/>
  <c r="BL152" i="1"/>
  <c r="BM152" i="1" s="1"/>
  <c r="BL136" i="1"/>
  <c r="BM136" i="1" s="1"/>
  <c r="BL120" i="1"/>
  <c r="BM120" i="1" s="1"/>
  <c r="BL180" i="1"/>
  <c r="BM180" i="1" s="1"/>
  <c r="BL250" i="1"/>
  <c r="BM250" i="1" s="1"/>
  <c r="BL234" i="1"/>
  <c r="BM234" i="1" s="1"/>
  <c r="BL218" i="1"/>
  <c r="BM218" i="1" s="1"/>
  <c r="BL202" i="1"/>
  <c r="BM202" i="1" s="1"/>
  <c r="BL184" i="1"/>
  <c r="BM184" i="1" s="1"/>
  <c r="BL164" i="1"/>
  <c r="BM164" i="1" s="1"/>
  <c r="BL148" i="1"/>
  <c r="BM148" i="1" s="1"/>
  <c r="BL132" i="1"/>
  <c r="BM132" i="1" s="1"/>
  <c r="BL116" i="1"/>
  <c r="BM116" i="1" s="1"/>
  <c r="BJ5" i="1"/>
  <c r="BL253" i="1"/>
  <c r="BM253" i="1" s="1"/>
  <c r="CF253" i="1"/>
  <c r="CH253" i="1" s="1"/>
  <c r="BL241" i="1"/>
  <c r="BM241" i="1" s="1"/>
  <c r="CF241" i="1"/>
  <c r="CH241" i="1" s="1"/>
  <c r="BL237" i="1"/>
  <c r="BM237" i="1" s="1"/>
  <c r="CF237" i="1"/>
  <c r="CH237" i="1" s="1"/>
  <c r="BL233" i="1"/>
  <c r="BM233" i="1" s="1"/>
  <c r="CF233" i="1"/>
  <c r="CH233" i="1" s="1"/>
  <c r="BL225" i="1"/>
  <c r="BM225" i="1" s="1"/>
  <c r="CF225" i="1"/>
  <c r="CH225" i="1" s="1"/>
  <c r="BL217" i="1"/>
  <c r="BM217" i="1" s="1"/>
  <c r="CF217" i="1"/>
  <c r="CH217" i="1" s="1"/>
  <c r="BL213" i="1"/>
  <c r="BM213" i="1" s="1"/>
  <c r="CF213" i="1"/>
  <c r="CH213" i="1" s="1"/>
  <c r="BL209" i="1"/>
  <c r="BM209" i="1" s="1"/>
  <c r="CF209" i="1"/>
  <c r="CH209" i="1" s="1"/>
  <c r="BL205" i="1"/>
  <c r="BM205" i="1" s="1"/>
  <c r="CF205" i="1"/>
  <c r="CH205" i="1" s="1"/>
  <c r="BV187" i="1"/>
  <c r="BV122" i="1"/>
  <c r="BV213" i="1"/>
  <c r="BQ5" i="1"/>
  <c r="CG5" i="1" s="1"/>
  <c r="AS59" i="1"/>
  <c r="AR59" i="1"/>
  <c r="AQ59" i="1"/>
  <c r="BH59" i="1" s="1"/>
  <c r="AO59" i="1"/>
  <c r="BK59" i="1" s="1"/>
  <c r="AS55" i="1"/>
  <c r="AR55" i="1"/>
  <c r="AQ55" i="1"/>
  <c r="BH55" i="1" s="1"/>
  <c r="AO55" i="1"/>
  <c r="BK55" i="1" s="1"/>
  <c r="AS53" i="1"/>
  <c r="BJ53" i="1" s="1"/>
  <c r="BV53" i="1" s="1"/>
  <c r="AR53" i="1"/>
  <c r="AQ53" i="1"/>
  <c r="BH53" i="1" s="1"/>
  <c r="AO53" i="1"/>
  <c r="BK53" i="1" s="1"/>
  <c r="AS63" i="1"/>
  <c r="AR63" i="1"/>
  <c r="AQ63" i="1"/>
  <c r="BH63" i="1" s="1"/>
  <c r="AO63" i="1"/>
  <c r="BK63" i="1" s="1"/>
  <c r="AS54" i="1"/>
  <c r="BJ54" i="1" s="1"/>
  <c r="BV54" i="1" s="1"/>
  <c r="AR54" i="1"/>
  <c r="AQ54" i="1"/>
  <c r="BH54" i="1" s="1"/>
  <c r="AO54" i="1"/>
  <c r="BK54" i="1" s="1"/>
  <c r="AS57" i="1"/>
  <c r="AR57" i="1"/>
  <c r="AQ57" i="1"/>
  <c r="BH57" i="1" s="1"/>
  <c r="AO57" i="1"/>
  <c r="BK57" i="1" s="1"/>
  <c r="AS61" i="1"/>
  <c r="AR61" i="1"/>
  <c r="AQ61" i="1"/>
  <c r="BH61" i="1" s="1"/>
  <c r="AO61" i="1"/>
  <c r="BK61" i="1" s="1"/>
  <c r="AS65" i="1"/>
  <c r="AR65" i="1"/>
  <c r="AQ65" i="1"/>
  <c r="BH65" i="1" s="1"/>
  <c r="AO65" i="1"/>
  <c r="BK65" i="1" s="1"/>
  <c r="AS62" i="1"/>
  <c r="AR62" i="1"/>
  <c r="AQ62" i="1"/>
  <c r="BH62" i="1" s="1"/>
  <c r="AO62" i="1"/>
  <c r="BK62" i="1" s="1"/>
  <c r="AS58" i="1"/>
  <c r="AR58" i="1"/>
  <c r="AQ58" i="1"/>
  <c r="BH58" i="1" s="1"/>
  <c r="AO58" i="1"/>
  <c r="BK58" i="1" s="1"/>
  <c r="AS56" i="1"/>
  <c r="BJ56" i="1" s="1"/>
  <c r="BV56" i="1" s="1"/>
  <c r="AR56" i="1"/>
  <c r="AQ56" i="1"/>
  <c r="BH56" i="1" s="1"/>
  <c r="AO56" i="1"/>
  <c r="BK56" i="1" s="1"/>
  <c r="AS60" i="1"/>
  <c r="AR60" i="1"/>
  <c r="AQ60" i="1"/>
  <c r="BH60" i="1" s="1"/>
  <c r="AO60" i="1"/>
  <c r="BK60" i="1" s="1"/>
  <c r="AS64" i="1"/>
  <c r="AR64" i="1"/>
  <c r="AQ64" i="1"/>
  <c r="BH64" i="1" s="1"/>
  <c r="AO64" i="1"/>
  <c r="BK64" i="1" s="1"/>
  <c r="AS52" i="1"/>
  <c r="AR52" i="1"/>
  <c r="AQ52" i="1"/>
  <c r="BH52" i="1" s="1"/>
  <c r="AO52" i="1"/>
  <c r="BK52" i="1" s="1"/>
  <c r="AS42" i="1"/>
  <c r="BJ42" i="1" s="1"/>
  <c r="BV42" i="1" s="1"/>
  <c r="AR42" i="1"/>
  <c r="AQ42" i="1"/>
  <c r="BH42" i="1" s="1"/>
  <c r="AO42" i="1"/>
  <c r="BK42" i="1" s="1"/>
  <c r="AS48" i="1"/>
  <c r="BJ48" i="1" s="1"/>
  <c r="BV48" i="1" s="1"/>
  <c r="AR48" i="1"/>
  <c r="AQ48" i="1"/>
  <c r="BH48" i="1" s="1"/>
  <c r="AO48" i="1"/>
  <c r="BK48" i="1" s="1"/>
  <c r="AS29" i="1"/>
  <c r="BJ29" i="1" s="1"/>
  <c r="BV29" i="1" s="1"/>
  <c r="AR29" i="1"/>
  <c r="AQ29" i="1"/>
  <c r="BH29" i="1" s="1"/>
  <c r="AO29" i="1"/>
  <c r="BK29" i="1" s="1"/>
  <c r="AS38" i="1"/>
  <c r="BJ38" i="1" s="1"/>
  <c r="BV38" i="1" s="1"/>
  <c r="AR38" i="1"/>
  <c r="BI38" i="1" s="1"/>
  <c r="BU38" i="1" s="1"/>
  <c r="AQ38" i="1"/>
  <c r="BH38" i="1" s="1"/>
  <c r="AO38" i="1"/>
  <c r="BK38" i="1" s="1"/>
  <c r="AS50" i="1"/>
  <c r="BJ50" i="1" s="1"/>
  <c r="BV50" i="1" s="1"/>
  <c r="AR50" i="1"/>
  <c r="AQ50" i="1"/>
  <c r="BH50" i="1" s="1"/>
  <c r="AO50" i="1"/>
  <c r="BK50" i="1" s="1"/>
  <c r="AS27" i="1"/>
  <c r="BJ27" i="1" s="1"/>
  <c r="BV27" i="1" s="1"/>
  <c r="AR27" i="1"/>
  <c r="AQ27" i="1"/>
  <c r="BH27" i="1" s="1"/>
  <c r="AO27" i="1"/>
  <c r="BK27" i="1" s="1"/>
  <c r="AS33" i="1"/>
  <c r="AR33" i="1"/>
  <c r="AQ33" i="1"/>
  <c r="BH33" i="1" s="1"/>
  <c r="AO33" i="1"/>
  <c r="BK33" i="1" s="1"/>
  <c r="AS46" i="1"/>
  <c r="BJ46" i="1" s="1"/>
  <c r="BV46" i="1" s="1"/>
  <c r="AR46" i="1"/>
  <c r="AQ46" i="1"/>
  <c r="BH46" i="1" s="1"/>
  <c r="AO46" i="1"/>
  <c r="BK46" i="1" s="1"/>
  <c r="AS35" i="1"/>
  <c r="AR35" i="1"/>
  <c r="AQ35" i="1"/>
  <c r="BH35" i="1" s="1"/>
  <c r="AO35" i="1"/>
  <c r="BK35" i="1" s="1"/>
  <c r="AS37" i="1"/>
  <c r="BJ37" i="1" s="1"/>
  <c r="BV37" i="1" s="1"/>
  <c r="AR37" i="1"/>
  <c r="AQ37" i="1"/>
  <c r="BH37" i="1" s="1"/>
  <c r="AO37" i="1"/>
  <c r="BK37" i="1" s="1"/>
  <c r="AS31" i="1"/>
  <c r="AR31" i="1"/>
  <c r="AQ31" i="1"/>
  <c r="BH31" i="1" s="1"/>
  <c r="AO31" i="1"/>
  <c r="BK31" i="1" s="1"/>
  <c r="AS43" i="1"/>
  <c r="BJ43" i="1" s="1"/>
  <c r="BV43" i="1" s="1"/>
  <c r="AR43" i="1"/>
  <c r="AQ43" i="1"/>
  <c r="BH43" i="1" s="1"/>
  <c r="AO43" i="1"/>
  <c r="BK43" i="1" s="1"/>
  <c r="AS28" i="1"/>
  <c r="AR28" i="1"/>
  <c r="AQ28" i="1"/>
  <c r="BH28" i="1" s="1"/>
  <c r="AO28" i="1"/>
  <c r="BK28" i="1" s="1"/>
  <c r="AS41" i="1"/>
  <c r="BJ41" i="1" s="1"/>
  <c r="BV41" i="1" s="1"/>
  <c r="AR41" i="1"/>
  <c r="BI41" i="1" s="1"/>
  <c r="BU41" i="1" s="1"/>
  <c r="AQ41" i="1"/>
  <c r="BH41" i="1" s="1"/>
  <c r="AO41" i="1"/>
  <c r="BK41" i="1" s="1"/>
  <c r="AS39" i="1"/>
  <c r="BJ39" i="1" s="1"/>
  <c r="BV39" i="1" s="1"/>
  <c r="AR39" i="1"/>
  <c r="AQ39" i="1"/>
  <c r="BH39" i="1" s="1"/>
  <c r="AO39" i="1"/>
  <c r="BK39" i="1" s="1"/>
  <c r="AS51" i="1"/>
  <c r="BJ51" i="1" s="1"/>
  <c r="BV51" i="1" s="1"/>
  <c r="AR51" i="1"/>
  <c r="AQ51" i="1"/>
  <c r="BH51" i="1" s="1"/>
  <c r="AO51" i="1"/>
  <c r="BK51" i="1" s="1"/>
  <c r="AS32" i="1"/>
  <c r="BJ32" i="1" s="1"/>
  <c r="BV32" i="1" s="1"/>
  <c r="AR32" i="1"/>
  <c r="AQ32" i="1"/>
  <c r="BH32" i="1" s="1"/>
  <c r="AO32" i="1"/>
  <c r="BK32" i="1" s="1"/>
  <c r="AS45" i="1"/>
  <c r="BJ45" i="1" s="1"/>
  <c r="BV45" i="1" s="1"/>
  <c r="AR45" i="1"/>
  <c r="AQ45" i="1"/>
  <c r="BH45" i="1" s="1"/>
  <c r="AO45" i="1"/>
  <c r="BK45" i="1" s="1"/>
  <c r="AS47" i="1"/>
  <c r="AR47" i="1"/>
  <c r="AQ47" i="1"/>
  <c r="BH47" i="1" s="1"/>
  <c r="AO47" i="1"/>
  <c r="BK47" i="1" s="1"/>
  <c r="AS36" i="1"/>
  <c r="BJ36" i="1" s="1"/>
  <c r="BV36" i="1" s="1"/>
  <c r="AR36" i="1"/>
  <c r="AQ36" i="1"/>
  <c r="BH36" i="1" s="1"/>
  <c r="AO36" i="1"/>
  <c r="BK36" i="1" s="1"/>
  <c r="AS49" i="1"/>
  <c r="BJ49" i="1" s="1"/>
  <c r="BV49" i="1" s="1"/>
  <c r="AR49" i="1"/>
  <c r="AQ49" i="1"/>
  <c r="BH49" i="1" s="1"/>
  <c r="AO49" i="1"/>
  <c r="BK49" i="1" s="1"/>
  <c r="AS30" i="1"/>
  <c r="BJ30" i="1" s="1"/>
  <c r="BV30" i="1" s="1"/>
  <c r="AR30" i="1"/>
  <c r="AQ30" i="1"/>
  <c r="BH30" i="1" s="1"/>
  <c r="AO30" i="1"/>
  <c r="BK30" i="1" s="1"/>
  <c r="AS40" i="1"/>
  <c r="BJ40" i="1" s="1"/>
  <c r="BV40" i="1" s="1"/>
  <c r="AR40" i="1"/>
  <c r="AQ40" i="1"/>
  <c r="BH40" i="1" s="1"/>
  <c r="AO40" i="1"/>
  <c r="BK40" i="1" s="1"/>
  <c r="AS34" i="1"/>
  <c r="BJ34" i="1" s="1"/>
  <c r="BV34" i="1" s="1"/>
  <c r="AR34" i="1"/>
  <c r="AQ34" i="1"/>
  <c r="BH34" i="1" s="1"/>
  <c r="AO34" i="1"/>
  <c r="BK34" i="1" s="1"/>
  <c r="AS44" i="1"/>
  <c r="BJ44" i="1" s="1"/>
  <c r="BV44" i="1" s="1"/>
  <c r="AR44" i="1"/>
  <c r="AQ44" i="1"/>
  <c r="BH44" i="1" s="1"/>
  <c r="AO44" i="1"/>
  <c r="BK44" i="1" s="1"/>
  <c r="AS14" i="1"/>
  <c r="AR14" i="1"/>
  <c r="AQ14" i="1"/>
  <c r="BH14" i="1" s="1"/>
  <c r="AO14" i="1"/>
  <c r="BK14" i="1" s="1"/>
  <c r="AS7" i="1"/>
  <c r="AR7" i="1"/>
  <c r="BO7" i="1" s="1"/>
  <c r="AQ7" i="1"/>
  <c r="BN7" i="1" s="1"/>
  <c r="AO7" i="1"/>
  <c r="CQ7" i="1" s="1"/>
  <c r="AS19" i="1"/>
  <c r="AR19" i="1"/>
  <c r="AQ19" i="1"/>
  <c r="BH19" i="1" s="1"/>
  <c r="AO19" i="1"/>
  <c r="BK19" i="1" s="1"/>
  <c r="AS16" i="1"/>
  <c r="BJ16" i="1" s="1"/>
  <c r="BV16" i="1" s="1"/>
  <c r="AR16" i="1"/>
  <c r="AQ16" i="1"/>
  <c r="BH16" i="1" s="1"/>
  <c r="AO16" i="1"/>
  <c r="BK16" i="1" s="1"/>
  <c r="AS15" i="1"/>
  <c r="BJ15" i="1" s="1"/>
  <c r="BV15" i="1" s="1"/>
  <c r="AR15" i="1"/>
  <c r="AQ15" i="1"/>
  <c r="BH15" i="1" s="1"/>
  <c r="AO15" i="1"/>
  <c r="BK15" i="1" s="1"/>
  <c r="AS20" i="1"/>
  <c r="AR20" i="1"/>
  <c r="AQ20" i="1"/>
  <c r="BH20" i="1" s="1"/>
  <c r="AO20" i="1"/>
  <c r="BK20" i="1" s="1"/>
  <c r="AS9" i="1"/>
  <c r="BP9" i="1" s="1"/>
  <c r="AR9" i="1"/>
  <c r="BO9" i="1" s="1"/>
  <c r="AQ9" i="1"/>
  <c r="BN9" i="1" s="1"/>
  <c r="AO9" i="1"/>
  <c r="CQ9" i="1" s="1"/>
  <c r="AS10" i="1"/>
  <c r="BP10" i="1" s="1"/>
  <c r="AR10" i="1"/>
  <c r="BO10" i="1" s="1"/>
  <c r="AQ10" i="1"/>
  <c r="BN10" i="1" s="1"/>
  <c r="AO10" i="1"/>
  <c r="CQ10" i="1" s="1"/>
  <c r="AS13" i="1"/>
  <c r="BJ13" i="1" s="1"/>
  <c r="BV13" i="1" s="1"/>
  <c r="AR13" i="1"/>
  <c r="AQ13" i="1"/>
  <c r="BH13" i="1" s="1"/>
  <c r="AO13" i="1"/>
  <c r="BK13" i="1" s="1"/>
  <c r="AS6" i="1"/>
  <c r="BP6" i="1" s="1"/>
  <c r="AR6" i="1"/>
  <c r="BO6" i="1" s="1"/>
  <c r="AQ6" i="1"/>
  <c r="AO6" i="1"/>
  <c r="CQ6" i="1" s="1"/>
  <c r="AS18" i="1"/>
  <c r="BJ18" i="1" s="1"/>
  <c r="BV18" i="1" s="1"/>
  <c r="AR18" i="1"/>
  <c r="AQ18" i="1"/>
  <c r="BH18" i="1" s="1"/>
  <c r="AO18" i="1"/>
  <c r="BK18" i="1" s="1"/>
  <c r="AS17" i="1"/>
  <c r="AR17" i="1"/>
  <c r="AQ17" i="1"/>
  <c r="BH17" i="1" s="1"/>
  <c r="AO17" i="1"/>
  <c r="BK17" i="1" s="1"/>
  <c r="AS8" i="1"/>
  <c r="AR8" i="1"/>
  <c r="BO8" i="1" s="1"/>
  <c r="AQ8" i="1"/>
  <c r="BN8" i="1" s="1"/>
  <c r="AO8" i="1"/>
  <c r="CQ8" i="1" s="1"/>
  <c r="AS11" i="1"/>
  <c r="BP11" i="1" s="1"/>
  <c r="AR11" i="1"/>
  <c r="BO11" i="1" s="1"/>
  <c r="AQ11" i="1"/>
  <c r="BN11" i="1" s="1"/>
  <c r="AO11" i="1"/>
  <c r="BK11" i="1" s="1"/>
  <c r="CK11" i="1" s="1"/>
  <c r="AS12" i="1"/>
  <c r="AR12" i="1"/>
  <c r="AQ12" i="1"/>
  <c r="BH12" i="1" s="1"/>
  <c r="AO12" i="1"/>
  <c r="BK12" i="1" s="1"/>
  <c r="BT111" i="1"/>
  <c r="BW173" i="1"/>
  <c r="BM145" i="1"/>
  <c r="BW194" i="1"/>
  <c r="BM165" i="1"/>
  <c r="BM113" i="1"/>
  <c r="BM169" i="1"/>
  <c r="BM121" i="1"/>
  <c r="BW227" i="1"/>
  <c r="BM211" i="1"/>
  <c r="BW238" i="1"/>
  <c r="BM105" i="1"/>
  <c r="BM181" i="1"/>
  <c r="BM153" i="1"/>
  <c r="BM137" i="1"/>
  <c r="BM191" i="1"/>
  <c r="BM175" i="1"/>
  <c r="BW127" i="1"/>
  <c r="BM157" i="1"/>
  <c r="BM125" i="1"/>
  <c r="BW188" i="1"/>
  <c r="BW155" i="1"/>
  <c r="BW222" i="1"/>
  <c r="BT143" i="1"/>
  <c r="BT219" i="1"/>
  <c r="BT108" i="1"/>
  <c r="BW254" i="1"/>
  <c r="BV202" i="1"/>
  <c r="BV246" i="1"/>
  <c r="BW158" i="1"/>
  <c r="BT203" i="1"/>
  <c r="BW141" i="1"/>
  <c r="BW156" i="1"/>
  <c r="BT127" i="1"/>
  <c r="BT236" i="1"/>
  <c r="BW210" i="1"/>
  <c r="BW128" i="1"/>
  <c r="BT188" i="1"/>
  <c r="BW161" i="1"/>
  <c r="BW245" i="1"/>
  <c r="BT141" i="1"/>
  <c r="BT167" i="1"/>
  <c r="BW234" i="1"/>
  <c r="BW215" i="1"/>
  <c r="BW239" i="1"/>
  <c r="BW220" i="1"/>
  <c r="BW111" i="1"/>
  <c r="BT144" i="1"/>
  <c r="BT160" i="1"/>
  <c r="BW192" i="1"/>
  <c r="BW131" i="1"/>
  <c r="BT250" i="1"/>
  <c r="BT224" i="1"/>
  <c r="BT166" i="1"/>
  <c r="BW237" i="1"/>
  <c r="BW189" i="1"/>
  <c r="BW121" i="1"/>
  <c r="BT109" i="1"/>
  <c r="BU223" i="1"/>
  <c r="BU115" i="1"/>
  <c r="BU128" i="1"/>
  <c r="BU118" i="1"/>
  <c r="BU130" i="1"/>
  <c r="BV212" i="1"/>
  <c r="BU214" i="1"/>
  <c r="BV120" i="1"/>
  <c r="BV174" i="1"/>
  <c r="BW231" i="1"/>
  <c r="BW120" i="1"/>
  <c r="BV253" i="1"/>
  <c r="BV229" i="1"/>
  <c r="BU184" i="1"/>
  <c r="BU156" i="1"/>
  <c r="BW196" i="1"/>
  <c r="BT118" i="1"/>
  <c r="BV233" i="1"/>
  <c r="BT129" i="1"/>
  <c r="BU188" i="1"/>
  <c r="BU166" i="1"/>
  <c r="BV141" i="1"/>
  <c r="BT222" i="1"/>
  <c r="BT161" i="1"/>
  <c r="BW253" i="1"/>
  <c r="BW169" i="1"/>
  <c r="BT120" i="1"/>
  <c r="BU168" i="1"/>
  <c r="BV129" i="1"/>
  <c r="BT198" i="1"/>
  <c r="BT156" i="1"/>
  <c r="BV200" i="1"/>
  <c r="BV189" i="1"/>
  <c r="BV121" i="1"/>
  <c r="BT174" i="1"/>
  <c r="BT229" i="1"/>
  <c r="BT155" i="1"/>
  <c r="BW163" i="1"/>
  <c r="BW115" i="1"/>
  <c r="BU197" i="1"/>
  <c r="BW200" i="1"/>
  <c r="BW184" i="1"/>
  <c r="BV241" i="1"/>
  <c r="BV206" i="1"/>
  <c r="BV179" i="1"/>
  <c r="BT192" i="1"/>
  <c r="BU206" i="1"/>
  <c r="BV186" i="1"/>
  <c r="BT182" i="1"/>
  <c r="BU221" i="1"/>
  <c r="BU159" i="1"/>
  <c r="BT217" i="1"/>
  <c r="BU165" i="1"/>
  <c r="BU164" i="1"/>
  <c r="BU122" i="1"/>
  <c r="BU162" i="1"/>
  <c r="BV181" i="1"/>
  <c r="BU222" i="1"/>
  <c r="BT209" i="1"/>
  <c r="BV106" i="1"/>
  <c r="BT196" i="1"/>
  <c r="BV173" i="1"/>
  <c r="BU234" i="1"/>
  <c r="BW250" i="1"/>
  <c r="BW212" i="1"/>
  <c r="BW108" i="1"/>
  <c r="BV151" i="1"/>
  <c r="BV250" i="1"/>
  <c r="BV146" i="1"/>
  <c r="BV167" i="1"/>
  <c r="BT210" i="1"/>
  <c r="BT234" i="1"/>
  <c r="BT201" i="1"/>
  <c r="BW229" i="1"/>
  <c r="BT117" i="1"/>
  <c r="BU194" i="1"/>
  <c r="BU210" i="1"/>
  <c r="BV145" i="1"/>
  <c r="BV164" i="1"/>
  <c r="BV166" i="1"/>
  <c r="BW119" i="1"/>
  <c r="BU225" i="1"/>
  <c r="BV154" i="1"/>
  <c r="BW240" i="1"/>
  <c r="BV118" i="1"/>
  <c r="BW125" i="1"/>
  <c r="BU124" i="1"/>
  <c r="BW136" i="1"/>
  <c r="BV155" i="1"/>
  <c r="BV119" i="1"/>
  <c r="BW107" i="1"/>
  <c r="BW236" i="1"/>
  <c r="BV217" i="1"/>
  <c r="BT158" i="1"/>
  <c r="BT131" i="1"/>
  <c r="BT122" i="1"/>
  <c r="BT112" i="1"/>
  <c r="BU227" i="1"/>
  <c r="BU113" i="1"/>
  <c r="BU110" i="1"/>
  <c r="BV112" i="1"/>
  <c r="BV130" i="1"/>
  <c r="BV178" i="1"/>
  <c r="BT138" i="1"/>
  <c r="BW154" i="1"/>
  <c r="BV170" i="1"/>
  <c r="BT194" i="1"/>
  <c r="BT251" i="1"/>
  <c r="BT244" i="1"/>
  <c r="BT231" i="1"/>
  <c r="BT211" i="1"/>
  <c r="BT185" i="1"/>
  <c r="BT157" i="1"/>
  <c r="BU199" i="1"/>
  <c r="BU147" i="1"/>
  <c r="BV117" i="1"/>
  <c r="BW191" i="1"/>
  <c r="BU193" i="1"/>
  <c r="BW118" i="1"/>
  <c r="BU232" i="1"/>
  <c r="BV134" i="1"/>
  <c r="BU112" i="1"/>
  <c r="BW244" i="1"/>
  <c r="BW216" i="1"/>
  <c r="BV163" i="1"/>
  <c r="BT181" i="1"/>
  <c r="BW181" i="1"/>
  <c r="BU135" i="1"/>
  <c r="BU236" i="1"/>
  <c r="BV225" i="1"/>
  <c r="BT216" i="1"/>
  <c r="BV127" i="1"/>
  <c r="BT238" i="1"/>
  <c r="BT206" i="1"/>
  <c r="BU243" i="1"/>
  <c r="BU167" i="1"/>
  <c r="BU212" i="1"/>
  <c r="BV110" i="1"/>
  <c r="BV172" i="1"/>
  <c r="BW241" i="1"/>
  <c r="BU158" i="1"/>
  <c r="BV125" i="1"/>
  <c r="BW235" i="1"/>
  <c r="BW203" i="1"/>
  <c r="BU157" i="1"/>
  <c r="BV222" i="1"/>
  <c r="BW174" i="1"/>
  <c r="BV131" i="1"/>
  <c r="BW252" i="1"/>
  <c r="BW132" i="1"/>
  <c r="BU209" i="1"/>
  <c r="BV227" i="1"/>
  <c r="BV108" i="1"/>
  <c r="BT223" i="1"/>
  <c r="BT207" i="1"/>
  <c r="BV160" i="1"/>
  <c r="BW138" i="1"/>
  <c r="BW165" i="1"/>
  <c r="BU242" i="1"/>
  <c r="BU182" i="1"/>
  <c r="BV240" i="1"/>
  <c r="BV201" i="1"/>
  <c r="BW175" i="1"/>
  <c r="BU161" i="1"/>
  <c r="BU141" i="1"/>
  <c r="BV113" i="1"/>
  <c r="BW206" i="1"/>
  <c r="BW134" i="1"/>
  <c r="BV165" i="1"/>
  <c r="BV143" i="1"/>
  <c r="BW144" i="1"/>
  <c r="BV135" i="1"/>
  <c r="BV107" i="1"/>
  <c r="BW157" i="1"/>
  <c r="BW162" i="1"/>
  <c r="BU131" i="1"/>
  <c r="BV124" i="1"/>
  <c r="BW159" i="1"/>
  <c r="BW150" i="1"/>
  <c r="BV251" i="1"/>
  <c r="BV236" i="1"/>
  <c r="BW221" i="1"/>
  <c r="BV228" i="1"/>
  <c r="BV137" i="1"/>
  <c r="BW217" i="1"/>
  <c r="BW204" i="1"/>
  <c r="BT107" i="1"/>
  <c r="BU192" i="1"/>
  <c r="BU185" i="1"/>
  <c r="BU134" i="1"/>
  <c r="BU198" i="1"/>
  <c r="BU226" i="1"/>
  <c r="BV234" i="1"/>
  <c r="BW247" i="1"/>
  <c r="BW151" i="1"/>
  <c r="BW135" i="1"/>
  <c r="BV182" i="1"/>
  <c r="BU129" i="1"/>
  <c r="BT154" i="1"/>
  <c r="BW110" i="1"/>
  <c r="BV158" i="1"/>
  <c r="BU244" i="1"/>
  <c r="BW228" i="1"/>
  <c r="BU241" i="1"/>
  <c r="BV191" i="1"/>
  <c r="BT187" i="1"/>
  <c r="BT115" i="1"/>
  <c r="BV140" i="1"/>
  <c r="BW105" i="1"/>
  <c r="BU228" i="1"/>
  <c r="BV207" i="1"/>
  <c r="BT212" i="1"/>
  <c r="BT227" i="1"/>
  <c r="BW197" i="1"/>
  <c r="BT135" i="1"/>
  <c r="BT136" i="1"/>
  <c r="BU127" i="1"/>
  <c r="BV149" i="1"/>
  <c r="BV168" i="1"/>
  <c r="BV194" i="1"/>
  <c r="BU137" i="1"/>
  <c r="BW218" i="1"/>
  <c r="BW202" i="1"/>
  <c r="BW130" i="1"/>
  <c r="BV223" i="1"/>
  <c r="BW172" i="1"/>
  <c r="BW124" i="1"/>
  <c r="BV123" i="1"/>
  <c r="BU224" i="1"/>
  <c r="BU119" i="1"/>
  <c r="BU132" i="1"/>
  <c r="BV184" i="1"/>
  <c r="BW122" i="1"/>
  <c r="BV254" i="1"/>
  <c r="BV115" i="1"/>
  <c r="BW164" i="1"/>
  <c r="BV248" i="1"/>
  <c r="BV109" i="1"/>
  <c r="BU229" i="1"/>
  <c r="BT124" i="1"/>
  <c r="BT240" i="1"/>
  <c r="BV244" i="1"/>
  <c r="BW251" i="1"/>
  <c r="BW187" i="1"/>
  <c r="BT110" i="1"/>
  <c r="BT249" i="1"/>
  <c r="BV226" i="1"/>
  <c r="BV204" i="1"/>
  <c r="BV193" i="1"/>
  <c r="BT128" i="1"/>
  <c r="BV176" i="1"/>
  <c r="BT148" i="1"/>
  <c r="BV210" i="1"/>
  <c r="BV171" i="1"/>
  <c r="BT114" i="1"/>
  <c r="BU126" i="1"/>
  <c r="BT137" i="1"/>
  <c r="BV252" i="1"/>
  <c r="BV169" i="1"/>
  <c r="BT243" i="1"/>
  <c r="BT218" i="1"/>
  <c r="BT189" i="1"/>
  <c r="BT183" i="1"/>
  <c r="BW209" i="1"/>
  <c r="BU191" i="1"/>
  <c r="BU175" i="1"/>
  <c r="BU107" i="1"/>
  <c r="BU170" i="1"/>
  <c r="BV232" i="1"/>
  <c r="BV161" i="1"/>
  <c r="BT202" i="1"/>
  <c r="BV126" i="1"/>
  <c r="BT248" i="1"/>
  <c r="BW117" i="1"/>
  <c r="BU155" i="1"/>
  <c r="BU190" i="1"/>
  <c r="BW183" i="1"/>
  <c r="BW198" i="1"/>
  <c r="BU216" i="1"/>
  <c r="BU176" i="1"/>
  <c r="BV247" i="1"/>
  <c r="BV238" i="1"/>
  <c r="BT195" i="1"/>
  <c r="BT165" i="1"/>
  <c r="BW137" i="1"/>
  <c r="BU139" i="1"/>
  <c r="BU136" i="1"/>
  <c r="BU114" i="1"/>
  <c r="BV237" i="1"/>
  <c r="BW182" i="1"/>
  <c r="BV142" i="1"/>
  <c r="BV215" i="1"/>
  <c r="BU201" i="1"/>
  <c r="BV231" i="1"/>
  <c r="BT133" i="1"/>
  <c r="BW208" i="1"/>
  <c r="BV249" i="1"/>
  <c r="BT252" i="1"/>
  <c r="BT241" i="1"/>
  <c r="BT221" i="1"/>
  <c r="BT193" i="1"/>
  <c r="BT175" i="1"/>
  <c r="BT153" i="1"/>
  <c r="BU254" i="1"/>
  <c r="BU106" i="1"/>
  <c r="BU218" i="1"/>
  <c r="BV144" i="1"/>
  <c r="BW147" i="1"/>
  <c r="BU145" i="1"/>
  <c r="BW242" i="1"/>
  <c r="BW178" i="1"/>
  <c r="BW106" i="1"/>
  <c r="BV198" i="1"/>
  <c r="BU200" i="1"/>
  <c r="BU160" i="1"/>
  <c r="BW148" i="1"/>
  <c r="BU252" i="1"/>
  <c r="BW116" i="1"/>
  <c r="BU148" i="1"/>
  <c r="BU203" i="1"/>
  <c r="BW186" i="1"/>
  <c r="BV177" i="1"/>
  <c r="BT214" i="1"/>
  <c r="BT204" i="1"/>
  <c r="BW193" i="1"/>
  <c r="BW145" i="1"/>
  <c r="BW232" i="1"/>
  <c r="BU219" i="1"/>
  <c r="BU111" i="1"/>
  <c r="BU149" i="1"/>
  <c r="BU138" i="1"/>
  <c r="BT208" i="1"/>
  <c r="BV139" i="1"/>
  <c r="BU245" i="1"/>
  <c r="BW180" i="1"/>
  <c r="BU247" i="1"/>
  <c r="BW243" i="1"/>
  <c r="BW195" i="1"/>
  <c r="BW179" i="1"/>
  <c r="BU105" i="1"/>
  <c r="BV205" i="1"/>
  <c r="BV153" i="1"/>
  <c r="BW226" i="1"/>
  <c r="BV138" i="1"/>
  <c r="BW185" i="1"/>
  <c r="BT239" i="1"/>
  <c r="BV209" i="1"/>
  <c r="BU231" i="1"/>
  <c r="BV175" i="1"/>
  <c r="BT126" i="1"/>
  <c r="BV203" i="1"/>
  <c r="BU109" i="1"/>
  <c r="BW114" i="1"/>
  <c r="BW140" i="1"/>
  <c r="BT199" i="1"/>
  <c r="BT168" i="1"/>
  <c r="BT246" i="1"/>
  <c r="BT123" i="1"/>
  <c r="BU154" i="1"/>
  <c r="BV192" i="1"/>
  <c r="BV133" i="1"/>
  <c r="BT134" i="1"/>
  <c r="BV208" i="1"/>
  <c r="BU204" i="1"/>
  <c r="BT145" i="1"/>
  <c r="BW160" i="1"/>
  <c r="BU233" i="1"/>
  <c r="BV245" i="1"/>
  <c r="BV199" i="1"/>
  <c r="BT228" i="1"/>
  <c r="BT184" i="1"/>
  <c r="BT116" i="1"/>
  <c r="BT253" i="1"/>
  <c r="BT152" i="1"/>
  <c r="BT121" i="1"/>
  <c r="BU195" i="1"/>
  <c r="BU179" i="1"/>
  <c r="BU163" i="1"/>
  <c r="BU143" i="1"/>
  <c r="BU196" i="1"/>
  <c r="BU140" i="1"/>
  <c r="BU120" i="1"/>
  <c r="BV180" i="1"/>
  <c r="BV114" i="1"/>
  <c r="BW176" i="1"/>
  <c r="BV190" i="1"/>
  <c r="BV243" i="1"/>
  <c r="BV196" i="1"/>
  <c r="BT220" i="1"/>
  <c r="BT150" i="1"/>
  <c r="BT245" i="1"/>
  <c r="BT215" i="1"/>
  <c r="BT205" i="1"/>
  <c r="BT200" i="1"/>
  <c r="BT180" i="1"/>
  <c r="BT169" i="1"/>
  <c r="BU217" i="1"/>
  <c r="BW149" i="1"/>
  <c r="BW133" i="1"/>
  <c r="BW109" i="1"/>
  <c r="BT147" i="1"/>
  <c r="BU211" i="1"/>
  <c r="BT225" i="1"/>
  <c r="BW129" i="1"/>
  <c r="BT142" i="1"/>
  <c r="BT149" i="1"/>
  <c r="BU108" i="1"/>
  <c r="BU133" i="1"/>
  <c r="BT130" i="1"/>
  <c r="BT106" i="1"/>
  <c r="BT230" i="1"/>
  <c r="BT178" i="1"/>
  <c r="BT172" i="1"/>
  <c r="BU238" i="1"/>
  <c r="BT140" i="1"/>
  <c r="BU207" i="1"/>
  <c r="BU187" i="1"/>
  <c r="BU171" i="1"/>
  <c r="BU151" i="1"/>
  <c r="BU173" i="1"/>
  <c r="BU150" i="1"/>
  <c r="BU250" i="1"/>
  <c r="BV224" i="1"/>
  <c r="BV185" i="1"/>
  <c r="BV152" i="1"/>
  <c r="BW219" i="1"/>
  <c r="BU181" i="1"/>
  <c r="BU180" i="1"/>
  <c r="BT105" i="1"/>
  <c r="BV159" i="1"/>
  <c r="BW166" i="1"/>
  <c r="BV147" i="1"/>
  <c r="BT170" i="1"/>
  <c r="BT247" i="1"/>
  <c r="BT242" i="1"/>
  <c r="BT176" i="1"/>
  <c r="BT171" i="1"/>
  <c r="BT159" i="1"/>
  <c r="BW249" i="1"/>
  <c r="BW201" i="1"/>
  <c r="BW153" i="1"/>
  <c r="BT125" i="1"/>
  <c r="BU183" i="1"/>
  <c r="BU172" i="1"/>
  <c r="BU144" i="1"/>
  <c r="BU202" i="1"/>
  <c r="BU142" i="1"/>
  <c r="BV216" i="1"/>
  <c r="BU146" i="1"/>
  <c r="BV132" i="1"/>
  <c r="BV116" i="1"/>
  <c r="BT232" i="1"/>
  <c r="BW199" i="1"/>
  <c r="BW167" i="1"/>
  <c r="BU177" i="1"/>
  <c r="BU153" i="1"/>
  <c r="BW246" i="1"/>
  <c r="BW230" i="1"/>
  <c r="BW214" i="1"/>
  <c r="BW142" i="1"/>
  <c r="BW126" i="1"/>
  <c r="BU248" i="1"/>
  <c r="BW213" i="1"/>
  <c r="BW205" i="1"/>
  <c r="BT177" i="1"/>
  <c r="BW168" i="1"/>
  <c r="BW152" i="1"/>
  <c r="BU213" i="1"/>
  <c r="BT237" i="1"/>
  <c r="BT191" i="1"/>
  <c r="BW233" i="1"/>
  <c r="BU249" i="1"/>
  <c r="BW146" i="1"/>
  <c r="BV128" i="1"/>
  <c r="BW211" i="1"/>
  <c r="BW224" i="1"/>
  <c r="BU208" i="1"/>
  <c r="BU116" i="1"/>
  <c r="BV211" i="1"/>
  <c r="BU237" i="1"/>
  <c r="BT163" i="1"/>
  <c r="BT151" i="1"/>
  <c r="BU220" i="1"/>
  <c r="BU121" i="1"/>
  <c r="BV197" i="1"/>
  <c r="BW170" i="1"/>
  <c r="BW112" i="1"/>
  <c r="BU205" i="1"/>
  <c r="BW248" i="1"/>
  <c r="BU152" i="1"/>
  <c r="BV188" i="1"/>
  <c r="BU174" i="1"/>
  <c r="BW171" i="1"/>
  <c r="BT197" i="1"/>
  <c r="BU239" i="1"/>
  <c r="BU169" i="1"/>
  <c r="BU246" i="1"/>
  <c r="BV156" i="1"/>
  <c r="BU125" i="1"/>
  <c r="BW113" i="1"/>
  <c r="BV183" i="1"/>
  <c r="BV111" i="1"/>
  <c r="BT213" i="1"/>
  <c r="BT132" i="1"/>
  <c r="BU235" i="1"/>
  <c r="BU123" i="1"/>
  <c r="BU178" i="1"/>
  <c r="BU230" i="1"/>
  <c r="BU186" i="1"/>
  <c r="BV136" i="1"/>
  <c r="BW223" i="1"/>
  <c r="BW207" i="1"/>
  <c r="BW143" i="1"/>
  <c r="BV230" i="1"/>
  <c r="BW190" i="1"/>
  <c r="BW225" i="1"/>
  <c r="BV162" i="1"/>
  <c r="BV239" i="1"/>
  <c r="BT113" i="1"/>
  <c r="BV219" i="1"/>
  <c r="BV150" i="1"/>
  <c r="BT254" i="1"/>
  <c r="BT226" i="1"/>
  <c r="BT233" i="1"/>
  <c r="BT186" i="1"/>
  <c r="BT164" i="1"/>
  <c r="BW177" i="1"/>
  <c r="BT119" i="1"/>
  <c r="BV220" i="1"/>
  <c r="BT190" i="1"/>
  <c r="BT146" i="1"/>
  <c r="BT179" i="1"/>
  <c r="BT173" i="1"/>
  <c r="BT162" i="1"/>
  <c r="BT235" i="1"/>
  <c r="BW139" i="1"/>
  <c r="BW123" i="1"/>
  <c r="BU117" i="1"/>
  <c r="BV214" i="1"/>
  <c r="BV235" i="1"/>
  <c r="CB11" i="1" l="1"/>
  <c r="CC11" i="1" s="1"/>
  <c r="BQ11" i="1"/>
  <c r="BJ7" i="1"/>
  <c r="BP7" i="1"/>
  <c r="BJ8" i="1"/>
  <c r="BP8" i="1"/>
  <c r="BQ7" i="1"/>
  <c r="BR7" i="1" s="1"/>
  <c r="BS7" i="1" s="1"/>
  <c r="BQ8" i="1"/>
  <c r="BR8" i="1" s="1"/>
  <c r="BS8" i="1" s="1"/>
  <c r="BQ10" i="1"/>
  <c r="BQ9" i="1"/>
  <c r="BR9" i="1" s="1"/>
  <c r="BS9" i="1" s="1"/>
  <c r="CV5" i="1"/>
  <c r="DA5" i="1"/>
  <c r="CQ21" i="1"/>
  <c r="DA21" i="1"/>
  <c r="CV21" i="1"/>
  <c r="BK7" i="1"/>
  <c r="CK7" i="1" s="1"/>
  <c r="CB7" i="1" s="1"/>
  <c r="BK25" i="1"/>
  <c r="BW25" i="1" s="1"/>
  <c r="BQ6" i="1"/>
  <c r="BK10" i="1"/>
  <c r="BK8" i="1"/>
  <c r="CK8" i="1" s="1"/>
  <c r="CB8" i="1" s="1"/>
  <c r="CW23" i="1"/>
  <c r="BH23" i="1"/>
  <c r="BT23" i="1" s="1"/>
  <c r="BH22" i="1"/>
  <c r="BT22" i="1" s="1"/>
  <c r="BK6" i="1"/>
  <c r="BK24" i="1"/>
  <c r="BK9" i="1"/>
  <c r="CK9" i="1" s="1"/>
  <c r="CB9" i="1" s="1"/>
  <c r="BK22" i="1"/>
  <c r="CF22" i="1" s="1"/>
  <c r="CH22" i="1" s="1"/>
  <c r="DB11" i="1"/>
  <c r="BH11" i="1"/>
  <c r="DB8" i="1"/>
  <c r="BH8" i="1"/>
  <c r="DB6" i="1"/>
  <c r="BH6" i="1"/>
  <c r="BN6" i="1"/>
  <c r="DB10" i="1"/>
  <c r="BH10" i="1"/>
  <c r="DB9" i="1"/>
  <c r="BH9" i="1"/>
  <c r="DB7" i="1"/>
  <c r="BH7" i="1"/>
  <c r="BK23" i="1"/>
  <c r="DB5" i="1"/>
  <c r="BH5" i="1"/>
  <c r="BH25" i="1"/>
  <c r="BT25" i="1" s="1"/>
  <c r="BH24" i="1"/>
  <c r="BT24" i="1" s="1"/>
  <c r="BH26" i="1"/>
  <c r="BT26" i="1" s="1"/>
  <c r="DB21" i="1"/>
  <c r="BH21" i="1"/>
  <c r="BT21" i="1" s="1"/>
  <c r="DA23" i="1"/>
  <c r="CW22" i="1"/>
  <c r="CQ22" i="1"/>
  <c r="DA22" i="1"/>
  <c r="CW5" i="1"/>
  <c r="CR23" i="1"/>
  <c r="CQ24" i="1"/>
  <c r="CW21" i="1"/>
  <c r="CV23" i="1"/>
  <c r="CV26" i="1"/>
  <c r="CR22" i="1"/>
  <c r="DB22" i="1"/>
  <c r="DA26" i="1"/>
  <c r="CQ26" i="1"/>
  <c r="CF26" i="1"/>
  <c r="CH26" i="1" s="1"/>
  <c r="BW26" i="1"/>
  <c r="BL26" i="1"/>
  <c r="BM26" i="1" s="1"/>
  <c r="DB87" i="1"/>
  <c r="CR87" i="1"/>
  <c r="BT87" i="1"/>
  <c r="DA91" i="1"/>
  <c r="CQ91" i="1"/>
  <c r="DA82" i="1"/>
  <c r="CQ82" i="1"/>
  <c r="DA94" i="1"/>
  <c r="CQ94" i="1"/>
  <c r="DA79" i="1"/>
  <c r="CQ79" i="1"/>
  <c r="DA86" i="1"/>
  <c r="CQ86" i="1"/>
  <c r="DB91" i="1"/>
  <c r="CR91" i="1"/>
  <c r="BT91" i="1"/>
  <c r="DB82" i="1"/>
  <c r="CR82" i="1"/>
  <c r="BT82" i="1"/>
  <c r="DB94" i="1"/>
  <c r="CR94" i="1"/>
  <c r="BT94" i="1"/>
  <c r="DB79" i="1"/>
  <c r="CR79" i="1"/>
  <c r="BT79" i="1"/>
  <c r="DB86" i="1"/>
  <c r="CR86" i="1"/>
  <c r="BT86" i="1"/>
  <c r="CR21" i="1"/>
  <c r="CQ89" i="1"/>
  <c r="DA89" i="1"/>
  <c r="DA73" i="1"/>
  <c r="CQ73" i="1"/>
  <c r="CQ92" i="1"/>
  <c r="DA92" i="1"/>
  <c r="CQ76" i="1"/>
  <c r="DA76" i="1"/>
  <c r="CQ67" i="1"/>
  <c r="DA67" i="1"/>
  <c r="DA90" i="1"/>
  <c r="CQ90" i="1"/>
  <c r="DA101" i="1"/>
  <c r="CQ101" i="1"/>
  <c r="CQ85" i="1"/>
  <c r="DA85" i="1"/>
  <c r="DA69" i="1"/>
  <c r="CQ69" i="1"/>
  <c r="CQ104" i="1"/>
  <c r="DA104" i="1"/>
  <c r="CQ88" i="1"/>
  <c r="DA88" i="1"/>
  <c r="CQ72" i="1"/>
  <c r="DA72" i="1"/>
  <c r="DA95" i="1"/>
  <c r="CQ95" i="1"/>
  <c r="CV25" i="1"/>
  <c r="CQ97" i="1"/>
  <c r="DA97" i="1"/>
  <c r="CQ81" i="1"/>
  <c r="DA81" i="1"/>
  <c r="DA103" i="1"/>
  <c r="CQ103" i="1"/>
  <c r="DA100" i="1"/>
  <c r="CQ100" i="1"/>
  <c r="CQ84" i="1"/>
  <c r="DA84" i="1"/>
  <c r="CQ68" i="1"/>
  <c r="DA68" i="1"/>
  <c r="DA83" i="1"/>
  <c r="CQ83" i="1"/>
  <c r="DA74" i="1"/>
  <c r="CQ74" i="1"/>
  <c r="DA70" i="1"/>
  <c r="CQ70" i="1"/>
  <c r="CQ71" i="1"/>
  <c r="DA71" i="1"/>
  <c r="CV24" i="1"/>
  <c r="CQ93" i="1"/>
  <c r="DA93" i="1"/>
  <c r="CQ77" i="1"/>
  <c r="DA77" i="1"/>
  <c r="CQ99" i="1"/>
  <c r="DA99" i="1"/>
  <c r="CQ96" i="1"/>
  <c r="DA96" i="1"/>
  <c r="CQ80" i="1"/>
  <c r="DA80" i="1"/>
  <c r="DA75" i="1"/>
  <c r="CQ75" i="1"/>
  <c r="DA78" i="1"/>
  <c r="CQ78" i="1"/>
  <c r="CQ102" i="1"/>
  <c r="DA102" i="1"/>
  <c r="DA66" i="1"/>
  <c r="CQ66" i="1"/>
  <c r="DA98" i="1"/>
  <c r="CQ98" i="1"/>
  <c r="DA25" i="1"/>
  <c r="DB89" i="1"/>
  <c r="CR89" i="1"/>
  <c r="BT89" i="1"/>
  <c r="DB73" i="1"/>
  <c r="CR73" i="1"/>
  <c r="BT73" i="1"/>
  <c r="CW25" i="1"/>
  <c r="DB25" i="1"/>
  <c r="CR25" i="1"/>
  <c r="CR92" i="1"/>
  <c r="DB92" i="1"/>
  <c r="BT92" i="1"/>
  <c r="DB76" i="1"/>
  <c r="CR76" i="1"/>
  <c r="BT76" i="1"/>
  <c r="CR24" i="1"/>
  <c r="CW24" i="1"/>
  <c r="DB24" i="1"/>
  <c r="DB67" i="1"/>
  <c r="CR67" i="1"/>
  <c r="BT67" i="1"/>
  <c r="DB90" i="1"/>
  <c r="CR90" i="1"/>
  <c r="BT90" i="1"/>
  <c r="CW26" i="1"/>
  <c r="CR26" i="1"/>
  <c r="DB26" i="1"/>
  <c r="DB101" i="1"/>
  <c r="CR101" i="1"/>
  <c r="BT101" i="1"/>
  <c r="DB85" i="1"/>
  <c r="CR85" i="1"/>
  <c r="BT85" i="1"/>
  <c r="DB69" i="1"/>
  <c r="CR69" i="1"/>
  <c r="BT69" i="1"/>
  <c r="DB104" i="1"/>
  <c r="CR104" i="1"/>
  <c r="BT104" i="1"/>
  <c r="CR88" i="1"/>
  <c r="DB88" i="1"/>
  <c r="BT88" i="1"/>
  <c r="CR72" i="1"/>
  <c r="DB72" i="1"/>
  <c r="BT72" i="1"/>
  <c r="DB95" i="1"/>
  <c r="CR95" i="1"/>
  <c r="BT95" i="1"/>
  <c r="DB97" i="1"/>
  <c r="CR97" i="1"/>
  <c r="BT97" i="1"/>
  <c r="DB81" i="1"/>
  <c r="CR81" i="1"/>
  <c r="BT81" i="1"/>
  <c r="CR103" i="1"/>
  <c r="DB103" i="1"/>
  <c r="BT103" i="1"/>
  <c r="DB100" i="1"/>
  <c r="CR100" i="1"/>
  <c r="BT100" i="1"/>
  <c r="CR84" i="1"/>
  <c r="DB84" i="1"/>
  <c r="BT84" i="1"/>
  <c r="CR68" i="1"/>
  <c r="DB68" i="1"/>
  <c r="BT68" i="1"/>
  <c r="DB83" i="1"/>
  <c r="CR83" i="1"/>
  <c r="BT83" i="1"/>
  <c r="DB74" i="1"/>
  <c r="CR74" i="1"/>
  <c r="BT74" i="1"/>
  <c r="DB70" i="1"/>
  <c r="CR70" i="1"/>
  <c r="BT70" i="1"/>
  <c r="DB71" i="1"/>
  <c r="CR71" i="1"/>
  <c r="BT71" i="1"/>
  <c r="DB93" i="1"/>
  <c r="CR93" i="1"/>
  <c r="BT93" i="1"/>
  <c r="DB77" i="1"/>
  <c r="CR77" i="1"/>
  <c r="BT77" i="1"/>
  <c r="CR99" i="1"/>
  <c r="DB99" i="1"/>
  <c r="BT99" i="1"/>
  <c r="CR96" i="1"/>
  <c r="DB96" i="1"/>
  <c r="BT96" i="1"/>
  <c r="CR80" i="1"/>
  <c r="DB80" i="1"/>
  <c r="BT80" i="1"/>
  <c r="CR75" i="1"/>
  <c r="DB75" i="1"/>
  <c r="BT75" i="1"/>
  <c r="CR78" i="1"/>
  <c r="DB78" i="1"/>
  <c r="BT78" i="1"/>
  <c r="DB102" i="1"/>
  <c r="CR102" i="1"/>
  <c r="BT102" i="1"/>
  <c r="DB66" i="1"/>
  <c r="CR66" i="1"/>
  <c r="BT66" i="1"/>
  <c r="DB98" i="1"/>
  <c r="CR98" i="1"/>
  <c r="BT98" i="1"/>
  <c r="DA87" i="1"/>
  <c r="CQ87" i="1"/>
  <c r="BW15" i="1"/>
  <c r="DA15" i="1"/>
  <c r="CV15" i="1"/>
  <c r="CQ15" i="1"/>
  <c r="BW19" i="1"/>
  <c r="DA19" i="1"/>
  <c r="CV19" i="1"/>
  <c r="CQ19" i="1"/>
  <c r="CF44" i="1"/>
  <c r="CH44" i="1" s="1"/>
  <c r="DA44" i="1"/>
  <c r="CV44" i="1"/>
  <c r="CQ44" i="1"/>
  <c r="CF30" i="1"/>
  <c r="CH30" i="1" s="1"/>
  <c r="DA30" i="1"/>
  <c r="CV30" i="1"/>
  <c r="CQ30" i="1"/>
  <c r="CF47" i="1"/>
  <c r="CH47" i="1" s="1"/>
  <c r="DA47" i="1"/>
  <c r="CV47" i="1"/>
  <c r="CQ47" i="1"/>
  <c r="CF51" i="1"/>
  <c r="CH51" i="1" s="1"/>
  <c r="DA51" i="1"/>
  <c r="CV51" i="1"/>
  <c r="CQ51" i="1"/>
  <c r="CF28" i="1"/>
  <c r="CH28" i="1" s="1"/>
  <c r="DA28" i="1"/>
  <c r="CV28" i="1"/>
  <c r="CQ28" i="1"/>
  <c r="CF37" i="1"/>
  <c r="CH37" i="1" s="1"/>
  <c r="DA37" i="1"/>
  <c r="CV37" i="1"/>
  <c r="CQ37" i="1"/>
  <c r="CF33" i="1"/>
  <c r="CH33" i="1" s="1"/>
  <c r="DA33" i="1"/>
  <c r="CV33" i="1"/>
  <c r="CQ33" i="1"/>
  <c r="CF38" i="1"/>
  <c r="CH38" i="1" s="1"/>
  <c r="DA38" i="1"/>
  <c r="CV38" i="1"/>
  <c r="CQ38" i="1"/>
  <c r="CF48" i="1"/>
  <c r="CH48" i="1" s="1"/>
  <c r="DA48" i="1"/>
  <c r="CV48" i="1"/>
  <c r="CQ48" i="1"/>
  <c r="CF64" i="1"/>
  <c r="CH64" i="1" s="1"/>
  <c r="DA64" i="1"/>
  <c r="CV64" i="1"/>
  <c r="CQ64" i="1"/>
  <c r="CF56" i="1"/>
  <c r="CH56" i="1" s="1"/>
  <c r="DA56" i="1"/>
  <c r="CV56" i="1"/>
  <c r="CQ56" i="1"/>
  <c r="CF62" i="1"/>
  <c r="CH62" i="1" s="1"/>
  <c r="DA62" i="1"/>
  <c r="CV62" i="1"/>
  <c r="CQ62" i="1"/>
  <c r="CF61" i="1"/>
  <c r="CH61" i="1" s="1"/>
  <c r="DA61" i="1"/>
  <c r="CV61" i="1"/>
  <c r="CQ61" i="1"/>
  <c r="CF63" i="1"/>
  <c r="CH63" i="1" s="1"/>
  <c r="DA63" i="1"/>
  <c r="CV63" i="1"/>
  <c r="CQ63" i="1"/>
  <c r="CF55" i="1"/>
  <c r="CH55" i="1" s="1"/>
  <c r="DA55" i="1"/>
  <c r="CV55" i="1"/>
  <c r="CQ55" i="1"/>
  <c r="BT12" i="1"/>
  <c r="DB12" i="1"/>
  <c r="CR12" i="1"/>
  <c r="CW12" i="1"/>
  <c r="BT17" i="1"/>
  <c r="DB17" i="1"/>
  <c r="CR17" i="1"/>
  <c r="CW17" i="1"/>
  <c r="BT18" i="1"/>
  <c r="DB18" i="1"/>
  <c r="CW18" i="1"/>
  <c r="CR18" i="1"/>
  <c r="BT13" i="1"/>
  <c r="DB13" i="1"/>
  <c r="CW13" i="1"/>
  <c r="CR13" i="1"/>
  <c r="BT20" i="1"/>
  <c r="DB20" i="1"/>
  <c r="CR20" i="1"/>
  <c r="CW20" i="1"/>
  <c r="BT15" i="1"/>
  <c r="DB15" i="1"/>
  <c r="CW15" i="1"/>
  <c r="CR15" i="1"/>
  <c r="BT16" i="1"/>
  <c r="DB16" i="1"/>
  <c r="CR16" i="1"/>
  <c r="CW16" i="1"/>
  <c r="BT19" i="1"/>
  <c r="DB19" i="1"/>
  <c r="CW19" i="1"/>
  <c r="CR19" i="1"/>
  <c r="BT14" i="1"/>
  <c r="DB14" i="1"/>
  <c r="CW14" i="1"/>
  <c r="CR14" i="1"/>
  <c r="DB44" i="1"/>
  <c r="CR44" i="1"/>
  <c r="CW44" i="1"/>
  <c r="DB34" i="1"/>
  <c r="CW34" i="1"/>
  <c r="CR34" i="1"/>
  <c r="DB40" i="1"/>
  <c r="CR40" i="1"/>
  <c r="CW40" i="1"/>
  <c r="DB30" i="1"/>
  <c r="CW30" i="1"/>
  <c r="CR30" i="1"/>
  <c r="DB49" i="1"/>
  <c r="CR49" i="1"/>
  <c r="CW49" i="1"/>
  <c r="DB36" i="1"/>
  <c r="CR36" i="1"/>
  <c r="CW36" i="1"/>
  <c r="DB47" i="1"/>
  <c r="CW47" i="1"/>
  <c r="CR47" i="1"/>
  <c r="DB45" i="1"/>
  <c r="CW45" i="1"/>
  <c r="CR45" i="1"/>
  <c r="DB32" i="1"/>
  <c r="CR32" i="1"/>
  <c r="CW32" i="1"/>
  <c r="DB51" i="1"/>
  <c r="CW51" i="1"/>
  <c r="CR51" i="1"/>
  <c r="DB39" i="1"/>
  <c r="CW39" i="1"/>
  <c r="CR39" i="1"/>
  <c r="DB41" i="1"/>
  <c r="CR41" i="1"/>
  <c r="CW41" i="1"/>
  <c r="DB28" i="1"/>
  <c r="CR28" i="1"/>
  <c r="CW28" i="1"/>
  <c r="DB43" i="1"/>
  <c r="CW43" i="1"/>
  <c r="CR43" i="1"/>
  <c r="DB31" i="1"/>
  <c r="CW31" i="1"/>
  <c r="CR31" i="1"/>
  <c r="DB37" i="1"/>
  <c r="CW37" i="1"/>
  <c r="CR37" i="1"/>
  <c r="DB35" i="1"/>
  <c r="CW35" i="1"/>
  <c r="CR35" i="1"/>
  <c r="DB46" i="1"/>
  <c r="CW46" i="1"/>
  <c r="CR46" i="1"/>
  <c r="DB33" i="1"/>
  <c r="CR33" i="1"/>
  <c r="CW33" i="1"/>
  <c r="DB27" i="1"/>
  <c r="CW27" i="1"/>
  <c r="CR27" i="1"/>
  <c r="DB50" i="1"/>
  <c r="CW50" i="1"/>
  <c r="CR50" i="1"/>
  <c r="DB38" i="1"/>
  <c r="CW38" i="1"/>
  <c r="CR38" i="1"/>
  <c r="DB29" i="1"/>
  <c r="CW29" i="1"/>
  <c r="CR29" i="1"/>
  <c r="DB48" i="1"/>
  <c r="CR48" i="1"/>
  <c r="CW48" i="1"/>
  <c r="DB42" i="1"/>
  <c r="CW42" i="1"/>
  <c r="CR42" i="1"/>
  <c r="DB52" i="1"/>
  <c r="CR52" i="1"/>
  <c r="CW52" i="1"/>
  <c r="DB64" i="1"/>
  <c r="CR64" i="1"/>
  <c r="CW64" i="1"/>
  <c r="DB60" i="1"/>
  <c r="CR60" i="1"/>
  <c r="CW60" i="1"/>
  <c r="DB56" i="1"/>
  <c r="CR56" i="1"/>
  <c r="CW56" i="1"/>
  <c r="BT58" i="1"/>
  <c r="DB58" i="1"/>
  <c r="CW58" i="1"/>
  <c r="CR58" i="1"/>
  <c r="DB62" i="1"/>
  <c r="CW62" i="1"/>
  <c r="CR62" i="1"/>
  <c r="BT65" i="1"/>
  <c r="DB65" i="1"/>
  <c r="CR65" i="1"/>
  <c r="DB61" i="1"/>
  <c r="CW61" i="1"/>
  <c r="CR61" i="1"/>
  <c r="DB57" i="1"/>
  <c r="CR57" i="1"/>
  <c r="CW57" i="1"/>
  <c r="DB54" i="1"/>
  <c r="CW54" i="1"/>
  <c r="CR54" i="1"/>
  <c r="DB63" i="1"/>
  <c r="CW63" i="1"/>
  <c r="CR63" i="1"/>
  <c r="DB53" i="1"/>
  <c r="CW53" i="1"/>
  <c r="CR53" i="1"/>
  <c r="DB55" i="1"/>
  <c r="CW55" i="1"/>
  <c r="CR55" i="1"/>
  <c r="DB59" i="1"/>
  <c r="CW59" i="1"/>
  <c r="CR59" i="1"/>
  <c r="CF18" i="1"/>
  <c r="CH18" i="1" s="1"/>
  <c r="DA18" i="1"/>
  <c r="CV18" i="1"/>
  <c r="CQ18" i="1"/>
  <c r="CF34" i="1"/>
  <c r="CH34" i="1" s="1"/>
  <c r="DA34" i="1"/>
  <c r="CV34" i="1"/>
  <c r="CQ34" i="1"/>
  <c r="CF49" i="1"/>
  <c r="CH49" i="1" s="1"/>
  <c r="DA49" i="1"/>
  <c r="CV49" i="1"/>
  <c r="CQ49" i="1"/>
  <c r="CF45" i="1"/>
  <c r="CH45" i="1" s="1"/>
  <c r="DA45" i="1"/>
  <c r="CV45" i="1"/>
  <c r="CQ45" i="1"/>
  <c r="CF39" i="1"/>
  <c r="CH39" i="1" s="1"/>
  <c r="DA39" i="1"/>
  <c r="CV39" i="1"/>
  <c r="CQ39" i="1"/>
  <c r="CF43" i="1"/>
  <c r="CH43" i="1" s="1"/>
  <c r="DA43" i="1"/>
  <c r="CV43" i="1"/>
  <c r="CQ43" i="1"/>
  <c r="CF35" i="1"/>
  <c r="CH35" i="1" s="1"/>
  <c r="DA35" i="1"/>
  <c r="CV35" i="1"/>
  <c r="CQ35" i="1"/>
  <c r="CF27" i="1"/>
  <c r="CH27" i="1" s="1"/>
  <c r="DA27" i="1"/>
  <c r="CV27" i="1"/>
  <c r="CQ27" i="1"/>
  <c r="CF29" i="1"/>
  <c r="CH29" i="1" s="1"/>
  <c r="DA29" i="1"/>
  <c r="CV29" i="1"/>
  <c r="CQ29" i="1"/>
  <c r="CF52" i="1"/>
  <c r="CH52" i="1" s="1"/>
  <c r="DA52" i="1"/>
  <c r="CV52" i="1"/>
  <c r="CQ52" i="1"/>
  <c r="CF60" i="1"/>
  <c r="CH60" i="1" s="1"/>
  <c r="DA60" i="1"/>
  <c r="CV60" i="1"/>
  <c r="CQ60" i="1"/>
  <c r="CF58" i="1"/>
  <c r="CH58" i="1" s="1"/>
  <c r="DA58" i="1"/>
  <c r="CV58" i="1"/>
  <c r="CQ58" i="1"/>
  <c r="CF65" i="1"/>
  <c r="CH65" i="1" s="1"/>
  <c r="DA65" i="1"/>
  <c r="CQ65" i="1"/>
  <c r="CF57" i="1"/>
  <c r="CH57" i="1" s="1"/>
  <c r="DA57" i="1"/>
  <c r="CV57" i="1"/>
  <c r="CQ57" i="1"/>
  <c r="CF53" i="1"/>
  <c r="CH53" i="1" s="1"/>
  <c r="DA53" i="1"/>
  <c r="CV53" i="1"/>
  <c r="CQ53" i="1"/>
  <c r="CF59" i="1"/>
  <c r="CH59" i="1" s="1"/>
  <c r="DA59" i="1"/>
  <c r="CV59" i="1"/>
  <c r="CQ59" i="1"/>
  <c r="BX26" i="1"/>
  <c r="DA12" i="1"/>
  <c r="CV12" i="1"/>
  <c r="CQ12" i="1"/>
  <c r="DA17" i="1"/>
  <c r="CV17" i="1"/>
  <c r="CQ17" i="1"/>
  <c r="BL13" i="1"/>
  <c r="DA13" i="1"/>
  <c r="CV13" i="1"/>
  <c r="CQ13" i="1"/>
  <c r="BW20" i="1"/>
  <c r="DA20" i="1"/>
  <c r="CV20" i="1"/>
  <c r="CQ20" i="1"/>
  <c r="DA16" i="1"/>
  <c r="CV16" i="1"/>
  <c r="CQ16" i="1"/>
  <c r="DA14" i="1"/>
  <c r="CV14" i="1"/>
  <c r="CQ14" i="1"/>
  <c r="CF40" i="1"/>
  <c r="CH40" i="1" s="1"/>
  <c r="DA40" i="1"/>
  <c r="CV40" i="1"/>
  <c r="CQ40" i="1"/>
  <c r="CF36" i="1"/>
  <c r="CH36" i="1" s="1"/>
  <c r="DA36" i="1"/>
  <c r="CV36" i="1"/>
  <c r="CQ36" i="1"/>
  <c r="CF32" i="1"/>
  <c r="CH32" i="1" s="1"/>
  <c r="DA32" i="1"/>
  <c r="CV32" i="1"/>
  <c r="CQ32" i="1"/>
  <c r="CF41" i="1"/>
  <c r="CH41" i="1" s="1"/>
  <c r="DA41" i="1"/>
  <c r="CV41" i="1"/>
  <c r="CQ41" i="1"/>
  <c r="CF31" i="1"/>
  <c r="CH31" i="1" s="1"/>
  <c r="DA31" i="1"/>
  <c r="CV31" i="1"/>
  <c r="CQ31" i="1"/>
  <c r="CF46" i="1"/>
  <c r="CH46" i="1" s="1"/>
  <c r="DA46" i="1"/>
  <c r="CV46" i="1"/>
  <c r="CQ46" i="1"/>
  <c r="CF50" i="1"/>
  <c r="CH50" i="1" s="1"/>
  <c r="DA50" i="1"/>
  <c r="CV50" i="1"/>
  <c r="CQ50" i="1"/>
  <c r="CF42" i="1"/>
  <c r="CH42" i="1" s="1"/>
  <c r="DA42" i="1"/>
  <c r="CV42" i="1"/>
  <c r="CQ42" i="1"/>
  <c r="CF54" i="1"/>
  <c r="CH54" i="1" s="1"/>
  <c r="DA54" i="1"/>
  <c r="CV54" i="1"/>
  <c r="CQ54" i="1"/>
  <c r="BN5" i="1"/>
  <c r="CR5" i="1"/>
  <c r="DA9" i="1"/>
  <c r="DA7" i="1"/>
  <c r="DA6" i="1"/>
  <c r="DA8" i="1"/>
  <c r="DA10" i="1"/>
  <c r="DA11" i="1"/>
  <c r="CV10" i="1"/>
  <c r="CW11" i="1"/>
  <c r="CR11" i="1"/>
  <c r="CW8" i="1"/>
  <c r="CR8" i="1"/>
  <c r="CW6" i="1"/>
  <c r="CR6" i="1"/>
  <c r="CW10" i="1"/>
  <c r="CR10" i="1"/>
  <c r="CW9" i="1"/>
  <c r="CR9" i="1"/>
  <c r="CW7" i="1"/>
  <c r="CR7" i="1"/>
  <c r="CV9" i="1"/>
  <c r="CF5" i="1"/>
  <c r="CH5" i="1" s="1"/>
  <c r="CV7" i="1"/>
  <c r="CV8" i="1"/>
  <c r="CV6" i="1"/>
  <c r="CV11" i="1"/>
  <c r="CQ11" i="1"/>
  <c r="BW12" i="1"/>
  <c r="CF11" i="1"/>
  <c r="BR5" i="1"/>
  <c r="BL21" i="1"/>
  <c r="BM21" i="1" s="1"/>
  <c r="CF21" i="1"/>
  <c r="CH21" i="1" s="1"/>
  <c r="BW21" i="1"/>
  <c r="BL5" i="1"/>
  <c r="BM5" i="1" s="1"/>
  <c r="BI12" i="1"/>
  <c r="BU12" i="1" s="1"/>
  <c r="BI11" i="1"/>
  <c r="BU11" i="1" s="1"/>
  <c r="BI8" i="1"/>
  <c r="BU8" i="1" s="1"/>
  <c r="BI17" i="1"/>
  <c r="BU17" i="1" s="1"/>
  <c r="BI18" i="1"/>
  <c r="BU18" i="1" s="1"/>
  <c r="BI6" i="1"/>
  <c r="BU6" i="1" s="1"/>
  <c r="BI13" i="1"/>
  <c r="BU13" i="1" s="1"/>
  <c r="BI10" i="1"/>
  <c r="BU10" i="1" s="1"/>
  <c r="BI9" i="1"/>
  <c r="BU9" i="1" s="1"/>
  <c r="BI20" i="1"/>
  <c r="BU20" i="1" s="1"/>
  <c r="BI15" i="1"/>
  <c r="BU15" i="1" s="1"/>
  <c r="BI16" i="1"/>
  <c r="BU16" i="1" s="1"/>
  <c r="BI19" i="1"/>
  <c r="BU19" i="1" s="1"/>
  <c r="BI7" i="1"/>
  <c r="BU7" i="1" s="1"/>
  <c r="BI14" i="1"/>
  <c r="BU14" i="1" s="1"/>
  <c r="BI44" i="1"/>
  <c r="BU44" i="1" s="1"/>
  <c r="BI34" i="1"/>
  <c r="BU34" i="1" s="1"/>
  <c r="BI40" i="1"/>
  <c r="BU40" i="1" s="1"/>
  <c r="BI30" i="1"/>
  <c r="BU30" i="1" s="1"/>
  <c r="BI49" i="1"/>
  <c r="BU49" i="1" s="1"/>
  <c r="BI36" i="1"/>
  <c r="BU36" i="1" s="1"/>
  <c r="BI47" i="1"/>
  <c r="BU47" i="1" s="1"/>
  <c r="BI45" i="1"/>
  <c r="BU45" i="1" s="1"/>
  <c r="BI32" i="1"/>
  <c r="BU32" i="1" s="1"/>
  <c r="BI51" i="1"/>
  <c r="BU51" i="1" s="1"/>
  <c r="BI39" i="1"/>
  <c r="BU39" i="1" s="1"/>
  <c r="BI28" i="1"/>
  <c r="BU28" i="1" s="1"/>
  <c r="BI43" i="1"/>
  <c r="BU43" i="1" s="1"/>
  <c r="BI31" i="1"/>
  <c r="BU31" i="1" s="1"/>
  <c r="BI37" i="1"/>
  <c r="BU37" i="1" s="1"/>
  <c r="BI35" i="1"/>
  <c r="BU35" i="1" s="1"/>
  <c r="BI46" i="1"/>
  <c r="BU46" i="1" s="1"/>
  <c r="BI33" i="1"/>
  <c r="BU33" i="1" s="1"/>
  <c r="BI27" i="1"/>
  <c r="BU27" i="1" s="1"/>
  <c r="BI50" i="1"/>
  <c r="BU50" i="1" s="1"/>
  <c r="BI29" i="1"/>
  <c r="BU29" i="1" s="1"/>
  <c r="BI48" i="1"/>
  <c r="BU48" i="1" s="1"/>
  <c r="BI42" i="1"/>
  <c r="BU42" i="1" s="1"/>
  <c r="BI52" i="1"/>
  <c r="BU52" i="1" s="1"/>
  <c r="BI64" i="1"/>
  <c r="BU64" i="1" s="1"/>
  <c r="BI60" i="1"/>
  <c r="BU60" i="1" s="1"/>
  <c r="BI56" i="1"/>
  <c r="BU56" i="1" s="1"/>
  <c r="BI58" i="1"/>
  <c r="BU58" i="1" s="1"/>
  <c r="BI62" i="1"/>
  <c r="BU62" i="1" s="1"/>
  <c r="BI65" i="1"/>
  <c r="BU65" i="1" s="1"/>
  <c r="BI61" i="1"/>
  <c r="BU61" i="1" s="1"/>
  <c r="BI57" i="1"/>
  <c r="BU57" i="1" s="1"/>
  <c r="BI54" i="1"/>
  <c r="BU54" i="1" s="1"/>
  <c r="BI63" i="1"/>
  <c r="BU63" i="1" s="1"/>
  <c r="BI53" i="1"/>
  <c r="BU53" i="1" s="1"/>
  <c r="BI55" i="1"/>
  <c r="BU55" i="1" s="1"/>
  <c r="BI59" i="1"/>
  <c r="BU59" i="1" s="1"/>
  <c r="BJ12" i="1"/>
  <c r="BV12" i="1" s="1"/>
  <c r="BJ11" i="1"/>
  <c r="BV11" i="1" s="1"/>
  <c r="BJ17" i="1"/>
  <c r="BV17" i="1" s="1"/>
  <c r="BJ6" i="1"/>
  <c r="BV6" i="1" s="1"/>
  <c r="BJ10" i="1"/>
  <c r="BV10" i="1" s="1"/>
  <c r="BJ9" i="1"/>
  <c r="BV9" i="1" s="1"/>
  <c r="BJ20" i="1"/>
  <c r="BV20" i="1" s="1"/>
  <c r="BJ19" i="1"/>
  <c r="BV19" i="1" s="1"/>
  <c r="BJ14" i="1"/>
  <c r="BV14" i="1" s="1"/>
  <c r="BJ47" i="1"/>
  <c r="BV47" i="1" s="1"/>
  <c r="BJ28" i="1"/>
  <c r="BV28" i="1" s="1"/>
  <c r="BJ31" i="1"/>
  <c r="BV31" i="1" s="1"/>
  <c r="BJ35" i="1"/>
  <c r="BV35" i="1" s="1"/>
  <c r="BJ33" i="1"/>
  <c r="BV33" i="1" s="1"/>
  <c r="BJ52" i="1"/>
  <c r="BV52" i="1" s="1"/>
  <c r="BJ64" i="1"/>
  <c r="BV64" i="1" s="1"/>
  <c r="BJ60" i="1"/>
  <c r="BV60" i="1" s="1"/>
  <c r="BJ58" i="1"/>
  <c r="BV58" i="1" s="1"/>
  <c r="BJ62" i="1"/>
  <c r="BV62" i="1" s="1"/>
  <c r="BJ65" i="1"/>
  <c r="BV65" i="1" s="1"/>
  <c r="BJ61" i="1"/>
  <c r="BV61" i="1" s="1"/>
  <c r="BJ57" i="1"/>
  <c r="BV57" i="1" s="1"/>
  <c r="BJ63" i="1"/>
  <c r="BV63" i="1" s="1"/>
  <c r="BJ55" i="1"/>
  <c r="BV55" i="1" s="1"/>
  <c r="BJ59" i="1"/>
  <c r="BV59" i="1" s="1"/>
  <c r="BT60" i="1"/>
  <c r="BL44" i="1"/>
  <c r="BW5" i="1"/>
  <c r="BM238" i="1"/>
  <c r="BM194" i="1"/>
  <c r="BM173" i="1"/>
  <c r="BM188" i="1"/>
  <c r="BM127" i="1"/>
  <c r="BM227" i="1"/>
  <c r="BV5" i="1"/>
  <c r="BU5" i="1"/>
  <c r="BR11" i="1" l="1"/>
  <c r="BS11" i="1" s="1"/>
  <c r="CG11" i="1"/>
  <c r="CH11" i="1" s="1"/>
  <c r="CC9" i="1"/>
  <c r="CG9" i="1" s="1"/>
  <c r="CC8" i="1"/>
  <c r="CG8" i="1" s="1"/>
  <c r="CC7" i="1"/>
  <c r="CG7" i="1" s="1"/>
  <c r="BR6" i="1"/>
  <c r="BS6" i="1" s="1"/>
  <c r="CG6" i="1"/>
  <c r="BR10" i="1"/>
  <c r="BS10" i="1" s="1"/>
  <c r="CG10" i="1"/>
  <c r="BL7" i="1"/>
  <c r="BM7" i="1" s="1"/>
  <c r="CF9" i="1"/>
  <c r="CF8" i="1"/>
  <c r="BV8" i="1"/>
  <c r="BV7" i="1"/>
  <c r="K8" i="7" s="1"/>
  <c r="J8" i="7"/>
  <c r="BL27" i="1"/>
  <c r="BL22" i="1"/>
  <c r="BM22" i="1" s="1"/>
  <c r="BY22" i="1" s="1"/>
  <c r="BW22" i="1"/>
  <c r="BL34" i="1"/>
  <c r="CF25" i="1"/>
  <c r="CH25" i="1" s="1"/>
  <c r="BY26" i="1"/>
  <c r="BL35" i="1"/>
  <c r="BL49" i="1"/>
  <c r="BL25" i="1"/>
  <c r="BM25" i="1" s="1"/>
  <c r="BY25" i="1" s="1"/>
  <c r="BL29" i="1"/>
  <c r="BL43" i="1"/>
  <c r="BM43" i="1" s="1"/>
  <c r="BY43" i="1" s="1"/>
  <c r="BW65" i="1"/>
  <c r="BL65" i="1"/>
  <c r="BM65" i="1" s="1"/>
  <c r="BY65" i="1" s="1"/>
  <c r="BL31" i="1"/>
  <c r="BW18" i="1"/>
  <c r="BL23" i="1"/>
  <c r="CF23" i="1"/>
  <c r="CH23" i="1" s="1"/>
  <c r="BW23" i="1"/>
  <c r="BL33" i="1"/>
  <c r="BL47" i="1"/>
  <c r="BM47" i="1" s="1"/>
  <c r="BL48" i="1"/>
  <c r="BM48" i="1" s="1"/>
  <c r="BY48" i="1" s="1"/>
  <c r="BL37" i="1"/>
  <c r="BX37" i="1" s="1"/>
  <c r="BL30" i="1"/>
  <c r="BM30" i="1" s="1"/>
  <c r="BY30" i="1" s="1"/>
  <c r="BL19" i="1"/>
  <c r="BM19" i="1" s="1"/>
  <c r="BY19" i="1" s="1"/>
  <c r="CF19" i="1"/>
  <c r="CH19" i="1" s="1"/>
  <c r="BL39" i="1"/>
  <c r="BX39" i="1" s="1"/>
  <c r="BL40" i="1"/>
  <c r="BL41" i="1"/>
  <c r="BX41" i="1" s="1"/>
  <c r="BL45" i="1"/>
  <c r="BX45" i="1" s="1"/>
  <c r="BW62" i="1"/>
  <c r="BL15" i="1"/>
  <c r="BL42" i="1"/>
  <c r="BX42" i="1" s="1"/>
  <c r="BL50" i="1"/>
  <c r="BL28" i="1"/>
  <c r="BX28" i="1" s="1"/>
  <c r="BL32" i="1"/>
  <c r="BL38" i="1"/>
  <c r="BX38" i="1" s="1"/>
  <c r="BL46" i="1"/>
  <c r="BM46" i="1" s="1"/>
  <c r="BL51" i="1"/>
  <c r="BX51" i="1" s="1"/>
  <c r="BL36" i="1"/>
  <c r="BM36" i="1" s="1"/>
  <c r="BY36" i="1" s="1"/>
  <c r="BL61" i="1"/>
  <c r="BX61" i="1" s="1"/>
  <c r="BL18" i="1"/>
  <c r="BM18" i="1" s="1"/>
  <c r="BY18" i="1" s="1"/>
  <c r="CF15" i="1"/>
  <c r="CH15" i="1" s="1"/>
  <c r="CF87" i="1"/>
  <c r="CH87" i="1" s="1"/>
  <c r="BL87" i="1"/>
  <c r="BW87" i="1"/>
  <c r="CF78" i="1"/>
  <c r="CH78" i="1" s="1"/>
  <c r="BL78" i="1"/>
  <c r="BW78" i="1"/>
  <c r="CF77" i="1"/>
  <c r="CH77" i="1" s="1"/>
  <c r="BL77" i="1"/>
  <c r="BW77" i="1"/>
  <c r="CF74" i="1"/>
  <c r="CH74" i="1" s="1"/>
  <c r="BL74" i="1"/>
  <c r="BW74" i="1"/>
  <c r="CF88" i="1"/>
  <c r="CH88" i="1" s="1"/>
  <c r="BL88" i="1"/>
  <c r="BW88" i="1"/>
  <c r="CF102" i="1"/>
  <c r="CH102" i="1" s="1"/>
  <c r="BL102" i="1"/>
  <c r="BW102" i="1"/>
  <c r="CF75" i="1"/>
  <c r="CH75" i="1" s="1"/>
  <c r="BL75" i="1"/>
  <c r="BW75" i="1"/>
  <c r="CF99" i="1"/>
  <c r="CH99" i="1" s="1"/>
  <c r="BL99" i="1"/>
  <c r="BW99" i="1"/>
  <c r="CF70" i="1"/>
  <c r="CH70" i="1" s="1"/>
  <c r="BL70" i="1"/>
  <c r="BW70" i="1"/>
  <c r="CF83" i="1"/>
  <c r="CH83" i="1" s="1"/>
  <c r="BL83" i="1"/>
  <c r="BW83" i="1"/>
  <c r="CF100" i="1"/>
  <c r="CH100" i="1" s="1"/>
  <c r="BL100" i="1"/>
  <c r="BW100" i="1"/>
  <c r="CF103" i="1"/>
  <c r="CH103" i="1" s="1"/>
  <c r="BL103" i="1"/>
  <c r="BW103" i="1"/>
  <c r="CF72" i="1"/>
  <c r="CH72" i="1" s="1"/>
  <c r="BL72" i="1"/>
  <c r="BW72" i="1"/>
  <c r="CF69" i="1"/>
  <c r="CH69" i="1" s="1"/>
  <c r="BL69" i="1"/>
  <c r="BW69" i="1"/>
  <c r="CF85" i="1"/>
  <c r="CH85" i="1" s="1"/>
  <c r="BL85" i="1"/>
  <c r="BW85" i="1"/>
  <c r="CF92" i="1"/>
  <c r="CH92" i="1" s="1"/>
  <c r="BW92" i="1"/>
  <c r="BL92" i="1"/>
  <c r="CF86" i="1"/>
  <c r="CH86" i="1" s="1"/>
  <c r="BL86" i="1"/>
  <c r="BW86" i="1"/>
  <c r="CF66" i="1"/>
  <c r="CH66" i="1" s="1"/>
  <c r="BW66" i="1"/>
  <c r="BL66" i="1"/>
  <c r="CF96" i="1"/>
  <c r="CH96" i="1" s="1"/>
  <c r="BL96" i="1"/>
  <c r="BW96" i="1"/>
  <c r="CF84" i="1"/>
  <c r="CH84" i="1" s="1"/>
  <c r="BL84" i="1"/>
  <c r="BW84" i="1"/>
  <c r="CF97" i="1"/>
  <c r="CH97" i="1" s="1"/>
  <c r="BL97" i="1"/>
  <c r="BW97" i="1"/>
  <c r="CF104" i="1"/>
  <c r="CH104" i="1" s="1"/>
  <c r="BL104" i="1"/>
  <c r="BW104" i="1"/>
  <c r="CF24" i="1"/>
  <c r="CH24" i="1" s="1"/>
  <c r="BW24" i="1"/>
  <c r="BL24" i="1"/>
  <c r="CF76" i="1"/>
  <c r="CH76" i="1" s="1"/>
  <c r="BW76" i="1"/>
  <c r="BL76" i="1"/>
  <c r="CF79" i="1"/>
  <c r="CH79" i="1" s="1"/>
  <c r="BL79" i="1"/>
  <c r="BW79" i="1"/>
  <c r="CF82" i="1"/>
  <c r="CH82" i="1" s="1"/>
  <c r="BL82" i="1"/>
  <c r="BW82" i="1"/>
  <c r="CF98" i="1"/>
  <c r="CH98" i="1" s="1"/>
  <c r="BW98" i="1"/>
  <c r="BL98" i="1"/>
  <c r="CF80" i="1"/>
  <c r="CH80" i="1" s="1"/>
  <c r="BW80" i="1"/>
  <c r="BL80" i="1"/>
  <c r="CF93" i="1"/>
  <c r="CH93" i="1" s="1"/>
  <c r="BL93" i="1"/>
  <c r="BW93" i="1"/>
  <c r="CF71" i="1"/>
  <c r="CH71" i="1" s="1"/>
  <c r="BL71" i="1"/>
  <c r="BW71" i="1"/>
  <c r="CF68" i="1"/>
  <c r="CH68" i="1" s="1"/>
  <c r="BL68" i="1"/>
  <c r="BW68" i="1"/>
  <c r="CF81" i="1"/>
  <c r="CH81" i="1" s="1"/>
  <c r="BL81" i="1"/>
  <c r="BW81" i="1"/>
  <c r="CF95" i="1"/>
  <c r="CH95" i="1" s="1"/>
  <c r="BL95" i="1"/>
  <c r="BW95" i="1"/>
  <c r="CF101" i="1"/>
  <c r="CH101" i="1" s="1"/>
  <c r="BW101" i="1"/>
  <c r="BL101" i="1"/>
  <c r="CF90" i="1"/>
  <c r="CH90" i="1" s="1"/>
  <c r="BL90" i="1"/>
  <c r="BW90" i="1"/>
  <c r="CF67" i="1"/>
  <c r="CH67" i="1" s="1"/>
  <c r="BL67" i="1"/>
  <c r="BW67" i="1"/>
  <c r="CF73" i="1"/>
  <c r="CH73" i="1" s="1"/>
  <c r="BL73" i="1"/>
  <c r="BW73" i="1"/>
  <c r="CF89" i="1"/>
  <c r="CH89" i="1" s="1"/>
  <c r="BL89" i="1"/>
  <c r="BW89" i="1"/>
  <c r="CF94" i="1"/>
  <c r="CH94" i="1" s="1"/>
  <c r="BW94" i="1"/>
  <c r="BL94" i="1"/>
  <c r="CF91" i="1"/>
  <c r="CH91" i="1" s="1"/>
  <c r="BL91" i="1"/>
  <c r="BW91" i="1"/>
  <c r="CF13" i="1"/>
  <c r="CH13" i="1" s="1"/>
  <c r="BT9" i="1"/>
  <c r="BM13" i="1"/>
  <c r="BY13" i="1" s="1"/>
  <c r="BX13" i="1"/>
  <c r="BX40" i="1"/>
  <c r="BW13" i="1"/>
  <c r="BY21" i="1"/>
  <c r="BL20" i="1"/>
  <c r="CF20" i="1"/>
  <c r="CH20" i="1" s="1"/>
  <c r="BX35" i="1"/>
  <c r="BX49" i="1"/>
  <c r="BX44" i="1"/>
  <c r="BX43" i="1"/>
  <c r="BX34" i="1"/>
  <c r="BX21" i="1"/>
  <c r="BT5" i="1"/>
  <c r="BL8" i="1"/>
  <c r="BM8" i="1" s="1"/>
  <c r="BW8" i="1"/>
  <c r="BW7" i="1"/>
  <c r="BW9" i="1"/>
  <c r="BT10" i="1"/>
  <c r="N36" i="12"/>
  <c r="N35" i="12"/>
  <c r="G36" i="12" s="1"/>
  <c r="BT8" i="1"/>
  <c r="BT11" i="1"/>
  <c r="BT7" i="1"/>
  <c r="BW10" i="1"/>
  <c r="N21" i="12"/>
  <c r="G22" i="12" s="1"/>
  <c r="BT6" i="1"/>
  <c r="N29" i="12"/>
  <c r="N28" i="12"/>
  <c r="N22" i="12"/>
  <c r="BL12" i="1"/>
  <c r="BM12" i="1" s="1"/>
  <c r="BY12" i="1" s="1"/>
  <c r="BL9" i="1"/>
  <c r="BM9" i="1" s="1"/>
  <c r="BW11" i="1"/>
  <c r="BL11" i="1"/>
  <c r="BL10" i="1"/>
  <c r="BM10" i="1" s="1"/>
  <c r="CF10" i="1"/>
  <c r="CF7" i="1"/>
  <c r="CF12" i="1"/>
  <c r="CH12" i="1" s="1"/>
  <c r="BX5" i="1"/>
  <c r="BW16" i="1"/>
  <c r="CF16" i="1"/>
  <c r="CH16" i="1" s="1"/>
  <c r="BW17" i="1"/>
  <c r="CF17" i="1"/>
  <c r="CH17" i="1" s="1"/>
  <c r="BW14" i="1"/>
  <c r="CF14" i="1"/>
  <c r="CH14" i="1" s="1"/>
  <c r="BW6" i="1"/>
  <c r="CF6" i="1"/>
  <c r="BL14" i="1"/>
  <c r="BL6" i="1"/>
  <c r="BL16" i="1"/>
  <c r="BL17" i="1"/>
  <c r="BW54" i="1"/>
  <c r="BW56" i="1"/>
  <c r="BW64" i="1"/>
  <c r="BW63" i="1"/>
  <c r="BX50" i="1"/>
  <c r="BX32" i="1"/>
  <c r="BX46" i="1"/>
  <c r="BX36" i="1"/>
  <c r="BT55" i="1"/>
  <c r="BT63" i="1"/>
  <c r="BT57" i="1"/>
  <c r="BT62" i="1"/>
  <c r="BT64" i="1"/>
  <c r="BX29" i="1"/>
  <c r="BX33" i="1"/>
  <c r="BX31" i="1"/>
  <c r="BX27" i="1"/>
  <c r="BT59" i="1"/>
  <c r="BT53" i="1"/>
  <c r="BT54" i="1"/>
  <c r="BT61" i="1"/>
  <c r="BT56" i="1"/>
  <c r="BT52" i="1"/>
  <c r="BL55" i="1"/>
  <c r="BW55" i="1"/>
  <c r="BL63" i="1"/>
  <c r="BL57" i="1"/>
  <c r="BW57" i="1"/>
  <c r="BL62" i="1"/>
  <c r="BL56" i="1"/>
  <c r="BL64" i="1"/>
  <c r="BW61" i="1"/>
  <c r="BL59" i="1"/>
  <c r="BW59" i="1"/>
  <c r="BL53" i="1"/>
  <c r="BW53" i="1"/>
  <c r="BL54" i="1"/>
  <c r="BL58" i="1"/>
  <c r="BW58" i="1"/>
  <c r="BL60" i="1"/>
  <c r="BW60" i="1"/>
  <c r="BL52" i="1"/>
  <c r="BX52" i="1" s="1"/>
  <c r="BW52" i="1"/>
  <c r="BT49" i="1"/>
  <c r="BT31" i="1"/>
  <c r="BT47" i="1"/>
  <c r="BT46" i="1"/>
  <c r="BT34" i="1"/>
  <c r="BT33" i="1"/>
  <c r="BT38" i="1"/>
  <c r="BT43" i="1"/>
  <c r="BT36" i="1"/>
  <c r="BT42" i="1"/>
  <c r="BT32" i="1"/>
  <c r="BT44" i="1"/>
  <c r="BW42" i="1"/>
  <c r="BM44" i="1"/>
  <c r="BY44" i="1" s="1"/>
  <c r="BW44" i="1"/>
  <c r="BT51" i="1"/>
  <c r="BT50" i="1"/>
  <c r="BT28" i="1"/>
  <c r="BW29" i="1"/>
  <c r="BW31" i="1"/>
  <c r="BW47" i="1"/>
  <c r="BT48" i="1"/>
  <c r="BT37" i="1"/>
  <c r="BT45" i="1"/>
  <c r="BW48" i="1"/>
  <c r="BW37" i="1"/>
  <c r="BW45" i="1"/>
  <c r="BW50" i="1"/>
  <c r="BW28" i="1"/>
  <c r="BW38" i="1"/>
  <c r="BW36" i="1"/>
  <c r="BT39" i="1"/>
  <c r="BW43" i="1"/>
  <c r="BT40" i="1"/>
  <c r="BW49" i="1"/>
  <c r="BT35" i="1"/>
  <c r="BW33" i="1"/>
  <c r="BT27" i="1"/>
  <c r="BT41" i="1"/>
  <c r="BT30" i="1"/>
  <c r="BW27" i="1"/>
  <c r="BW30" i="1"/>
  <c r="BW39" i="1"/>
  <c r="BW40" i="1"/>
  <c r="BW41" i="1"/>
  <c r="BW32" i="1"/>
  <c r="BW46" i="1"/>
  <c r="BW51" i="1"/>
  <c r="BT29" i="1"/>
  <c r="BW35" i="1"/>
  <c r="BW34" i="1"/>
  <c r="BS5" i="1"/>
  <c r="BY5" i="1" s="1"/>
  <c r="CH9" i="1" l="1"/>
  <c r="CH8" i="1"/>
  <c r="BX30" i="1"/>
  <c r="BM41" i="1"/>
  <c r="BY41" i="1" s="1"/>
  <c r="BY7" i="1"/>
  <c r="BX22" i="1"/>
  <c r="BX18" i="1"/>
  <c r="BX19" i="1"/>
  <c r="BX47" i="1"/>
  <c r="BM61" i="1"/>
  <c r="BY61" i="1" s="1"/>
  <c r="BX65" i="1"/>
  <c r="BX25" i="1"/>
  <c r="BX48" i="1"/>
  <c r="BM15" i="1"/>
  <c r="BY15" i="1" s="1"/>
  <c r="BX15" i="1"/>
  <c r="BM23" i="1"/>
  <c r="BY23" i="1" s="1"/>
  <c r="BX23" i="1"/>
  <c r="BX94" i="1"/>
  <c r="BM94" i="1"/>
  <c r="BY94" i="1" s="1"/>
  <c r="BM89" i="1"/>
  <c r="BY89" i="1" s="1"/>
  <c r="BX89" i="1"/>
  <c r="BM71" i="1"/>
  <c r="BY71" i="1" s="1"/>
  <c r="BX71" i="1"/>
  <c r="BX98" i="1"/>
  <c r="BM98" i="1"/>
  <c r="BY98" i="1" s="1"/>
  <c r="BM24" i="1"/>
  <c r="BY24" i="1" s="1"/>
  <c r="BX24" i="1"/>
  <c r="BX104" i="1"/>
  <c r="BM104" i="1"/>
  <c r="BY104" i="1" s="1"/>
  <c r="BM103" i="1"/>
  <c r="BY103" i="1" s="1"/>
  <c r="BX103" i="1"/>
  <c r="BM99" i="1"/>
  <c r="BY99" i="1" s="1"/>
  <c r="BX99" i="1"/>
  <c r="BX74" i="1"/>
  <c r="BM74" i="1"/>
  <c r="BY74" i="1" s="1"/>
  <c r="BM90" i="1"/>
  <c r="BY90" i="1" s="1"/>
  <c r="BX90" i="1"/>
  <c r="BM68" i="1"/>
  <c r="BY68" i="1" s="1"/>
  <c r="BX68" i="1"/>
  <c r="BM80" i="1"/>
  <c r="BY80" i="1" s="1"/>
  <c r="BX80" i="1"/>
  <c r="BM76" i="1"/>
  <c r="BY76" i="1" s="1"/>
  <c r="BX76" i="1"/>
  <c r="BM96" i="1"/>
  <c r="BY96" i="1" s="1"/>
  <c r="BX96" i="1"/>
  <c r="BM86" i="1"/>
  <c r="BY86" i="1" s="1"/>
  <c r="BX86" i="1"/>
  <c r="BX72" i="1"/>
  <c r="BM72" i="1"/>
  <c r="BY72" i="1" s="1"/>
  <c r="BM70" i="1"/>
  <c r="BY70" i="1" s="1"/>
  <c r="BX70" i="1"/>
  <c r="BM88" i="1"/>
  <c r="BY88" i="1" s="1"/>
  <c r="BX88" i="1"/>
  <c r="BM87" i="1"/>
  <c r="BY87" i="1" s="1"/>
  <c r="BX87" i="1"/>
  <c r="BY46" i="1"/>
  <c r="BM91" i="1"/>
  <c r="BY91" i="1" s="1"/>
  <c r="BX91" i="1"/>
  <c r="BM67" i="1"/>
  <c r="BY67" i="1" s="1"/>
  <c r="BX67" i="1"/>
  <c r="BM81" i="1"/>
  <c r="BY81" i="1" s="1"/>
  <c r="BX81" i="1"/>
  <c r="BM84" i="1"/>
  <c r="BY84" i="1" s="1"/>
  <c r="BX84" i="1"/>
  <c r="BX69" i="1"/>
  <c r="BM69" i="1"/>
  <c r="BY69" i="1" s="1"/>
  <c r="BX83" i="1"/>
  <c r="BM83" i="1"/>
  <c r="BY83" i="1" s="1"/>
  <c r="BX102" i="1"/>
  <c r="BM102" i="1"/>
  <c r="BY102" i="1" s="1"/>
  <c r="BM78" i="1"/>
  <c r="BY78" i="1" s="1"/>
  <c r="BX78" i="1"/>
  <c r="BM82" i="1"/>
  <c r="BY82" i="1" s="1"/>
  <c r="BX82" i="1"/>
  <c r="BX73" i="1"/>
  <c r="BM73" i="1"/>
  <c r="BY73" i="1" s="1"/>
  <c r="BX101" i="1"/>
  <c r="BM101" i="1"/>
  <c r="BY101" i="1" s="1"/>
  <c r="BM95" i="1"/>
  <c r="BY95" i="1" s="1"/>
  <c r="BX95" i="1"/>
  <c r="BM93" i="1"/>
  <c r="BY93" i="1" s="1"/>
  <c r="BX93" i="1"/>
  <c r="BM79" i="1"/>
  <c r="BY79" i="1" s="1"/>
  <c r="BX79" i="1"/>
  <c r="BM97" i="1"/>
  <c r="BY97" i="1" s="1"/>
  <c r="BX97" i="1"/>
  <c r="BM66" i="1"/>
  <c r="BY66" i="1" s="1"/>
  <c r="BX66" i="1"/>
  <c r="BX92" i="1"/>
  <c r="BM92" i="1"/>
  <c r="BY92" i="1" s="1"/>
  <c r="BM85" i="1"/>
  <c r="BY85" i="1" s="1"/>
  <c r="BX85" i="1"/>
  <c r="BX100" i="1"/>
  <c r="BM100" i="1"/>
  <c r="BY100" i="1" s="1"/>
  <c r="BM75" i="1"/>
  <c r="BY75" i="1" s="1"/>
  <c r="BX75" i="1"/>
  <c r="BX77" i="1"/>
  <c r="BM77" i="1"/>
  <c r="BY77" i="1" s="1"/>
  <c r="BM16" i="1"/>
  <c r="BY16" i="1" s="1"/>
  <c r="BX16" i="1"/>
  <c r="BM20" i="1"/>
  <c r="BY20" i="1" s="1"/>
  <c r="BX20" i="1"/>
  <c r="BM14" i="1"/>
  <c r="BY14" i="1" s="1"/>
  <c r="BX14" i="1"/>
  <c r="BM17" i="1"/>
  <c r="BY17" i="1" s="1"/>
  <c r="BX17" i="1"/>
  <c r="I8" i="7"/>
  <c r="BY8" i="1"/>
  <c r="G37" i="12"/>
  <c r="N37" i="12"/>
  <c r="G38" i="12" s="1"/>
  <c r="G39" i="12" s="1"/>
  <c r="G23" i="12"/>
  <c r="N23" i="12"/>
  <c r="G24" i="12" s="1"/>
  <c r="BY9" i="1"/>
  <c r="BX7" i="1"/>
  <c r="CH7" i="1"/>
  <c r="N30" i="12"/>
  <c r="G31" i="12" s="1"/>
  <c r="G30" i="12"/>
  <c r="G29" i="12"/>
  <c r="CH6" i="1"/>
  <c r="CH10" i="1"/>
  <c r="BX9" i="1"/>
  <c r="BX12" i="1"/>
  <c r="BY10" i="1"/>
  <c r="BX8" i="1"/>
  <c r="BX10" i="1"/>
  <c r="BM11" i="1"/>
  <c r="BY11" i="1" s="1"/>
  <c r="BX11" i="1"/>
  <c r="BM6" i="1"/>
  <c r="BY6" i="1" s="1"/>
  <c r="BX6" i="1"/>
  <c r="BM52" i="1"/>
  <c r="BY52" i="1" s="1"/>
  <c r="BM60" i="1"/>
  <c r="BY60" i="1" s="1"/>
  <c r="BX60" i="1"/>
  <c r="BM55" i="1"/>
  <c r="BY55" i="1" s="1"/>
  <c r="BX55" i="1"/>
  <c r="BM53" i="1"/>
  <c r="BY53" i="1" s="1"/>
  <c r="BX53" i="1"/>
  <c r="BM64" i="1"/>
  <c r="BY64" i="1" s="1"/>
  <c r="BX64" i="1"/>
  <c r="BM57" i="1"/>
  <c r="BY57" i="1" s="1"/>
  <c r="BX57" i="1"/>
  <c r="BY47" i="1"/>
  <c r="BM58" i="1"/>
  <c r="BY58" i="1" s="1"/>
  <c r="BX58" i="1"/>
  <c r="BM56" i="1"/>
  <c r="BY56" i="1" s="1"/>
  <c r="BX56" i="1"/>
  <c r="BM63" i="1"/>
  <c r="BY63" i="1" s="1"/>
  <c r="BX63" i="1"/>
  <c r="BM54" i="1"/>
  <c r="BY54" i="1" s="1"/>
  <c r="BX54" i="1"/>
  <c r="BM59" i="1"/>
  <c r="BY59" i="1" s="1"/>
  <c r="BX59" i="1"/>
  <c r="BM62" i="1"/>
  <c r="BY62" i="1" s="1"/>
  <c r="BX62" i="1"/>
  <c r="N15" i="12"/>
  <c r="BM38" i="1"/>
  <c r="BY38" i="1" s="1"/>
  <c r="BM42" i="1"/>
  <c r="BY42" i="1" s="1"/>
  <c r="BM27" i="1"/>
  <c r="BY27" i="1" s="1"/>
  <c r="BM28" i="1"/>
  <c r="BY28" i="1" s="1"/>
  <c r="BM37" i="1"/>
  <c r="BY37" i="1" s="1"/>
  <c r="BM34" i="1"/>
  <c r="BY34" i="1" s="1"/>
  <c r="BM40" i="1"/>
  <c r="BY40" i="1" s="1"/>
  <c r="BM31" i="1"/>
  <c r="BY31" i="1" s="1"/>
  <c r="BM50" i="1"/>
  <c r="BY50" i="1" s="1"/>
  <c r="BM35" i="1"/>
  <c r="BY35" i="1" s="1"/>
  <c r="BM39" i="1"/>
  <c r="BY39" i="1" s="1"/>
  <c r="BM49" i="1"/>
  <c r="BY49" i="1" s="1"/>
  <c r="BM29" i="1"/>
  <c r="BY29" i="1" s="1"/>
  <c r="BM32" i="1"/>
  <c r="BY32" i="1" s="1"/>
  <c r="BM45" i="1"/>
  <c r="BY45" i="1" s="1"/>
  <c r="BM33" i="1"/>
  <c r="BY33" i="1" s="1"/>
  <c r="BM51" i="1"/>
  <c r="BY51" i="1" s="1"/>
  <c r="G8" i="7" l="1"/>
  <c r="I38" i="12"/>
  <c r="G40" i="12" s="1"/>
  <c r="G15" i="12"/>
  <c r="N14" i="12"/>
  <c r="J38" i="12"/>
  <c r="J35" i="12" s="1"/>
  <c r="J31" i="12"/>
  <c r="J28" i="12" s="1"/>
  <c r="I35" i="12"/>
  <c r="G25" i="12"/>
  <c r="I24" i="12" s="1"/>
  <c r="G26" i="12" s="1"/>
  <c r="G32" i="12"/>
  <c r="I31" i="12" s="1"/>
  <c r="G33" i="12" s="1"/>
  <c r="I28" i="12"/>
  <c r="G16" i="12"/>
  <c r="B21" i="12" l="1"/>
  <c r="I21" i="12"/>
  <c r="J24" i="12"/>
  <c r="J21" i="12" s="1"/>
  <c r="J17" i="12"/>
  <c r="J14" i="12" s="1"/>
  <c r="F8" i="7" l="1"/>
  <c r="N16" i="12" s="1"/>
  <c r="G17" i="12" l="1"/>
  <c r="G18" i="12" l="1"/>
  <c r="I17" i="12" s="1"/>
  <c r="G19" i="12" s="1"/>
  <c r="I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tc={B6E7390F-BCF6-4101-AF56-BAA83E39B482}</author>
    <author>tc={F8C89F83-F8BC-43C5-BA20-8E860A750426}</author>
    <author>tc={BF086C26-5DD6-4BA1-9A8D-45A2C38B583D}</author>
  </authors>
  <commentList>
    <comment ref="BH3" authorId="0" shapeId="0" xr:uid="{B6E7390F-BCF6-4101-AF56-BAA83E39B482}">
      <text>
        <t>[Threaded comment]
Your version of Excel allows you to read this threaded comment; however, any edits to it will get removed if the file is opened in a newer version of Excel. Learn more: https://go.microsoft.com/fwlink/?linkid=870924
Comment:
    Remove</t>
      </text>
    </comment>
    <comment ref="BN3" authorId="1" shapeId="0" xr:uid="{F8C89F83-F8BC-43C5-BA20-8E860A750426}">
      <text>
        <t>[Threaded comment]
Your version of Excel allows you to read this threaded comment; however, any edits to it will get removed if the file is opened in a newer version of Excel. Learn more: https://go.microsoft.com/fwlink/?linkid=870924
Comment:
    Remove</t>
      </text>
    </comment>
    <comment ref="BT3" authorId="2" shapeId="0" xr:uid="{BF086C26-5DD6-4BA1-9A8D-45A2C38B583D}">
      <text>
        <t>[Threaded comment]
Your version of Excel allows you to read this threaded comment; however, any edits to it will get removed if the file is opened in a newer version of Excel. Learn more: https://go.microsoft.com/fwlink/?linkid=870924
Comment:
    remove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<sst xmlns="http://schemas.openxmlformats.org/spreadsheetml/2006/main" count="9824" uniqueCount="2840">
  <si>
    <t>Calculator for Retrofit Lighting Measures</t>
  </si>
  <si>
    <t>***This calculator is used for estimating savings and incentives from the installation of prescriptive lighting measures. The measure inputs used in this calculator, by an applicant, will be reviewed by the Program in order to determine the final incentive amount. The Program reserves the right to inspect any and all measures prior to any incentive payment.</t>
  </si>
  <si>
    <t>Description</t>
  </si>
  <si>
    <t>This calculator will be used to calculate energy savings, demand savings, and incentive amounts for the following lighting measures.</t>
  </si>
  <si>
    <t>Fixtures</t>
  </si>
  <si>
    <t>Measure Category</t>
  </si>
  <si>
    <t>Measure</t>
  </si>
  <si>
    <t>LED Troffer Luminaires</t>
  </si>
  <si>
    <t>New LED linear recessed troffer/panel for 2x2 and 1x4 luminaires</t>
  </si>
  <si>
    <t>New LED linear recessed troffer/panel for 2x4 luminaires</t>
  </si>
  <si>
    <t>LED Flat Panel Luminaires</t>
  </si>
  <si>
    <t>New LED flat panel for 2x2 and 1x4 luminaires</t>
  </si>
  <si>
    <t>New LED flat panel for 2x4 luminaires</t>
  </si>
  <si>
    <t>LED Linear Ambient/Stairwell Luminaires</t>
  </si>
  <si>
    <t>New LED Linear ambient luminaire with direct and indirect components or Vapor Tight, min. IP65</t>
  </si>
  <si>
    <t>New LED linear ambient luminaire</t>
  </si>
  <si>
    <t>New LED stairwell luminaire</t>
  </si>
  <si>
    <t>LED Interior Directional Luminaires</t>
  </si>
  <si>
    <t>New LED wall wash luminaire</t>
  </si>
  <si>
    <t>New LED track/mono-point luminaire</t>
  </si>
  <si>
    <t>LED Display Case Luminaires</t>
  </si>
  <si>
    <t>New LED display case luminaire</t>
  </si>
  <si>
    <t>New LED display case luminaire installed in reach-in coolers/freezers</t>
  </si>
  <si>
    <t>LED High/Low Bay Luminaires</t>
  </si>
  <si>
    <t>New LED high/low bay luminaire - DLC reported lumens between 5,000 lm - 9,999 lm</t>
  </si>
  <si>
    <t>New LED high/low bay luminaire - DLC reported lumens between 10,000 lm - 19,999 lm</t>
  </si>
  <si>
    <t>New LED high/low bay luminaire - DLC reported lumens between 20,000 lm - 29,999 lm</t>
  </si>
  <si>
    <t>New LED high/low bay luminaire - DLC reported lumens between 30,000 lm - 39,999 lm</t>
  </si>
  <si>
    <t>New LED high/low bay luminaire - DLC reported lumens 40,000 lm or more</t>
  </si>
  <si>
    <t>LED Exterior Luminaires</t>
  </si>
  <si>
    <t>New LED exterior luminaire - DLC reported lumens 4,999 lm or less</t>
  </si>
  <si>
    <t>New LED exterior luminaire - DLC reported lumens between 5,000 lm - 9,999 lm</t>
  </si>
  <si>
    <t>New LED exterior luminaire - DLC reported lumens between 10,000 lm - 19,999 lm</t>
  </si>
  <si>
    <t>New LED exterior luminaire - DLC reported lumens between 20,000 lm - 29,999 lm</t>
  </si>
  <si>
    <t>New LED exterior luminaire - DLC reported lumens between 30,000 lm - 39,999 lm</t>
  </si>
  <si>
    <t>New LED exterior luminaire - DLC reported lumens 40,000 lm or more</t>
  </si>
  <si>
    <t>LED Retrofit Kits</t>
  </si>
  <si>
    <t>LED linear retrofit kit for 2x2 and 1x4 fixtures</t>
  </si>
  <si>
    <t>LED linear retrofit kit for 2x4 fixtures</t>
  </si>
  <si>
    <t>LED integrated retrofit kit for 2x2 and 1x4 fixtures</t>
  </si>
  <si>
    <t>LED integrated retrofit kit for 2x4 fixtures</t>
  </si>
  <si>
    <t>LED integrated flat panel retrofit kit for 2x2 and 1x4 fixtures</t>
  </si>
  <si>
    <t>LED integrated flat panel retrofit kit for 2x4 fixtures</t>
  </si>
  <si>
    <t>LED retrofit kit for linear ambient luminaire</t>
  </si>
  <si>
    <t>LED retrofit kit for high/low bay luminaire</t>
  </si>
  <si>
    <t>LED retrofit kit for exterior luminaire</t>
  </si>
  <si>
    <t>LED ENERGY STAR Fixtures</t>
  </si>
  <si>
    <t>New LED ENERGY STAR fixture - 1,499 lm or less</t>
  </si>
  <si>
    <t>New LED ENERGY STAR fixture - 1,500 lm - 2,999 lm</t>
  </si>
  <si>
    <t>New LED ENERGY STAR LED fixture - 3,000 lm or greater</t>
  </si>
  <si>
    <t>LED Replacement Lamps</t>
  </si>
  <si>
    <t>LED linear replacement lamp with new LED driver</t>
  </si>
  <si>
    <t>LED pin-base replacement lamp for CFL</t>
  </si>
  <si>
    <t>LED A lamp</t>
  </si>
  <si>
    <t>LED BR/R lamp</t>
  </si>
  <si>
    <t>LED Decorative or Globe lamp</t>
  </si>
  <si>
    <t>LED MR lamp</t>
  </si>
  <si>
    <t>LED PAR lamp - PAR20</t>
  </si>
  <si>
    <t>LED PAR lamp - PAR30 &amp; PAR38</t>
  </si>
  <si>
    <t>LED mogul-screw base replacement for HID lamps and new external driver</t>
  </si>
  <si>
    <t>Exit Signs</t>
  </si>
  <si>
    <t>LED Exit Sign replacing incandescent or fluorescent</t>
  </si>
  <si>
    <t>Linear Fluorescents</t>
  </si>
  <si>
    <t>High Performance T8 Lamps or Fixtures replacing standard T8 lamps or fixtures</t>
  </si>
  <si>
    <t>Street &amp; Area Lighting</t>
  </si>
  <si>
    <t>LED Street &amp; Area Lighting replacing less efficient technology</t>
  </si>
  <si>
    <t>Other</t>
  </si>
  <si>
    <t>Lighting - Other</t>
  </si>
  <si>
    <t>Custom</t>
  </si>
  <si>
    <t>Lighting - Custom</t>
  </si>
  <si>
    <t>Controls</t>
  </si>
  <si>
    <t>Networked Lighting Controls</t>
  </si>
  <si>
    <t>Networked lighting control system controlling efficient luminaires (Min. Watts Controlled = 200)</t>
  </si>
  <si>
    <t>Networked lighting control w/local or cloud server required</t>
  </si>
  <si>
    <t>Networked lighting control - w/local or cloud server required - lower wattage fixtures/downlights</t>
  </si>
  <si>
    <t>Networked lighting control no server required</t>
  </si>
  <si>
    <t>Networked lighting control no server required - lower wattage fixtures/downlights</t>
  </si>
  <si>
    <t>Dual Daylight/Occupancy Controls</t>
  </si>
  <si>
    <t>Dual daylight &amp; occupancy sensor (DOS) (Min. Watts Controlled = 150)</t>
  </si>
  <si>
    <t>Dual daylight &amp; occupancy sensor (DOS) - lower wattage fixtures/downlights (Min. Watts Controlled = 20)</t>
  </si>
  <si>
    <t>Daylight Controls</t>
  </si>
  <si>
    <t>Daylight continuous dimming control (Min. Watts Controlled = 150)</t>
  </si>
  <si>
    <t>Daylight continuous dimming control - lower wattage fixtures/downlights (Min. Watts Controlled = 20)</t>
  </si>
  <si>
    <t>Occupancy/Vacancy Controls</t>
  </si>
  <si>
    <t>Vacancy control (Min. Watts Controlled = 150)</t>
  </si>
  <si>
    <t>Vacancy control - lower wattage fixtures/downlights (Min. Watts Controlled = 20)</t>
  </si>
  <si>
    <t>Occupancy control (Min. Watts Controlled = 150)</t>
  </si>
  <si>
    <t>Occupancy control - lower wattage fixtures/downlights (Min. Watts Controlled = 20)</t>
  </si>
  <si>
    <t>Input Instructions</t>
  </si>
  <si>
    <t xml:space="preserve">Requires Input </t>
  </si>
  <si>
    <t>Output Cell</t>
  </si>
  <si>
    <t>Project Info &amp; Summary</t>
  </si>
  <si>
    <t>Begin at the "Project Info &amp; Summary" tab to fill in general project and customer information. Fill in all yellow cells.</t>
  </si>
  <si>
    <t>a) Project Info</t>
  </si>
  <si>
    <t>Contractor:</t>
  </si>
  <si>
    <t xml:space="preserve">Name or Company Name of Trade Ally or Contractor.   </t>
  </si>
  <si>
    <t>Customer Name:</t>
  </si>
  <si>
    <t>Name of customer as corroborated by the submitted W9.</t>
  </si>
  <si>
    <t>Customer Contact Name:</t>
  </si>
  <si>
    <t>Name of on-site contact (plant manager, maintenance staff personnel etc.).</t>
  </si>
  <si>
    <t>Customer Contact Phone:</t>
  </si>
  <si>
    <t>Phone number to reach the on-site contact.</t>
  </si>
  <si>
    <t>Customer Contact Email:</t>
  </si>
  <si>
    <t>Email address to reach on-site contact, if available.</t>
  </si>
  <si>
    <t>Project Site Name:</t>
  </si>
  <si>
    <t xml:space="preserve">Specific site name where project will be installed </t>
  </si>
  <si>
    <t>Project Site Address:</t>
  </si>
  <si>
    <t xml:space="preserve">Specific address of the site where project will be installed </t>
  </si>
  <si>
    <t>City:</t>
  </si>
  <si>
    <t>Specify the city in which project is located.</t>
  </si>
  <si>
    <t>ZIP Code:</t>
  </si>
  <si>
    <t>Specify the zip code of the project site</t>
  </si>
  <si>
    <t>Installation Date:*</t>
  </si>
  <si>
    <t>Enter the date lighting installations were completed.</t>
  </si>
  <si>
    <t>Electric Rate ($/kWh)*</t>
  </si>
  <si>
    <t>Rate of electricity for the project site. Can be estimated from utility bills.                       Click here for additional information.</t>
  </si>
  <si>
    <t>Demand Rate ($/kW)*</t>
  </si>
  <si>
    <t>Rate of demand for the project site. Can be estimated from utility bills.                         See PDF for additional information.</t>
  </si>
  <si>
    <t>Total Project Cost:*</t>
  </si>
  <si>
    <t xml:space="preserve">Total installation cost for the submitted project scope (includes material and labor). 
</t>
  </si>
  <si>
    <t>Building Type (Select from list):*</t>
  </si>
  <si>
    <t xml:space="preserve">Select the appropriate building type from this dropdown list. </t>
  </si>
  <si>
    <t>b) Savings &amp; Incentive Summary</t>
  </si>
  <si>
    <t>Fixtures:</t>
  </si>
  <si>
    <t>Change in Connected Load</t>
  </si>
  <si>
    <t>Estimated gross reduction in lighting load in kW.</t>
  </si>
  <si>
    <r>
      <t>DkW</t>
    </r>
    <r>
      <rPr>
        <vertAlign val="subscript"/>
        <sz val="11"/>
        <rFont val="Arial"/>
        <family val="2"/>
      </rPr>
      <t>Utility</t>
    </r>
  </si>
  <si>
    <t>Estimated peak demand savings from the utility perspective.</t>
  </si>
  <si>
    <r>
      <t>DkW</t>
    </r>
    <r>
      <rPr>
        <vertAlign val="subscript"/>
        <sz val="11"/>
        <rFont val="Arial"/>
        <family val="2"/>
      </rPr>
      <t>PJM Summer</t>
    </r>
  </si>
  <si>
    <t>Estimated average demand savings during the PJM Summer Performance Period.</t>
  </si>
  <si>
    <r>
      <t>DkW</t>
    </r>
    <r>
      <rPr>
        <vertAlign val="subscript"/>
        <sz val="11"/>
        <rFont val="Arial"/>
        <family val="2"/>
      </rPr>
      <t>PJM Winter</t>
    </r>
  </si>
  <si>
    <t>Estimated average demand savings during the PJM Winter Performance Period.</t>
  </si>
  <si>
    <t>DkWh</t>
  </si>
  <si>
    <t>Estimated annual energy savings.</t>
  </si>
  <si>
    <t>Controls:</t>
  </si>
  <si>
    <t>Total:</t>
  </si>
  <si>
    <t>Estimated Annual Energy Savings (kWh)</t>
  </si>
  <si>
    <t>Fixture Equipment Cost</t>
  </si>
  <si>
    <t>Total reported equipment cost for fixture measures installed.</t>
  </si>
  <si>
    <t>Controls Equipment Cost</t>
  </si>
  <si>
    <t>Total reported equipment cost for controls measures installed.</t>
  </si>
  <si>
    <t>Fixture Incentive</t>
  </si>
  <si>
    <t>Estimated total incentive for fixture measures.</t>
  </si>
  <si>
    <t>Controls Incentive</t>
  </si>
  <si>
    <t>Estimated total incentive for controls measures.</t>
  </si>
  <si>
    <t>Equipment Cost ($)</t>
  </si>
  <si>
    <t>Estimated total equipment cost.</t>
  </si>
  <si>
    <t>Estimated Incentive ($)</t>
  </si>
  <si>
    <t>Estimated total incentive.</t>
  </si>
  <si>
    <t>Calculator</t>
  </si>
  <si>
    <t>Use the "Calculator" tab to create an inventory of all measures. Required inputs are in yellow.</t>
  </si>
  <si>
    <t>Interior/ Exterior</t>
  </si>
  <si>
    <t xml:space="preserve">Select "Interior" or "Exterior" from the dropdown. </t>
  </si>
  <si>
    <t>Floor</t>
  </si>
  <si>
    <t>Enter the floor number where the measure is installed.</t>
  </si>
  <si>
    <t>Area Description</t>
  </si>
  <si>
    <t>Enter a description of the space where the measure is installed. Area descriptions should provide detail sufficient for inspection purposes.</t>
  </si>
  <si>
    <t>Exterior Lighting Description (Exterior Lighting Only)</t>
  </si>
  <si>
    <t>For exterior measures, enter a description of the space where the measure is installed. Exterior lighting descriptions should provide detail sufficient for inspection purposes.</t>
  </si>
  <si>
    <t>Space Type</t>
  </si>
  <si>
    <t>Select the space type from the dropdown. The dropdown list is dependent upon the building type selected. If the measure is installed in a space type that is not shown, select "Other".</t>
  </si>
  <si>
    <t>Space Cooling Type</t>
  </si>
  <si>
    <t>Select the type of cooling for the space where the measure is installed.</t>
  </si>
  <si>
    <t>Space Heating Type</t>
  </si>
  <si>
    <t>Select the type of heating for the space where the measure is installed.</t>
  </si>
  <si>
    <t>Select the measure category that corresponds to the fixture/controls installed.</t>
  </si>
  <si>
    <t>Select the measure that corresponds to the fixture/controls installed.</t>
  </si>
  <si>
    <t>Pre</t>
  </si>
  <si>
    <t>Fixture Code</t>
  </si>
  <si>
    <t>Enter or select from the dropdown the fixture code the corresponds to the fixture type being removed/retrofitted.</t>
  </si>
  <si>
    <t>Quantity</t>
  </si>
  <si>
    <t>Enter the quantity of fixtures being removed/retrofitted.</t>
  </si>
  <si>
    <t>Select the existing control type from the dropdown.</t>
  </si>
  <si>
    <t>Post</t>
  </si>
  <si>
    <t>Unique Fixture Identifier</t>
  </si>
  <si>
    <t>Enter a unique fixture identifier for the fixtures being installed. NOTE: the incentive will NOT populate without an entry.</t>
  </si>
  <si>
    <t xml:space="preserve">Enter or select from the dropdown the fixture code the corresponds to the fixture type being installed. Custom fixtures can be configured on the "Fixture Codes" tab starting on row 919. </t>
  </si>
  <si>
    <t>Enter the quantity of fixtures being installed.</t>
  </si>
  <si>
    <t>Select the new control type from the dropdown.</t>
  </si>
  <si>
    <t>Sensors Installed</t>
  </si>
  <si>
    <t>If controls were installed, enter the quantity of sensors installed.</t>
  </si>
  <si>
    <t>ΔkWh</t>
  </si>
  <si>
    <t>Total</t>
  </si>
  <si>
    <t>Total Incentive</t>
  </si>
  <si>
    <t>Prescriptive Rebate Table</t>
  </si>
  <si>
    <t>List of Prescriptive Retrofit Lighting Measures and associated incentive rates.</t>
  </si>
  <si>
    <t>Fixture Codes</t>
  </si>
  <si>
    <t>List of Fixture Codes for use in the calculator. "Custom" fixture codes can be entered starting on row 919.</t>
  </si>
  <si>
    <t>Tube Length</t>
  </si>
  <si>
    <t xml:space="preserve">Length of fixture in inches. This is required to calculate incentives based on fixture length. </t>
  </si>
  <si>
    <t>Report</t>
  </si>
  <si>
    <t>Coming SOON</t>
  </si>
  <si>
    <t>Calculator Methodology</t>
  </si>
  <si>
    <t>Fixture Measures</t>
  </si>
  <si>
    <t>Change in Connected Load calculated using:</t>
  </si>
  <si>
    <t>Demand savings calculated using:</t>
  </si>
  <si>
    <t>where,</t>
  </si>
  <si>
    <t>ISR is the In Service Rate</t>
  </si>
  <si>
    <t>WHFd is the relevant demand waste heat factor (Utility, PJM Summer, PJM Winter)</t>
  </si>
  <si>
    <t>CF is the relevant coincidence factor (SSP, PJM Summer, PJM Winter)</t>
  </si>
  <si>
    <t>Energy savings calculated using:</t>
  </si>
  <si>
    <t xml:space="preserve">WHFe is the relevant energy waste heat factor </t>
  </si>
  <si>
    <t>HOURS is the annual hours of use</t>
  </si>
  <si>
    <t>Controls Measures</t>
  </si>
  <si>
    <t>PostSVGd is the demand savings factor associated with the installed controls</t>
  </si>
  <si>
    <t>PreSVGd is the demand savings factor associated with the existing controls</t>
  </si>
  <si>
    <t>PostSVGe is the energy savings factor associated with the installed controls</t>
  </si>
  <si>
    <t>PreSVGe is the energy savings factor associated with the existing controls</t>
  </si>
  <si>
    <t>Annual Fossil Fuel Savings Algorithm</t>
  </si>
  <si>
    <t xml:space="preserve">Note: only applies if retrofit space is heated with fossil fuels. Negative value denotes increased fossil fuel consumption. </t>
  </si>
  <si>
    <t>AR is the Aspect Ratio</t>
  </si>
  <si>
    <t>C is the constant to convert kWh to MMBtu</t>
  </si>
  <si>
    <t>LHF is the fraction of lighting heat that contributes to space heating</t>
  </si>
  <si>
    <t>Eff is the assumed heating system efficiency</t>
  </si>
  <si>
    <t>Electric Rate ($/kWh)</t>
  </si>
  <si>
    <t>Demand Rate ($/kW)</t>
  </si>
  <si>
    <t>***Total Incentive will NOT populate without entering a Total Project Cost</t>
  </si>
  <si>
    <t>Line</t>
  </si>
  <si>
    <t>Building Type Lookup for Hours and CF</t>
  </si>
  <si>
    <t>Building Type Lookup for WHF</t>
  </si>
  <si>
    <t>Cooling Type Code</t>
  </si>
  <si>
    <t>HVAC Equipment Type</t>
  </si>
  <si>
    <t>MeasureCategoryCode</t>
  </si>
  <si>
    <t>Measure Name from Filing</t>
  </si>
  <si>
    <t>Measure Life (years)</t>
  </si>
  <si>
    <t>Measure Code</t>
  </si>
  <si>
    <t>Hours</t>
  </si>
  <si>
    <t>ISR</t>
  </si>
  <si>
    <t>WHFe</t>
  </si>
  <si>
    <t>WHFd</t>
  </si>
  <si>
    <t>CF</t>
  </si>
  <si>
    <t>kWh to MMBtu</t>
  </si>
  <si>
    <t>Per Unit Fixture Equipment Cost</t>
  </si>
  <si>
    <t>Per Unit Controls Equipment Cost</t>
  </si>
  <si>
    <t>Total Fixture Equipment Cost</t>
  </si>
  <si>
    <t>Total Controls Equipment Cost</t>
  </si>
  <si>
    <t>Baseline Fixture Code</t>
  </si>
  <si>
    <t>Pre Fixture Description</t>
  </si>
  <si>
    <t>WattsBASE</t>
  </si>
  <si>
    <t>Existing Sensor Quantity</t>
  </si>
  <si>
    <t>Controls Code</t>
  </si>
  <si>
    <t>SVGe</t>
  </si>
  <si>
    <t>SVGd</t>
  </si>
  <si>
    <t>Post Fixture Description</t>
  </si>
  <si>
    <t>WattsEE</t>
  </si>
  <si>
    <t>Utility</t>
  </si>
  <si>
    <t>Aspect Ratio</t>
  </si>
  <si>
    <t>Space Heat Fraction</t>
  </si>
  <si>
    <t xml:space="preserve">Heating System Eff. </t>
  </si>
  <si>
    <t>HTM</t>
  </si>
  <si>
    <t>Heating System Eff.</t>
  </si>
  <si>
    <r>
      <t>ΔkW</t>
    </r>
    <r>
      <rPr>
        <vertAlign val="subscript"/>
        <sz val="11"/>
        <color indexed="9"/>
        <rFont val="Arial"/>
        <family val="2"/>
      </rPr>
      <t>Utility</t>
    </r>
  </si>
  <si>
    <t>ΔMMBtu</t>
  </si>
  <si>
    <t>ΔTherms</t>
  </si>
  <si>
    <t>Incentive per Unit</t>
  </si>
  <si>
    <t>Unit</t>
  </si>
  <si>
    <t>Ex.</t>
  </si>
  <si>
    <t>Office</t>
  </si>
  <si>
    <t>Interior</t>
  </si>
  <si>
    <t>Private Office 101</t>
  </si>
  <si>
    <t>Office (General)</t>
  </si>
  <si>
    <t>Air Conditioned</t>
  </si>
  <si>
    <t>AC</t>
  </si>
  <si>
    <t>Gas</t>
  </si>
  <si>
    <t>AC/ Unconditioned</t>
  </si>
  <si>
    <t>LED_Troffer_Luminaires</t>
  </si>
  <si>
    <t>New LED linear recessed troffer for 2x4 luminaires</t>
  </si>
  <si>
    <t>F44EE</t>
  </si>
  <si>
    <t>F44ILL</t>
  </si>
  <si>
    <t>None</t>
  </si>
  <si>
    <t>A</t>
  </si>
  <si>
    <t>Fixture</t>
  </si>
  <si>
    <t>Control</t>
  </si>
  <si>
    <t>Units</t>
  </si>
  <si>
    <t>Eligible Pre Fixture Codes</t>
  </si>
  <si>
    <t>Eligible Post Fixture Codes</t>
  </si>
  <si>
    <t>Code</t>
  </si>
  <si>
    <t>New LED linear recessed troffer for 2x2 and 1x4 luminaires</t>
  </si>
  <si>
    <t>All_Fixtures</t>
  </si>
  <si>
    <t>LED Fixture Internal</t>
  </si>
  <si>
    <t>LEDLT2214</t>
  </si>
  <si>
    <t>LEDLT24</t>
  </si>
  <si>
    <t>LED_Flat_Panel_Luminaires</t>
  </si>
  <si>
    <t>LEDPNL2214</t>
  </si>
  <si>
    <t>LED_Linear_Ambient_Stairwell_Luminaires</t>
  </si>
  <si>
    <t>LEDPNL24</t>
  </si>
  <si>
    <t>LED_Interior_Directional_Luminaires</t>
  </si>
  <si>
    <t>Per Foot</t>
  </si>
  <si>
    <t>LEDVT</t>
  </si>
  <si>
    <t>LED_Display_Case_Luminaires</t>
  </si>
  <si>
    <t>LEDLAL</t>
  </si>
  <si>
    <t>LED_High_Low_Bay_Luminaires</t>
  </si>
  <si>
    <t>LEDSL</t>
  </si>
  <si>
    <t>LED_Exterior_Luminaires</t>
  </si>
  <si>
    <t>LEDWWL</t>
  </si>
  <si>
    <t>LED_Retrofit_Kits</t>
  </si>
  <si>
    <t>LEDTMPL</t>
  </si>
  <si>
    <t>LED_ENERGY_STAR_Fixtures</t>
  </si>
  <si>
    <t>LEDDCL</t>
  </si>
  <si>
    <t>LED Reach in Refrigerator / Freezer Lights</t>
  </si>
  <si>
    <t>LEDDCLRICF</t>
  </si>
  <si>
    <t>Exit_Signs</t>
  </si>
  <si>
    <t>LEDHBLB175</t>
  </si>
  <si>
    <t>Linear_Fluorescents</t>
  </si>
  <si>
    <t>LEDHBLB250</t>
  </si>
  <si>
    <t>Street_and_Area_Lighting</t>
  </si>
  <si>
    <t>LEDHBLB400</t>
  </si>
  <si>
    <t>Lighting_Other</t>
  </si>
  <si>
    <t>LEDHBLB1000</t>
  </si>
  <si>
    <t>Lighting_Custom</t>
  </si>
  <si>
    <t>LEDHBLB1001</t>
  </si>
  <si>
    <t>Networked_Lighting_Controls</t>
  </si>
  <si>
    <t>LED Fixture External</t>
  </si>
  <si>
    <t>LEDEL175</t>
  </si>
  <si>
    <t>Dual_Daylight_Occupancy_Controls</t>
  </si>
  <si>
    <t>LEDEL250</t>
  </si>
  <si>
    <t>Daylight_Controls</t>
  </si>
  <si>
    <t>LEDEL400</t>
  </si>
  <si>
    <t>Occupancy_Vacancy_Controls</t>
  </si>
  <si>
    <t>LEDEL750</t>
  </si>
  <si>
    <t>LEDEL1000</t>
  </si>
  <si>
    <t>LEDEL1001</t>
  </si>
  <si>
    <t>LEDRK2214</t>
  </si>
  <si>
    <t>LEDRK24</t>
  </si>
  <si>
    <t>LEDIRK2214</t>
  </si>
  <si>
    <t>LEDIRK24</t>
  </si>
  <si>
    <t>LEDPNLRK2214</t>
  </si>
  <si>
    <t>LEDPNLRK24</t>
  </si>
  <si>
    <t>LEDRKLAL</t>
  </si>
  <si>
    <t>LEDRKHBLB</t>
  </si>
  <si>
    <t>LEDRKEL</t>
  </si>
  <si>
    <t>ESLED1499</t>
  </si>
  <si>
    <t>ESLED2999</t>
  </si>
  <si>
    <t>ESLED3000</t>
  </si>
  <si>
    <t>Lamp</t>
  </si>
  <si>
    <t>LED Linear</t>
  </si>
  <si>
    <t>LEDLRLND</t>
  </si>
  <si>
    <t>LED linear replacement lamp using internal driver (Type-A)</t>
  </si>
  <si>
    <t>LEDLRLTYPEA</t>
  </si>
  <si>
    <t>LED Lamps - C&amp;I</t>
  </si>
  <si>
    <t>LEDPBRL</t>
  </si>
  <si>
    <t>LEDALAMP</t>
  </si>
  <si>
    <t>LEDBRRLAMP</t>
  </si>
  <si>
    <t>LEDDGLAMP</t>
  </si>
  <si>
    <t>LEDMRLAMP</t>
  </si>
  <si>
    <t>LEDPAR20LAMP</t>
  </si>
  <si>
    <t>LEDPAR3038LAMP</t>
  </si>
  <si>
    <t>LEDMSBRL</t>
  </si>
  <si>
    <t>LEDEXIT</t>
  </si>
  <si>
    <t>Linear Fluorescent</t>
  </si>
  <si>
    <t>HPT8</t>
  </si>
  <si>
    <t>Street &amp; Area Lighting (Customer Owned)</t>
  </si>
  <si>
    <t>LEDSTREET</t>
  </si>
  <si>
    <t>kWh</t>
  </si>
  <si>
    <t>OTHER</t>
  </si>
  <si>
    <t>CUSTOM</t>
  </si>
  <si>
    <t>Per Watt</t>
  </si>
  <si>
    <t>Network Lighting Controls</t>
  </si>
  <si>
    <t>NLC</t>
  </si>
  <si>
    <t>NLCCS150</t>
  </si>
  <si>
    <t>NLCCS20</t>
  </si>
  <si>
    <t>NLCNS150</t>
  </si>
  <si>
    <t>NLCNS20</t>
  </si>
  <si>
    <t>Lighting Controls (Daylight &amp; Occupancy)</t>
  </si>
  <si>
    <t>DOS150</t>
  </si>
  <si>
    <t>DOS20</t>
  </si>
  <si>
    <t>DAYLIGHT150</t>
  </si>
  <si>
    <t>DAYLIGHT20</t>
  </si>
  <si>
    <t>VACANCY150</t>
  </si>
  <si>
    <t>VACANCY20</t>
  </si>
  <si>
    <t>OCCUPANCY150</t>
  </si>
  <si>
    <t>OCCUPANCY20</t>
  </si>
  <si>
    <t>[Building Type] (application premise)</t>
  </si>
  <si>
    <t>Building Type for Hours &amp; CF</t>
  </si>
  <si>
    <t>Building Type for WHF</t>
  </si>
  <si>
    <t>Building Type for Control Savings Factor</t>
  </si>
  <si>
    <t>Building Type</t>
  </si>
  <si>
    <t>ConCat</t>
  </si>
  <si>
    <r>
      <t>CF</t>
    </r>
    <r>
      <rPr>
        <b/>
        <vertAlign val="subscript"/>
        <sz val="11"/>
        <color indexed="9"/>
        <rFont val="Calibri"/>
        <family val="2"/>
      </rPr>
      <t>Utility</t>
    </r>
  </si>
  <si>
    <r>
      <t>CF</t>
    </r>
    <r>
      <rPr>
        <b/>
        <vertAlign val="subscript"/>
        <sz val="11"/>
        <color indexed="9"/>
        <rFont val="Calibri"/>
        <family val="2"/>
      </rPr>
      <t>PJM Summer</t>
    </r>
  </si>
  <si>
    <r>
      <t>CF</t>
    </r>
    <r>
      <rPr>
        <b/>
        <vertAlign val="subscript"/>
        <sz val="11"/>
        <color indexed="9"/>
        <rFont val="Calibri"/>
        <family val="2"/>
      </rPr>
      <t>PJM Winter</t>
    </r>
  </si>
  <si>
    <t>Buiding Type</t>
  </si>
  <si>
    <t>WHFd (Utility)</t>
  </si>
  <si>
    <t>WHFd (PJM Summer)</t>
  </si>
  <si>
    <t>WHFd (PJM Winter)</t>
  </si>
  <si>
    <t>Cooling Type</t>
  </si>
  <si>
    <t>Heating Type</t>
  </si>
  <si>
    <t>Concat</t>
  </si>
  <si>
    <t>Selected Building Type from App</t>
  </si>
  <si>
    <t>Fraction contributing to space heating</t>
  </si>
  <si>
    <t>Heat Type Multiplier</t>
  </si>
  <si>
    <t>Arena/Auditorium/Convention</t>
  </si>
  <si>
    <t>Assembly</t>
  </si>
  <si>
    <t>Grocery</t>
  </si>
  <si>
    <t>Auditorium/Gym</t>
  </si>
  <si>
    <t>AC/ ElecRes</t>
  </si>
  <si>
    <t>Electric Resistance Heating</t>
  </si>
  <si>
    <t>Auto-Related</t>
  </si>
  <si>
    <t>Retail</t>
  </si>
  <si>
    <t>Auto Repair Workshop</t>
  </si>
  <si>
    <t>AC/ NonElec</t>
  </si>
  <si>
    <t>Convenience Stores</t>
  </si>
  <si>
    <t>Unconditioned</t>
  </si>
  <si>
    <t>Daycare</t>
  </si>
  <si>
    <t>School</t>
  </si>
  <si>
    <t>AC/ Unknown</t>
  </si>
  <si>
    <t>Unknown</t>
  </si>
  <si>
    <t>Education - College/University</t>
  </si>
  <si>
    <t>Heat Pump</t>
  </si>
  <si>
    <t>Air Conditioned w/ Heat Pump</t>
  </si>
  <si>
    <t>Heated w/ Heat Pump</t>
  </si>
  <si>
    <t>Education - K-12</t>
  </si>
  <si>
    <t>Heat Pump/ Unconditioned</t>
  </si>
  <si>
    <t>Classroom/Lecture</t>
  </si>
  <si>
    <t>Heat Pump/ Unknown</t>
  </si>
  <si>
    <t>Gymnasium/Performing Arts Theater</t>
  </si>
  <si>
    <t>NoAC/ ElecRes</t>
  </si>
  <si>
    <t>Refrigerated</t>
  </si>
  <si>
    <t>Refrigerated/ Unconditioned</t>
  </si>
  <si>
    <t>Industrial - 1 Shift</t>
  </si>
  <si>
    <t>Warehouse_Industrial</t>
  </si>
  <si>
    <t>Warehouse</t>
  </si>
  <si>
    <t>Manufacturing</t>
  </si>
  <si>
    <t>Computer Room/Data Processing</t>
  </si>
  <si>
    <t>NoAC/ NonElec</t>
  </si>
  <si>
    <t>Freezer</t>
  </si>
  <si>
    <t>Freezer/ Unconditioned</t>
  </si>
  <si>
    <t>Industrial - 2 Shift</t>
  </si>
  <si>
    <t>NoAC/ Unconditioned</t>
  </si>
  <si>
    <t>Not Air Conditioned</t>
  </si>
  <si>
    <t>Industrial - 3 Shift</t>
  </si>
  <si>
    <t>NoAC/ Unknown</t>
  </si>
  <si>
    <t>Lodging - Common Areas</t>
  </si>
  <si>
    <t>Comm/Ind Work (Precision)</t>
  </si>
  <si>
    <t>Unknown/ ElecRes</t>
  </si>
  <si>
    <t>Lodging (MF - Dorms)</t>
  </si>
  <si>
    <t>Conference Room</t>
  </si>
  <si>
    <t>Unknown/ NonElec</t>
  </si>
  <si>
    <t>Lodging Hotel (Guest Rooms)</t>
  </si>
  <si>
    <t>Unknown/ Unconditioned</t>
  </si>
  <si>
    <t>Medical - Clinic</t>
  </si>
  <si>
    <t>Health</t>
  </si>
  <si>
    <t>Copy Room</t>
  </si>
  <si>
    <t>Unknown/ Unknown</t>
  </si>
  <si>
    <t>Medical - Hospital</t>
  </si>
  <si>
    <t>Corridor/Hallways</t>
  </si>
  <si>
    <t>Multi-Family (Common Areas)</t>
  </si>
  <si>
    <t>Museum/Library</t>
  </si>
  <si>
    <t>Dining Area</t>
  </si>
  <si>
    <t>Nursing Homes</t>
  </si>
  <si>
    <t>Exercise Centers/Gymnasium</t>
  </si>
  <si>
    <t>Exhibit Display Area/Museum</t>
  </si>
  <si>
    <t>HP</t>
  </si>
  <si>
    <t>Penitentiary</t>
  </si>
  <si>
    <t>Police/Fire Stations</t>
  </si>
  <si>
    <t>Kitchen/Break room &amp; Food Prep</t>
  </si>
  <si>
    <t>Post Office/Town Hall/Court</t>
  </si>
  <si>
    <t>Public Assembly</t>
  </si>
  <si>
    <t>Laundry</t>
  </si>
  <si>
    <t>Public Order/Safety</t>
  </si>
  <si>
    <t>Library</t>
  </si>
  <si>
    <t>Public Services (Non-food)</t>
  </si>
  <si>
    <t>Loading Dock</t>
  </si>
  <si>
    <t>Religious Worship/Church</t>
  </si>
  <si>
    <t>Restaurant - Fast-Food</t>
  </si>
  <si>
    <t>Restaurant</t>
  </si>
  <si>
    <t>Lobby (Main Entry and Assembly)</t>
  </si>
  <si>
    <t>Restaurant - Sit-Down</t>
  </si>
  <si>
    <t>Lobby (Office Reception/Waiting)</t>
  </si>
  <si>
    <t>Retail - Large</t>
  </si>
  <si>
    <t>Locker and Dressing Room</t>
  </si>
  <si>
    <t>Retail - Small</t>
  </si>
  <si>
    <t>Storage - Conditioned</t>
  </si>
  <si>
    <t>Mechanical/Electrical Room</t>
  </si>
  <si>
    <t>Storage - Unconditioned</t>
  </si>
  <si>
    <t>Medical Offices and Exam rooms</t>
  </si>
  <si>
    <t>Warehouse - Non-Refrigerated</t>
  </si>
  <si>
    <t>Office (Executive/Private)</t>
  </si>
  <si>
    <t>Warehouse - Refrigerated</t>
  </si>
  <si>
    <t>Waste Water Treatment Plant</t>
  </si>
  <si>
    <t>Patient Rooms</t>
  </si>
  <si>
    <t>Control Type</t>
  </si>
  <si>
    <t>Residential</t>
  </si>
  <si>
    <t>Restrooms</t>
  </si>
  <si>
    <t>Retail Sales/Showroom</t>
  </si>
  <si>
    <t>Smoking Lounge</t>
  </si>
  <si>
    <t>Storage (Conditioned)</t>
  </si>
  <si>
    <t>Storage (Unconditioned)</t>
  </si>
  <si>
    <t>Storage (Refrigerated/Freezer),Walk-in</t>
  </si>
  <si>
    <t>Networked lighting control - w/local or cloud server required - lower wattage fixtures/downlights (Min. Watts Controlled = 20)</t>
  </si>
  <si>
    <t>Networked lighting control no server required - lower wattage fixtures/downlights (Min. Watts Controlled = 20)</t>
  </si>
  <si>
    <t>Control Type Code Mapping</t>
  </si>
  <si>
    <t>Parking Garage</t>
  </si>
  <si>
    <t>NONE</t>
  </si>
  <si>
    <t>Non Rebated Area</t>
  </si>
  <si>
    <t>Other Unlisted Activity Types</t>
  </si>
  <si>
    <t>Outside/Outdoor Area</t>
  </si>
  <si>
    <t>Exterior Space Type Dropdown</t>
  </si>
  <si>
    <t>Exterior Cooling Type</t>
  </si>
  <si>
    <t>Exterior Heating Type</t>
  </si>
  <si>
    <t>NLC Control Savings Factor</t>
  </si>
  <si>
    <t>FIXTURE SEARCH</t>
  </si>
  <si>
    <t xml:space="preserve">Use drop-down arrows in each column heading to filter by parameter. If your application contains custom fixtures, the fixtures will need to be configured starting on row 919. </t>
  </si>
  <si>
    <t>Fixture Code*</t>
  </si>
  <si>
    <t>Lighting Category</t>
  </si>
  <si>
    <t>Subcategory</t>
  </si>
  <si>
    <t>Lamp
Code</t>
  </si>
  <si>
    <t>Ballast</t>
  </si>
  <si>
    <t>Ballasts Per Fixture</t>
  </si>
  <si>
    <t>Tube
Length</t>
  </si>
  <si>
    <t>Lamps Per Fixture</t>
  </si>
  <si>
    <t>Watts Per Lamp</t>
  </si>
  <si>
    <t>Watts Per Fixture*</t>
  </si>
  <si>
    <t>Baseline
Fixture</t>
  </si>
  <si>
    <t>CFLs_and_Custom</t>
  </si>
  <si>
    <t>Exit_Signs_and_Custom</t>
  </si>
  <si>
    <t>HIDs_and_Custom</t>
  </si>
  <si>
    <t>Incandescents_and_Custom</t>
  </si>
  <si>
    <t>LEDs_and_Custom</t>
  </si>
  <si>
    <t>CCFC1.5/1</t>
  </si>
  <si>
    <t>CFL</t>
  </si>
  <si>
    <t>Cold Cathode CFL</t>
  </si>
  <si>
    <t>CCFC1.5</t>
  </si>
  <si>
    <t>Cold-Cathode Compact Fluorescent, Screw-in, (1) 1.5W lamp</t>
  </si>
  <si>
    <t>Electronic</t>
  </si>
  <si>
    <t>ECF5/1</t>
  </si>
  <si>
    <t>HPS100/1</t>
  </si>
  <si>
    <t>H100/1</t>
  </si>
  <si>
    <t>SLED10/1</t>
  </si>
  <si>
    <t>CCFC3/1</t>
  </si>
  <si>
    <t>CCFC3</t>
  </si>
  <si>
    <t>Cold-Cathode Compact Fluorescent, Screw-in, (1) 3W lamp</t>
  </si>
  <si>
    <t>ECF5/2</t>
  </si>
  <si>
    <t>HPS1000/1</t>
  </si>
  <si>
    <t>H1000/1</t>
  </si>
  <si>
    <t>SLED11/1</t>
  </si>
  <si>
    <t>Exit Sign</t>
  </si>
  <si>
    <t>CCFC5/1</t>
  </si>
  <si>
    <t>CCFC5</t>
  </si>
  <si>
    <t>Cold-Cathode Compact Fluorescent, Screw-in, (1) 5W lamp</t>
  </si>
  <si>
    <t>ECF7/1</t>
  </si>
  <si>
    <t>HPS150/1</t>
  </si>
  <si>
    <t>H1200/1</t>
  </si>
  <si>
    <t>SLED12/1</t>
  </si>
  <si>
    <t>High Intensity Discharge</t>
  </si>
  <si>
    <t>CCFC8/1</t>
  </si>
  <si>
    <t>CCFC8</t>
  </si>
  <si>
    <t>Cold-Cathode Compact Fluorescent, Screw-in, (1) 8W lamp</t>
  </si>
  <si>
    <t>ECF7/2</t>
  </si>
  <si>
    <t>HPS200/1</t>
  </si>
  <si>
    <t>H150/1</t>
  </si>
  <si>
    <t>SLED13/1</t>
  </si>
  <si>
    <t>Incandescent</t>
  </si>
  <si>
    <t>CF10/2D</t>
  </si>
  <si>
    <t>CFL Fixture</t>
  </si>
  <si>
    <t>CFD10W</t>
  </si>
  <si>
    <t>Compact Fluorescent, 2D, (1) 10W lamp</t>
  </si>
  <si>
    <t>Mag-STD</t>
  </si>
  <si>
    <t>ECF8/1</t>
  </si>
  <si>
    <t>HPS225/1</t>
  </si>
  <si>
    <t>H150/2</t>
  </si>
  <si>
    <t>SLED14/1</t>
  </si>
  <si>
    <t>LED</t>
  </si>
  <si>
    <t>CF10/2D-L</t>
  </si>
  <si>
    <t>ECF8/2</t>
  </si>
  <si>
    <t>HPS250/1</t>
  </si>
  <si>
    <t>H1500/1</t>
  </si>
  <si>
    <t>SLED15/1</t>
  </si>
  <si>
    <t>Circular Fluorescent</t>
  </si>
  <si>
    <t>CF11/1</t>
  </si>
  <si>
    <t>CF11W</t>
  </si>
  <si>
    <t>Compact Fluorescent, (1) 11W lamp</t>
  </si>
  <si>
    <t>ECF9/1</t>
  </si>
  <si>
    <t>HPS310/1</t>
  </si>
  <si>
    <t>H200/1</t>
  </si>
  <si>
    <t>SLED16/1</t>
  </si>
  <si>
    <t>CF11/2</t>
  </si>
  <si>
    <t>Compact Fluorescent, (2) 11W lamp</t>
  </si>
  <si>
    <t>ECF9/2</t>
  </si>
  <si>
    <t>HPS35/1</t>
  </si>
  <si>
    <t>H250/1</t>
  </si>
  <si>
    <t>SLED17/1</t>
  </si>
  <si>
    <t>U-Tube Fluorescent</t>
  </si>
  <si>
    <t>CF16/2D</t>
  </si>
  <si>
    <t>CFD16W</t>
  </si>
  <si>
    <t>Compact Fluorescent, 2D, (1) 16W lamp</t>
  </si>
  <si>
    <t>EI10/2</t>
  </si>
  <si>
    <t>HPS360/1</t>
  </si>
  <si>
    <t>H300/1</t>
  </si>
  <si>
    <t>SLED18/1</t>
  </si>
  <si>
    <t>Induction Fluorescent</t>
  </si>
  <si>
    <t>CF16/2D-L</t>
  </si>
  <si>
    <t>EI15/1</t>
  </si>
  <si>
    <t>HPS400/1</t>
  </si>
  <si>
    <t>H35/1</t>
  </si>
  <si>
    <t>SLED19/1</t>
  </si>
  <si>
    <t>CF18/3-L</t>
  </si>
  <si>
    <t>CF18W</t>
  </si>
  <si>
    <t>Compact Fluorescent, (3) 18W lamp</t>
  </si>
  <si>
    <t>EI15/2</t>
  </si>
  <si>
    <t>HPS50/1</t>
  </si>
  <si>
    <t>H350/1</t>
  </si>
  <si>
    <t>SLED2/1</t>
  </si>
  <si>
    <t>CF21/2D</t>
  </si>
  <si>
    <t>CFD21W</t>
  </si>
  <si>
    <t>Compact Fluorescent, 2D, (1) 21W lamp</t>
  </si>
  <si>
    <t>EI20/1</t>
  </si>
  <si>
    <t>HPS600/1</t>
  </si>
  <si>
    <t>H40/1</t>
  </si>
  <si>
    <t>SLED20/1</t>
  </si>
  <si>
    <t>CF21/2D-L</t>
  </si>
  <si>
    <t>EI20/2</t>
  </si>
  <si>
    <t>HPS70/1</t>
  </si>
  <si>
    <t>H400/1</t>
  </si>
  <si>
    <t>SLED21/1</t>
  </si>
  <si>
    <t>CF23/1</t>
  </si>
  <si>
    <t>CF23W</t>
  </si>
  <si>
    <t>Compact Fluorescent, (1) 23W lamp</t>
  </si>
  <si>
    <t>EI25/1</t>
  </si>
  <si>
    <t>HPS750/1</t>
  </si>
  <si>
    <t>H42/1</t>
  </si>
  <si>
    <t>SLED22/1</t>
  </si>
  <si>
    <t>CF23/1-L</t>
  </si>
  <si>
    <t>EI25/2</t>
  </si>
  <si>
    <t>MH100/1</t>
  </si>
  <si>
    <t>H425/1</t>
  </si>
  <si>
    <t>SLED26/1</t>
  </si>
  <si>
    <t>CF26/3-L</t>
  </si>
  <si>
    <t>CF26W</t>
  </si>
  <si>
    <t>Compact Fluorescent, (3) 26W lamp</t>
  </si>
  <si>
    <t>EI34/1</t>
  </si>
  <si>
    <t>MH1000/1</t>
  </si>
  <si>
    <t>H45/1</t>
  </si>
  <si>
    <t>SLED3/1</t>
  </si>
  <si>
    <t>CF26/4-L</t>
  </si>
  <si>
    <t>Compact Fluorescent, (4) 26W lamp</t>
  </si>
  <si>
    <t>EI34/2</t>
  </si>
  <si>
    <t>MH150/1</t>
  </si>
  <si>
    <t>H45/2</t>
  </si>
  <si>
    <t>SLED4/1</t>
  </si>
  <si>
    <t>CF26/6-L</t>
  </si>
  <si>
    <t>Compact Fluorescent, (6) 26W lamp</t>
  </si>
  <si>
    <t>EI40/1</t>
  </si>
  <si>
    <t>MH1500/1</t>
  </si>
  <si>
    <t>H50/1</t>
  </si>
  <si>
    <t>SLED5/1</t>
  </si>
  <si>
    <t>CF26/8-L</t>
  </si>
  <si>
    <t>Compact Fluorescent, (8) 26W lamp</t>
  </si>
  <si>
    <t>EI40/2</t>
  </si>
  <si>
    <t>MH175/1</t>
  </si>
  <si>
    <t>H50/2</t>
  </si>
  <si>
    <t>SLED6/1</t>
  </si>
  <si>
    <t>CF28/2D</t>
  </si>
  <si>
    <t>CFD28W</t>
  </si>
  <si>
    <t>Compact Fluorescent, 2D, (1) 28W lamp</t>
  </si>
  <si>
    <t>EI5/1</t>
  </si>
  <si>
    <t>MH1800/1</t>
  </si>
  <si>
    <t>H500/1</t>
  </si>
  <si>
    <t>SLED7/1</t>
  </si>
  <si>
    <t>CF28/2D-L</t>
  </si>
  <si>
    <t>EI5/2</t>
  </si>
  <si>
    <t>MH200/1</t>
  </si>
  <si>
    <t>H52/1</t>
  </si>
  <si>
    <t>SLED8/1</t>
  </si>
  <si>
    <t>CF32/3-L</t>
  </si>
  <si>
    <t>CF32W</t>
  </si>
  <si>
    <t>Compact Fluorescent, (3) 32W lamp</t>
  </si>
  <si>
    <t>EI50/2</t>
  </si>
  <si>
    <t>MH250/1</t>
  </si>
  <si>
    <t>H55/1</t>
  </si>
  <si>
    <t>SLED9/1</t>
  </si>
  <si>
    <t>CF32/4-L</t>
  </si>
  <si>
    <t>Compact Fluorescent, (4) 32W lamp</t>
  </si>
  <si>
    <t>EI7.5/1</t>
  </si>
  <si>
    <t>MH300/1</t>
  </si>
  <si>
    <t>H55/2</t>
  </si>
  <si>
    <t>CF32/6-L</t>
  </si>
  <si>
    <t>Compact Fluorescent, (6) 32W lamp</t>
  </si>
  <si>
    <t>EI7.5/2</t>
  </si>
  <si>
    <t>MH32/1</t>
  </si>
  <si>
    <t>H60/1</t>
  </si>
  <si>
    <t>CF32/8-L</t>
  </si>
  <si>
    <t>Compact Fluorescent, (8) 32W lamp</t>
  </si>
  <si>
    <t>ELED0.5/1</t>
  </si>
  <si>
    <t>MH320/1</t>
  </si>
  <si>
    <t>H72/1</t>
  </si>
  <si>
    <t>CF38/2D</t>
  </si>
  <si>
    <t>CFD38W</t>
  </si>
  <si>
    <t>Compact Fluorescent, 2D, (1) 38W lamp</t>
  </si>
  <si>
    <t>ELED0.5/2</t>
  </si>
  <si>
    <t>MH35/1</t>
  </si>
  <si>
    <t>H75/1</t>
  </si>
  <si>
    <t>CF38/2D-L</t>
  </si>
  <si>
    <t>ELED1.5/1</t>
  </si>
  <si>
    <t>MH350/1</t>
  </si>
  <si>
    <t>H75/2</t>
  </si>
  <si>
    <t>CF42/1-L</t>
  </si>
  <si>
    <t>CF42W</t>
  </si>
  <si>
    <t>Compact Fluorescent, (1) 42W lamp</t>
  </si>
  <si>
    <t>ELED1.5/2</t>
  </si>
  <si>
    <t>MH360/1</t>
  </si>
  <si>
    <t>H750/1</t>
  </si>
  <si>
    <t>CF42/2-L</t>
  </si>
  <si>
    <t>Compact Fluorescent, (2) 42W lamp</t>
  </si>
  <si>
    <t>ELED10.5/1</t>
  </si>
  <si>
    <t>MH400/1</t>
  </si>
  <si>
    <t>H90/1</t>
  </si>
  <si>
    <t>CF42/3-L</t>
  </si>
  <si>
    <t>Compact Fluorescent, (3) 42W lamp</t>
  </si>
  <si>
    <t>ELED10.5/2</t>
  </si>
  <si>
    <t>MH400/2</t>
  </si>
  <si>
    <t>H90/2</t>
  </si>
  <si>
    <t>CF42/4-L</t>
  </si>
  <si>
    <t>Compact Fluorescent, (4) 42W lamp</t>
  </si>
  <si>
    <t>ELED2/1</t>
  </si>
  <si>
    <t>MH450/1</t>
  </si>
  <si>
    <t>H900/1</t>
  </si>
  <si>
    <t>CF42/6-L</t>
  </si>
  <si>
    <t>Compact Fluorescent, (6) 42W lamp</t>
  </si>
  <si>
    <t>ELED2/2</t>
  </si>
  <si>
    <t>MH50/1</t>
  </si>
  <si>
    <t>HLV20/1</t>
  </si>
  <si>
    <t>CF42/8-L</t>
  </si>
  <si>
    <t>Compact Fluorescent, (8) 42W lamp</t>
  </si>
  <si>
    <t>ELED3/1</t>
  </si>
  <si>
    <t>MH70/1</t>
  </si>
  <si>
    <t>HLV25/1</t>
  </si>
  <si>
    <t>CFC/14/1</t>
  </si>
  <si>
    <t>CFL Screw-In</t>
  </si>
  <si>
    <t>CFC14</t>
  </si>
  <si>
    <t>Compact Fluorescent, Screw-in, (1) 14W lamp</t>
  </si>
  <si>
    <t>ELED3/2</t>
  </si>
  <si>
    <t>MH750/1</t>
  </si>
  <si>
    <t>HLV35/1</t>
  </si>
  <si>
    <t>CFC11/1</t>
  </si>
  <si>
    <t>CFC11</t>
  </si>
  <si>
    <t>Compact Fluorescent, Screw-in, (1) 11W lamp</t>
  </si>
  <si>
    <t>ELED5/1</t>
  </si>
  <si>
    <t>MHPS/LR/100/1</t>
  </si>
  <si>
    <t>HLV42/1</t>
  </si>
  <si>
    <t>CFC12/1</t>
  </si>
  <si>
    <t>CFC12</t>
  </si>
  <si>
    <t>Compact Fluorescent, Screw-in, (1) 12W lamp</t>
  </si>
  <si>
    <t>ELED5/2</t>
  </si>
  <si>
    <t>MHPS/LR/150/1</t>
  </si>
  <si>
    <t>HLV50/1</t>
  </si>
  <si>
    <t>CFC13/1</t>
  </si>
  <si>
    <t>CFC13</t>
  </si>
  <si>
    <t>Compact Fluorescent, Screw-in, (1) 13W lamp</t>
  </si>
  <si>
    <t>ELED8/1</t>
  </si>
  <si>
    <t>MHPS/LR/175/1</t>
  </si>
  <si>
    <t>HLV65/1</t>
  </si>
  <si>
    <t>CFC15/1</t>
  </si>
  <si>
    <t>CFC15</t>
  </si>
  <si>
    <t>Compact Fluorescent, Screw-in, (1) 15W lamp</t>
  </si>
  <si>
    <t>ELED8/2</t>
  </si>
  <si>
    <t>MHPS/LR/200/1</t>
  </si>
  <si>
    <t>HLV75/1</t>
  </si>
  <si>
    <t>CFC16/1</t>
  </si>
  <si>
    <t>CFC16</t>
  </si>
  <si>
    <t>Compact Fluorescent, Screw-in, (1) 16W lamp</t>
  </si>
  <si>
    <t>MHPS/LR/250/1</t>
  </si>
  <si>
    <t>I100/1</t>
  </si>
  <si>
    <t>CFC17/1</t>
  </si>
  <si>
    <t>CFC17</t>
  </si>
  <si>
    <t>Compact Fluorescent, Screw-in, (1) 17W lamp</t>
  </si>
  <si>
    <t>MHPS/LR/300/1</t>
  </si>
  <si>
    <t>I100/2</t>
  </si>
  <si>
    <t>CFC18/1</t>
  </si>
  <si>
    <t>CFC18</t>
  </si>
  <si>
    <t>Compact Fluorescent, Screw-in, (1) 18W lamp</t>
  </si>
  <si>
    <t>MHPS/LR/320/1</t>
  </si>
  <si>
    <t>I100/3</t>
  </si>
  <si>
    <t>CFC20/1</t>
  </si>
  <si>
    <t>CFC20</t>
  </si>
  <si>
    <t>Compact Fluorescent, Screw-in, (1) 20W lamp</t>
  </si>
  <si>
    <t>MHPS/LR/350/1</t>
  </si>
  <si>
    <t>I100/4</t>
  </si>
  <si>
    <t>CFC23/1</t>
  </si>
  <si>
    <t>CFC23</t>
  </si>
  <si>
    <t>Compact Fluorescent, Screw-in, (1) 23W lamp</t>
  </si>
  <si>
    <t>MHPS/LR/400/1</t>
  </si>
  <si>
    <t>I100/5</t>
  </si>
  <si>
    <t>CFC26/1</t>
  </si>
  <si>
    <t>CFC26</t>
  </si>
  <si>
    <t>Compact Fluorescent, Screw-in, (1) 26W lamp</t>
  </si>
  <si>
    <t>MHPS/LR/450/1</t>
  </si>
  <si>
    <t>I1000/1</t>
  </si>
  <si>
    <t>CFC30/1</t>
  </si>
  <si>
    <t>CFC30</t>
  </si>
  <si>
    <t>Compact Fluorescent, Screw-in, (1) 30W lamp</t>
  </si>
  <si>
    <t>MHPS/LR/750/1</t>
  </si>
  <si>
    <t>I100E/1</t>
  </si>
  <si>
    <t>CFC7/1</t>
  </si>
  <si>
    <t>CFC7</t>
  </si>
  <si>
    <t>Compact Fluorescent, Screw-in, (1) 7W lamp</t>
  </si>
  <si>
    <t>MHPS/SCWA/100/1</t>
  </si>
  <si>
    <t>I100EL/1</t>
  </si>
  <si>
    <t>CFC9/1</t>
  </si>
  <si>
    <t>CFC9</t>
  </si>
  <si>
    <t>Compact Fluorescent, Screw-in, (1) 9W lamp</t>
  </si>
  <si>
    <t>MHPS/SCWA/1000/1</t>
  </si>
  <si>
    <t>I120/1</t>
  </si>
  <si>
    <t>CFQ10/1</t>
  </si>
  <si>
    <t>CFQ10W</t>
  </si>
  <si>
    <t>Compact Fluorescent, quad, (1) 10W lamp</t>
  </si>
  <si>
    <t>MHPS/SCWA/150/1</t>
  </si>
  <si>
    <t>I120/2</t>
  </si>
  <si>
    <t>CFQ13/1</t>
  </si>
  <si>
    <t>CFQ13W</t>
  </si>
  <si>
    <t>Compact Fluorescent, quad, (1) 13W lamp</t>
  </si>
  <si>
    <t>MHPS/SCWA/175/1</t>
  </si>
  <si>
    <t>I125/1</t>
  </si>
  <si>
    <t>CFQ13/1-L</t>
  </si>
  <si>
    <t>Compact Fluorescent, quad, (1) 13W lamp, BF=1.05</t>
  </si>
  <si>
    <t>MHPS/SCWA/200/1</t>
  </si>
  <si>
    <t>I135/1</t>
  </si>
  <si>
    <t>CFQ13/2</t>
  </si>
  <si>
    <t>Compact Fluorescent, quad, (2) 13W lamp</t>
  </si>
  <si>
    <t>MHPS/SCWA/250/1</t>
  </si>
  <si>
    <t>I135/2</t>
  </si>
  <si>
    <t>CFQ13/2-L</t>
  </si>
  <si>
    <t>Compact Fluorescent, quad, (2) 13W lamp, BF=1.0</t>
  </si>
  <si>
    <t>MHPS/SCWA/300/1</t>
  </si>
  <si>
    <t>I15/1</t>
  </si>
  <si>
    <t>CFQ13/3</t>
  </si>
  <si>
    <t>Compact Fluorescent, quad, (3) 13W lamp</t>
  </si>
  <si>
    <t>MHPS/SCWA/320/1</t>
  </si>
  <si>
    <t>I15/2</t>
  </si>
  <si>
    <t>CFQ15/1</t>
  </si>
  <si>
    <t>CFQ15W</t>
  </si>
  <si>
    <t>Compact Fluorescent, quad, (1) 15W lamp</t>
  </si>
  <si>
    <t>MHPS/SCWA/350/1</t>
  </si>
  <si>
    <t>I150/1</t>
  </si>
  <si>
    <t>CFQ17/1</t>
  </si>
  <si>
    <t>CFQ17W</t>
  </si>
  <si>
    <t>Compact Fluorescent, quad, (1) 17W lamp</t>
  </si>
  <si>
    <t>MHPS/SCWA/400/1</t>
  </si>
  <si>
    <t>I150/2</t>
  </si>
  <si>
    <t>CFQ17/2</t>
  </si>
  <si>
    <t>Compact Fluorescent, quad, (2) 17W lamp</t>
  </si>
  <si>
    <t>MHPS/SCWA/450/1</t>
  </si>
  <si>
    <t>I1500/1</t>
  </si>
  <si>
    <t>CFQ18/1</t>
  </si>
  <si>
    <t>CFQ18W</t>
  </si>
  <si>
    <t>Compact Fluorescent, quad, (1) 18W lamp</t>
  </si>
  <si>
    <t>MHPS/SCWA/750/1</t>
  </si>
  <si>
    <t>I150E/1</t>
  </si>
  <si>
    <t>CFQ18/1-L</t>
  </si>
  <si>
    <t>Compact Fluorescent, quad, (1) 18W lamp, BF=1.0</t>
  </si>
  <si>
    <t>MV100/1</t>
  </si>
  <si>
    <t>I150EL/1</t>
  </si>
  <si>
    <t>CFQ18/2</t>
  </si>
  <si>
    <t>Compact Fluorescent, quad, (2) 18W lamp</t>
  </si>
  <si>
    <t>MV1000/1</t>
  </si>
  <si>
    <t>I170/1</t>
  </si>
  <si>
    <t>CFQ18/2-L</t>
  </si>
  <si>
    <t>Compact Fluorescent, quad, (2) 18W lamp, BF=1.0</t>
  </si>
  <si>
    <t>MV175/1</t>
  </si>
  <si>
    <t>I20/1</t>
  </si>
  <si>
    <t>CFQ18/4</t>
  </si>
  <si>
    <t>Compact Fluorescent, quad, (4) 18W lamp</t>
  </si>
  <si>
    <t>MV250/1</t>
  </si>
  <si>
    <t>I20/2</t>
  </si>
  <si>
    <t>CFQ20/1</t>
  </si>
  <si>
    <t>CFQ20W</t>
  </si>
  <si>
    <t>Compact Fluorescent, quad, (1) 20W lamp</t>
  </si>
  <si>
    <t>MV40/1</t>
  </si>
  <si>
    <t>I200/1</t>
  </si>
  <si>
    <t>CFQ20/2</t>
  </si>
  <si>
    <t>Compact Fluorescent, quad, (2) 20W lamp</t>
  </si>
  <si>
    <t>MV400/1</t>
  </si>
  <si>
    <t>I200/2</t>
  </si>
  <si>
    <t>CFQ22/1</t>
  </si>
  <si>
    <t>CFQ22W</t>
  </si>
  <si>
    <t>Compact Fluorescent, quad, (1) 22W lamp</t>
  </si>
  <si>
    <t>MV400/2</t>
  </si>
  <si>
    <t>I2000/1</t>
  </si>
  <si>
    <t>CFQ22/2</t>
  </si>
  <si>
    <t>Compact Fluorescent, quad, (2) 22W lamp</t>
  </si>
  <si>
    <t>MV50/1</t>
  </si>
  <si>
    <t>I200L/1</t>
  </si>
  <si>
    <t>CFQ22/3</t>
  </si>
  <si>
    <t>Compact Fluorescent, quad, (3) 22W lamp</t>
  </si>
  <si>
    <t>MV700/1</t>
  </si>
  <si>
    <t>I25/1</t>
  </si>
  <si>
    <t>CFQ25/1</t>
  </si>
  <si>
    <t>CFQ25W</t>
  </si>
  <si>
    <t>Compact Fluorescent, quad, (1) 25W lamp</t>
  </si>
  <si>
    <t>MV75/1</t>
  </si>
  <si>
    <t>I25/2</t>
  </si>
  <si>
    <t>CFQ25/2</t>
  </si>
  <si>
    <t>Compact Fluorescent, quad, (2) 25W lamp</t>
  </si>
  <si>
    <t>I25/4</t>
  </si>
  <si>
    <t>CFQ26/1</t>
  </si>
  <si>
    <t>CFQ26W</t>
  </si>
  <si>
    <t>Compact Fluorescent, quad, (1) 26W lamp</t>
  </si>
  <si>
    <t>I250/1</t>
  </si>
  <si>
    <t>CFQ26/1-L</t>
  </si>
  <si>
    <t>Compact Fluorescent, quad, (1) 26W lamp, BF=0.95</t>
  </si>
  <si>
    <t>I300/1</t>
  </si>
  <si>
    <t>CFQ26/2</t>
  </si>
  <si>
    <t>Compact Fluorescent, quad, (2) 26W lamp</t>
  </si>
  <si>
    <t>I34/1</t>
  </si>
  <si>
    <t>CFQ26/2-L</t>
  </si>
  <si>
    <t>Compact Fluorescent, quad, (2) 26W lamp, BF=0.95</t>
  </si>
  <si>
    <t>I34/2</t>
  </si>
  <si>
    <t>CFQ26/3</t>
  </si>
  <si>
    <t>Compact Fluorescent, quad, (3) 26W lamp</t>
  </si>
  <si>
    <t>I36/1</t>
  </si>
  <si>
    <t>CFQ26/6-L</t>
  </si>
  <si>
    <t>Compact Fluorescent, quad, (6) 26W lamp, BF=0.95</t>
  </si>
  <si>
    <t>I40/1</t>
  </si>
  <si>
    <t>CFQ28/1</t>
  </si>
  <si>
    <t>CFQ28W</t>
  </si>
  <si>
    <t>Compact Fluorescent, quad, (1) 28W lamp</t>
  </si>
  <si>
    <t>I40/2</t>
  </si>
  <si>
    <t>CFQ9/1</t>
  </si>
  <si>
    <t>CFQ9W</t>
  </si>
  <si>
    <t>Compact Fluorescent, quad, (1) 9W lamp</t>
  </si>
  <si>
    <t>I400/1</t>
  </si>
  <si>
    <t>CFQ9/2</t>
  </si>
  <si>
    <t>Compact Fluorescent, quad, (2) 9W lamp</t>
  </si>
  <si>
    <t>I40E/1</t>
  </si>
  <si>
    <t>CFS11/1</t>
  </si>
  <si>
    <t>CFS11W</t>
  </si>
  <si>
    <t>Compact Fluorescent, spiral, (1) 11W lamp</t>
  </si>
  <si>
    <t>I40EL/1</t>
  </si>
  <si>
    <t>CFS13/1</t>
  </si>
  <si>
    <t>CFS13W</t>
  </si>
  <si>
    <t>Compact Fluorescent, spiral, (1) 13W lamp</t>
  </si>
  <si>
    <t>I42/1</t>
  </si>
  <si>
    <t>CFS15/1</t>
  </si>
  <si>
    <t>CFS15W</t>
  </si>
  <si>
    <t>Compact Fluorescent, spiral, (1) 15W lamp</t>
  </si>
  <si>
    <t>I448/1</t>
  </si>
  <si>
    <t>CFS20/1</t>
  </si>
  <si>
    <t>CFS20W</t>
  </si>
  <si>
    <t>Compact Fluorescent, spiral, (1) 20W lamp</t>
  </si>
  <si>
    <t>I45/1</t>
  </si>
  <si>
    <t>CFS23/1</t>
  </si>
  <si>
    <t>CFS23W</t>
  </si>
  <si>
    <t>Compact Fluorescent, spiral, (1) 23W lamp</t>
  </si>
  <si>
    <t>I50/1</t>
  </si>
  <si>
    <t>CFS26/1</t>
  </si>
  <si>
    <t>CFS26W</t>
  </si>
  <si>
    <t>Compact Fluorescent, spiral, (1) 26W lamp</t>
  </si>
  <si>
    <t>I50/2</t>
  </si>
  <si>
    <t>CFS27/1</t>
  </si>
  <si>
    <t>CFS27W</t>
  </si>
  <si>
    <t>Compact Fluorescent, spiral, (1) 27W lamp</t>
  </si>
  <si>
    <t>I500/1</t>
  </si>
  <si>
    <t>CFS7/1</t>
  </si>
  <si>
    <t>CFS7W</t>
  </si>
  <si>
    <t>Compact Fluorescent, spiral, (1) 7W lamp</t>
  </si>
  <si>
    <t>I52/1</t>
  </si>
  <si>
    <t>CFS9/1</t>
  </si>
  <si>
    <t>CFS9W</t>
  </si>
  <si>
    <t>Compact Fluorescent, spiral, (1) 9W lamp</t>
  </si>
  <si>
    <t>I52/2</t>
  </si>
  <si>
    <t>CFT05/1</t>
  </si>
  <si>
    <t>CFT5W</t>
  </si>
  <si>
    <t>Compact Fluorescent, twin, (1) 5W lamp</t>
  </si>
  <si>
    <t>CFT5/1</t>
  </si>
  <si>
    <t>I54/1</t>
  </si>
  <si>
    <t>CFT13/1</t>
  </si>
  <si>
    <t>CFT13W</t>
  </si>
  <si>
    <t>Compact Fluorescent, twin, (1) 13W lamp</t>
  </si>
  <si>
    <t>I54/2</t>
  </si>
  <si>
    <t>CFT13/2</t>
  </si>
  <si>
    <t>Compact Fluorescent, twin, (2) 13W lamp</t>
  </si>
  <si>
    <t>I55/1</t>
  </si>
  <si>
    <t>CFT13/3</t>
  </si>
  <si>
    <t>Compact Fluorescent, twin, (3) 13 W lamp</t>
  </si>
  <si>
    <t>I55/2</t>
  </si>
  <si>
    <t>CFT18/1</t>
  </si>
  <si>
    <t>CFT18W</t>
  </si>
  <si>
    <t>Compact Fluorescent, long twin., (1) 18W lamp</t>
  </si>
  <si>
    <t>I60/1</t>
  </si>
  <si>
    <t>CFT22/1</t>
  </si>
  <si>
    <t>CFT22W</t>
  </si>
  <si>
    <t>Compact Fluorescent, twin, (1) 22W lamp</t>
  </si>
  <si>
    <t>I60/2</t>
  </si>
  <si>
    <t>CFT22/2</t>
  </si>
  <si>
    <t>Compact Fluorescent, twin, (2) 22W lamp</t>
  </si>
  <si>
    <t>I60/3</t>
  </si>
  <si>
    <t>CFT22/4</t>
  </si>
  <si>
    <t>Compact Fluorescent, twin, (4) 22W lamp</t>
  </si>
  <si>
    <t>I60/4</t>
  </si>
  <si>
    <t>CFT24/1</t>
  </si>
  <si>
    <t>CFT24W</t>
  </si>
  <si>
    <t>Compact Fluorescent, long twin, (1) 24W lamp</t>
  </si>
  <si>
    <t>I60/5</t>
  </si>
  <si>
    <t>CFT28/1</t>
  </si>
  <si>
    <t>CFT28W</t>
  </si>
  <si>
    <t>Compact Fluorescent, twin, (1) 28W lamp</t>
  </si>
  <si>
    <t>I60E/1</t>
  </si>
  <si>
    <t>CFT28/2</t>
  </si>
  <si>
    <t>Compact Fluorescent, twin, (2) 28W lamp</t>
  </si>
  <si>
    <t>I60EL/1</t>
  </si>
  <si>
    <t>CFT32/1-L</t>
  </si>
  <si>
    <t>CFM32W</t>
  </si>
  <si>
    <t>Compact Fluorescent, twin or multi, (1) 32W lamp</t>
  </si>
  <si>
    <t>I65/1</t>
  </si>
  <si>
    <t>CFT32/2-L</t>
  </si>
  <si>
    <t>Compact Fluorescent, twin or multi, (2) 32W lamp</t>
  </si>
  <si>
    <t>I65/2</t>
  </si>
  <si>
    <t>CFT32/6-L</t>
  </si>
  <si>
    <r>
      <t>Compact Fluorescent, twin or multi, (</t>
    </r>
    <r>
      <rPr>
        <sz val="11"/>
        <color indexed="10"/>
        <rFont val="Arial"/>
        <family val="2"/>
      </rPr>
      <t>6</t>
    </r>
    <r>
      <rPr>
        <sz val="11"/>
        <rFont val="Arial"/>
        <family val="2"/>
      </rPr>
      <t>) 32W lamp</t>
    </r>
  </si>
  <si>
    <t>I67/1</t>
  </si>
  <si>
    <t>CFT36/1</t>
  </si>
  <si>
    <t>CFT36W</t>
  </si>
  <si>
    <t>Compact Fluorescent, long twin, (1) 36W lamp</t>
  </si>
  <si>
    <t>I67/2</t>
  </si>
  <si>
    <t>CFT36/4-BX</t>
  </si>
  <si>
    <t>Compact Fluorescent, Biax, (4) 36W lamp</t>
  </si>
  <si>
    <t>I67/3</t>
  </si>
  <si>
    <t>CFT36/6-BX</t>
  </si>
  <si>
    <t>Compact Fluorescent, Biax, (6) 36W lamp</t>
  </si>
  <si>
    <t>I69/1</t>
  </si>
  <si>
    <t>CFT36/6-L</t>
  </si>
  <si>
    <t>Compact Fluorescent, long Twin, (6) 36W lamp</t>
  </si>
  <si>
    <t>I7.5/1</t>
  </si>
  <si>
    <r>
      <t>CFT36/6-L</t>
    </r>
    <r>
      <rPr>
        <sz val="11"/>
        <color indexed="10"/>
        <rFont val="Arial"/>
        <family val="2"/>
      </rPr>
      <t>H</t>
    </r>
  </si>
  <si>
    <t>Compact Fluorescent, long Twin, (6) 36W lamp/ High Ballast Factor</t>
  </si>
  <si>
    <t>CFT36/6-LH</t>
  </si>
  <si>
    <t>I7.5/2</t>
  </si>
  <si>
    <t>CFT36/8-BX</t>
  </si>
  <si>
    <t>Compact Fluorescent, Biax, (8) 36W lamp</t>
  </si>
  <si>
    <t>I72/1</t>
  </si>
  <si>
    <t>CFT36/8-L</t>
  </si>
  <si>
    <t>Compact Fluorescent, long Twin, (8) 36W lamp</t>
  </si>
  <si>
    <t>I75/1</t>
  </si>
  <si>
    <r>
      <t>CFT36/8-L</t>
    </r>
    <r>
      <rPr>
        <sz val="11"/>
        <color indexed="10"/>
        <rFont val="Arial"/>
        <family val="2"/>
      </rPr>
      <t>H</t>
    </r>
  </si>
  <si>
    <t>Compact Fluorescent, long Twin, (8) 36W lamp/ High Ballast Factor</t>
  </si>
  <si>
    <t>CFT36/8-LH</t>
  </si>
  <si>
    <t>I75/2</t>
  </si>
  <si>
    <t>CFT36/9-BX</t>
  </si>
  <si>
    <t>Compact Fluorescent, Biax, (9) 36W lamp</t>
  </si>
  <si>
    <t>I75/3</t>
  </si>
  <si>
    <t>CFT40/1</t>
  </si>
  <si>
    <t>CFT40W</t>
  </si>
  <si>
    <t>Compact Fluorescent, twin, (1) 40W lamp</t>
  </si>
  <si>
    <t>I75/4</t>
  </si>
  <si>
    <t>CFT40/12-BX</t>
  </si>
  <si>
    <t>Compact Fluorescent, Biax, (12) 40W lamp</t>
  </si>
  <si>
    <t>I750/1</t>
  </si>
  <si>
    <t>CFT40/1-BX</t>
  </si>
  <si>
    <t>Compact Fluorescent, Biax, (1) 40W lamp</t>
  </si>
  <si>
    <t>I75E/1</t>
  </si>
  <si>
    <t>CFT40/1-L</t>
  </si>
  <si>
    <t>Compact Fluorescent, long twin, (1) 40W lamp</t>
  </si>
  <si>
    <t>I75EL/1</t>
  </si>
  <si>
    <t>CFT40/2</t>
  </si>
  <si>
    <t>Compact Fluorescent, twin, (2) 40W lamp</t>
  </si>
  <si>
    <t>I80/1</t>
  </si>
  <si>
    <t>CFT40/2-BX</t>
  </si>
  <si>
    <t>Compact Fluorescent, Biax, (2) 40W lamp</t>
  </si>
  <si>
    <t>I85/1</t>
  </si>
  <si>
    <t>CFT40/2-L</t>
  </si>
  <si>
    <t>Compact Fluorescent, long twin, (2) 40W lamp</t>
  </si>
  <si>
    <t>I90/1</t>
  </si>
  <si>
    <t>CFT40/3</t>
  </si>
  <si>
    <t>Compact Fluorescent, twin, (3) 40 W lamp</t>
  </si>
  <si>
    <t>I90/2</t>
  </si>
  <si>
    <t>CFT40/3-BX</t>
  </si>
  <si>
    <t>Compact Fluorescent, Biax, (3) 40W lamp</t>
  </si>
  <si>
    <t>I90/3</t>
  </si>
  <si>
    <t>CFT40/3-L</t>
  </si>
  <si>
    <t>Compact Fluorescent, long twin, (3) 40W lamp</t>
  </si>
  <si>
    <t>I93/1</t>
  </si>
  <si>
    <t>CFT40/4-BX</t>
  </si>
  <si>
    <t>Compact Fluorescent, Biax, (4) 40W lamp</t>
  </si>
  <si>
    <t>I95/1</t>
  </si>
  <si>
    <t>CFT40/5-BX</t>
  </si>
  <si>
    <t>Compact Fluorescent, Biax, (5) 40W lamp</t>
  </si>
  <si>
    <t>I95/2</t>
  </si>
  <si>
    <t>CFT40/6-BX</t>
  </si>
  <si>
    <t>Compact Fluorescent, Biax, (6) 40W lamp</t>
  </si>
  <si>
    <t>CFT40/6-L</t>
  </si>
  <si>
    <t>Compact Fluorescent, long Twin, (6) 40W lamp</t>
  </si>
  <si>
    <r>
      <t>CFT40/6-L</t>
    </r>
    <r>
      <rPr>
        <sz val="11"/>
        <color indexed="10"/>
        <rFont val="Arial"/>
        <family val="2"/>
      </rPr>
      <t>H</t>
    </r>
  </si>
  <si>
    <t>Compact Fluorescent, long Twin, (6) 40W lamp/ High Ballast Factor</t>
  </si>
  <si>
    <t>CFT40/6-LH</t>
  </si>
  <si>
    <t>CFT40/8-BX</t>
  </si>
  <si>
    <t>Compact Fluorescent, Biax, (8) 40W lamp</t>
  </si>
  <si>
    <t>CFT40/8-L</t>
  </si>
  <si>
    <t>Compact Fluorescent, long Twin, (8) 40W lamp</t>
  </si>
  <si>
    <r>
      <t>CFT40/8-L</t>
    </r>
    <r>
      <rPr>
        <sz val="11"/>
        <color indexed="10"/>
        <rFont val="Arial"/>
        <family val="2"/>
      </rPr>
      <t>H</t>
    </r>
  </si>
  <si>
    <t>Compact Fluorescent, long Twin, (8) 40W lamp/ High Ballast Factor</t>
  </si>
  <si>
    <t>CFT40/8-LH</t>
  </si>
  <si>
    <t>CFT40/9-BX</t>
  </si>
  <si>
    <t>Compact Fluorescent, Biax, (9) 40W lamp</t>
  </si>
  <si>
    <t>CFT5/2</t>
  </si>
  <si>
    <t>Compact Fluorescent, twin, (2) 5W lamp</t>
  </si>
  <si>
    <t>CFT50/12-BX</t>
  </si>
  <si>
    <t>CFT50W</t>
  </si>
  <si>
    <t>Compact Fluorescent, Biax, (12) 50W lamp</t>
  </si>
  <si>
    <t>CFT50/1-BX</t>
  </si>
  <si>
    <t>Compact Fluorescent, Biax, (1) 50W lamp</t>
  </si>
  <si>
    <t>CFT50/2-BX</t>
  </si>
  <si>
    <t>Compact Fluorescent, Biax, (2) 50W lamp</t>
  </si>
  <si>
    <t>CFT50/3-BX</t>
  </si>
  <si>
    <t>Compact Fluorescent, Biax, (3) 50W lamp</t>
  </si>
  <si>
    <t>CFT50/4-BX</t>
  </si>
  <si>
    <t>Compact Fluorescent, Biax, (4) 50W lamp</t>
  </si>
  <si>
    <t>CFT50/5-BX</t>
  </si>
  <si>
    <t>Compact Fluorescent, Biax, (5) 50W lamp</t>
  </si>
  <si>
    <t>CFT50/6-BX</t>
  </si>
  <si>
    <t>Compact Fluorescent, Biax, (6) 50W lamp</t>
  </si>
  <si>
    <t>CFT50/8-BX</t>
  </si>
  <si>
    <t>Compact Fluorescent, Biax, (8) 50W lamp</t>
  </si>
  <si>
    <t>CFT50/9-BX</t>
  </si>
  <si>
    <t>Compact Fluorescent, Biax, (9) 50W lamp</t>
  </si>
  <si>
    <t>CFT55/12-BX</t>
  </si>
  <si>
    <t>CFT55W</t>
  </si>
  <si>
    <t>Compact Fluorescent, Biax, (12) 55W lamp</t>
  </si>
  <si>
    <t>CFT55/1-BX</t>
  </si>
  <si>
    <t>Compact Fluorescent, Biax, (1) 55W lamp</t>
  </si>
  <si>
    <t>CFT55/2-BX</t>
  </si>
  <si>
    <t>Compact Fluorescent, Biax, (2) 55W lamp</t>
  </si>
  <si>
    <t>CFT55/3-BX</t>
  </si>
  <si>
    <t>Compact Fluorescent, Biax, (3) 55W lamp</t>
  </si>
  <si>
    <t>CFT55/4-BX</t>
  </si>
  <si>
    <t>Compact Fluorescent, Biax, (4) 55W lamp</t>
  </si>
  <si>
    <t>CFT55/5-BX</t>
  </si>
  <si>
    <t>Compact Fluorescent, Biax, (5) 55W lamp</t>
  </si>
  <si>
    <t>CFT55/6-BX</t>
  </si>
  <si>
    <t>Compact Fluorescent, Biax, (6) 55W lamp</t>
  </si>
  <si>
    <t>CFT55/6-L</t>
  </si>
  <si>
    <t>Compact Fluorescent, long Twin, (6) 55W lamp</t>
  </si>
  <si>
    <r>
      <t>CFT55/6-L</t>
    </r>
    <r>
      <rPr>
        <sz val="11"/>
        <color indexed="10"/>
        <rFont val="Arial"/>
        <family val="2"/>
      </rPr>
      <t>H</t>
    </r>
  </si>
  <si>
    <t>Compact Fluorescent, long Twin, (6) 55W lamp/ High Ballast Factor</t>
  </si>
  <si>
    <t>CFT55/6-LH</t>
  </si>
  <si>
    <t>CFT55/8-BX</t>
  </si>
  <si>
    <t>Compact Fluorescent, Biax, (8) 55W lamp</t>
  </si>
  <si>
    <t>CFT55/8-L</t>
  </si>
  <si>
    <t>Compact Fluorescent, long Twin, (8) 55W lamp</t>
  </si>
  <si>
    <r>
      <t>CFT55/8-L</t>
    </r>
    <r>
      <rPr>
        <sz val="11"/>
        <color indexed="10"/>
        <rFont val="Arial"/>
        <family val="2"/>
      </rPr>
      <t>H</t>
    </r>
  </si>
  <si>
    <t>Compact Fluorescent, long Twin, (8) 55W lamp/ High Ballast Factor</t>
  </si>
  <si>
    <t>CFT55/8-LH</t>
  </si>
  <si>
    <t>CFT55/9-BX</t>
  </si>
  <si>
    <t>Compact Fluorescent, Biax, (9) 55W lamp</t>
  </si>
  <si>
    <t>CFT7/1</t>
  </si>
  <si>
    <t>CFT7W</t>
  </si>
  <si>
    <t>Compact Fluorescent, twin, (1) 7W lamp</t>
  </si>
  <si>
    <t>CFT7/2</t>
  </si>
  <si>
    <t>Compact Fluorescent, twin, (2) 7W lamp</t>
  </si>
  <si>
    <t>CFT9/1</t>
  </si>
  <si>
    <t>CFT9W</t>
  </si>
  <si>
    <t>Compact Fluorescent, twin, (1) 9W lamp</t>
  </si>
  <si>
    <t>CFT9/2</t>
  </si>
  <si>
    <t>Compact Fluorescent, twin, (2) 9W lamp</t>
  </si>
  <si>
    <t>CFT9/3</t>
  </si>
  <si>
    <t>Compact Fluorescent, twin, (3) 9W lamp</t>
  </si>
  <si>
    <t>FC12/1</t>
  </si>
  <si>
    <t>FC12T9</t>
  </si>
  <si>
    <t>Fluorescent, (1) 12" circular lamp, RS ballast</t>
  </si>
  <si>
    <t>FC12/2</t>
  </si>
  <si>
    <t>Fluorescent, (2)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</si>
  <si>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</si>
  <si>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</si>
  <si>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</si>
  <si>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</si>
  <si>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</si>
  <si>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</si>
  <si>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</si>
  <si>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</si>
  <si>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</si>
  <si>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</si>
  <si>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</si>
  <si>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</si>
  <si>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22/32</t>
  </si>
  <si>
    <t>FC32/1</t>
  </si>
  <si>
    <t>Fluorescent, Circline, (1) 32W lamp, preheat ballast</t>
  </si>
  <si>
    <t>FC32/40/1</t>
  </si>
  <si>
    <t>FC32/40T9</t>
  </si>
  <si>
    <t>Fluorescent, Circlite, (1) 32W/40W lamp, preheat ballast</t>
  </si>
  <si>
    <t>32/40</t>
  </si>
  <si>
    <t>FC40/1</t>
  </si>
  <si>
    <t>FC44/1</t>
  </si>
  <si>
    <t>FC44T9</t>
  </si>
  <si>
    <t>Fluorescent, Circlite, (1) 44W lamp, preheat ballast</t>
  </si>
  <si>
    <t>FC6/1</t>
  </si>
  <si>
    <t>Fluorescent, (1) 6" circular lamp, RS ballast</t>
  </si>
  <si>
    <t>FC8/1</t>
  </si>
  <si>
    <t>Fluorescent, (1) 8" circular lamp, RS ballast</t>
  </si>
  <si>
    <t>FC8/2</t>
  </si>
  <si>
    <t>Fluorescent, (2) 8" circular lamp, RS ballast</t>
  </si>
  <si>
    <t>F40EE/D1</t>
  </si>
  <si>
    <t>Delamp</t>
  </si>
  <si>
    <t>Fluorescent, (0) 48" lamp, Completely delamped fixture with (1) hot ballast</t>
  </si>
  <si>
    <t>Mag-ES</t>
  </si>
  <si>
    <t>F40EE/D2</t>
  </si>
  <si>
    <t>Fluorescent, (0) 48" lamp, Completely delamped fixture with (2) hot ballast</t>
  </si>
  <si>
    <t>EXIT Compact Fluorescent, (1) 5W lamp</t>
  </si>
  <si>
    <t>EXIT Compact Fluorescent, (2) 5W lamp</t>
  </si>
  <si>
    <t>EXIT Compact Fluorescent, (1) 7W lamp</t>
  </si>
  <si>
    <t>EXIT Compact Fluorescent, (2) 7W lamp</t>
  </si>
  <si>
    <t>F8T5</t>
  </si>
  <si>
    <t>EXIT T5 Fluorescent, (1) 8W lamp</t>
  </si>
  <si>
    <t>EXIT T5 Fluorescent, (2) 8W lamp</t>
  </si>
  <si>
    <t>EXIT Compact Fluorescent, (1) 9W lamp</t>
  </si>
  <si>
    <t>EXIT Compact Fluorescent, (2) 9W lamp</t>
  </si>
  <si>
    <t>I10</t>
  </si>
  <si>
    <t>EXIT Incandescent, (2) 10W lamp</t>
  </si>
  <si>
    <t>I15</t>
  </si>
  <si>
    <t>EXIT Incandescent, (1) 15W lamp</t>
  </si>
  <si>
    <t>EXIT Incandescent, (2) 15W lamp</t>
  </si>
  <si>
    <t>I20</t>
  </si>
  <si>
    <t>EXIT Incandescent, (1) 20W lamp</t>
  </si>
  <si>
    <t>EXIT Incandescent, (2) 20W lamp</t>
  </si>
  <si>
    <t>I25</t>
  </si>
  <si>
    <t>EXIT Incandescent, (1) 25W lamp</t>
  </si>
  <si>
    <t>EXIT Incandescent, (2) 25W lamp</t>
  </si>
  <si>
    <t>I34</t>
  </si>
  <si>
    <t>EXIT Incandescent, (1) 34W lamp</t>
  </si>
  <si>
    <t>EXIT Incandescent, (2) 34W lamp</t>
  </si>
  <si>
    <t>I40</t>
  </si>
  <si>
    <t>EXIT Incandescent, (1) 40W lamp</t>
  </si>
  <si>
    <t>EXIT Incandescent, (2) 40W lamp</t>
  </si>
  <si>
    <t>I5</t>
  </si>
  <si>
    <t>EXIT Incandescent, (1) 5W lamp</t>
  </si>
  <si>
    <t>EXIT Incandescent, (2) 5W lamp</t>
  </si>
  <si>
    <t>I50</t>
  </si>
  <si>
    <t>EXIT Incandescent, (2) 50W lamp</t>
  </si>
  <si>
    <t>I7.5</t>
  </si>
  <si>
    <t>EXIT Tungsten, (1) 7.5 W lamp</t>
  </si>
  <si>
    <t>EXIT Tungsten, (2) 7.5 W lamp</t>
  </si>
  <si>
    <t>LED0.5W</t>
  </si>
  <si>
    <t>EXIT Light Emitting Diode, (1) 0.5W lamp, Single Sided</t>
  </si>
  <si>
    <t>EXIT Light Emitting Diode, (2) 0.5W lamp, Dual Sided</t>
  </si>
  <si>
    <t>LED1.5W</t>
  </si>
  <si>
    <t>EXIT Light Emitting Diode, (1) 1.5W lamp, Single Sided</t>
  </si>
  <si>
    <t>EXIT Light Emitting Diode, (2) 1.5W lamp, Dual Sided</t>
  </si>
  <si>
    <t>LED10.5W</t>
  </si>
  <si>
    <t>EXIT Light Emitting Diode, (1) 10.5W lamp, Single Sided</t>
  </si>
  <si>
    <t>EXIT Light Emitting Diode, (2) 10.5W lamp, Dual Sided</t>
  </si>
  <si>
    <t>LED2W</t>
  </si>
  <si>
    <t>EXIT Light Emitting Diode, (1) 2W lamp, Single Sided</t>
  </si>
  <si>
    <t>EXIT Light Emitting Diode, (2) 2W lamp, Dual Sided</t>
  </si>
  <si>
    <t>LED3W</t>
  </si>
  <si>
    <t>EXIT Light Emitting Diode, (1) 3W lamp, Single Sided</t>
  </si>
  <si>
    <t>EXIT Light Emitting Diode, (2) 3W lamp, Dual Sided</t>
  </si>
  <si>
    <t>LED5W</t>
  </si>
  <si>
    <t>EXIT Light Emitting Diode, (1) 5W lamp, Single Sided</t>
  </si>
  <si>
    <t>EXIT Light Emitting Diode, (2) 5W lamp, Dual Sided</t>
  </si>
  <si>
    <t>LED8W</t>
  </si>
  <si>
    <t>EXIT Light Emitting Diode, (1) 8W lamp, Single Sided</t>
  </si>
  <si>
    <t>EXIT Light Emitting Diode, (2) 8W lamp, Dual Sided</t>
  </si>
  <si>
    <t>High Pressure Sodium</t>
  </si>
  <si>
    <t>HPS100</t>
  </si>
  <si>
    <t>High Pressure Sodium, (1) 100W lamp</t>
  </si>
  <si>
    <t>CWA</t>
  </si>
  <si>
    <t>HPS1000</t>
  </si>
  <si>
    <t>High Pressure Sodium, (1) 1000W lamp</t>
  </si>
  <si>
    <t>HPS150</t>
  </si>
  <si>
    <t>High Pressure Sodium, (1) 150W lamp</t>
  </si>
  <si>
    <t>HPS200</t>
  </si>
  <si>
    <t>High Pressure Sodium, (1) 200W lamp</t>
  </si>
  <si>
    <t>HPS225</t>
  </si>
  <si>
    <t>High Pressure Sodium, (1) 225W lamp</t>
  </si>
  <si>
    <t>HPS250</t>
  </si>
  <si>
    <t>High Pressure Sodium, (1) 250W lamp</t>
  </si>
  <si>
    <t>HPS310</t>
  </si>
  <si>
    <t>High Pressure Sodium, (1) 310W lamp</t>
  </si>
  <si>
    <t>HPS35</t>
  </si>
  <si>
    <t>High Pressure Sodium, (1) 35W lamp</t>
  </si>
  <si>
    <t>HPS360</t>
  </si>
  <si>
    <t>High Pressure Sodium, (1) 360W lamp</t>
  </si>
  <si>
    <t>HPS400</t>
  </si>
  <si>
    <t>High Pressure Sodium, (1) 400W lamp</t>
  </si>
  <si>
    <t>HPS50</t>
  </si>
  <si>
    <t>High Pressure Sodium, (1) 50W lamp</t>
  </si>
  <si>
    <t>HPS600</t>
  </si>
  <si>
    <t>High Pressure Sodium, (1) 600W lamp</t>
  </si>
  <si>
    <t>HPS70</t>
  </si>
  <si>
    <t>High Pressure Sodium, (1) 70W lamp</t>
  </si>
  <si>
    <t>HPS750</t>
  </si>
  <si>
    <t>High Pressure Sodium, (1) 750W lamp</t>
  </si>
  <si>
    <t>Metal Halide</t>
  </si>
  <si>
    <t>MH100</t>
  </si>
  <si>
    <t>Metal Halide, (1) 100W lamp</t>
  </si>
  <si>
    <t>MH1000</t>
  </si>
  <si>
    <t>Metal Halide, (1) 1000W lamp</t>
  </si>
  <si>
    <t>MH150</t>
  </si>
  <si>
    <t>Metal Halide, (1) 150W lamp</t>
  </si>
  <si>
    <t>MH1500</t>
  </si>
  <si>
    <t>Metal Halide, (1) 1500W lamp</t>
  </si>
  <si>
    <t>MH175</t>
  </si>
  <si>
    <t>Metal Halide, (1) 175W lamp</t>
  </si>
  <si>
    <t>MH1800</t>
  </si>
  <si>
    <t>Metal Halide, (1) 1800W lamp</t>
  </si>
  <si>
    <t>MH200</t>
  </si>
  <si>
    <t>Metal Halide, (1) 200W lamp</t>
  </si>
  <si>
    <t>MH250</t>
  </si>
  <si>
    <t>Metal Halide, (1) 250W lamp</t>
  </si>
  <si>
    <t>MH300</t>
  </si>
  <si>
    <t>Metal Halide, (1) 300W lamp</t>
  </si>
  <si>
    <t>MH32</t>
  </si>
  <si>
    <t>Metal Halide, (1) 32W lamp</t>
  </si>
  <si>
    <t>MH320</t>
  </si>
  <si>
    <t>Metal Halide, (1) 320W lamp</t>
  </si>
  <si>
    <t>MH35</t>
  </si>
  <si>
    <t>Metal Halide, (1) 35W lamp</t>
  </si>
  <si>
    <t>MH350</t>
  </si>
  <si>
    <t>Metal Halide, (1) 350W lamp</t>
  </si>
  <si>
    <t>MH360</t>
  </si>
  <si>
    <t>Metal Halide, (1) 360W lamp</t>
  </si>
  <si>
    <t>MH400</t>
  </si>
  <si>
    <t>Metal Halide, (1) 400W lamp</t>
  </si>
  <si>
    <t>Metal Halide, (2) 400W lamp</t>
  </si>
  <si>
    <t>MH450</t>
  </si>
  <si>
    <t>Metal Halide, (1) 450W lamp</t>
  </si>
  <si>
    <t>MH50</t>
  </si>
  <si>
    <t>Metal Halide, (1) 50W lamp</t>
  </si>
  <si>
    <t>MH70</t>
  </si>
  <si>
    <t>Metal Halide, (1) 70W lamp</t>
  </si>
  <si>
    <t>MH750</t>
  </si>
  <si>
    <t>Metal Halide, (1) 750W lamp</t>
  </si>
  <si>
    <t>Pulse Start Metal Halide</t>
  </si>
  <si>
    <t>MHPS100</t>
  </si>
  <si>
    <t>Metal Halide Pulse Start, (1) 100W lamp w/ Linear Reactor Ballast</t>
  </si>
  <si>
    <t>LR</t>
  </si>
  <si>
    <t>MHPS150</t>
  </si>
  <si>
    <t>Metal Halide Pulse Start, (1) 150W lamp w/ Linear Reactor Ballast</t>
  </si>
  <si>
    <t>MHPS175</t>
  </si>
  <si>
    <t>Metal Halide Pulse Start, (1) 175W lamp w/ Linear Reactor Ballast</t>
  </si>
  <si>
    <t>MHPS200</t>
  </si>
  <si>
    <t>Metal Halide Pulse Start, (1) 200W lamp w/ Linear Reactor Ballast</t>
  </si>
  <si>
    <t>MHPS250</t>
  </si>
  <si>
    <t>Metal Halide Pulse Start, (1) 250W lamp w/ Linear Reactor Ballast</t>
  </si>
  <si>
    <t>MHPS300</t>
  </si>
  <si>
    <t>Metal Halide Pulse Start, (1) 300W lamp w/ Linear Reactor Ballast</t>
  </si>
  <si>
    <t>MHPS320</t>
  </si>
  <si>
    <t>Metal Halide Pulse Start, (1) 320W lamp w/ Linear Reactor Ballast</t>
  </si>
  <si>
    <t>MHPS350</t>
  </si>
  <si>
    <t>Metal Halide Pulse Start, (1) 350W lamp w/ Linear Reactor Ballast</t>
  </si>
  <si>
    <t>MHPS400</t>
  </si>
  <si>
    <t>Metal Halide Pulse Start, (1) 400W lamp w/ Linear Reactor Ballast</t>
  </si>
  <si>
    <t>MHPS450</t>
  </si>
  <si>
    <t>Metal Halide Pulse Start, (1) 450W lamp w/ Linear Reactor Ballast</t>
  </si>
  <si>
    <t>MHPS750</t>
  </si>
  <si>
    <t>Metal Halide Pulse Start, (1) 750W lamp w/ Linear Reactor Ballast</t>
  </si>
  <si>
    <t>Metal Halide Pulse Start, (1) 100W lamp w/ Super Constant Wattage Autotransformer Ballast</t>
  </si>
  <si>
    <t>SCWA</t>
  </si>
  <si>
    <t>MHPS1000</t>
  </si>
  <si>
    <t>Metal Halide Pulse Start, (1) 1000W lamp w/ Super Constant Wattage Autotransformer Ballast</t>
  </si>
  <si>
    <t>Metal Halide Pulse Start, (1) 150W lamp w/ Super Constant Wattage Autotransformer Ballast</t>
  </si>
  <si>
    <t>Metal Halide Pulse Start, (1) 175W lamp w/ Super Constant Wattage Autotransformer Ballast</t>
  </si>
  <si>
    <t>Metal Halide Pulse Start, (1) 200W lamp w/ Super Constant Wattage Autotransformer Ballast</t>
  </si>
  <si>
    <t>Metal Halide Pulse Start, (1) 250W lamp w/ Super Constant Wattage Autotransformer Ballast</t>
  </si>
  <si>
    <t>Metal Halide Pulse Start, (1) 300W lamp w/ Super Constant Wattage Autotransformer Ballast</t>
  </si>
  <si>
    <t>Metal Halide Pulse Start, (1) 320W lamp w/ Super Constant Wattage Autotransformer Ballast</t>
  </si>
  <si>
    <t>Metal Halide Pulse Start, (1) 350W lamp w/ Super Constant Wattage Autotransformer Ballast</t>
  </si>
  <si>
    <t>Metal Halide Pulse Start, (1) 400W lamp w/ Super Constant Wattage Autotransformer Ballast</t>
  </si>
  <si>
    <t>Metal Halide Pulse Start, (1) 450W lamp w/ Super Constant Wattage Autotransformer Ballast</t>
  </si>
  <si>
    <t>Metal Halide Pulse Start, (1) 750W lamp w/ Super Constant Wattage Autotransformer Ballast</t>
  </si>
  <si>
    <t>Mercury Vapor</t>
  </si>
  <si>
    <t>MV100</t>
  </si>
  <si>
    <t>Mercury Vapor, (1) 100W lamp</t>
  </si>
  <si>
    <t>MV1000</t>
  </si>
  <si>
    <t>Mercury Vapor, (1) 1000W lamp</t>
  </si>
  <si>
    <t>MV175</t>
  </si>
  <si>
    <t>Mercury Vapor, (1) 175W lamp</t>
  </si>
  <si>
    <t>MV250</t>
  </si>
  <si>
    <t>Mercury Vapor, (1) 250W lamp</t>
  </si>
  <si>
    <t>MV40</t>
  </si>
  <si>
    <t>Mercury Vapor, (1) 40W lamp</t>
  </si>
  <si>
    <t>MV400</t>
  </si>
  <si>
    <t>Mercury Vapor, (1) 400W lamp</t>
  </si>
  <si>
    <t>Mercury Vapor, (2) 400W lamp</t>
  </si>
  <si>
    <t>MV50</t>
  </si>
  <si>
    <t>Mercury Vapor, (1) 50W lamp</t>
  </si>
  <si>
    <t>MV700</t>
  </si>
  <si>
    <t>Mercury Vapor, (1) 700W lamp</t>
  </si>
  <si>
    <t>MV75</t>
  </si>
  <si>
    <t>Mercury Vapor, (1) 75W lamp</t>
  </si>
  <si>
    <t>Halogen Incandescent</t>
  </si>
  <si>
    <t>H100</t>
  </si>
  <si>
    <t>Halogen Incandescent, (1) 100W lamp</t>
  </si>
  <si>
    <t>H1000</t>
  </si>
  <si>
    <t>Halogen Incandescent, (1) 1000W lamp</t>
  </si>
  <si>
    <t>H1200</t>
  </si>
  <si>
    <t>Halogen Incandescent, (1) 1200W lamp</t>
  </si>
  <si>
    <t>H150</t>
  </si>
  <si>
    <t>Halogen Incandescent, (1) 150W lamp</t>
  </si>
  <si>
    <t>Halogen Incandescent, (2) 150W lamp</t>
  </si>
  <si>
    <t>H1500</t>
  </si>
  <si>
    <t>Halogen Incandescent, (1) 1500W lamp</t>
  </si>
  <si>
    <t>H200</t>
  </si>
  <si>
    <t>Halogen Incandescent, (1) 200W lamp</t>
  </si>
  <si>
    <t>H250</t>
  </si>
  <si>
    <t>Halogen Incandescent, (1) 250W lamp</t>
  </si>
  <si>
    <t>H300</t>
  </si>
  <si>
    <t>Halogen Incandescent, (1) 300W lamp</t>
  </si>
  <si>
    <t>H35</t>
  </si>
  <si>
    <t>Halogen Incandescent, (1) 35W lamp</t>
  </si>
  <si>
    <t>H350</t>
  </si>
  <si>
    <t>Halogen Incandescent, (1) 350W lamp</t>
  </si>
  <si>
    <t>H40</t>
  </si>
  <si>
    <t>Halogen Incandescent, (1) 40W lamp</t>
  </si>
  <si>
    <t>H400</t>
  </si>
  <si>
    <t>Halogen Incandescent, (1) 400W lamp</t>
  </si>
  <si>
    <t>H42</t>
  </si>
  <si>
    <t>Halogen Incandescent, (1) 42W lamp</t>
  </si>
  <si>
    <t>H425</t>
  </si>
  <si>
    <t>Halogen Incandescent, (1) 425W lamp</t>
  </si>
  <si>
    <t>H45</t>
  </si>
  <si>
    <t>Halogen Incandescent, (1) 45W lamp</t>
  </si>
  <si>
    <t>Halogen Incandescent, (2) 45W lamp</t>
  </si>
  <si>
    <t>H50</t>
  </si>
  <si>
    <t>Halogen Incandescent, (1) 50W lamp</t>
  </si>
  <si>
    <t>Halogen Incandescent, (2) 50W lamp</t>
  </si>
  <si>
    <t>H500</t>
  </si>
  <si>
    <t>Halogen Incandescent, (1) 500W lamp</t>
  </si>
  <si>
    <t>H52</t>
  </si>
  <si>
    <t>Halogen Incandescent, (1) 52W lamp</t>
  </si>
  <si>
    <t>H55</t>
  </si>
  <si>
    <t>Halogen Incandescent, (1) 55W lamp</t>
  </si>
  <si>
    <t>Halogen Incandescent, (2) 55W lamp</t>
  </si>
  <si>
    <t>H60</t>
  </si>
  <si>
    <t>Halogen Incandescent, (1) 60W lamp</t>
  </si>
  <si>
    <t>H72</t>
  </si>
  <si>
    <t>Halogen Incandescent, (1) 72W lamp</t>
  </si>
  <si>
    <t>H75</t>
  </si>
  <si>
    <t>Halogen Incandescent, (1) 75W lamp</t>
  </si>
  <si>
    <t>Halogen Incandescent, (2) 75W lamp</t>
  </si>
  <si>
    <t>H750</t>
  </si>
  <si>
    <t>Halogen Incandescent, (1) 750W lamp</t>
  </si>
  <si>
    <t>H90</t>
  </si>
  <si>
    <t>Halogen Incandescent, (1) 90W lamp</t>
  </si>
  <si>
    <t>Halogen Incandescent, (2) 90W lamp</t>
  </si>
  <si>
    <t>H900</t>
  </si>
  <si>
    <t>Halogen Incandescent, (1) 900W lamp</t>
  </si>
  <si>
    <t>H20/LV</t>
  </si>
  <si>
    <t>Halogen Low Voltage Incandescent, (1) 20W lamp</t>
  </si>
  <si>
    <t>H25/LV</t>
  </si>
  <si>
    <t>Halogen Low Voltage Incandescent, (1) 25W lamp</t>
  </si>
  <si>
    <t>H35/LV</t>
  </si>
  <si>
    <t>Halogen Low Voltage Incandescent, (1) 35W lamp</t>
  </si>
  <si>
    <t>H42/LV</t>
  </si>
  <si>
    <t>Halogen Low Voltage Incandescent, (1) 42W lamp</t>
  </si>
  <si>
    <t>H50/LV</t>
  </si>
  <si>
    <t>Halogen Low Voltage Incandescent, (1) 50W lamp</t>
  </si>
  <si>
    <t>H65/LV</t>
  </si>
  <si>
    <t>Halogen Low Voltage Incandescent, (1) 65W lamp</t>
  </si>
  <si>
    <t>H75/LV</t>
  </si>
  <si>
    <t>Halogen Low Voltage Incandescent, (1) 75W lamp</t>
  </si>
  <si>
    <t>Standard Incandescent</t>
  </si>
  <si>
    <t>I100</t>
  </si>
  <si>
    <t>Incandescent, (1) 100W lamp</t>
  </si>
  <si>
    <t>Incandescent, (2) 100W lamp</t>
  </si>
  <si>
    <t>Incandescent, (3) 100W lamp</t>
  </si>
  <si>
    <t>Incandescent, (4) 100W lamp</t>
  </si>
  <si>
    <t>Incandescent, (5) 100W lamp</t>
  </si>
  <si>
    <t>I1000</t>
  </si>
  <si>
    <t>Incandescent, (1) 1000W lamp</t>
  </si>
  <si>
    <t>I100/ES</t>
  </si>
  <si>
    <t>Incandescent, (1) 100W ES lamp</t>
  </si>
  <si>
    <t>I100/ES/LL</t>
  </si>
  <si>
    <t>Incandescent, (1) 100W ES/LL lamp</t>
  </si>
  <si>
    <t>I120</t>
  </si>
  <si>
    <t>Incandescent, (1) 120W lamp</t>
  </si>
  <si>
    <t>Incandescent, (2) 120W lamp</t>
  </si>
  <si>
    <t>I125</t>
  </si>
  <si>
    <t>Incandescent, (1) 125W lamp</t>
  </si>
  <si>
    <t>I135</t>
  </si>
  <si>
    <t>Incandescent, (1) 135W lamp</t>
  </si>
  <si>
    <t>Incandescent, (2) 135W lamp</t>
  </si>
  <si>
    <t>Incandescent, (1) 15W lamp</t>
  </si>
  <si>
    <t>Incandescent, (2) 15W lamp</t>
  </si>
  <si>
    <t>I150</t>
  </si>
  <si>
    <t>Incandescent, (1) 150W lamp</t>
  </si>
  <si>
    <t>Incandescent, (2) 150W lamp</t>
  </si>
  <si>
    <t>I1500</t>
  </si>
  <si>
    <t>Incandescent, (1) 1500W lamp</t>
  </si>
  <si>
    <t>I150/ES</t>
  </si>
  <si>
    <t>Incandescent, (1) 150W ES lamp</t>
  </si>
  <si>
    <t>I150/ES/LL</t>
  </si>
  <si>
    <t>Incandescent, (1) 150W ES/LL lamp</t>
  </si>
  <si>
    <t>I170</t>
  </si>
  <si>
    <t>Incandescent, (1) 170W lamp</t>
  </si>
  <si>
    <t>Incandescent, (1) 20W lamp</t>
  </si>
  <si>
    <t>Incandescent, (2) 20W lamp</t>
  </si>
  <si>
    <t>I200</t>
  </si>
  <si>
    <t>Incandescent, (1) 200W lamp</t>
  </si>
  <si>
    <t>Incandescent, (2) 200W lamp</t>
  </si>
  <si>
    <t>I2000</t>
  </si>
  <si>
    <t>Incandescent, (1) 2000W lamp</t>
  </si>
  <si>
    <t>I200/LL</t>
  </si>
  <si>
    <t>Incandescent, (1) 200W LL lamp</t>
  </si>
  <si>
    <t>Incandescent, (1) 25W lamp</t>
  </si>
  <si>
    <t>Incandescent, (2) 25W lamp</t>
  </si>
  <si>
    <t>Incandescent, (4) 25W lamp</t>
  </si>
  <si>
    <t>I250</t>
  </si>
  <si>
    <t>Incandescent, (1) 250W lamp</t>
  </si>
  <si>
    <t>I300</t>
  </si>
  <si>
    <t>Incandescent, (1) 300W lamp</t>
  </si>
  <si>
    <t>Incandescent, (1) 34W lamp</t>
  </si>
  <si>
    <t>Incandescent, (2) 34W lamp</t>
  </si>
  <si>
    <t>I36</t>
  </si>
  <si>
    <t>Incandescent, (1) 36W lamp</t>
  </si>
  <si>
    <t>Incandescent, (1) 40W lamp</t>
  </si>
  <si>
    <t>Incandescent, (2) 40W lamp</t>
  </si>
  <si>
    <t>I400</t>
  </si>
  <si>
    <t>Incandescent, (1) 400W lamp</t>
  </si>
  <si>
    <t>I40/ES</t>
  </si>
  <si>
    <t>Incandescent, (1) 40W ES lamp</t>
  </si>
  <si>
    <t>I40/ES/LL</t>
  </si>
  <si>
    <t>Incandescent, (1) 40W ES/LL lamp</t>
  </si>
  <si>
    <t>I42</t>
  </si>
  <si>
    <t>Incandescent, (1) 42W lamp</t>
  </si>
  <si>
    <t>I448</t>
  </si>
  <si>
    <t>Incandescent, (1) 448W lamp</t>
  </si>
  <si>
    <t>I45</t>
  </si>
  <si>
    <t>Incandescent, (1) 45W lamp</t>
  </si>
  <si>
    <t>Incandescent, (1) 50W lamp</t>
  </si>
  <si>
    <t>Incandescent, (2) 50W lamp</t>
  </si>
  <si>
    <t>I500</t>
  </si>
  <si>
    <t>Incandescent, (1) 500W lamp</t>
  </si>
  <si>
    <t>I52</t>
  </si>
  <si>
    <t>Incandescent, (1) 52W lamp</t>
  </si>
  <si>
    <t>Incandescent, (2) 52W lamp</t>
  </si>
  <si>
    <t>I54</t>
  </si>
  <si>
    <t>Incandescent, (1) 54W lamp</t>
  </si>
  <si>
    <t>Incandescent, (2) 54W lamp</t>
  </si>
  <si>
    <t>I55</t>
  </si>
  <si>
    <t>Incandescent, (1) 55W lamp</t>
  </si>
  <si>
    <t>Incandescent, (2) 55W lamp</t>
  </si>
  <si>
    <t>I60</t>
  </si>
  <si>
    <t>Incandescent, (1) 60W lamp</t>
  </si>
  <si>
    <t>Incandescent, (2) 60W lamp</t>
  </si>
  <si>
    <t>Incandescent, (3) 60W lamp</t>
  </si>
  <si>
    <t>Incandescent, (4) 60W lamp</t>
  </si>
  <si>
    <t>Incandescent, (5) 60W lamp</t>
  </si>
  <si>
    <t>I60/ES</t>
  </si>
  <si>
    <t>Incandescent, (1) 60W ES lamp</t>
  </si>
  <si>
    <t>I60/ES/LL</t>
  </si>
  <si>
    <t>Incandescent, (1) 60W ES/LL lamp</t>
  </si>
  <si>
    <t>I65</t>
  </si>
  <si>
    <t>Incandescent, (1) 65W lamp</t>
  </si>
  <si>
    <t>Incandescent, (2) 65W lamp</t>
  </si>
  <si>
    <t>I67</t>
  </si>
  <si>
    <t>Incandescent, (1) 67W lamp</t>
  </si>
  <si>
    <t>Incandescent, (2) 67W lamp</t>
  </si>
  <si>
    <t>Incandescent, (3) 67W lamp</t>
  </si>
  <si>
    <t>I69</t>
  </si>
  <si>
    <t>Incandescent, (1) 69W lamp</t>
  </si>
  <si>
    <t>Tungsten exit light, (1) 7.5 W lamp,  used in night light application</t>
  </si>
  <si>
    <t>Tungsten exit light, (2) 7.5 W lamp,  used in night light application</t>
  </si>
  <si>
    <t>I72</t>
  </si>
  <si>
    <t>Incandescent, (1) 72W lamp</t>
  </si>
  <si>
    <t>I75</t>
  </si>
  <si>
    <t>Incandescent, (1) 75W lamp</t>
  </si>
  <si>
    <t>Incandescent, (2) 75W lamp</t>
  </si>
  <si>
    <t>Incandescent, (3) 75W lamp</t>
  </si>
  <si>
    <t>Incandescent, (4) 75W lamp</t>
  </si>
  <si>
    <t>I750</t>
  </si>
  <si>
    <t>Incandescent, (1) 750W lamp</t>
  </si>
  <si>
    <t>I75/ES</t>
  </si>
  <si>
    <t>Incandescent, (1) 75W ES lamp</t>
  </si>
  <si>
    <t>I75/ES/LL</t>
  </si>
  <si>
    <t>Incandescent, (1) 75W ES/LL lamp</t>
  </si>
  <si>
    <t>I80</t>
  </si>
  <si>
    <t>Incandescent, (1) 80W lamp</t>
  </si>
  <si>
    <t>I85</t>
  </si>
  <si>
    <t>Incandescent, (1) 85W lamp</t>
  </si>
  <si>
    <t>I90</t>
  </si>
  <si>
    <t>Incandescent, (1) 90W lamp</t>
  </si>
  <si>
    <t>Incandescent, (2) 90W lamp</t>
  </si>
  <si>
    <t>Incandescent, (3) 90W lamp</t>
  </si>
  <si>
    <t>I93</t>
  </si>
  <si>
    <t>Incandescent, (1) 93W lamp</t>
  </si>
  <si>
    <t>I95</t>
  </si>
  <si>
    <t>Incandescent, (1) 95W lamp</t>
  </si>
  <si>
    <t>Incandescent, (2) 95W lamp</t>
  </si>
  <si>
    <t>QL165/1</t>
  </si>
  <si>
    <t>QL165</t>
  </si>
  <si>
    <t>QL Induction, (1) 165W lamp</t>
  </si>
  <si>
    <t>Generator</t>
  </si>
  <si>
    <t>QL55/1</t>
  </si>
  <si>
    <t>QL55</t>
  </si>
  <si>
    <t>QL Induction, (1) 55W lamp</t>
  </si>
  <si>
    <t>QL85/1</t>
  </si>
  <si>
    <t>QL85</t>
  </si>
  <si>
    <t>QL Induction, (1) 85W lamp</t>
  </si>
  <si>
    <t>LED Screw-In</t>
  </si>
  <si>
    <t>LED 10W</t>
  </si>
  <si>
    <t>Screw In - Light Emitting Diode Lamp, (1) 10W</t>
  </si>
  <si>
    <t>LED 11W</t>
  </si>
  <si>
    <t>Screw In - Light Emitting Diode Lamp, (1) 11W</t>
  </si>
  <si>
    <t>LED 12W</t>
  </si>
  <si>
    <t>Screw In - Light Emitting Diode Lamp, (1) 12W</t>
  </si>
  <si>
    <t>LED 13W</t>
  </si>
  <si>
    <t>Screw In - Light Emitting Diode Lamp, (1) 13W</t>
  </si>
  <si>
    <t>LED 14W</t>
  </si>
  <si>
    <t>Screw In - Light Emitting Diode Lamp, (1) 14W</t>
  </si>
  <si>
    <t>LED 15W</t>
  </si>
  <si>
    <t>Screw In - Light Emitting Diode Lamp, (1) 15W</t>
  </si>
  <si>
    <t>LED 16W</t>
  </si>
  <si>
    <t>Screw In - Light Emitting Diode Lamp, (1) 16W</t>
  </si>
  <si>
    <t>LED 17W</t>
  </si>
  <si>
    <t>Screw In - Light Emitting Diode Lamp, (1) 17W</t>
  </si>
  <si>
    <t>LED 18W</t>
  </si>
  <si>
    <t>Screw In - Light Emitting Diode Lamp, (1) 18W</t>
  </si>
  <si>
    <t>LED 19W</t>
  </si>
  <si>
    <t>Screw In - Light Emitting Diode Lamp, (1) 19W</t>
  </si>
  <si>
    <t>LED 2W</t>
  </si>
  <si>
    <t xml:space="preserve">Screw In - Light Emitting Diode Lamp, (1) 2W </t>
  </si>
  <si>
    <t>LED 20W</t>
  </si>
  <si>
    <t>Screw In - Light Emitting Diode Lamp, (1) 20W</t>
  </si>
  <si>
    <t>LED 21W</t>
  </si>
  <si>
    <t>Screw In - Light Emitting Diode Lamp, (1) 21W</t>
  </si>
  <si>
    <t>LED 22W</t>
  </si>
  <si>
    <t>Screw In - Light Emitting Diode Lamp, (1) 22W</t>
  </si>
  <si>
    <t>LED 26W</t>
  </si>
  <si>
    <t>Screw In - Light Emitting Diode Lamp, (1) 26W</t>
  </si>
  <si>
    <t>LED 3W</t>
  </si>
  <si>
    <t>Screw In - Light Emitting Diode Lamp, (1) 3W</t>
  </si>
  <si>
    <t>LED 4W</t>
  </si>
  <si>
    <t>Screw In - Light Emitting Diode Lamp, (1) 4W</t>
  </si>
  <si>
    <t>LED 5W</t>
  </si>
  <si>
    <t>Screw In - Light Emitting Diode Lamp, (1) 5W</t>
  </si>
  <si>
    <t>LED 6W</t>
  </si>
  <si>
    <t>Screw In - Light Emitting Diode Lamp, (1) 6W</t>
  </si>
  <si>
    <t>LED 7W</t>
  </si>
  <si>
    <t>Screw In - Light Emitting Diode Lamp, (1) 7W</t>
  </si>
  <si>
    <t>LED 8W</t>
  </si>
  <si>
    <t>Screw In - Light Emitting Diode Lamp, (1) 8W</t>
  </si>
  <si>
    <t>LED 9W</t>
  </si>
  <si>
    <t>Screw In - Light Emitting Diode Lamp, (1) 9W</t>
  </si>
  <si>
    <t>F1.51LS</t>
  </si>
  <si>
    <t>T8 Linear Fluorescent</t>
  </si>
  <si>
    <t>F15T8</t>
  </si>
  <si>
    <t>Fluorescent, (1) 18" T8 lamp</t>
  </si>
  <si>
    <t>F1.51SS</t>
  </si>
  <si>
    <t>T12 Linear Fluorescent</t>
  </si>
  <si>
    <t>F15T12</t>
  </si>
  <si>
    <t>Fluorescent, (1) 18" T12 lamp</t>
  </si>
  <si>
    <t>F1.52LS</t>
  </si>
  <si>
    <t>Fluorescent, (2) 18" T8 lamp</t>
  </si>
  <si>
    <t>F1.52SS</t>
  </si>
  <si>
    <t>Fluorescent, (2) 18", T12 lamp</t>
  </si>
  <si>
    <t>F21GHL</t>
  </si>
  <si>
    <t>T5 Linear Fluorescent</t>
  </si>
  <si>
    <t>F24T5/HO</t>
  </si>
  <si>
    <t>Fluorescent, (1) 24", STD HO T5 lamp</t>
  </si>
  <si>
    <t>F21GL</t>
  </si>
  <si>
    <t>F24T5</t>
  </si>
  <si>
    <t>Fluorescent, (1) 24", STD T5 lamp</t>
  </si>
  <si>
    <t>F21HS</t>
  </si>
  <si>
    <t>F24T12/HO</t>
  </si>
  <si>
    <t>Fluorescent, (1) 24", HO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</si>
  <si>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</si>
  <si>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</si>
  <si>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</si>
  <si>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</si>
  <si>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</si>
  <si>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</si>
  <si>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</si>
  <si>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</si>
  <si>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</si>
  <si>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</si>
  <si>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</si>
  <si>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</si>
  <si>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</si>
  <si>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</si>
  <si>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</si>
  <si>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</si>
  <si>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</si>
  <si>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</si>
  <si>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</si>
  <si>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</si>
  <si>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</si>
  <si>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</si>
  <si>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</si>
  <si>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</si>
  <si>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</si>
  <si>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</si>
  <si>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</si>
  <si>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F21SE</t>
  </si>
  <si>
    <t>F20T12</t>
  </si>
  <si>
    <t>Fluorescent, (1) 24", STD lamp</t>
  </si>
  <si>
    <t>F21SS</t>
  </si>
  <si>
    <t>F22GHL</t>
  </si>
  <si>
    <t>Fluorescent, (2) 24", STD HO T5 lamp</t>
  </si>
  <si>
    <t>F22GL</t>
  </si>
  <si>
    <t>Fluorescent, (2) 24", STD T5 lamp</t>
  </si>
  <si>
    <t>F22ILE</t>
  </si>
  <si>
    <t>Fluorescent, (2) 24", T-8 Instant Start lamp, Energy Saving  Magnetic Ballast</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</si>
  <si>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</si>
  <si>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</si>
  <si>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</si>
  <si>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</si>
  <si>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</si>
  <si>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</si>
  <si>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</si>
  <si>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</si>
  <si>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</si>
  <si>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</si>
  <si>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</si>
  <si>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</si>
  <si>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</si>
  <si>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</si>
  <si>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F22SE</t>
  </si>
  <si>
    <t>Fluorescent, (2) 24", STD lamp</t>
  </si>
  <si>
    <t>F22SHS</t>
  </si>
  <si>
    <t>Fluorescent, (2) 24", HO lamp</t>
  </si>
  <si>
    <t>F22SS</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</si>
  <si>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</si>
  <si>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</si>
  <si>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</si>
  <si>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</si>
  <si>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</si>
  <si>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</si>
  <si>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</si>
  <si>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</si>
  <si>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</si>
  <si>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</si>
  <si>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F23SE</t>
  </si>
  <si>
    <t>Fluorescent, (3) 24", STD lamp</t>
  </si>
  <si>
    <t>F23SS</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</si>
  <si>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</si>
  <si>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</si>
  <si>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</si>
  <si>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</si>
  <si>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</si>
  <si>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</si>
  <si>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</si>
  <si>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</si>
  <si>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F24SE</t>
  </si>
  <si>
    <t>Fluorescent, (4) 24", STD lamp</t>
  </si>
  <si>
    <t>F24SS</t>
  </si>
  <si>
    <t>F26SE</t>
  </si>
  <si>
    <t>Fluorescent, (6) 24", STD lamp</t>
  </si>
  <si>
    <t>F26ILL</t>
  </si>
  <si>
    <t>F26SS</t>
  </si>
  <si>
    <t>F31EE</t>
  </si>
  <si>
    <t>F30T12/ES</t>
  </si>
  <si>
    <t>Fluorescent, (1) 36", ES lamp</t>
  </si>
  <si>
    <t>F31ILL</t>
  </si>
  <si>
    <t>F31EE/T2</t>
  </si>
  <si>
    <t>Fluorescent, (1) 36", ES lamp, Tandem wired</t>
  </si>
  <si>
    <t>F31EL</t>
  </si>
  <si>
    <t>Fluorescent, (1) 36", ES  lamp</t>
  </si>
  <si>
    <t>F31ES</t>
  </si>
  <si>
    <t>F31ES/T2</t>
  </si>
  <si>
    <t>Fluorescent, (1) 36", ES  lamp, Tandem wired</t>
  </si>
  <si>
    <t>F31GHL</t>
  </si>
  <si>
    <t>F36T5/HO</t>
  </si>
  <si>
    <t>Fluorescent, (1) 36", STD HO T5 lamp</t>
  </si>
  <si>
    <t>F31GL</t>
  </si>
  <si>
    <t>F36T5</t>
  </si>
  <si>
    <t>Fluorescent, (1) 36", STD T5 lamp</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</si>
  <si>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</si>
  <si>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</si>
  <si>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</si>
  <si>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</si>
  <si>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</si>
  <si>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</si>
  <si>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</si>
  <si>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</si>
  <si>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</si>
  <si>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</si>
  <si>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</si>
  <si>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</si>
  <si>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</si>
  <si>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</si>
  <si>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</si>
  <si>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</si>
  <si>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</si>
  <si>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</si>
  <si>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</si>
  <si>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</si>
  <si>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</si>
  <si>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</si>
  <si>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</si>
  <si>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</si>
  <si>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</si>
  <si>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</si>
  <si>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</si>
  <si>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</si>
  <si>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</si>
  <si>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</si>
  <si>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</si>
  <si>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</si>
  <si>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F31SE/T2</t>
  </si>
  <si>
    <t>F30T12</t>
  </si>
  <si>
    <t>Fluorescent, (1) 36", STD lamp, Tandem wired</t>
  </si>
  <si>
    <t>F31SHS</t>
  </si>
  <si>
    <t>F36T12/HO</t>
  </si>
  <si>
    <t>Fluorescent, (1) 36", HO lamp</t>
  </si>
  <si>
    <t>F31SL</t>
  </si>
  <si>
    <t>Fluorescent, (1) 36", STD  lamp</t>
  </si>
  <si>
    <t>F31SS</t>
  </si>
  <si>
    <t>F31SS/T2</t>
  </si>
  <si>
    <t>Fluorescent, (1) 36", STD  lamp, Tandem wired</t>
  </si>
  <si>
    <t>F32EE</t>
  </si>
  <si>
    <t>Fluorescent, (2) 36", ES  lamp</t>
  </si>
  <si>
    <t>F32ILL</t>
  </si>
  <si>
    <t>F32EL</t>
  </si>
  <si>
    <t>F32ES</t>
  </si>
  <si>
    <t>F32GHL</t>
  </si>
  <si>
    <r>
      <t>Fluorescent, (</t>
    </r>
    <r>
      <rPr>
        <sz val="11"/>
        <color indexed="10"/>
        <rFont val="Arial"/>
        <family val="2"/>
      </rPr>
      <t>2</t>
    </r>
    <r>
      <rPr>
        <sz val="11"/>
        <rFont val="Arial"/>
        <family val="2"/>
      </rPr>
      <t>) 36", STD HO T5 lamp</t>
    </r>
  </si>
  <si>
    <t>F32GL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</si>
  <si>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</si>
  <si>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</si>
  <si>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</si>
  <si>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</si>
  <si>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</si>
  <si>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</si>
  <si>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</si>
  <si>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</si>
  <si>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</si>
  <si>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</si>
  <si>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</si>
  <si>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</si>
  <si>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</si>
  <si>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</si>
  <si>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</si>
  <si>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</si>
  <si>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</si>
  <si>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</si>
  <si>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</si>
  <si>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</si>
  <si>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</si>
  <si>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F32SE</t>
  </si>
  <si>
    <t>Fluorescent, (2) 36", STD  lamp</t>
  </si>
  <si>
    <t>F32SHS</t>
  </si>
  <si>
    <t>Fluorescent, (2) 36", HO, lamp</t>
  </si>
  <si>
    <t>F32SL</t>
  </si>
  <si>
    <t>F32SS</t>
  </si>
  <si>
    <t>F33EE</t>
  </si>
  <si>
    <t>Fluorescent, (3) 36", ES  lamp</t>
  </si>
  <si>
    <t>F33ILL</t>
  </si>
  <si>
    <t>F33EL</t>
  </si>
  <si>
    <t>F33ES</t>
  </si>
  <si>
    <t>Fluorescent, (3) 36", ES lamp</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</si>
  <si>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</si>
  <si>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</si>
  <si>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</si>
  <si>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</si>
  <si>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</si>
  <si>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</si>
  <si>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</si>
  <si>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F33SE</t>
  </si>
  <si>
    <t>Fluorescent, (3) 36", STD lamp, (1) STD ballast and (1) ES ballast</t>
  </si>
  <si>
    <t>F33SS</t>
  </si>
  <si>
    <t>Fluorescent, (3) 36", STD lamp</t>
  </si>
  <si>
    <t>F34EE</t>
  </si>
  <si>
    <t>Fluorescent, (4) 36", ES  lamp</t>
  </si>
  <si>
    <t>F34ILL</t>
  </si>
  <si>
    <t>F34EL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</si>
  <si>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</si>
  <si>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</si>
  <si>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</si>
  <si>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</si>
  <si>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</si>
  <si>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</si>
  <si>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</si>
  <si>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F34SE</t>
  </si>
  <si>
    <t>Fluorescent, (4) 36", STD  lamp</t>
  </si>
  <si>
    <t>F34SL</t>
  </si>
  <si>
    <t>F34SS</t>
  </si>
  <si>
    <t>F36EE</t>
  </si>
  <si>
    <t>Fluorescent, (6) 36", ES  lamp</t>
  </si>
  <si>
    <t>F36ILL</t>
  </si>
  <si>
    <t>F36ILL-R</t>
  </si>
  <si>
    <t>Fluorescent, (6) 36", T-8 lamp, Instant Start Ballast, RLO (BF&lt;.85)</t>
  </si>
  <si>
    <t>F36SE</t>
  </si>
  <si>
    <t>Fluorescent, (6) 36", STD  lamp</t>
  </si>
  <si>
    <t>F410GHL</t>
  </si>
  <si>
    <t>F48T5/HO</t>
  </si>
  <si>
    <t>Fluorescent, (10) 48", STD HO T5 lamp</t>
  </si>
  <si>
    <t>F412GHL</t>
  </si>
  <si>
    <t>Fluorescent, (12) 48", STD HO T5 lamp</t>
  </si>
  <si>
    <t>F41EE</t>
  </si>
  <si>
    <t>F40T12/ES</t>
  </si>
  <si>
    <t>Fluorescent, (1) 48", ES lamp</t>
  </si>
  <si>
    <t>F41ILL</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</si>
  <si>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</si>
  <si>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</si>
  <si>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</si>
  <si>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</si>
  <si>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</si>
  <si>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</si>
  <si>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</si>
  <si>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</si>
  <si>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</si>
  <si>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</si>
  <si>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</si>
  <si>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</si>
  <si>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</si>
  <si>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</si>
  <si>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</si>
  <si>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</si>
  <si>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</si>
  <si>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</si>
  <si>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F41GHL</t>
  </si>
  <si>
    <t>Fluorescent, (1) 48", STD HO T5 lamp</t>
  </si>
  <si>
    <t>F41GHL-H</t>
  </si>
  <si>
    <t>F54T5/HO</t>
  </si>
  <si>
    <t>Fluorescent, (1) 48", STD HO T5 lamp HLO (BF:  .96-1.2)</t>
  </si>
  <si>
    <t>F41GL</t>
  </si>
  <si>
    <t>F48T5</t>
  </si>
  <si>
    <t>Fluorescent, (1) 48", STD T5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</si>
  <si>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</si>
  <si>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</si>
  <si>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</si>
  <si>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</si>
  <si>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</si>
  <si>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</si>
  <si>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</si>
  <si>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F32T8</t>
  </si>
  <si>
    <t>Fluorescent, (1) 48", T-8 lamp, Instant Start Ballast, NLO (BF: .85-.95)</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</si>
  <si>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</si>
  <si>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</si>
  <si>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</si>
  <si>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</si>
  <si>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</si>
  <si>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</si>
  <si>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</si>
  <si>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</si>
  <si>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</si>
  <si>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</si>
  <si>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</si>
  <si>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</si>
  <si>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</si>
  <si>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</si>
  <si>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F41ILL/T4-R</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</si>
  <si>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</si>
  <si>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</si>
  <si>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</si>
  <si>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</si>
  <si>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</si>
  <si>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</si>
  <si>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</si>
  <si>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</si>
  <si>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</si>
  <si>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</si>
  <si>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</si>
  <si>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</si>
  <si>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</si>
  <si>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</si>
  <si>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</si>
  <si>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</si>
  <si>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</si>
  <si>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</si>
  <si>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</si>
  <si>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</si>
  <si>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</si>
  <si>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</si>
  <si>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</si>
  <si>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</si>
  <si>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</si>
  <si>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</si>
  <si>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</si>
  <si>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</si>
  <si>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</si>
  <si>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</si>
  <si>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</si>
  <si>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</si>
  <si>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</si>
  <si>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</si>
  <si>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</si>
  <si>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</si>
  <si>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</si>
  <si>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</si>
  <si>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</si>
  <si>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</si>
  <si>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</si>
  <si>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</si>
  <si>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</si>
  <si>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</si>
  <si>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</si>
  <si>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</si>
  <si>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</si>
  <si>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</si>
  <si>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</si>
  <si>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</si>
  <si>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</si>
  <si>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</si>
  <si>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</si>
  <si>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</si>
  <si>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</si>
  <si>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</si>
  <si>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</si>
  <si>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</si>
  <si>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</si>
  <si>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</si>
  <si>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</si>
  <si>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</si>
  <si>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F41SILL</t>
  </si>
  <si>
    <t>F30T8</t>
  </si>
  <si>
    <t>Fluorescent, (1) 48", Super T-8 lamp, Instant Start Ballast, NLO (BF: .85-.95)</t>
  </si>
  <si>
    <t>F41SILL/T2</t>
  </si>
  <si>
    <t>Fluorescent, (1) 48", Super T-8 lamp, Instant Start Ballast, NLO (BF: .85-.95), Tandem 2 Lamp Ballast</t>
  </si>
  <si>
    <t>F41SILL/T2-H</t>
  </si>
  <si>
    <t>Fluorescent, (1) 48", Super T-8 lamp, Instant Start Ballast, HLO (BF:.96-1.1), Tandem 2 Lamp Ballast</t>
  </si>
  <si>
    <t>F41SILL/T2-R</t>
  </si>
  <si>
    <t>Fluorescent, (1) 48", Super T-8 lamp, IS Ballast, RLO (BF&lt;0.85), Tandem 2 Lamp Ballast</t>
  </si>
  <si>
    <t>F41SILL/T3</t>
  </si>
  <si>
    <t>Fluorescent, (1) 48", Super T-8 lamp, Instant Start Ballast, NLO (BF: .85-.95), Tandem 3 Lamp Ballast</t>
  </si>
  <si>
    <t>F41SILL/T3-H</t>
  </si>
  <si>
    <t>Fluorescent, (1) 48", Super T-8 lamp, Instant Start Ballast, HLO (BF:.96-1.1), Tandem 3 Lamp Ballast</t>
  </si>
  <si>
    <t>F41SILL/T3-R</t>
  </si>
  <si>
    <t>Fluorescent, (1) 48", Super T-8 lamp, IS Ballast, RLO (BF&lt;0.85), Tandem 3 Lamp Ballast</t>
  </si>
  <si>
    <t>F41SILL/T4</t>
  </si>
  <si>
    <t>Fluorescent, (1) 48", Super T-8 lamp, Instant Start Ballast, NLO (BF: .85-.95), Tandem 4 Lamp Ballast</t>
  </si>
  <si>
    <t>F41SILL/T4-R</t>
  </si>
  <si>
    <t>Fluorescent, (1) 48", Super T-8 lamp, IS Ballast, RLO (BF&lt;0.85), Tandem 4 Lamp Ballast</t>
  </si>
  <si>
    <t>F41SILL-H</t>
  </si>
  <si>
    <t>Fluorescent, (1) 48", Super T-8 lamp, Instant Start Ballast, HLO (BF:.96-1.1)</t>
  </si>
  <si>
    <t>F41SILL-R</t>
  </si>
  <si>
    <t>Fluorescent, (1) 48", Super T-8 lamp, Instant Start Ballast, RLO (BF&lt;0.85)</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</si>
  <si>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</si>
  <si>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</si>
  <si>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</si>
  <si>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</si>
  <si>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</si>
  <si>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</si>
  <si>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</si>
  <si>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F41SSILL</t>
  </si>
  <si>
    <t>F28T8</t>
  </si>
  <si>
    <t>F41SSILL/T2</t>
  </si>
  <si>
    <t>F41SSILL/T2-H</t>
  </si>
  <si>
    <t>F41SSILL/T2-R</t>
  </si>
  <si>
    <t>F41SSILL/T3</t>
  </si>
  <si>
    <t>F41SSILL/T3-H</t>
  </si>
  <si>
    <t>F41SSILL/T3-R</t>
  </si>
  <si>
    <t>F41SSILL/T4</t>
  </si>
  <si>
    <t>F41SSILL/T4-R</t>
  </si>
  <si>
    <t>F41SSILL-H</t>
  </si>
  <si>
    <t>F41SSILL-R</t>
  </si>
  <si>
    <t>F41SVS</t>
  </si>
  <si>
    <t>F48T12/VHO</t>
  </si>
  <si>
    <t>Fluorescent, (1) 48", STD VHO lamp</t>
  </si>
  <si>
    <t>F41TS</t>
  </si>
  <si>
    <t>T10 Linear Fluorescent</t>
  </si>
  <si>
    <t>F40T10</t>
  </si>
  <si>
    <t>Fluorescent, (1) 48", T-10 lamp</t>
  </si>
  <si>
    <t>F42EE</t>
  </si>
  <si>
    <t>Fluorescent, (2) 48", ES lamp</t>
  </si>
  <si>
    <t>F42ILL</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</si>
  <si>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</si>
  <si>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</si>
  <si>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</si>
  <si>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</si>
  <si>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</si>
  <si>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</si>
  <si>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</si>
  <si>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</si>
  <si>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</si>
  <si>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</si>
  <si>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</si>
  <si>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F42GHL</t>
  </si>
  <si>
    <t>Fluorescent, (2) 48", STD HO T5 lamp</t>
  </si>
  <si>
    <t>F42GHL-H</t>
  </si>
  <si>
    <t>Fluorescent, (2) 48", STD HO T5 lamp HLO (BF:  .96-1.2)</t>
  </si>
  <si>
    <t>F42GL</t>
  </si>
  <si>
    <t>Fluorescent, (2) 48", STD T5 lamp</t>
  </si>
  <si>
    <t>F42IAL/T4-R</t>
  </si>
  <si>
    <t>Fluorescent, (2) 48", F25T12 lamp, Instant Start, Tandem 4-Lamp Ballast, RLO (BF&lt;0.85)</t>
  </si>
  <si>
    <t>F42IAL-R</t>
  </si>
  <si>
    <t>Fluorescent, (2) 48", F25T12 lamp, Instant Start Ballast, RLO (BF&lt;0.85)</t>
  </si>
  <si>
    <t>Fluorescent, (2) 48", T-8 lamp, Instant Start Ballast, NLO (BF: .85-.95)</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</si>
  <si>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</si>
  <si>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</si>
  <si>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</si>
  <si>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</si>
  <si>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</si>
  <si>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</si>
  <si>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</si>
  <si>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</si>
  <si>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</si>
  <si>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</si>
  <si>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</si>
  <si>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</si>
  <si>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</si>
  <si>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</si>
  <si>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</si>
  <si>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</si>
  <si>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</si>
  <si>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</si>
  <si>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</si>
  <si>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</si>
  <si>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</si>
  <si>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</si>
  <si>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</si>
  <si>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</si>
  <si>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</si>
  <si>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</si>
  <si>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</si>
  <si>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</si>
  <si>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F42RSILL-H</t>
  </si>
  <si>
    <t>Fluorescent, (2) 48", 25W T-8 lamp, Instant Start Ballast, HLO (BF:.96 - 1.2)</t>
  </si>
  <si>
    <t>F42RSILL-H/T4</t>
  </si>
  <si>
    <t>Fluorescent, (2) 48", 25W T-8 lamp, Instant Start Ballast, HLO (BF:.96 - 1.2), Tandem 4 Lamp Ballast</t>
  </si>
  <si>
    <t>F42RSILL-R</t>
  </si>
  <si>
    <t>Fluorescent, (2) 48", 25W T-8 lamp, Instant Start Ballast, RLO (BF&lt;0.85)</t>
  </si>
  <si>
    <t>F42RSILL-R/T4</t>
  </si>
  <si>
    <t>Fluorescent, (2) 48", 25W T-8 lamp, Instant Start Ballast, RLO (BF&lt;0.85), Tandem 4 Lamp Ballast</t>
  </si>
  <si>
    <t>F42SE</t>
  </si>
  <si>
    <t>Fluorescent, (2) 48", STD lamp</t>
  </si>
  <si>
    <t>F42SHS</t>
  </si>
  <si>
    <t>Fluorescent, (2) 48", STD HO lamp</t>
  </si>
  <si>
    <t>F42SIL</t>
  </si>
  <si>
    <t>Fluorescent, (2) 48", STD IS lamp, Electronic ballast</t>
  </si>
  <si>
    <t>F42SILL</t>
  </si>
  <si>
    <t>Fluorescent, (2) 48", Super T-8 lamp, Instant Start Ballast, NLO (BF: .85-.95)</t>
  </si>
  <si>
    <r>
      <t>F4</t>
    </r>
    <r>
      <rPr>
        <sz val="11"/>
        <color indexed="10"/>
        <rFont val="Arial"/>
        <family val="2"/>
      </rPr>
      <t>2</t>
    </r>
    <r>
      <rPr>
        <sz val="11"/>
        <rFont val="Arial"/>
        <family val="2"/>
      </rPr>
      <t>SILL/T4</t>
    </r>
  </si>
  <si>
    <t>Fluorescent, (2) 48", Super T-8 lamp, Instant Start Ballast, NLO (BF: .85-.95), Tandem 4 Lamp Ballast</t>
  </si>
  <si>
    <t>F42SILL/T4</t>
  </si>
  <si>
    <r>
      <t>F4</t>
    </r>
    <r>
      <rPr>
        <sz val="11"/>
        <color indexed="10"/>
        <rFont val="Arial"/>
        <family val="2"/>
      </rPr>
      <t>2</t>
    </r>
    <r>
      <rPr>
        <sz val="11"/>
        <rFont val="Arial"/>
        <family val="2"/>
      </rPr>
      <t>SILL/T4-R</t>
    </r>
  </si>
  <si>
    <t>Fluorescent, (2) 48", Super T-8 lamp, IS Ballast, RLO (BF&lt;0.85), Tandem 4 Lamp Ballast</t>
  </si>
  <si>
    <t>F42SILL/T4-R</t>
  </si>
  <si>
    <t>F42SILL-H</t>
  </si>
  <si>
    <t>Fluorescent, (2) 48", Super T-8 lamp, Instant Start Ballast, HLO (BF:.96-2.2)</t>
  </si>
  <si>
    <t>F42SILL-R</t>
  </si>
  <si>
    <t>Fluorescent, (2) 48", Super T-8 lamp, Instant Start Ballast, RLO (BF&lt;0.85)</t>
  </si>
  <si>
    <t>F42SIS</t>
  </si>
  <si>
    <t xml:space="preserve">Fluorescent, (2) 48", STD IS lamp </t>
  </si>
  <si>
    <t>F42SS</t>
  </si>
  <si>
    <t>F42SSILL</t>
  </si>
  <si>
    <r>
      <t>F4</t>
    </r>
    <r>
      <rPr>
        <sz val="11"/>
        <color indexed="10"/>
        <rFont val="Arial"/>
        <family val="2"/>
      </rPr>
      <t>2</t>
    </r>
    <r>
      <rPr>
        <sz val="11"/>
        <rFont val="Arial"/>
        <family val="2"/>
      </rPr>
      <t>SSILL/T4</t>
    </r>
  </si>
  <si>
    <t>F42SSILL/T4</t>
  </si>
  <si>
    <r>
      <t>F4</t>
    </r>
    <r>
      <rPr>
        <sz val="11"/>
        <color indexed="10"/>
        <rFont val="Arial"/>
        <family val="2"/>
      </rPr>
      <t>2</t>
    </r>
    <r>
      <rPr>
        <sz val="11"/>
        <rFont val="Arial"/>
        <family val="2"/>
      </rPr>
      <t>SSILL/T4-R</t>
    </r>
  </si>
  <si>
    <t>F42SSILL/T4-R</t>
  </si>
  <si>
    <t>F42SSILL-H</t>
  </si>
  <si>
    <t>F42SSILL-R</t>
  </si>
  <si>
    <t>F42SVS</t>
  </si>
  <si>
    <t>Fluorescent, (2) 48", STD VHO lamp</t>
  </si>
  <si>
    <t>F43EE</t>
  </si>
  <si>
    <t>Fluorescent, (3) 48", ES lamp</t>
  </si>
  <si>
    <t>F43ILL</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</si>
  <si>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</si>
  <si>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</si>
  <si>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</si>
  <si>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</si>
  <si>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</si>
  <si>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</si>
  <si>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</si>
  <si>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</si>
  <si>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</si>
  <si>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F43GHL</t>
  </si>
  <si>
    <t>Fluorescent, (3) 48", STD HO T5 lamp</t>
  </si>
  <si>
    <t>F43GHL-H</t>
  </si>
  <si>
    <t>Fluorescent, (3) 48", STD HO T5 lamp HLO (BF:  .96-1.2)</t>
  </si>
  <si>
    <t>F43IAL-R</t>
  </si>
  <si>
    <t>Fluorescent, (3) 48", F25T12 lamp, Instant Start Ballast, RLO (BF&lt;0.85)</t>
  </si>
  <si>
    <t>Fluorescent, (3) 48", T-8 lamp, Instant Start Ballast, NLO (BF: .85-.95)</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</si>
  <si>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</si>
  <si>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</si>
  <si>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</si>
  <si>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</si>
  <si>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</si>
  <si>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</si>
  <si>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</si>
  <si>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</si>
  <si>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</si>
  <si>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</si>
  <si>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</si>
  <si>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</si>
  <si>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</si>
  <si>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</si>
  <si>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</si>
  <si>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</si>
  <si>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</si>
  <si>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</si>
  <si>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</si>
  <si>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</si>
  <si>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F43RSILL-H</t>
  </si>
  <si>
    <t>Fluorescent, (3) 48", 25W T-8 lamp, Instant Start Ballast, HLO (BF:.96 - 1.2)</t>
  </si>
  <si>
    <t>F43RSILL-R</t>
  </si>
  <si>
    <t>Fluorescent, (3) 48", 25W T-8 lamp, Instant Start Ballast, RLO (BF&lt;0.85)</t>
  </si>
  <si>
    <t>F43SE</t>
  </si>
  <si>
    <t>Fluorescent, (3) 48", STD lamp</t>
  </si>
  <si>
    <t>F43SHS</t>
  </si>
  <si>
    <t>Fluorescent, (3) 48", STD HO lamp</t>
  </si>
  <si>
    <t>F43SIL</t>
  </si>
  <si>
    <t>Fluorescent, (3) 48", STD IS lamp, Electronic ballast</t>
  </si>
  <si>
    <t>F43SILL</t>
  </si>
  <si>
    <t>Fluorescent, (3) 48", Super T-8 lamp, Instant Start Ballast, NLO (BF: .85-.95)</t>
  </si>
  <si>
    <t>F43SILL-H</t>
  </si>
  <si>
    <t>Fluorescent, (3) 48", Super T-8 lamp, Instant Start Ballast, HLO (BF:.96-3.3)</t>
  </si>
  <si>
    <t>F43SILL-R</t>
  </si>
  <si>
    <t>Fluorescent, (3) 48", Super T-8 lamp, Instant Start Ballast, RLO (BF&lt;0.85)</t>
  </si>
  <si>
    <t>F43SIS</t>
  </si>
  <si>
    <t xml:space="preserve">Fluorescent, (3) 48", STD IS lamp </t>
  </si>
  <si>
    <t>F43SS</t>
  </si>
  <si>
    <t>F43SSILL</t>
  </si>
  <si>
    <t>F43SSILL-H</t>
  </si>
  <si>
    <t>F43SSILL-R</t>
  </si>
  <si>
    <t>F43SVS</t>
  </si>
  <si>
    <t>Fluorescent, (3) 48", STD VHO lamp</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</si>
  <si>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</si>
  <si>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</si>
  <si>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</si>
  <si>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</si>
  <si>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</si>
  <si>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</si>
  <si>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</si>
  <si>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</si>
  <si>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</si>
  <si>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</si>
  <si>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</si>
  <si>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</si>
  <si>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F44GHL</t>
  </si>
  <si>
    <t>Fluorescent, (4) 48", STD HO T5 lamp</t>
  </si>
  <si>
    <t>F44GHL-H</t>
  </si>
  <si>
    <t>Fluorescent, (4) 48", STD HO T5 lamp HLO (BF:  .96-1.2)</t>
  </si>
  <si>
    <t>F44IAL-R</t>
  </si>
  <si>
    <t>Fluorescent, (4) 48", F25T12 lamp, Instant Start Ballast, RLO (BF&lt;0.85)</t>
  </si>
  <si>
    <t>Fluorescent, (4) 48", T-8 lamp, Instant Start Ballast, NLO (BF: .85-.95)</t>
  </si>
  <si>
    <t>F44ILL/2</t>
  </si>
  <si>
    <t>Fluorescent, (4) 48", T-8 lamp, Instant Start Ballast, NLO (BF: .85-.95), (2) ballast</t>
  </si>
  <si>
    <t>F44ILL-H</t>
  </si>
  <si>
    <t>Fluorescent, (4) 48", T-8 lamp, Instant Start Ballast, HLO (BF: .96-1.2)</t>
  </si>
  <si>
    <t>F44ILL-R</t>
  </si>
  <si>
    <t>Fluorescent, (4) 48", T-8 lamp, Instant Start Ballast, RLO (BF&lt;0.85)</t>
  </si>
  <si>
    <t>F44ILL-V</t>
  </si>
  <si>
    <t>Fluorescent, (4) 48", T-8 lamp, Instant Start Ballast, VHLO (BF&gt;1.1)</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</si>
  <si>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</si>
  <si>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</si>
  <si>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</si>
  <si>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</si>
  <si>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</si>
  <si>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</si>
  <si>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</si>
  <si>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</si>
  <si>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F44RSILL</t>
  </si>
  <si>
    <t>Fluorescent, (4) 48", 25W T-8 lamp, Instant Start Ballast, NLO (BF: .85-.95)</t>
  </si>
  <si>
    <t>F44RSILL-H</t>
  </si>
  <si>
    <t>Fluorescent, (4) 48", 25W T-8 lamp, Instant Start Ballast, HLO (BF:.96 - 1.2)</t>
  </si>
  <si>
    <t>F44RSILL-R</t>
  </si>
  <si>
    <t>Fluorescent, (4) 48", 25W T-8 lamp, Instant Start Ballast, RLO (BF&lt;0.85)</t>
  </si>
  <si>
    <t>F44SE</t>
  </si>
  <si>
    <t>Fluorescent, (4) 48", STD lamp</t>
  </si>
  <si>
    <t>F44SHS</t>
  </si>
  <si>
    <t>Fluorescent, (4) 48", STD HO lamp</t>
  </si>
  <si>
    <t>F44SIL</t>
  </si>
  <si>
    <t>Fluorescent, (4) 48", STD IS lamp, Electronic ballast</t>
  </si>
  <si>
    <t>F44SILL</t>
  </si>
  <si>
    <t>Fluorescent, (4) 48", Super T-8 lamp, Instant Start Ballast, NLO (BF: .85-.95)</t>
  </si>
  <si>
    <t>F44SILL-H</t>
  </si>
  <si>
    <t>Fluorescent, (4) 48", Super T-8 lamp, Instant Start Ballast, HLO (BF:.96-4.4)</t>
  </si>
  <si>
    <t>F44SILL-R</t>
  </si>
  <si>
    <t>Fluorescent, (4) 48", Super T-8 lamp, Instant Start Ballast, RLO (BF&lt;0.85)</t>
  </si>
  <si>
    <t>F44SIS</t>
  </si>
  <si>
    <t xml:space="preserve">Fluorescent, (4) 48", STD IS lamp </t>
  </si>
  <si>
    <t>F44SS</t>
  </si>
  <si>
    <t>F44SSILL</t>
  </si>
  <si>
    <t>F44SSILL-H</t>
  </si>
  <si>
    <t>F44SSILL-R</t>
  </si>
  <si>
    <t>F44SVS</t>
  </si>
  <si>
    <t>Fluorescent, (4) 48", STD VHO lamp</t>
  </si>
  <si>
    <t>F45GHL</t>
  </si>
  <si>
    <t>Fluorescent, (5) 48", STD HO T5 lamp</t>
  </si>
  <si>
    <t>F45ILL</t>
  </si>
  <si>
    <t>Fluorescent, (5) 48", T-8 lamp, (1) 3-lamp IS ballast and (1) 2-lamp IS ballast, NLO (BF: .85-.95)</t>
  </si>
  <si>
    <t>F46EE</t>
  </si>
  <si>
    <t>Fluorescent, (6) 48", ES lamp</t>
  </si>
  <si>
    <t>F46ILL</t>
  </si>
  <si>
    <t>F46EHS</t>
  </si>
  <si>
    <t>Fluorescent, (6) 48", ES HO lamp (3.5' lamp)</t>
  </si>
  <si>
    <t>F46EL</t>
  </si>
  <si>
    <t>F46ES</t>
  </si>
  <si>
    <t>F46GHL</t>
  </si>
  <si>
    <t>Fluorescent, (6) 48", STD HO T5 lamp</t>
  </si>
  <si>
    <t>F46GHL-H</t>
  </si>
  <si>
    <t>Fluorescent, (6) 48", STD HO T5 lamp HLO (BF:  .96-1.2)</t>
  </si>
  <si>
    <t>Fluorescent, (6) 48", T-8 lamp, Instant Start Ballast, NLO (BF: .85-.95)</t>
  </si>
  <si>
    <t>F46ILL-H</t>
  </si>
  <si>
    <t>Fluorescent, (6) 48", T-8 lamp, Instant Start Ballast, HLO (BF: .96-1.2)</t>
  </si>
  <si>
    <t>F46ILL-R</t>
  </si>
  <si>
    <t>Fluorescent, (6) 48", T-8 lamp, Instant Start Ballast, RLO (BF&lt; .85)</t>
  </si>
  <si>
    <t>F46ILL-V</t>
  </si>
  <si>
    <t>Fluorescent, (6) 48", T-8 lamp, Instant Start Ballast, VLO (BF: &gt;1.2)</t>
  </si>
  <si>
    <t>F46LL</t>
  </si>
  <si>
    <t>Fluorescent, (6) 48", T-8 lamp,  NLO (BF: .85-.95)</t>
  </si>
  <si>
    <t>F46SE</t>
  </si>
  <si>
    <t>Fluorescent, (6) 48", STD lamp</t>
  </si>
  <si>
    <t>F46SIL</t>
  </si>
  <si>
    <t>Fluorescent, (6) 48", 30W T-8 lamp, Instant Start Ballast, NLO (BF: .85-.95)</t>
  </si>
  <si>
    <t>F46SS</t>
  </si>
  <si>
    <t>F46SSIL</t>
  </si>
  <si>
    <t>Fluorescent, (6) 48", 28W T-8 lamp, Instant Start Ballast, NLO (BF: .85-.95)</t>
  </si>
  <si>
    <t>F48EE</t>
  </si>
  <si>
    <t>Fluorescent, (8) 48", ES lamp</t>
  </si>
  <si>
    <t>F48ILL</t>
  </si>
  <si>
    <t>F48EHS</t>
  </si>
  <si>
    <t>Fluorescent, (8) 48", ES HO lamp (3.5' lamp)</t>
  </si>
  <si>
    <t>F48GHL</t>
  </si>
  <si>
    <t>Fluorescent, (8) 48", STD HO T5 lamp</t>
  </si>
  <si>
    <t>Fluorescent, (8) 48", T-8 lamp, Instant Start Ballast, NLO (BF: .85-.95)</t>
  </si>
  <si>
    <t>F48ILL-R</t>
  </si>
  <si>
    <t>Fluorescent, (8) 48", T-8 lamp, Instant Start Ballast, RLO (BF&lt;0.85)</t>
  </si>
  <si>
    <t>F48LHL</t>
  </si>
  <si>
    <t>F48T8/HO</t>
  </si>
  <si>
    <t>Fluorescent, (8) 48", T-8 HO lamp,  NLO (BF: 0.95), 4 Ballasts</t>
  </si>
  <si>
    <t>F51GHL</t>
  </si>
  <si>
    <t>F60T5/HO</t>
  </si>
  <si>
    <t>Fluorescent, (1) 60", STD HO T5 lamp</t>
  </si>
  <si>
    <t>F51GL</t>
  </si>
  <si>
    <t>F60T5</t>
  </si>
  <si>
    <t>Fluorescent, (1) 60", STD T5 lamp</t>
  </si>
  <si>
    <t>F51ILHL</t>
  </si>
  <si>
    <t>F60T8/HO</t>
  </si>
  <si>
    <t>Fluorescent, (1) 60", T-8 HO lamp, Instant Start Ballast</t>
  </si>
  <si>
    <t>N/A</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</si>
  <si>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</si>
  <si>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</si>
  <si>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</si>
  <si>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</si>
  <si>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</si>
  <si>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</si>
  <si>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</si>
  <si>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</si>
  <si>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</si>
  <si>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</si>
  <si>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</si>
  <si>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F51SHE</t>
  </si>
  <si>
    <t>F60T12/HO</t>
  </si>
  <si>
    <t>Fluorescent, (1) 60", STD HO lamp</t>
  </si>
  <si>
    <t>F51SHL</t>
  </si>
  <si>
    <t>F51SHS</t>
  </si>
  <si>
    <t>F51SL</t>
  </si>
  <si>
    <t>F60T12</t>
  </si>
  <si>
    <t>Fluorescent, (1) 60", STD lamp</t>
  </si>
  <si>
    <t>F51SS</t>
  </si>
  <si>
    <t>F51SVS</t>
  </si>
  <si>
    <t>F60T12/VHO</t>
  </si>
  <si>
    <t>Fluorescent, (1) 60", VHO ES lamp</t>
  </si>
  <si>
    <t>F52GL</t>
  </si>
  <si>
    <t>Fluorescent, (2) 60", STD T5 lamp</t>
  </si>
  <si>
    <t>F52ILHL</t>
  </si>
  <si>
    <t>Fluorescent, (2) 60", T-8 HO lamp, Instant Start Ballast</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</si>
  <si>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</si>
  <si>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</si>
  <si>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</si>
  <si>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</si>
  <si>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</si>
  <si>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</si>
  <si>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</si>
  <si>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</si>
  <si>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F52SHE</t>
  </si>
  <si>
    <t>Fluorescent, (2) 60", STD HO lamp</t>
  </si>
  <si>
    <t>F52SHL</t>
  </si>
  <si>
    <t>F52SHS</t>
  </si>
  <si>
    <t>F52SL</t>
  </si>
  <si>
    <t>Fluorescent, (2) 60", STD lamp</t>
  </si>
  <si>
    <t>F52SS</t>
  </si>
  <si>
    <t>F52SVS</t>
  </si>
  <si>
    <t>Fluorescent, (2) 60", VHO ES lamp</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</si>
  <si>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</si>
  <si>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</si>
  <si>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</si>
  <si>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</si>
  <si>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</si>
  <si>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</si>
  <si>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</si>
  <si>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</si>
  <si>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</si>
  <si>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</si>
  <si>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</si>
  <si>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</si>
  <si>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</si>
  <si>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</si>
  <si>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</si>
  <si>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</si>
  <si>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</si>
  <si>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</si>
  <si>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</si>
  <si>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</si>
  <si>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</si>
  <si>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F62ILHL</t>
  </si>
  <si>
    <t>F72T8</t>
  </si>
  <si>
    <t>Fluorescent, (2) 72", T-8 HO lamp, Instant Start Ballast</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</si>
  <si>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</si>
  <si>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</si>
  <si>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</si>
  <si>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</si>
  <si>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</si>
  <si>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</si>
  <si>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</si>
  <si>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</si>
  <si>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</si>
  <si>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</si>
  <si>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</si>
  <si>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</si>
  <si>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</si>
  <si>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</si>
  <si>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</si>
  <si>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</si>
  <si>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</si>
  <si>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</si>
  <si>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</si>
  <si>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</si>
  <si>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</si>
  <si>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</si>
  <si>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</si>
  <si>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</si>
  <si>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</si>
  <si>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</si>
  <si>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</si>
  <si>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</si>
  <si>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F81ILL</t>
  </si>
  <si>
    <t>F81EE/T2</t>
  </si>
  <si>
    <t>Fluorescent, (1) 96", ES lamp, tandem to 2-lamp ballast</t>
  </si>
  <si>
    <t>F81EHL</t>
  </si>
  <si>
    <t>F96T12/HO/ES</t>
  </si>
  <si>
    <t>Fluorescent, (1) 96", ES HO lamp</t>
  </si>
  <si>
    <t>F81LHL</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</si>
  <si>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</si>
  <si>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</si>
  <si>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</si>
  <si>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</si>
  <si>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</si>
  <si>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</si>
  <si>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</si>
  <si>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</si>
  <si>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</si>
  <si>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</si>
  <si>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</si>
  <si>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</si>
  <si>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</si>
  <si>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</si>
  <si>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</si>
  <si>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</si>
  <si>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</si>
  <si>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</si>
  <si>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</si>
  <si>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</si>
  <si>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</si>
  <si>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</si>
  <si>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</si>
  <si>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F96T8/HO</t>
  </si>
  <si>
    <t>Fluorescent, (1) 96", T8 HO lamp</t>
  </si>
  <si>
    <t>F81LHL/T2</t>
  </si>
  <si>
    <t>Fluorescent, (1) 96", T8 HO lamp, tandem wired to 2-lamp ballast</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</si>
  <si>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</si>
  <si>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</si>
  <si>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</si>
  <si>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</si>
  <si>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</si>
  <si>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</si>
  <si>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</si>
  <si>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</si>
  <si>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</si>
  <si>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</si>
  <si>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</si>
  <si>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</si>
  <si>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</si>
  <si>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</si>
  <si>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</si>
  <si>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</si>
  <si>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</si>
  <si>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</si>
  <si>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</si>
  <si>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F82ILL</t>
  </si>
  <si>
    <t>F82EHE</t>
  </si>
  <si>
    <t>Fluorescent, (2) 96", ES HO lamp</t>
  </si>
  <si>
    <t>F82LHL</t>
  </si>
  <si>
    <t>F82EHL</t>
  </si>
  <si>
    <t>F82EHS</t>
  </si>
  <si>
    <t>F82EL</t>
  </si>
  <si>
    <t>F82ES</t>
  </si>
  <si>
    <t>F82EVS</t>
  </si>
  <si>
    <t>Fluorescent, (2) 96", ES VHO lamp</t>
  </si>
  <si>
    <t>Fluorescent, (2) 96", T-8 lamp, Instant Start Ballast, NLO (BF: .85-.95)</t>
  </si>
  <si>
    <t>F82ILL-R</t>
  </si>
  <si>
    <t>Fluorescent, (2) 96", T-8 lamp, Instant Start Ballast, RLO (BF&lt;0.85)</t>
  </si>
  <si>
    <t>Fluorescent, (2) 96", T8 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</si>
  <si>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</si>
  <si>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</si>
  <si>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</si>
  <si>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</si>
  <si>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</si>
  <si>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</si>
  <si>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</si>
  <si>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</si>
  <si>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</si>
  <si>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</si>
  <si>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</si>
  <si>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</si>
  <si>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</si>
  <si>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F83ILL</t>
  </si>
  <si>
    <t>F83EHE</t>
  </si>
  <si>
    <t>Fluorescent, (3) 96", ES HO lamp, (1) 2-lamp ES Ballast, (1) 1-lamp STD Ballast</t>
  </si>
  <si>
    <t>Mag-ES/STD</t>
  </si>
  <si>
    <t>F83LHL</t>
  </si>
  <si>
    <t>F83EHS</t>
  </si>
  <si>
    <t>Fluorescent, (3) 96", ES HO lamp</t>
  </si>
  <si>
    <t>F83EL</t>
  </si>
  <si>
    <t>F83ES</t>
  </si>
  <si>
    <t>F83EVS</t>
  </si>
  <si>
    <t>Fluorescent, (3) 96", ES VHO lamp</t>
  </si>
  <si>
    <t>Fluorescent, (3) 96", T-8 lamp, Instant Start Ballast, NLO (BF: .85-.95)</t>
  </si>
  <si>
    <t>F83SHS</t>
  </si>
  <si>
    <t>Fluorescent, (3) 96", STD HO lamp</t>
  </si>
  <si>
    <t>F83SS</t>
  </si>
  <si>
    <t>Fluorescent, (3) 96", STD lamp</t>
  </si>
  <si>
    <t>F83SVS</t>
  </si>
  <si>
    <t>Fluorescent, (3) 96", STD VHO lamp</t>
  </si>
  <si>
    <t>F84EE</t>
  </si>
  <si>
    <t>Fluorescent, (4) 96", ES lamp</t>
  </si>
  <si>
    <t>F84ILL</t>
  </si>
  <si>
    <t>F84EHE</t>
  </si>
  <si>
    <t>Fluorescent, (4) 96", ES HO lamp</t>
  </si>
  <si>
    <t>F84LHL</t>
  </si>
  <si>
    <t>F84EHL</t>
  </si>
  <si>
    <t>F84EHS</t>
  </si>
  <si>
    <t>F84EL</t>
  </si>
  <si>
    <t>F84ES</t>
  </si>
  <si>
    <t>F84EVS</t>
  </si>
  <si>
    <t>Fluorescent, (4) 96", ES VHO lamp</t>
  </si>
  <si>
    <t>Fluorescent, (4) 96", T-8 lamp, Instant Start Ballast, NLO (BF: .85-.95)</t>
  </si>
  <si>
    <t>Fluorescent, (4) 96", T8 HO lamp</t>
  </si>
  <si>
    <t>F84SE</t>
  </si>
  <si>
    <t>Fluorescent, (4) 96", STD lamp</t>
  </si>
  <si>
    <t>F84SHE</t>
  </si>
  <si>
    <t>Fluorescent, (4) 96", STD HO lamp</t>
  </si>
  <si>
    <t>F84SHL</t>
  </si>
  <si>
    <r>
      <t>Fluorescent, (</t>
    </r>
    <r>
      <rPr>
        <sz val="11"/>
        <color indexed="10"/>
        <rFont val="Arial"/>
        <family val="2"/>
      </rPr>
      <t>4</t>
    </r>
    <r>
      <rPr>
        <sz val="11"/>
        <rFont val="Arial"/>
        <family val="2"/>
      </rPr>
      <t>) 96", STD HO lamp</t>
    </r>
  </si>
  <si>
    <t>F84SHS</t>
  </si>
  <si>
    <t>F84SL</t>
  </si>
  <si>
    <t>Fluorescent, (4) 96", STD lamp, Instant Start Ballast, NLO (BF: .85-.95)</t>
  </si>
  <si>
    <t>F84SS</t>
  </si>
  <si>
    <t>F84SVS</t>
  </si>
  <si>
    <t>Fluorescent, (4) 96", STD VHO lamp</t>
  </si>
  <si>
    <t>F86EE</t>
  </si>
  <si>
    <t>Fluorescent, (6) 96", ES lamp</t>
  </si>
  <si>
    <t>F86ILL</t>
  </si>
  <si>
    <t>F86EHS</t>
  </si>
  <si>
    <t>Fluorescent, (6) 96", ES HO lamp</t>
  </si>
  <si>
    <t>F86LHL</t>
  </si>
  <si>
    <t>F86EL</t>
  </si>
  <si>
    <t>Fluorescent, (6) 96", T-8 lamp, Instant Start Ballast, NLO (BF: .85-.95)</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</si>
  <si>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</si>
  <si>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</si>
  <si>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</si>
  <si>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</si>
  <si>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</si>
  <si>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</si>
  <si>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</si>
  <si>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</si>
  <si>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</si>
  <si>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</si>
  <si>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FU1EE</t>
  </si>
  <si>
    <t>FU40T12/ES</t>
  </si>
  <si>
    <t>Fluorescent, (1) U-Tube, ES lamp</t>
  </si>
  <si>
    <t>FU1ILL</t>
  </si>
  <si>
    <t>FU31T8/6</t>
  </si>
  <si>
    <t>Fluorescent, (1) U-Tube, T-8 lamp, Instant Start ballast</t>
  </si>
  <si>
    <t>FU1LL</t>
  </si>
  <si>
    <t>Fluorescent, (1) U-Tube, T-8 lamp</t>
  </si>
  <si>
    <t>FU1LL-R</t>
  </si>
  <si>
    <t>Fluorescent, (1) U-Tube, T-8 lamp, RLO (BF&lt;0.85)</t>
  </si>
  <si>
    <t>FU2EE</t>
  </si>
  <si>
    <t>Fluorescent, (2) U-Tube, ES lamp</t>
  </si>
  <si>
    <t>FU2ILL</t>
  </si>
  <si>
    <t>FU2ES</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</si>
  <si>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</si>
  <si>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</si>
  <si>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</si>
  <si>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</si>
  <si>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</si>
  <si>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</si>
  <si>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</si>
  <si>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</si>
  <si>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</si>
  <si>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</si>
  <si>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</si>
  <si>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</si>
  <si>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</si>
  <si>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</si>
  <si>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</si>
  <si>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FU2SE</t>
  </si>
  <si>
    <t>FU40T12</t>
  </si>
  <si>
    <t>Fluorescent, (2) U-Tube, STD lamp</t>
  </si>
  <si>
    <t>FU2SS</t>
  </si>
  <si>
    <t>FU3EE</t>
  </si>
  <si>
    <t>Fluorescent, (3) U-Tube, ES lamp</t>
  </si>
  <si>
    <t>FU3ILL</t>
  </si>
  <si>
    <t>Fluorescent, (3) U-Tube, T-8 lamp, Instant Start Ballast</t>
  </si>
  <si>
    <t>FU3ILL-R</t>
  </si>
  <si>
    <t>Fluorescent, (3) U-Tube, T-8 lamp, Instant Start RLO Ballast</t>
  </si>
  <si>
    <t>Enter Custom Fixture</t>
  </si>
  <si>
    <t>Custom, From Cut Sheet</t>
  </si>
  <si>
    <t>Version Log</t>
  </si>
  <si>
    <t>Original Author:</t>
  </si>
  <si>
    <t>Michael Stevenson</t>
  </si>
  <si>
    <t>QA/QC Engineer(s):</t>
  </si>
  <si>
    <t>Primary Developer:</t>
  </si>
  <si>
    <t>Senior Engineer Approval:</t>
  </si>
  <si>
    <t>Version</t>
  </si>
  <si>
    <t>Date</t>
  </si>
  <si>
    <t>Reason for Change</t>
  </si>
  <si>
    <t>Change Description</t>
  </si>
  <si>
    <t>Contact, Department</t>
  </si>
  <si>
    <t>Initial Launch</t>
  </si>
  <si>
    <t>Michael Stevenson, Engineering</t>
  </si>
  <si>
    <t>Dropdown Fix</t>
  </si>
  <si>
    <t>Fixed issue with Measure dropdown</t>
  </si>
  <si>
    <t>Filter Fix</t>
  </si>
  <si>
    <t>Fixed issue with filter on Fixture Codes tab</t>
  </si>
  <si>
    <t>Bug &amp; Format</t>
  </si>
  <si>
    <t>Fixed issue with HVAC type &amp; file format</t>
  </si>
  <si>
    <t>Lookup Issue</t>
  </si>
  <si>
    <t>Fixed issut with HVAC lookup</t>
  </si>
  <si>
    <t>Reconfiguration, Lookup table updates, 50% project cost cap</t>
  </si>
  <si>
    <t>Removed Building Type input from calculator tab
Removed requirement to select measure before selecting fixture codes
Corrected HVAC lookup
Updated Building Type list format
Implemented 50% Project Cost cap</t>
  </si>
  <si>
    <t>Lookup table updates, bug fixes</t>
  </si>
  <si>
    <t>Added Measure Name from Filing, pre &amp; post fixture descriptions, measure life mapping, corrected issue with controls incentive calculation</t>
  </si>
  <si>
    <t>Measure Life Update</t>
  </si>
  <si>
    <t>Updated measure lives to match filing.</t>
  </si>
  <si>
    <t>Incentive Update &amp; General Edits</t>
  </si>
  <si>
    <t>Updated incentive for LED mogul-screw base replacement for HID lamps to $68 to match measure list. Updated Savings and Incentive Summary Table to match required DSMT inputs. Inserted input message for equipment costs on calculator tab.</t>
  </si>
  <si>
    <t>General Updates</t>
  </si>
  <si>
    <t>Updated kW PJM savings for controls
Created per unit fixture and controls equipment cost input.
Updated total fixture and controls equipment cost to calculate accordingly.
Deleted Measure Summary tab to save space.
Updated description of high bay versus low bay to include ceiling height threshold.</t>
  </si>
  <si>
    <t>Cell Protection Updates</t>
  </si>
  <si>
    <t>Updated cell protections so that formulas in hidden columns cannot be deleted when an array is selected and delete/backspace is pressed.</t>
  </si>
  <si>
    <t>Lookups &amp; Data Validation</t>
  </si>
  <si>
    <t>Added lookups for measure and controls codes. Added data validation for text fields to not exceed 55 characters.</t>
  </si>
  <si>
    <t>Modified control type code and added data validation for custom fixture code descriptions.</t>
  </si>
  <si>
    <t>Phase V Update</t>
  </si>
  <si>
    <t>Updated incentive rates based on Phase V incentive table. Updated HOU reference for exit sign measures.</t>
  </si>
  <si>
    <t>Meredith Woy, Engineering</t>
  </si>
  <si>
    <t>Lighting - Other, Lighting - Custom</t>
  </si>
  <si>
    <t>Updated incentive rate for Lighting - other. Added Lighting - Custom</t>
  </si>
  <si>
    <t>Remove incentive for neg or zero savings, round demand and kWh savings, fix networked controls dropdown</t>
  </si>
  <si>
    <t>TRM V10 updates</t>
  </si>
  <si>
    <t>Updated NLC to match MA TRM V10 and removed space after Unconditioned heating type</t>
  </si>
  <si>
    <t>Conor McGrail, Engineering</t>
  </si>
  <si>
    <t>Summary Table</t>
  </si>
  <si>
    <t>Project Cost:</t>
  </si>
  <si>
    <t>Energy Savings (kWh):</t>
  </si>
  <si>
    <t>Available Utility Incentive:</t>
  </si>
  <si>
    <t>Cost to Customer:</t>
  </si>
  <si>
    <t>Available Utility Incentive</t>
  </si>
  <si>
    <t>Monthly</t>
  </si>
  <si>
    <t>Annually</t>
  </si>
  <si>
    <t>Current</t>
  </si>
  <si>
    <t>Good</t>
  </si>
  <si>
    <t>Better</t>
  </si>
  <si>
    <t>Best</t>
  </si>
  <si>
    <t>Additional Savings Strategies Implemented</t>
  </si>
  <si>
    <t>Tier</t>
  </si>
  <si>
    <t>https://neea.org/resources/2020-luminaire-level-lighting-controls-incremental-cost-study#:~:text=In%202020%2C%20the%20cost%20on,standard%20LED%20fixture%20without%20controls.</t>
  </si>
  <si>
    <t xml:space="preserve">https://nrc-publications.canada.ca/eng/view/accepted/?id=9de16357-d013-41c3-a944-8e5d119f2170 </t>
  </si>
  <si>
    <t>Cost of Waiting</t>
  </si>
  <si>
    <t>By the Numbers</t>
  </si>
  <si>
    <t>Add occupancy control to all fixtures</t>
  </si>
  <si>
    <t>Annual Utility Cost Savings:</t>
  </si>
  <si>
    <t>Increased incentive</t>
  </si>
  <si>
    <t>Increased Cost</t>
  </si>
  <si>
    <t>kW</t>
  </si>
  <si>
    <t>Sensor Qty assuming 1 sensor per 2 fixtures</t>
  </si>
  <si>
    <t>Additional kWh saved</t>
  </si>
  <si>
    <t>Energy:</t>
  </si>
  <si>
    <t>kW:</t>
  </si>
  <si>
    <t>Incentive:</t>
  </si>
  <si>
    <t>Cost:</t>
  </si>
  <si>
    <t>Add occupancy and daylight control to all fixtures
NLC/LLLC out of box settings
30 minute occupancy timeout</t>
  </si>
  <si>
    <t>$49 incremental cost for LLLC compared to standard LED fixture without controls</t>
  </si>
  <si>
    <t>1 occupancy sensor for every 2 lights in Good scenario</t>
  </si>
  <si>
    <t>$30 average sensor incentive for Good tier</t>
  </si>
  <si>
    <t>$36 added sensor cost for Good tier</t>
  </si>
  <si>
    <t>Add occupancy and daylight control to all fixtures
NLC/LLLC advanced design
80% task tuning
10 minute occupancy timeout</t>
  </si>
  <si>
    <t>Conservative 15% savings for 80% task tuning</t>
  </si>
  <si>
    <t>HIDE</t>
  </si>
  <si>
    <t>9.7% average savings from 30 minutes to 10 minutes occupancy timeout</t>
  </si>
  <si>
    <t>Food Service</t>
  </si>
  <si>
    <t>Appliances</t>
  </si>
  <si>
    <t>Electronics</t>
  </si>
  <si>
    <t>Agriculture</t>
  </si>
  <si>
    <t>HVAC</t>
  </si>
  <si>
    <t>Additional Energy Savings and Incentives Opportunities</t>
  </si>
  <si>
    <t>Rooftop Units, Chillers, Ductless Mini-Splits and more!</t>
  </si>
  <si>
    <t>Commercial Kitchen Equipment, Ice Machines, Evaporator Fan Controllers, and more!</t>
  </si>
  <si>
    <t>Dairy Scroll Compressors, High Volume Low Speed Fans, VSDs on Dairy Pumps, and more!</t>
  </si>
  <si>
    <t>Any other energy savings projects that do not meet the prescriptive criteria!</t>
  </si>
  <si>
    <t>Link to HVAC Incentives</t>
  </si>
  <si>
    <t>Link to Appliance Incentives</t>
  </si>
  <si>
    <t>Link to Electronics Incentives</t>
  </si>
  <si>
    <t>Link to Custom Incentives</t>
  </si>
  <si>
    <t>Link to Ag Incentives</t>
  </si>
  <si>
    <t>Link to FS Incentives</t>
  </si>
  <si>
    <t>https://www.designlights.org/wp-content/uploads/2021/01/Energy-Savings-From-Networked-Lighting-Controls-with-and-without-LLLC_FINAL_09242020.pdf</t>
  </si>
  <si>
    <t>Estimated Potential Utility Incentive:</t>
  </si>
  <si>
    <t>Assumption based on LLLC having one sensor for every light. This will vary project to project.</t>
  </si>
  <si>
    <t>Occ sensor costs vary based on type and manufacturer. Using average cost of $36 based off projects in program database.</t>
  </si>
  <si>
    <t>Assumptions</t>
  </si>
  <si>
    <t>Used average of $30 for sensor incentive since some variations will  be $40 and some will be $20 depending on controlled wattage. Lines 64 and 65 of Prescriptive Rebate Table tab for reference.</t>
  </si>
  <si>
    <t>***This worksheet is used to present additional potential utility incentives and savings. These estimates are based off cited assumptions and results may vary depending on equipment selection.
Instructions: To use this tab, fill out the entirety of the Calculator tab, as well as Electric Rate ($/kWh), Demand Rate ($/kW), Total Project Cost, and Building Type on 'Project Info and Summary' tab.</t>
  </si>
  <si>
    <t>Simply Payback (Years)</t>
  </si>
  <si>
    <t>------ Hide below this line------</t>
  </si>
  <si>
    <t>Electric Rate ($/kWh):</t>
  </si>
  <si>
    <t>Demand Rate ($/kW):</t>
  </si>
  <si>
    <t>Total Project Cost:</t>
  </si>
  <si>
    <t>Building Type:</t>
  </si>
  <si>
    <t>Added Value Proposition Calculator</t>
  </si>
  <si>
    <t>Return on Investment</t>
  </si>
  <si>
    <t>Various updates</t>
  </si>
  <si>
    <t>Added "Additional Opportunities" tab and Optimization Bonus in hidden cells on Project Info and Summary tab</t>
  </si>
  <si>
    <t>Current Version:</t>
  </si>
  <si>
    <t>Date Updated:</t>
  </si>
  <si>
    <t>ENERGY STAR® Refrigerators/Freezers, Pre-Rinse Spray Valves, Heat Pump Water Heaters, and more!</t>
  </si>
  <si>
    <t>ENERGY STAR® Computers, Uniterruptible Power Supply (UPS), Smart Power Strips and more!</t>
  </si>
  <si>
    <t>Bonus</t>
  </si>
  <si>
    <t>Estimated Bonus ($)</t>
  </si>
  <si>
    <t>No</t>
  </si>
  <si>
    <t>Bonus is $0.05/kWh for all lighting projects, cannot exceed Estimated Incentive amount</t>
  </si>
  <si>
    <t>Bonus removal</t>
  </si>
  <si>
    <t>Removed bonus</t>
  </si>
  <si>
    <t>Added bonus</t>
  </si>
  <si>
    <t>Incentive Update</t>
  </si>
  <si>
    <t>Updated to 2/9/23 Incentive Rates</t>
  </si>
  <si>
    <t>All</t>
  </si>
  <si>
    <t>Comm/Ind Work (General High Bay)</t>
  </si>
  <si>
    <t>Comm/Ind Work (General Low Bay)</t>
  </si>
  <si>
    <t>Common Area Hallways[2]</t>
  </si>
  <si>
    <t>Non-Hallway Common Areas[1]</t>
  </si>
  <si>
    <t>Office (Open Plan)</t>
  </si>
  <si>
    <t>Storage (Conditioned &amp; Walk-In Refrigerator/Freezer)</t>
  </si>
  <si>
    <t>Storage (Walk-In Refrigerator/Freezer)</t>
  </si>
  <si>
    <t>Education</t>
  </si>
  <si>
    <t>Vacant (Conditioned)</t>
  </si>
  <si>
    <t>Residential in-unit</t>
  </si>
  <si>
    <t>(DO NOT USE) Common Areas</t>
  </si>
  <si>
    <t>0.059</t>
  </si>
  <si>
    <t>0.058</t>
  </si>
  <si>
    <t>0.86</t>
  </si>
  <si>
    <t>Multi_Family</t>
  </si>
  <si>
    <t>Bonus Eligibility</t>
  </si>
  <si>
    <t>FE-CHKMTR</t>
  </si>
  <si>
    <t>FE-CMPUSE2</t>
  </si>
  <si>
    <t>FE-COMPUSE</t>
  </si>
  <si>
    <t>MP-GSMANF</t>
  </si>
  <si>
    <t>PE-GSC1D</t>
  </si>
  <si>
    <t>PE-GSC1F</t>
  </si>
  <si>
    <t>PE-GSC2D</t>
  </si>
  <si>
    <t>PE-GSC2F</t>
  </si>
  <si>
    <t>PE-GSCA1D</t>
  </si>
  <si>
    <t>PE-GSCA1F</t>
  </si>
  <si>
    <t>PE-GSCA2D</t>
  </si>
  <si>
    <t>PE-GSCA2F</t>
  </si>
  <si>
    <t>PE-GSCSH1D</t>
  </si>
  <si>
    <t>PE-GSCSH1F</t>
  </si>
  <si>
    <t>PE-GSCSH2D</t>
  </si>
  <si>
    <t>PE-GSCSH2F</t>
  </si>
  <si>
    <t>PE-GSG1D</t>
  </si>
  <si>
    <t>PE-GSG1F</t>
  </si>
  <si>
    <t>PE-GSG2D</t>
  </si>
  <si>
    <t>PE-GSG2F</t>
  </si>
  <si>
    <t>PE-GSMANF</t>
  </si>
  <si>
    <t>PE-HAGFRED</t>
  </si>
  <si>
    <t>PE-HAGFREF</t>
  </si>
  <si>
    <t>PE-PH2D</t>
  </si>
  <si>
    <t>PE-PH2F</t>
  </si>
  <si>
    <t>PE-PH3D</t>
  </si>
  <si>
    <t>PE-PH3F</t>
  </si>
  <si>
    <t>PE-POLD</t>
  </si>
  <si>
    <t>PE-PPD</t>
  </si>
  <si>
    <t>PE-RSRD</t>
  </si>
  <si>
    <t>PE-RSRF</t>
  </si>
  <si>
    <t>PE-STLTD</t>
  </si>
  <si>
    <t>PE-STLTF</t>
  </si>
  <si>
    <t>PE-WSDV1F</t>
  </si>
  <si>
    <t>WP-WSHVF</t>
  </si>
  <si>
    <t>WP-WSLVF</t>
  </si>
  <si>
    <t>Rate Code</t>
  </si>
  <si>
    <t>Yes</t>
  </si>
  <si>
    <t>Added bonus for eligible rate codes, updated building type mapping per 2022 PE Evaluation results</t>
  </si>
  <si>
    <t>Bonus/Lookups</t>
  </si>
  <si>
    <t>Removed bonus from calculator and updated lookups tables building type mapping to reflect Guidehouse recommendations (from Rumbi 9/8/23)</t>
  </si>
  <si>
    <t>Common Areas</t>
  </si>
  <si>
    <t>Guest Rooms</t>
  </si>
  <si>
    <t>Hotel_Lodging</t>
  </si>
  <si>
    <t>Bi-Level Occupancy Controls</t>
  </si>
  <si>
    <t>OCCUPANCYBL</t>
  </si>
  <si>
    <t>Phase VI Updates</t>
  </si>
  <si>
    <t>Nick Momenee, Engineering</t>
  </si>
  <si>
    <t>Lifetime Savings Adj</t>
  </si>
  <si>
    <t>Updated to TRM v11 changes. Including screw lamp RUL and adding adj lifetime savings factors.</t>
  </si>
  <si>
    <t>Phase VI updates</t>
  </si>
  <si>
    <t>Updated asthetics across program tools</t>
  </si>
  <si>
    <t>Use the color coded reference cells. Only white cells need input.</t>
  </si>
  <si>
    <r>
      <t>ΔkW</t>
    </r>
    <r>
      <rPr>
        <vertAlign val="subscript"/>
        <sz val="11"/>
        <color indexed="9"/>
        <rFont val="Arial"/>
        <family val="2"/>
      </rPr>
      <t xml:space="preserve"> Summer</t>
    </r>
  </si>
  <si>
    <t>Summer</t>
  </si>
  <si>
    <t>Winter</t>
  </si>
  <si>
    <t>Total Energy Savings (kWh)</t>
  </si>
  <si>
    <t>Total Summer Peak Demand (kW)</t>
  </si>
  <si>
    <t>Total Winter Peak Demand (kW)</t>
  </si>
  <si>
    <t>Version:</t>
  </si>
  <si>
    <t>Last Updated:</t>
  </si>
  <si>
    <r>
      <t>DkW</t>
    </r>
    <r>
      <rPr>
        <b/>
        <vertAlign val="subscript"/>
        <sz val="11"/>
        <color theme="0"/>
        <rFont val="Arial"/>
        <family val="2"/>
      </rPr>
      <t>PJM Summer</t>
    </r>
  </si>
  <si>
    <r>
      <t>DkW</t>
    </r>
    <r>
      <rPr>
        <b/>
        <vertAlign val="subscript"/>
        <sz val="11"/>
        <color theme="0"/>
        <rFont val="Arial"/>
        <family val="2"/>
      </rPr>
      <t>PJM Winter</t>
    </r>
  </si>
  <si>
    <t>ΔkW</t>
  </si>
  <si>
    <t>Summer Peak Demand Savings (kW)</t>
  </si>
  <si>
    <t>Winter Peak Demand Savings (kW)</t>
  </si>
  <si>
    <t xml:space="preserve">Estimated summer peak demand savings </t>
  </si>
  <si>
    <t>Estimated winter peak demand savings</t>
  </si>
  <si>
    <t>Fixed bug on fixture codes tab</t>
  </si>
  <si>
    <t>Government</t>
  </si>
  <si>
    <t>Non-Profit</t>
  </si>
  <si>
    <t>Institutional</t>
  </si>
  <si>
    <t>Gov't, Non-Profit, Institutional:</t>
  </si>
  <si>
    <t>GNI Adder ($):</t>
  </si>
  <si>
    <r>
      <t xml:space="preserve">Total Incentive ($)
</t>
    </r>
    <r>
      <rPr>
        <b/>
        <sz val="8"/>
        <color theme="0"/>
        <rFont val="Arial"/>
        <family val="2"/>
      </rPr>
      <t>including GNI Adder</t>
    </r>
  </si>
  <si>
    <t>Prescriptive Incentive ($)</t>
  </si>
  <si>
    <t>Equipment Cost</t>
  </si>
  <si>
    <t>Incentives</t>
  </si>
  <si>
    <t>Sensor Quantity Used</t>
  </si>
  <si>
    <t>Per kWh</t>
  </si>
  <si>
    <t>Occupancy</t>
  </si>
  <si>
    <t>Vacancy</t>
  </si>
  <si>
    <t>Daylighting</t>
  </si>
  <si>
    <t>Dual Daylight and Occupancy</t>
  </si>
  <si>
    <t>Networked Lighting Control</t>
  </si>
  <si>
    <t>Lighting Optimization</t>
  </si>
  <si>
    <t>/kWh</t>
  </si>
  <si>
    <t>Tiered Controls Incentive</t>
  </si>
  <si>
    <t>OCC</t>
  </si>
  <si>
    <t>VAC</t>
  </si>
  <si>
    <t>DAY</t>
  </si>
  <si>
    <t>DUAL</t>
  </si>
  <si>
    <t>Fixture Level Control</t>
  </si>
  <si>
    <t>Zoned Control</t>
  </si>
  <si>
    <t>Tier 3 Lighting Controls - Networked Lighting Controls</t>
  </si>
  <si>
    <t>Lighting_Optimization</t>
  </si>
  <si>
    <t>Zoned_Control</t>
  </si>
  <si>
    <t>Fixture_Level_Control</t>
  </si>
  <si>
    <t>Tier 1 Lighting Controls - Zoned Control: Includes occupancy, vacancy, daylighting, and dual sensors</t>
  </si>
  <si>
    <t>Tier 2 Lighting Controls - Fixture Level Control: Includes occupancy, vacancy, daylighting, and dual sensors</t>
  </si>
  <si>
    <t>Tier 4 Lighting Controls - Lighting Optimization: in supplement to network lighting controls</t>
  </si>
  <si>
    <r>
      <t>ΔkW</t>
    </r>
    <r>
      <rPr>
        <vertAlign val="subscript"/>
        <sz val="11"/>
        <color indexed="9"/>
        <rFont val="Arial"/>
        <family val="2"/>
      </rPr>
      <t xml:space="preserve"> 
Winter</t>
    </r>
  </si>
  <si>
    <r>
      <t xml:space="preserve">ΔkW
</t>
    </r>
    <r>
      <rPr>
        <vertAlign val="subscript"/>
        <sz val="11"/>
        <color indexed="9"/>
        <rFont val="Arial"/>
        <family val="2"/>
      </rPr>
      <t>Winter</t>
    </r>
  </si>
  <si>
    <t>July 8 Launch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</si>
</sst>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00"/>
    <numFmt numFmtId="167" formatCode="0.000"/>
    <numFmt numFmtId="168" formatCode="_(* #,##0.00_);_(* \(#,##0.00\);_(* \-??_);_(@_)"/>
    <numFmt numFmtId="169" formatCode="_(\$* #,##0.00_);_(\$* \(#,##0.00\);_(\$* \-??_);_(@_)"/>
    <numFmt numFmtId="170" formatCode="0.0000000000"/>
    <numFmt numFmtId="171" formatCode="m\-d\-yy"/>
    <numFmt numFmtId="172" formatCode="_(* #,##0.0_);_(* \(#,##0.00\);_(* &quot;-&quot;??_);_(@_)"/>
    <numFmt numFmtId="173" formatCode="General_)"/>
    <numFmt numFmtId="174" formatCode="&quot;fl&quot;#,##0_);\(&quot;fl&quot;#,##0\)"/>
    <numFmt numFmtId="175" formatCode="&quot;fl&quot;#,##0_);[Red]\(&quot;fl&quot;#,##0\)"/>
    <numFmt numFmtId="176" formatCode="_-* #,##0_-;\-* #,##0_-;_-* &quot;-&quot;_-;_-@_-"/>
    <numFmt numFmtId="177" formatCode="_-* #,##0.0_-;\-* #,##0.0_-;_-* &quot;-&quot;??_-;_-@_-"/>
    <numFmt numFmtId="178" formatCode="#,##0.00&quot; $&quot;;\-#,##0.00&quot; $&quot;"/>
    <numFmt numFmtId="179" formatCode="0.00_)"/>
    <numFmt numFmtId="180" formatCode="dd"/>
    <numFmt numFmtId="181" formatCode="_(&quot;$&quot;* #,##0.00000_);_(&quot;$&quot;* \(#,##0.00000\);_(&quot;$&quot;* &quot;-&quot;??_);_(@_)"/>
    <numFmt numFmtId="182" formatCode="_(&quot;$&quot;* #,##0.0000_);_(&quot;$&quot;* \(#,##0.0000\);_(&quot;$&quot;* &quot;-&quot;??_);_(@_)"/>
    <numFmt numFmtId="183" formatCode="#,##0.0"/>
    <numFmt numFmtId="184" formatCode="0.000000"/>
    <numFmt numFmtId="185" formatCode="#,##0.000"/>
    <numFmt numFmtId="186" formatCode="#,##0.000000"/>
  </numFmts>
  <fonts count="110">
    <font>
      <sz val="11"/>
      <color theme="1"/>
      <name val="Calibri"/>
      <family val="2"/>
      <scheme val="minor"/>
    </font>
    <font>
      <sz val="10"/>
      <name val="Arial"/>
      <family val="2"/>
    </font>
    <font>
      <b/>
      <vertAlign val="subscript"/>
      <sz val="11"/>
      <color indexed="9"/>
      <name val="Calibri"/>
      <family val="2"/>
    </font>
    <font>
      <b/>
      <sz val="12"/>
      <name val="Arial"/>
      <family val="2"/>
    </font>
    <font>
      <sz val="11"/>
      <color indexed="8"/>
      <name val="Calibri"/>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1"/>
      <color indexed="9"/>
      <name val="Calibri"/>
      <family val="2"/>
    </font>
    <font>
      <sz val="10"/>
      <name val="Geneva"/>
    </font>
    <font>
      <sz val="11"/>
      <color indexed="20"/>
      <name val="Calibri"/>
      <family val="2"/>
    </font>
    <font>
      <sz val="9"/>
      <name val="Times New Roman"/>
      <family val="1"/>
    </font>
    <font>
      <sz val="10"/>
      <name val="Courier"/>
      <family val="3"/>
    </font>
    <font>
      <b/>
      <sz val="11"/>
      <color indexed="52"/>
      <name val="Calibri"/>
      <family val="2"/>
    </font>
    <font>
      <b/>
      <sz val="11"/>
      <color indexed="9"/>
      <name val="Calibri"/>
      <family val="2"/>
    </font>
    <font>
      <b/>
      <sz val="24"/>
      <color indexed="8"/>
      <name val="Arial"/>
      <family val="2"/>
    </font>
    <font>
      <sz val="11"/>
      <name val="??"/>
      <family val="3"/>
      <charset val="129"/>
    </font>
    <font>
      <sz val="10"/>
      <color indexed="8"/>
      <name val="Arial"/>
      <family val="2"/>
    </font>
    <font>
      <i/>
      <sz val="11"/>
      <color indexed="23"/>
      <name val="Calibri"/>
      <family val="2"/>
    </font>
    <font>
      <sz val="11"/>
      <color indexed="17"/>
      <name val="Calibri"/>
      <family val="2"/>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sz val="10"/>
      <color indexed="8"/>
      <name val="MS Sans Serif"/>
      <family val="2"/>
    </font>
    <font>
      <sz val="10"/>
      <name val="Helv"/>
    </font>
    <font>
      <b/>
      <sz val="8"/>
      <name val="Arial"/>
      <family val="2"/>
    </font>
    <font>
      <b/>
      <sz val="11"/>
      <color indexed="63"/>
      <name val="Calibri"/>
      <family val="2"/>
    </font>
    <font>
      <i/>
      <sz val="8"/>
      <name val="Arial"/>
      <family val="2"/>
    </font>
    <font>
      <b/>
      <sz val="18"/>
      <color indexed="56"/>
      <name val="Cambria"/>
      <family val="2"/>
    </font>
    <font>
      <sz val="8"/>
      <color indexed="12"/>
      <name val="Arial"/>
      <family val="2"/>
    </font>
    <font>
      <sz val="11"/>
      <color indexed="10"/>
      <name val="Calibri"/>
      <family val="2"/>
    </font>
    <font>
      <sz val="11"/>
      <name val="Arial"/>
      <family val="2"/>
    </font>
    <font>
      <b/>
      <sz val="11"/>
      <color indexed="8"/>
      <name val="Calibri"/>
      <family val="2"/>
    </font>
    <font>
      <vertAlign val="subscript"/>
      <sz val="11"/>
      <name val="Arial"/>
      <family val="2"/>
    </font>
    <font>
      <b/>
      <sz val="11"/>
      <name val="Arial"/>
      <family val="2"/>
    </font>
    <font>
      <vertAlign val="subscript"/>
      <sz val="11"/>
      <color indexed="9"/>
      <name val="Arial"/>
      <family val="2"/>
    </font>
    <font>
      <sz val="11"/>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Times New Roman"/>
      <family val="1"/>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u/>
      <sz val="16"/>
      <color theme="4"/>
      <name val="Arial"/>
      <family val="2"/>
    </font>
    <font>
      <b/>
      <u/>
      <sz val="27"/>
      <color theme="4"/>
      <name val="Calibri"/>
      <family val="2"/>
      <scheme val="minor"/>
    </font>
    <font>
      <sz val="11"/>
      <color theme="1"/>
      <name val="Arial"/>
      <family val="2"/>
    </font>
    <font>
      <b/>
      <sz val="11"/>
      <color theme="1"/>
      <name val="Arial"/>
      <family val="2"/>
    </font>
    <font>
      <sz val="10"/>
      <color theme="0"/>
      <name val="Arial"/>
      <family val="2"/>
    </font>
    <font>
      <b/>
      <sz val="17"/>
      <color rgb="FF00539F"/>
      <name val="Arial"/>
      <family val="2"/>
    </font>
    <font>
      <sz val="11"/>
      <color rgb="FF00539F"/>
      <name val="Arial"/>
      <family val="2"/>
    </font>
    <font>
      <b/>
      <sz val="12"/>
      <color theme="0"/>
      <name val="Arial"/>
      <family val="2"/>
    </font>
    <font>
      <sz val="12"/>
      <color theme="0"/>
      <name val="Arial"/>
      <family val="2"/>
    </font>
    <font>
      <sz val="11"/>
      <color rgb="FFFF0000"/>
      <name val="Arial"/>
      <family val="2"/>
    </font>
    <font>
      <b/>
      <sz val="11"/>
      <color rgb="FFFF0000"/>
      <name val="Arial"/>
      <family val="2"/>
    </font>
    <font>
      <b/>
      <sz val="10"/>
      <color theme="0"/>
      <name val="Arial"/>
      <family val="2"/>
    </font>
    <font>
      <sz val="10"/>
      <color theme="1"/>
      <name val="Arial"/>
      <family val="2"/>
    </font>
    <font>
      <i/>
      <sz val="13"/>
      <color theme="0"/>
      <name val="Arial"/>
      <family val="2"/>
    </font>
    <font>
      <b/>
      <sz val="22"/>
      <color rgb="FF0060AF"/>
      <name val="Arial"/>
      <family val="2"/>
    </font>
    <font>
      <b/>
      <sz val="14"/>
      <color theme="1"/>
      <name val="Arial"/>
      <family val="2"/>
    </font>
    <font>
      <b/>
      <i/>
      <sz val="12"/>
      <color rgb="FF0070CD"/>
      <name val="Arial"/>
      <family val="2"/>
    </font>
    <font>
      <sz val="10"/>
      <color rgb="FFFF0000"/>
      <name val="Arial"/>
      <family val="2"/>
    </font>
    <font>
      <b/>
      <sz val="10"/>
      <color rgb="FFFFFFFF"/>
      <name val="Calibri"/>
      <family val="2"/>
    </font>
    <font>
      <sz val="9"/>
      <name val="Calibri"/>
      <family val="2"/>
    </font>
    <font>
      <sz val="11"/>
      <name val="Calibri"/>
      <family val="2"/>
    </font>
    <font>
      <u/>
      <sz val="11"/>
      <color theme="10"/>
      <name val="Calibri"/>
      <family val="2"/>
      <scheme val="minor"/>
    </font>
    <font>
      <sz val="11"/>
      <color rgb="FF003760"/>
      <name val="Calibri"/>
      <family val="2"/>
      <scheme val="minor"/>
    </font>
    <font>
      <sz val="7"/>
      <color theme="1"/>
      <name val="Calibri"/>
      <family val="2"/>
      <scheme val="minor"/>
    </font>
    <font>
      <u/>
      <sz val="7"/>
      <color theme="10"/>
      <name val="Calibri"/>
      <family val="2"/>
      <scheme val="minor"/>
    </font>
    <font>
      <b/>
      <sz val="16"/>
      <name val="Calibri"/>
      <family val="2"/>
    </font>
    <font>
      <sz val="11"/>
      <name val="Calibri"/>
      <family val="2"/>
      <scheme val="minor"/>
    </font>
    <font>
      <b/>
      <sz val="20"/>
      <color rgb="FF0060AF"/>
      <name val="Arial"/>
      <family val="2"/>
    </font>
    <font>
      <b/>
      <sz val="10"/>
      <color rgb="FF0060AF"/>
      <name val="Arial"/>
      <family val="2"/>
    </font>
    <font>
      <b/>
      <sz val="8"/>
      <color rgb="FF0060AF"/>
      <name val="Arial"/>
      <family val="2"/>
    </font>
    <font>
      <b/>
      <sz val="14"/>
      <name val="Arial"/>
      <family val="2"/>
    </font>
    <font>
      <b/>
      <sz val="11"/>
      <color theme="0"/>
      <name val="Arial"/>
      <family val="2"/>
    </font>
    <font>
      <b/>
      <sz val="9"/>
      <color theme="1"/>
      <name val="Calibri"/>
      <family val="2"/>
      <scheme val="minor"/>
    </font>
    <font>
      <sz val="9"/>
      <color theme="1"/>
      <name val="Calibri"/>
      <family val="2"/>
      <scheme val="minor"/>
    </font>
    <font>
      <b/>
      <vertAlign val="subscript"/>
      <sz val="11"/>
      <color theme="0"/>
      <name val="Arial"/>
      <family val="2"/>
    </font>
    <font>
      <sz val="8"/>
      <name val="Calibri"/>
      <family val="2"/>
      <scheme val="minor"/>
    </font>
    <font>
      <b/>
      <sz val="8"/>
      <color theme="0"/>
      <name val="Arial"/>
      <family val="2"/>
    </font>
    <font>
      <sz val="9.5"/>
      <color rgb="FF000000"/>
      <name val="Arial"/>
      <family val="2"/>
    </font>
    <font>
      <sz val="9.5"/>
      <name val="Arial"/>
      <family val="2"/>
    </font>
    <font>
      <sz val="10"/>
      <name val="Calibri"/>
      <family val="2"/>
      <scheme val="minor"/>
    </font>
    <font>
      <sz val="10"/>
      <color theme="1"/>
      <name val="Calibri"/>
      <family val="2"/>
      <scheme val="minor"/>
    </font>
    <font>
      <sz val="11"/>
      <color theme="0"/>
      <name val="Arial"/>
      <family val="2"/>
    </font>
  </fonts>
  <fills count="8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theme="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F7F4F2"/>
        <bgColor indexed="64"/>
      </patternFill>
    </fill>
    <fill>
      <patternFill patternType="solid">
        <fgColor rgb="FF0060AF"/>
        <bgColor theme="4"/>
      </patternFill>
    </fill>
    <fill>
      <patternFill patternType="solid">
        <fgColor rgb="FF0060AF"/>
        <bgColor indexed="64"/>
      </patternFill>
    </fill>
    <fill>
      <patternFill patternType="solid">
        <fgColor rgb="FFFFF2CC"/>
        <bgColor indexed="26"/>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73B149"/>
        <bgColor indexed="64"/>
      </patternFill>
    </fill>
    <fill>
      <patternFill patternType="solid">
        <fgColor theme="1"/>
        <bgColor indexed="64"/>
      </patternFill>
    </fill>
    <fill>
      <patternFill patternType="solid">
        <fgColor rgb="FF005CB8"/>
        <bgColor indexed="26"/>
      </patternFill>
    </fill>
    <fill>
      <patternFill patternType="solid">
        <fgColor rgb="FFB3B3B3"/>
        <bgColor indexed="64"/>
      </patternFill>
    </fill>
    <fill>
      <patternFill patternType="solid">
        <fgColor rgb="FFE8E8E8"/>
        <bgColor indexed="64"/>
      </patternFill>
    </fill>
    <fill>
      <patternFill patternType="solid">
        <fgColor rgb="FF005CB8"/>
        <bgColor indexed="64"/>
      </patternFill>
    </fill>
    <fill>
      <patternFill patternType="solid">
        <fgColor theme="8" tint="0.39997558519241921"/>
        <bgColor indexed="26"/>
      </patternFill>
    </fill>
    <fill>
      <patternFill patternType="solid">
        <fgColor theme="0" tint="-0.14999847407452621"/>
        <bgColor indexed="64"/>
      </patternFill>
    </fill>
    <fill>
      <patternFill patternType="solid">
        <fgColor rgb="FFE7E6E6"/>
        <bgColor indexed="64"/>
      </patternFill>
    </fill>
    <fill>
      <patternFill patternType="solid">
        <fgColor theme="2"/>
        <bgColor indexed="64"/>
      </patternFill>
    </fill>
    <fill>
      <patternFill patternType="solid">
        <fgColor theme="1" tint="0.34998626667073579"/>
        <bgColor indexed="64"/>
      </patternFill>
    </fill>
  </fills>
  <borders count="52">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s>
  <cellStyleXfs count="2463">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164" fontId="14" fillId="0" borderId="0" applyFont="0" applyFill="0" applyBorder="0" applyAlignment="0" applyProtection="0">
      <alignment horizontal="right"/>
    </xf>
    <xf numFmtId="2" fontId="14" fillId="0" borderId="0" applyFont="0" applyFill="0" applyBorder="0" applyAlignment="0" applyProtection="0">
      <alignment horizontal="right"/>
    </xf>
    <xf numFmtId="0" fontId="50" fillId="28" borderId="0" applyNumberFormat="0" applyBorder="0" applyAlignment="0" applyProtection="0"/>
    <xf numFmtId="0" fontId="50" fillId="2" borderId="0" applyNumberFormat="0" applyBorder="0" applyAlignment="0" applyProtection="0"/>
    <xf numFmtId="0" fontId="4" fillId="2" borderId="0" applyNumberFormat="0" applyBorder="0" applyAlignment="0" applyProtection="0"/>
    <xf numFmtId="0" fontId="50" fillId="2" borderId="0" applyNumberFormat="0" applyBorder="0" applyAlignment="0" applyProtection="0"/>
    <xf numFmtId="0" fontId="50" fillId="29" borderId="0" applyNumberFormat="0" applyBorder="0" applyAlignment="0" applyProtection="0"/>
    <xf numFmtId="0" fontId="50" fillId="4" borderId="0" applyNumberFormat="0" applyBorder="0" applyAlignment="0" applyProtection="0"/>
    <xf numFmtId="0" fontId="4" fillId="4" borderId="0" applyNumberFormat="0" applyBorder="0" applyAlignment="0" applyProtection="0"/>
    <xf numFmtId="0" fontId="50" fillId="4" borderId="0" applyNumberFormat="0" applyBorder="0" applyAlignment="0" applyProtection="0"/>
    <xf numFmtId="0" fontId="50" fillId="30" borderId="0" applyNumberFormat="0" applyBorder="0" applyAlignment="0" applyProtection="0"/>
    <xf numFmtId="0" fontId="50" fillId="5" borderId="0" applyNumberFormat="0" applyBorder="0" applyAlignment="0" applyProtection="0"/>
    <xf numFmtId="0" fontId="4" fillId="5" borderId="0" applyNumberFormat="0" applyBorder="0" applyAlignment="0" applyProtection="0"/>
    <xf numFmtId="0" fontId="50" fillId="5" borderId="0" applyNumberFormat="0" applyBorder="0" applyAlignment="0" applyProtection="0"/>
    <xf numFmtId="0" fontId="50" fillId="31" borderId="0" applyNumberFormat="0" applyBorder="0" applyAlignment="0" applyProtection="0"/>
    <xf numFmtId="0" fontId="50" fillId="7" borderId="0" applyNumberFormat="0" applyBorder="0" applyAlignment="0" applyProtection="0"/>
    <xf numFmtId="0" fontId="4" fillId="7" borderId="0" applyNumberFormat="0" applyBorder="0" applyAlignment="0" applyProtection="0"/>
    <xf numFmtId="0" fontId="50" fillId="7" borderId="0" applyNumberFormat="0" applyBorder="0" applyAlignment="0" applyProtection="0"/>
    <xf numFmtId="0" fontId="50" fillId="32" borderId="0" applyNumberFormat="0" applyBorder="0" applyAlignment="0" applyProtection="0"/>
    <xf numFmtId="0" fontId="4" fillId="8" borderId="0" applyNumberFormat="0" applyBorder="0" applyAlignment="0" applyProtection="0"/>
    <xf numFmtId="0" fontId="50" fillId="33" borderId="0" applyNumberFormat="0" applyBorder="0" applyAlignment="0" applyProtection="0"/>
    <xf numFmtId="0" fontId="4" fillId="3" borderId="0" applyNumberFormat="0" applyBorder="0" applyAlignment="0" applyProtection="0"/>
    <xf numFmtId="0" fontId="50" fillId="34" borderId="0" applyNumberFormat="0" applyBorder="0" applyAlignment="0" applyProtection="0"/>
    <xf numFmtId="0" fontId="4" fillId="9" borderId="0" applyNumberFormat="0" applyBorder="0" applyAlignment="0" applyProtection="0"/>
    <xf numFmtId="0" fontId="50" fillId="35" borderId="0" applyNumberFormat="0" applyBorder="0" applyAlignment="0" applyProtection="0"/>
    <xf numFmtId="0" fontId="4" fillId="10" borderId="0" applyNumberFormat="0" applyBorder="0" applyAlignment="0" applyProtection="0"/>
    <xf numFmtId="0" fontId="50" fillId="36" borderId="0" applyNumberFormat="0" applyBorder="0" applyAlignment="0" applyProtection="0"/>
    <xf numFmtId="0" fontId="50" fillId="12" borderId="0" applyNumberFormat="0" applyBorder="0" applyAlignment="0" applyProtection="0"/>
    <xf numFmtId="0" fontId="4" fillId="12" borderId="0" applyNumberFormat="0" applyBorder="0" applyAlignment="0" applyProtection="0"/>
    <xf numFmtId="0" fontId="50" fillId="12" borderId="0" applyNumberFormat="0" applyBorder="0" applyAlignment="0" applyProtection="0"/>
    <xf numFmtId="0" fontId="50" fillId="37" borderId="0" applyNumberFormat="0" applyBorder="0" applyAlignment="0" applyProtection="0"/>
    <xf numFmtId="0" fontId="4" fillId="7" borderId="0" applyNumberFormat="0" applyBorder="0" applyAlignment="0" applyProtection="0"/>
    <xf numFmtId="0" fontId="50" fillId="38" borderId="0" applyNumberFormat="0" applyBorder="0" applyAlignment="0" applyProtection="0"/>
    <xf numFmtId="0" fontId="4" fillId="9" borderId="0" applyNumberFormat="0" applyBorder="0" applyAlignment="0" applyProtection="0"/>
    <xf numFmtId="0" fontId="50" fillId="39" borderId="0" applyNumberFormat="0" applyBorder="0" applyAlignment="0" applyProtection="0"/>
    <xf numFmtId="0" fontId="4" fillId="14" borderId="0" applyNumberFormat="0" applyBorder="0" applyAlignment="0" applyProtection="0"/>
    <xf numFmtId="0" fontId="15" fillId="16" borderId="0" applyNumberFormat="0" applyBorder="0" applyAlignment="0" applyProtection="0"/>
    <xf numFmtId="0" fontId="51" fillId="40" borderId="0" applyNumberFormat="0" applyBorder="0" applyAlignment="0" applyProtection="0"/>
    <xf numFmtId="0" fontId="15" fillId="10" borderId="0" applyNumberFormat="0" applyBorder="0" applyAlignment="0" applyProtection="0"/>
    <xf numFmtId="0" fontId="51" fillId="41" borderId="0" applyNumberFormat="0" applyBorder="0" applyAlignment="0" applyProtection="0"/>
    <xf numFmtId="0" fontId="51" fillId="12" borderId="0" applyNumberFormat="0" applyBorder="0" applyAlignment="0" applyProtection="0"/>
    <xf numFmtId="0" fontId="15" fillId="12" borderId="0" applyNumberFormat="0" applyBorder="0" applyAlignment="0" applyProtection="0"/>
    <xf numFmtId="0" fontId="51" fillId="12" borderId="0" applyNumberFormat="0" applyBorder="0" applyAlignment="0" applyProtection="0"/>
    <xf numFmtId="0" fontId="51" fillId="42" borderId="0" applyNumberFormat="0" applyBorder="0" applyAlignment="0" applyProtection="0"/>
    <xf numFmtId="0" fontId="51" fillId="17" borderId="0" applyNumberFormat="0" applyBorder="0" applyAlignment="0" applyProtection="0"/>
    <xf numFmtId="0" fontId="15" fillId="17" borderId="0" applyNumberFormat="0" applyBorder="0" applyAlignment="0" applyProtection="0"/>
    <xf numFmtId="0" fontId="51" fillId="17" borderId="0" applyNumberFormat="0" applyBorder="0" applyAlignment="0" applyProtection="0"/>
    <xf numFmtId="0" fontId="51" fillId="43" borderId="0" applyNumberFormat="0" applyBorder="0" applyAlignment="0" applyProtection="0"/>
    <xf numFmtId="0" fontId="15" fillId="15" borderId="0" applyNumberFormat="0" applyBorder="0" applyAlignment="0" applyProtection="0"/>
    <xf numFmtId="0" fontId="51" fillId="44" borderId="0" applyNumberFormat="0" applyBorder="0" applyAlignment="0" applyProtection="0"/>
    <xf numFmtId="0" fontId="51" fillId="19" borderId="0" applyNumberFormat="0" applyBorder="0" applyAlignment="0" applyProtection="0"/>
    <xf numFmtId="0" fontId="15" fillId="19" borderId="0" applyNumberFormat="0" applyBorder="0" applyAlignment="0" applyProtection="0"/>
    <xf numFmtId="0" fontId="51" fillId="19"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15" fillId="20" borderId="0" applyNumberFormat="0" applyBorder="0" applyAlignment="0" applyProtection="0"/>
    <xf numFmtId="0" fontId="51" fillId="47" borderId="0" applyNumberFormat="0" applyBorder="0" applyAlignment="0" applyProtection="0"/>
    <xf numFmtId="0" fontId="15" fillId="22" borderId="0" applyNumberFormat="0" applyBorder="0" applyAlignment="0" applyProtection="0"/>
    <xf numFmtId="0" fontId="51" fillId="48" borderId="0" applyNumberFormat="0" applyBorder="0" applyAlignment="0" applyProtection="0"/>
    <xf numFmtId="0" fontId="15" fillId="18" borderId="0" applyNumberFormat="0" applyBorder="0" applyAlignment="0" applyProtection="0"/>
    <xf numFmtId="0" fontId="51" fillId="49" borderId="0" applyNumberFormat="0" applyBorder="0" applyAlignment="0" applyProtection="0"/>
    <xf numFmtId="0" fontId="15" fillId="17" borderId="0" applyNumberFormat="0" applyBorder="0" applyAlignment="0" applyProtection="0"/>
    <xf numFmtId="0" fontId="51" fillId="50" borderId="0" applyNumberFormat="0" applyBorder="0" applyAlignment="0" applyProtection="0"/>
    <xf numFmtId="0" fontId="15" fillId="15" borderId="0" applyNumberFormat="0" applyBorder="0" applyAlignment="0" applyProtection="0"/>
    <xf numFmtId="0" fontId="51" fillId="51" borderId="0" applyNumberFormat="0" applyBorder="0" applyAlignment="0" applyProtection="0"/>
    <xf numFmtId="0" fontId="15" fillId="21" borderId="0" applyNumberFormat="0" applyBorder="0" applyAlignment="0" applyProtection="0"/>
    <xf numFmtId="170" fontId="16" fillId="24" borderId="1">
      <alignment horizontal="center" vertical="center"/>
    </xf>
    <xf numFmtId="171" fontId="6" fillId="24" borderId="1">
      <alignment horizontal="center" vertical="center"/>
    </xf>
    <xf numFmtId="0" fontId="52" fillId="52" borderId="0" applyNumberFormat="0" applyBorder="0" applyAlignment="0" applyProtection="0"/>
    <xf numFmtId="0" fontId="17" fillId="4" borderId="0" applyNumberFormat="0" applyBorder="0" applyAlignment="0" applyProtection="0"/>
    <xf numFmtId="172" fontId="18" fillId="0" borderId="0" applyFill="0" applyBorder="0" applyAlignment="0"/>
    <xf numFmtId="173" fontId="18" fillId="0" borderId="0" applyFill="0" applyBorder="0" applyAlignment="0"/>
    <xf numFmtId="167" fontId="18" fillId="0" borderId="0" applyFill="0" applyBorder="0" applyAlignment="0"/>
    <xf numFmtId="174" fontId="18" fillId="0" borderId="0" applyFill="0" applyBorder="0" applyAlignment="0"/>
    <xf numFmtId="175" fontId="18" fillId="0" borderId="0" applyFill="0" applyBorder="0" applyAlignment="0"/>
    <xf numFmtId="172" fontId="18" fillId="0" borderId="0" applyFill="0" applyBorder="0" applyAlignment="0"/>
    <xf numFmtId="175" fontId="19" fillId="0" borderId="0" applyFill="0" applyBorder="0" applyAlignment="0"/>
    <xf numFmtId="173" fontId="18" fillId="0" borderId="0" applyFill="0" applyBorder="0" applyAlignment="0"/>
    <xf numFmtId="0" fontId="53" fillId="53" borderId="28" applyNumberFormat="0" applyAlignment="0" applyProtection="0"/>
    <xf numFmtId="0" fontId="20" fillId="11" borderId="2" applyNumberFormat="0" applyAlignment="0" applyProtection="0"/>
    <xf numFmtId="0" fontId="20" fillId="11" borderId="2" applyNumberFormat="0" applyAlignment="0" applyProtection="0"/>
    <xf numFmtId="0" fontId="20" fillId="11" borderId="2" applyNumberFormat="0" applyAlignment="0" applyProtection="0"/>
    <xf numFmtId="0" fontId="54" fillId="54" borderId="29" applyNumberFormat="0" applyAlignment="0" applyProtection="0"/>
    <xf numFmtId="0" fontId="21" fillId="23" borderId="3" applyNumberFormat="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ill="0" applyBorder="0" applyAlignment="0" applyProtection="0"/>
    <xf numFmtId="43" fontId="4" fillId="0" borderId="0" applyFont="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50"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7" fillId="0" borderId="0" applyFill="0" applyBorder="0" applyAlignment="0" applyProtection="0"/>
    <xf numFmtId="43" fontId="1" fillId="0" borderId="0" applyFont="0" applyFill="0" applyBorder="0" applyAlignment="0" applyProtection="0"/>
    <xf numFmtId="168" fontId="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 fillId="0" borderId="0" applyFont="0" applyFill="0" applyBorder="0" applyAlignment="0" applyProtection="0"/>
    <xf numFmtId="3" fontId="14" fillId="0" borderId="0" applyFont="0" applyFill="0" applyBorder="0" applyAlignment="0" applyProtection="0">
      <alignment horizontal="right"/>
    </xf>
    <xf numFmtId="173"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7"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69" fontId="7" fillId="0" borderId="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4" fillId="0" borderId="0"/>
    <xf numFmtId="6" fontId="23" fillId="0" borderId="0">
      <protection locked="0"/>
    </xf>
    <xf numFmtId="14" fontId="24" fillId="0" borderId="0" applyFill="0" applyBorder="0" applyAlignment="0"/>
    <xf numFmtId="176" fontId="1" fillId="0" borderId="4">
      <alignment vertical="center"/>
    </xf>
    <xf numFmtId="172" fontId="18" fillId="0" borderId="0" applyFill="0" applyBorder="0" applyAlignment="0"/>
    <xf numFmtId="173" fontId="18" fillId="0" borderId="0" applyFill="0" applyBorder="0" applyAlignment="0"/>
    <xf numFmtId="172" fontId="18" fillId="0" borderId="0" applyFill="0" applyBorder="0" applyAlignment="0"/>
    <xf numFmtId="175" fontId="19" fillId="0" borderId="0" applyFill="0" applyBorder="0" applyAlignment="0"/>
    <xf numFmtId="173" fontId="18" fillId="0" borderId="0" applyFill="0" applyBorder="0" applyAlignment="0"/>
    <xf numFmtId="0" fontId="55" fillId="0" borderId="0" applyNumberFormat="0" applyFill="0" applyBorder="0" applyAlignment="0" applyProtection="0"/>
    <xf numFmtId="0" fontId="25" fillId="0" borderId="0" applyNumberFormat="0" applyFill="0" applyBorder="0" applyAlignment="0" applyProtection="0"/>
    <xf numFmtId="177" fontId="1" fillId="0" borderId="0">
      <protection locked="0"/>
    </xf>
    <xf numFmtId="0" fontId="56" fillId="55" borderId="0" applyNumberFormat="0" applyBorder="0" applyAlignment="0" applyProtection="0"/>
    <xf numFmtId="0" fontId="26" fillId="5" borderId="0" applyNumberFormat="0" applyBorder="0" applyAlignment="0" applyProtection="0"/>
    <xf numFmtId="38" fontId="14" fillId="25" borderId="0" applyNumberFormat="0" applyBorder="0" applyAlignment="0" applyProtection="0"/>
    <xf numFmtId="38" fontId="14" fillId="25" borderId="0" applyNumberFormat="0" applyBorder="0" applyAlignment="0" applyProtection="0"/>
    <xf numFmtId="0" fontId="27" fillId="0" borderId="0" applyNumberFormat="0" applyFill="0" applyBorder="0" applyAlignment="0" applyProtection="0"/>
    <xf numFmtId="0" fontId="3" fillId="0" borderId="5" applyNumberFormat="0" applyAlignment="0" applyProtection="0">
      <alignment horizontal="left" vertical="center"/>
    </xf>
    <xf numFmtId="0" fontId="3" fillId="0" borderId="6">
      <alignment horizontal="left" vertical="center"/>
    </xf>
    <xf numFmtId="0" fontId="3" fillId="0" borderId="6">
      <alignment horizontal="left" vertical="center"/>
    </xf>
    <xf numFmtId="0" fontId="57" fillId="0" borderId="30" applyNumberFormat="0" applyFill="0" applyAlignment="0" applyProtection="0"/>
    <xf numFmtId="0" fontId="28" fillId="0" borderId="7" applyNumberFormat="0" applyFill="0" applyAlignment="0" applyProtection="0"/>
    <xf numFmtId="0" fontId="58" fillId="0" borderId="31" applyNumberFormat="0" applyFill="0" applyAlignment="0" applyProtection="0"/>
    <xf numFmtId="0" fontId="29" fillId="0" borderId="8" applyNumberFormat="0" applyFill="0" applyAlignment="0" applyProtection="0"/>
    <xf numFmtId="0" fontId="59" fillId="0" borderId="32" applyNumberFormat="0" applyFill="0" applyAlignment="0" applyProtection="0"/>
    <xf numFmtId="0" fontId="30" fillId="0" borderId="9" applyNumberFormat="0" applyFill="0" applyAlignment="0" applyProtection="0"/>
    <xf numFmtId="0" fontId="59" fillId="0" borderId="0" applyNumberFormat="0" applyFill="0" applyBorder="0" applyAlignment="0" applyProtection="0"/>
    <xf numFmtId="0" fontId="30" fillId="0" borderId="0" applyNumberFormat="0" applyFill="0" applyBorder="0" applyAlignment="0" applyProtection="0"/>
    <xf numFmtId="178" fontId="1" fillId="0" borderId="0">
      <protection locked="0"/>
    </xf>
    <xf numFmtId="178" fontId="1" fillId="0" borderId="0">
      <protection locked="0"/>
    </xf>
    <xf numFmtId="0" fontId="31" fillId="0" borderId="10"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60" fillId="56" borderId="28" applyNumberFormat="0" applyAlignment="0" applyProtection="0"/>
    <xf numFmtId="10" fontId="14" fillId="26" borderId="11" applyNumberFormat="0" applyBorder="0" applyAlignment="0" applyProtection="0"/>
    <xf numFmtId="10" fontId="14" fillId="26" borderId="11" applyNumberFormat="0" applyBorder="0" applyAlignment="0" applyProtection="0"/>
    <xf numFmtId="10" fontId="14" fillId="26" borderId="11" applyNumberFormat="0" applyBorder="0" applyAlignment="0" applyProtection="0"/>
    <xf numFmtId="10" fontId="14" fillId="26" borderId="11" applyNumberFormat="0" applyBorder="0" applyAlignment="0" applyProtection="0"/>
    <xf numFmtId="0" fontId="32" fillId="3" borderId="2" applyNumberFormat="0" applyAlignment="0" applyProtection="0"/>
    <xf numFmtId="0" fontId="32" fillId="3" borderId="2" applyNumberFormat="0" applyAlignment="0" applyProtection="0"/>
    <xf numFmtId="0" fontId="32" fillId="3" borderId="2" applyNumberFormat="0" applyAlignment="0" applyProtection="0"/>
    <xf numFmtId="172" fontId="18" fillId="0" borderId="0" applyFill="0" applyBorder="0" applyAlignment="0"/>
    <xf numFmtId="173" fontId="18" fillId="0" borderId="0" applyFill="0" applyBorder="0" applyAlignment="0"/>
    <xf numFmtId="172" fontId="18" fillId="0" borderId="0" applyFill="0" applyBorder="0" applyAlignment="0"/>
    <xf numFmtId="175" fontId="19" fillId="0" borderId="0" applyFill="0" applyBorder="0" applyAlignment="0"/>
    <xf numFmtId="173" fontId="18" fillId="0" borderId="0" applyFill="0" applyBorder="0" applyAlignment="0"/>
    <xf numFmtId="0" fontId="61" fillId="0" borderId="33" applyNumberFormat="0" applyFill="0" applyAlignment="0" applyProtection="0"/>
    <xf numFmtId="0" fontId="33" fillId="0" borderId="12" applyNumberFormat="0" applyFill="0" applyAlignment="0" applyProtection="0"/>
    <xf numFmtId="0" fontId="34" fillId="13" borderId="0" applyNumberFormat="0" applyBorder="0" applyAlignment="0" applyProtection="0"/>
    <xf numFmtId="0" fontId="62" fillId="57" borderId="0" applyNumberFormat="0" applyBorder="0" applyAlignment="0" applyProtection="0"/>
    <xf numFmtId="37" fontId="11" fillId="0" borderId="0"/>
    <xf numFmtId="179" fontId="35" fillId="0" borderId="0"/>
    <xf numFmtId="0" fontId="12" fillId="0" borderId="0"/>
    <xf numFmtId="0" fontId="1" fillId="0" borderId="0"/>
    <xf numFmtId="0" fontId="50" fillId="0" borderId="0"/>
    <xf numFmtId="0" fontId="13" fillId="0" borderId="0"/>
    <xf numFmtId="0" fontId="50" fillId="0" borderId="0"/>
    <xf numFmtId="0" fontId="4" fillId="0" borderId="0"/>
    <xf numFmtId="0" fontId="1" fillId="0" borderId="0"/>
    <xf numFmtId="0" fontId="1" fillId="0" borderId="0"/>
    <xf numFmtId="0" fontId="1" fillId="0" borderId="0"/>
    <xf numFmtId="0" fontId="1" fillId="0" borderId="0"/>
    <xf numFmtId="0" fontId="1" fillId="0" borderId="0"/>
    <xf numFmtId="0" fontId="50"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36" fillId="0" borderId="0"/>
    <xf numFmtId="0" fontId="36"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0"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3" fillId="0" borderId="0"/>
    <xf numFmtId="0" fontId="50" fillId="0" borderId="0"/>
    <xf numFmtId="0" fontId="50" fillId="0" borderId="0"/>
    <xf numFmtId="0" fontId="4" fillId="0" borderId="0"/>
    <xf numFmtId="0" fontId="50" fillId="0" borderId="0"/>
    <xf numFmtId="0" fontId="1" fillId="0" borderId="0"/>
    <xf numFmtId="0" fontId="50" fillId="0" borderId="0"/>
    <xf numFmtId="0" fontId="50" fillId="0" borderId="0"/>
    <xf numFmtId="0" fontId="50"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50" fillId="0" borderId="0"/>
    <xf numFmtId="0" fontId="12" fillId="0" borderId="0"/>
    <xf numFmtId="0" fontId="12" fillId="0" borderId="0"/>
    <xf numFmtId="0" fontId="50" fillId="0" borderId="0"/>
    <xf numFmtId="0" fontId="1" fillId="0" borderId="0"/>
    <xf numFmtId="0" fontId="1" fillId="0" borderId="0"/>
    <xf numFmtId="0" fontId="1" fillId="0" borderId="0"/>
    <xf numFmtId="0" fontId="1" fillId="0" borderId="0"/>
    <xf numFmtId="0" fontId="50" fillId="58" borderId="34" applyNumberFormat="0" applyFont="0" applyAlignment="0" applyProtection="0"/>
    <xf numFmtId="0" fontId="4" fillId="58" borderId="34" applyNumberFormat="0" applyFont="0" applyAlignment="0" applyProtection="0"/>
    <xf numFmtId="0" fontId="1" fillId="6" borderId="13" applyNumberFormat="0" applyFont="0" applyAlignment="0" applyProtection="0"/>
    <xf numFmtId="0" fontId="1" fillId="6" borderId="13" applyNumberFormat="0" applyFont="0" applyAlignment="0" applyProtection="0"/>
    <xf numFmtId="0" fontId="1" fillId="6" borderId="13" applyNumberFormat="0" applyFont="0" applyAlignment="0" applyProtection="0"/>
    <xf numFmtId="0" fontId="4" fillId="58" borderId="34" applyNumberFormat="0" applyFont="0" applyAlignment="0" applyProtection="0"/>
    <xf numFmtId="0" fontId="38" fillId="0" borderId="14" applyFill="0" applyProtection="0">
      <alignment horizontal="right" wrapText="1"/>
    </xf>
    <xf numFmtId="0" fontId="38" fillId="0" borderId="14" applyFill="0" applyProtection="0">
      <alignment horizontal="right" wrapText="1"/>
    </xf>
    <xf numFmtId="0" fontId="38" fillId="0" borderId="14" applyFill="0" applyProtection="0">
      <alignment horizontal="right" wrapText="1"/>
    </xf>
    <xf numFmtId="0" fontId="64" fillId="53" borderId="35" applyNumberFormat="0" applyAlignment="0" applyProtection="0"/>
    <xf numFmtId="0" fontId="39" fillId="11" borderId="15" applyNumberFormat="0" applyAlignment="0" applyProtection="0"/>
    <xf numFmtId="0" fontId="39" fillId="11" borderId="15" applyNumberFormat="0" applyAlignment="0" applyProtection="0"/>
    <xf numFmtId="0" fontId="39" fillId="11" borderId="15" applyNumberFormat="0" applyAlignment="0" applyProtection="0"/>
    <xf numFmtId="175" fontId="18" fillId="0" borderId="0" applyFont="0" applyFill="0" applyBorder="0" applyAlignment="0" applyProtection="0"/>
    <xf numFmtId="18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8" fillId="0" borderId="0" applyFill="0" applyBorder="0" applyAlignment="0"/>
    <xf numFmtId="173" fontId="18" fillId="0" borderId="0" applyFill="0" applyBorder="0" applyAlignment="0"/>
    <xf numFmtId="172" fontId="18" fillId="0" borderId="0" applyFill="0" applyBorder="0" applyAlignment="0"/>
    <xf numFmtId="175" fontId="19" fillId="0" borderId="0" applyFill="0" applyBorder="0" applyAlignment="0"/>
    <xf numFmtId="173" fontId="18" fillId="0" borderId="0" applyFill="0" applyBorder="0" applyAlignment="0"/>
    <xf numFmtId="0" fontId="40" fillId="0" borderId="0" applyFill="0" applyBorder="0" applyProtection="0">
      <alignment horizontal="left" wrapText="1"/>
    </xf>
    <xf numFmtId="49" fontId="24" fillId="0" borderId="0" applyFill="0" applyBorder="0" applyAlignment="0"/>
    <xf numFmtId="181" fontId="1" fillId="0" borderId="0" applyFill="0" applyBorder="0" applyAlignment="0"/>
    <xf numFmtId="182" fontId="1" fillId="0" borderId="0" applyFill="0" applyBorder="0" applyAlignment="0"/>
    <xf numFmtId="0" fontId="41" fillId="0" borderId="0" applyNumberFormat="0" applyFill="0" applyBorder="0" applyAlignment="0" applyProtection="0"/>
    <xf numFmtId="0" fontId="65" fillId="0" borderId="0" applyNumberFormat="0" applyFill="0" applyBorder="0" applyAlignment="0" applyProtection="0"/>
    <xf numFmtId="0" fontId="66" fillId="0" borderId="36" applyNumberFormat="0" applyFill="0" applyAlignment="0" applyProtection="0"/>
    <xf numFmtId="178" fontId="1" fillId="0" borderId="17">
      <protection locked="0"/>
    </xf>
    <xf numFmtId="0" fontId="45" fillId="0" borderId="16" applyNumberFormat="0" applyFill="0" applyAlignment="0" applyProtection="0"/>
    <xf numFmtId="37" fontId="14" fillId="27" borderId="0" applyNumberFormat="0" applyBorder="0" applyAlignment="0" applyProtection="0"/>
    <xf numFmtId="37" fontId="14" fillId="27" borderId="0" applyNumberFormat="0" applyBorder="0" applyAlignment="0" applyProtection="0"/>
    <xf numFmtId="37" fontId="14" fillId="0" borderId="0"/>
    <xf numFmtId="3" fontId="42" fillId="0" borderId="10" applyProtection="0"/>
    <xf numFmtId="0" fontId="67" fillId="0" borderId="0" applyNumberFormat="0" applyFill="0" applyBorder="0" applyAlignment="0" applyProtection="0"/>
    <xf numFmtId="0" fontId="43" fillId="0" borderId="0" applyNumberForma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89" fillId="0" borderId="0" applyNumberFormat="0" applyFill="0" applyBorder="0" applyAlignment="0" applyProtection="0"/>
    <xf numFmtId="43" fontId="50" fillId="0" borderId="0" applyFont="0" applyFill="0" applyBorder="0" applyAlignment="0" applyProtection="0"/>
  </cellStyleXfs>
  <cellXfs count="379">
    <xf numFmtId="0" fontId="0" fillId="0" borderId="0" xfId="0"/>
    <xf numFmtId="0" fontId="0" fillId="0" borderId="11" xfId="0" applyBorder="1"/>
    <xf numFmtId="2" fontId="0" fillId="0" borderId="11" xfId="0" applyNumberFormat="1" applyBorder="1"/>
    <xf numFmtId="0" fontId="54" fillId="59" borderId="18" xfId="0" applyFont="1" applyFill="1" applyBorder="1" applyAlignment="1">
      <alignment vertical="top" wrapText="1"/>
    </xf>
    <xf numFmtId="0" fontId="0" fillId="0" borderId="18" xfId="0" applyBorder="1" applyAlignment="1">
      <alignment wrapText="1"/>
    </xf>
    <xf numFmtId="0" fontId="0" fillId="0" borderId="11" xfId="0" applyBorder="1" applyAlignment="1">
      <alignment wrapText="1"/>
    </xf>
    <xf numFmtId="0" fontId="54" fillId="59" borderId="11" xfId="0" applyFont="1" applyFill="1" applyBorder="1"/>
    <xf numFmtId="14" fontId="0" fillId="0" borderId="11" xfId="0" applyNumberFormat="1" applyBorder="1"/>
    <xf numFmtId="0" fontId="54" fillId="59" borderId="11" xfId="0" applyFont="1" applyFill="1" applyBorder="1" applyAlignment="1">
      <alignment horizontal="center"/>
    </xf>
    <xf numFmtId="0" fontId="0" fillId="0" borderId="11" xfId="0" applyBorder="1" applyAlignment="1">
      <alignment horizontal="center"/>
    </xf>
    <xf numFmtId="14" fontId="0" fillId="0" borderId="11" xfId="0" applyNumberFormat="1" applyBorder="1" applyAlignment="1">
      <alignment horizontal="center"/>
    </xf>
    <xf numFmtId="0" fontId="0" fillId="0" borderId="0" xfId="0" applyAlignment="1">
      <alignment wrapText="1"/>
    </xf>
    <xf numFmtId="0" fontId="54" fillId="59" borderId="11" xfId="0" applyFont="1" applyFill="1" applyBorder="1" applyAlignment="1">
      <alignment vertical="top" wrapText="1"/>
    </xf>
    <xf numFmtId="0" fontId="54" fillId="59" borderId="11" xfId="0" applyFont="1" applyFill="1" applyBorder="1" applyAlignment="1">
      <alignment horizontal="center" vertical="top" wrapText="1"/>
    </xf>
    <xf numFmtId="0" fontId="54" fillId="59" borderId="11" xfId="0" applyFont="1" applyFill="1" applyBorder="1" applyAlignment="1">
      <alignment wrapText="1"/>
    </xf>
    <xf numFmtId="0" fontId="0" fillId="0" borderId="11" xfId="0" applyBorder="1" applyAlignment="1">
      <alignment horizontal="center" wrapText="1"/>
    </xf>
    <xf numFmtId="0" fontId="68" fillId="60" borderId="0" xfId="2214" applyFont="1" applyFill="1" applyAlignment="1" applyProtection="1">
      <alignment horizontal="left" vertical="center"/>
      <protection hidden="1"/>
    </xf>
    <xf numFmtId="0" fontId="0" fillId="0" borderId="19" xfId="0" applyBorder="1"/>
    <xf numFmtId="0" fontId="68" fillId="60" borderId="0" xfId="2214" applyFont="1" applyFill="1" applyAlignment="1" applyProtection="1">
      <alignment vertical="center"/>
      <protection hidden="1"/>
    </xf>
    <xf numFmtId="0" fontId="0" fillId="0" borderId="21" xfId="0" applyBorder="1"/>
    <xf numFmtId="0" fontId="5" fillId="60" borderId="0" xfId="2214" applyFont="1" applyFill="1" applyAlignment="1" applyProtection="1">
      <alignment horizontal="left" vertical="center"/>
      <protection hidden="1"/>
    </xf>
    <xf numFmtId="0" fontId="0" fillId="0" borderId="18" xfId="0" applyBorder="1"/>
    <xf numFmtId="0" fontId="44" fillId="60" borderId="0" xfId="2214" applyFont="1" applyFill="1" applyAlignment="1" applyProtection="1">
      <alignment horizontal="left" vertical="center"/>
      <protection hidden="1"/>
    </xf>
    <xf numFmtId="0" fontId="69" fillId="60" borderId="0" xfId="0" applyFont="1" applyFill="1"/>
    <xf numFmtId="0" fontId="66" fillId="60" borderId="0" xfId="0" applyFont="1" applyFill="1" applyAlignment="1">
      <alignment horizontal="left" vertical="top"/>
    </xf>
    <xf numFmtId="0" fontId="0" fillId="60" borderId="14" xfId="0" applyFill="1" applyBorder="1" applyAlignment="1">
      <alignment vertical="top"/>
    </xf>
    <xf numFmtId="0" fontId="66" fillId="60" borderId="0" xfId="0" applyFont="1" applyFill="1" applyAlignment="1">
      <alignment horizontal="left" vertical="top" indent="18"/>
    </xf>
    <xf numFmtId="0" fontId="66" fillId="60" borderId="23" xfId="0" applyFont="1" applyFill="1" applyBorder="1" applyAlignment="1">
      <alignment horizontal="center" vertical="center"/>
    </xf>
    <xf numFmtId="0" fontId="66" fillId="60" borderId="24" xfId="0" applyFont="1" applyFill="1" applyBorder="1" applyAlignment="1">
      <alignment horizontal="center" vertical="center"/>
    </xf>
    <xf numFmtId="0" fontId="66" fillId="60" borderId="24" xfId="0" applyFont="1" applyFill="1" applyBorder="1" applyAlignment="1">
      <alignment horizontal="center" vertical="center" wrapText="1"/>
    </xf>
    <xf numFmtId="0" fontId="66" fillId="60" borderId="25" xfId="0" applyFont="1" applyFill="1" applyBorder="1" applyAlignment="1">
      <alignment horizontal="center" vertical="center"/>
    </xf>
    <xf numFmtId="164" fontId="0" fillId="60" borderId="20" xfId="0" applyNumberFormat="1" applyFill="1" applyBorder="1" applyAlignment="1">
      <alignment horizontal="center" vertical="center"/>
    </xf>
    <xf numFmtId="0" fontId="0" fillId="60" borderId="11" xfId="0" applyFill="1" applyBorder="1" applyAlignment="1">
      <alignment horizontal="left" vertical="center" wrapText="1" indent="1"/>
    </xf>
    <xf numFmtId="0" fontId="70" fillId="0" borderId="0" xfId="0" applyFont="1"/>
    <xf numFmtId="0" fontId="70" fillId="0" borderId="0" xfId="0" applyFont="1" applyAlignment="1">
      <alignment vertical="top" wrapText="1"/>
    </xf>
    <xf numFmtId="0" fontId="71" fillId="0" borderId="11" xfId="0" applyFont="1" applyBorder="1"/>
    <xf numFmtId="0" fontId="70" fillId="0" borderId="11" xfId="0" applyFont="1" applyBorder="1" applyAlignment="1">
      <alignment wrapText="1"/>
    </xf>
    <xf numFmtId="0" fontId="70" fillId="0" borderId="11" xfId="0" applyFont="1" applyBorder="1"/>
    <xf numFmtId="0" fontId="70" fillId="61" borderId="11" xfId="0" applyFont="1" applyFill="1" applyBorder="1"/>
    <xf numFmtId="0" fontId="1" fillId="62" borderId="11" xfId="348" applyFill="1" applyBorder="1" applyAlignment="1" applyProtection="1">
      <alignment vertical="center" wrapText="1"/>
      <protection hidden="1"/>
    </xf>
    <xf numFmtId="0" fontId="1" fillId="0" borderId="26" xfId="348" applyBorder="1" applyAlignment="1" applyProtection="1">
      <alignment vertical="center" wrapText="1"/>
      <protection hidden="1"/>
    </xf>
    <xf numFmtId="0" fontId="44" fillId="0" borderId="11" xfId="0" applyFont="1" applyBorder="1" applyAlignment="1">
      <alignment wrapText="1"/>
    </xf>
    <xf numFmtId="0" fontId="1" fillId="62" borderId="11" xfId="348" applyFill="1" applyBorder="1" applyAlignment="1" applyProtection="1">
      <alignment horizontal="left" vertical="center" wrapText="1"/>
      <protection hidden="1"/>
    </xf>
    <xf numFmtId="0" fontId="1" fillId="0" borderId="0" xfId="348" applyAlignment="1" applyProtection="1">
      <alignment horizontal="center" vertical="center" wrapText="1"/>
      <protection hidden="1"/>
    </xf>
    <xf numFmtId="0" fontId="47" fillId="60" borderId="0" xfId="2214" applyFont="1" applyFill="1" applyAlignment="1" applyProtection="1">
      <alignment vertical="center"/>
      <protection hidden="1"/>
    </xf>
    <xf numFmtId="0" fontId="47" fillId="0" borderId="0" xfId="0" applyFont="1"/>
    <xf numFmtId="0" fontId="79" fillId="59" borderId="11" xfId="0" applyFont="1" applyFill="1" applyBorder="1"/>
    <xf numFmtId="0" fontId="80" fillId="0" borderId="0" xfId="0" applyFont="1"/>
    <xf numFmtId="0" fontId="80" fillId="0" borderId="11" xfId="0" applyFont="1" applyBorder="1"/>
    <xf numFmtId="0" fontId="80" fillId="0" borderId="11" xfId="0" applyFont="1" applyBorder="1" applyAlignment="1">
      <alignment wrapText="1"/>
    </xf>
    <xf numFmtId="0" fontId="80" fillId="0" borderId="11" xfId="0" applyFont="1" applyBorder="1" applyAlignment="1">
      <alignment horizontal="center" vertical="center"/>
    </xf>
    <xf numFmtId="14" fontId="80" fillId="0" borderId="11" xfId="0" applyNumberFormat="1" applyFont="1" applyBorder="1" applyAlignment="1">
      <alignment wrapText="1"/>
    </xf>
    <xf numFmtId="0" fontId="79" fillId="64" borderId="11" xfId="0" applyFont="1" applyFill="1" applyBorder="1" applyAlignment="1">
      <alignment horizontal="center"/>
    </xf>
    <xf numFmtId="0" fontId="76" fillId="65" borderId="0" xfId="0" applyFont="1" applyFill="1"/>
    <xf numFmtId="0" fontId="81" fillId="65" borderId="0" xfId="0" applyFont="1" applyFill="1" applyAlignment="1">
      <alignment horizontal="left" vertical="center"/>
    </xf>
    <xf numFmtId="0" fontId="75" fillId="65" borderId="0" xfId="0" applyFont="1" applyFill="1"/>
    <xf numFmtId="0" fontId="0" fillId="0" borderId="20" xfId="0" applyBorder="1" applyAlignment="1">
      <alignment horizontal="center"/>
    </xf>
    <xf numFmtId="0" fontId="0" fillId="60" borderId="21" xfId="0" applyFill="1" applyBorder="1" applyAlignment="1">
      <alignment horizontal="center" vertical="center"/>
    </xf>
    <xf numFmtId="0" fontId="0" fillId="0" borderId="21" xfId="0" applyBorder="1" applyAlignment="1">
      <alignment horizontal="center"/>
    </xf>
    <xf numFmtId="0" fontId="1" fillId="66" borderId="11" xfId="348" applyFill="1" applyBorder="1" applyAlignment="1" applyProtection="1">
      <alignment horizontal="left" vertical="center" wrapText="1"/>
      <protection hidden="1"/>
    </xf>
    <xf numFmtId="14" fontId="0" fillId="60" borderId="11" xfId="0" applyNumberFormat="1" applyFill="1" applyBorder="1" applyAlignment="1">
      <alignment horizontal="center" vertical="center"/>
    </xf>
    <xf numFmtId="0" fontId="79" fillId="59" borderId="11" xfId="0" applyFont="1" applyFill="1" applyBorder="1" applyAlignment="1">
      <alignment horizontal="center"/>
    </xf>
    <xf numFmtId="0" fontId="80" fillId="0" borderId="11" xfId="0" applyFont="1" applyBorder="1" applyAlignment="1">
      <alignment horizontal="center" wrapText="1"/>
    </xf>
    <xf numFmtId="0" fontId="80" fillId="0" borderId="11" xfId="0" applyFont="1" applyBorder="1" applyAlignment="1">
      <alignment horizontal="center"/>
    </xf>
    <xf numFmtId="0" fontId="80" fillId="0" borderId="0" xfId="0" applyFont="1" applyAlignment="1">
      <alignment horizontal="center"/>
    </xf>
    <xf numFmtId="164" fontId="0" fillId="0" borderId="20" xfId="0" applyNumberFormat="1" applyBorder="1" applyAlignment="1">
      <alignment horizontal="center"/>
    </xf>
    <xf numFmtId="0" fontId="85" fillId="0" borderId="0" xfId="0" applyFont="1"/>
    <xf numFmtId="0" fontId="1" fillId="0" borderId="11" xfId="0" applyFont="1" applyBorder="1" applyAlignment="1">
      <alignment wrapText="1"/>
    </xf>
    <xf numFmtId="0" fontId="1" fillId="0" borderId="11" xfId="0" applyFont="1" applyBorder="1" applyAlignment="1">
      <alignment horizontal="center" vertical="center"/>
    </xf>
    <xf numFmtId="0" fontId="1" fillId="0" borderId="11" xfId="0" applyFont="1" applyBorder="1" applyAlignment="1">
      <alignment horizontal="center" wrapText="1"/>
    </xf>
    <xf numFmtId="0" fontId="1" fillId="0" borderId="11" xfId="0" applyFont="1" applyBorder="1"/>
    <xf numFmtId="0" fontId="1" fillId="0" borderId="0" xfId="0" applyFont="1"/>
    <xf numFmtId="0" fontId="1" fillId="0" borderId="11" xfId="0" applyFont="1" applyBorder="1" applyAlignment="1">
      <alignment horizontal="center"/>
    </xf>
    <xf numFmtId="0" fontId="0" fillId="0" borderId="0" xfId="0" applyAlignment="1">
      <alignment horizontal="center"/>
    </xf>
    <xf numFmtId="0" fontId="54" fillId="59" borderId="26" xfId="0" applyFont="1" applyFill="1" applyBorder="1" applyAlignment="1">
      <alignment vertical="top" wrapText="1"/>
    </xf>
    <xf numFmtId="184" fontId="0" fillId="0" borderId="11" xfId="0" applyNumberFormat="1" applyBorder="1"/>
    <xf numFmtId="0" fontId="1" fillId="0" borderId="18" xfId="0" applyFont="1" applyBorder="1"/>
    <xf numFmtId="184" fontId="0" fillId="0" borderId="18" xfId="0" applyNumberFormat="1" applyBorder="1"/>
    <xf numFmtId="0" fontId="54" fillId="59" borderId="37" xfId="0" applyFont="1" applyFill="1" applyBorder="1" applyAlignment="1">
      <alignment vertical="top" wrapText="1"/>
    </xf>
    <xf numFmtId="0" fontId="54" fillId="0" borderId="0" xfId="0" applyFont="1" applyAlignment="1">
      <alignment vertical="top" wrapText="1"/>
    </xf>
    <xf numFmtId="0" fontId="1" fillId="67" borderId="11" xfId="0" applyFont="1" applyFill="1" applyBorder="1" applyAlignment="1">
      <alignment wrapText="1"/>
    </xf>
    <xf numFmtId="0" fontId="1" fillId="67" borderId="11" xfId="0" applyFont="1" applyFill="1" applyBorder="1"/>
    <xf numFmtId="0" fontId="80" fillId="60" borderId="11" xfId="0" applyFont="1" applyFill="1" applyBorder="1"/>
    <xf numFmtId="0" fontId="54" fillId="59" borderId="11" xfId="0" applyFont="1" applyFill="1" applyBorder="1" applyAlignment="1">
      <alignment horizontal="center" wrapText="1"/>
    </xf>
    <xf numFmtId="0" fontId="87" fillId="60" borderId="11" xfId="0" applyFont="1" applyFill="1" applyBorder="1" applyAlignment="1">
      <alignment horizontal="right" vertical="center" wrapText="1"/>
    </xf>
    <xf numFmtId="166" fontId="87" fillId="60" borderId="11" xfId="0" applyNumberFormat="1" applyFont="1" applyFill="1" applyBorder="1" applyAlignment="1">
      <alignment horizontal="left" vertical="center" wrapText="1"/>
    </xf>
    <xf numFmtId="3" fontId="87" fillId="60" borderId="11" xfId="0" applyNumberFormat="1" applyFont="1" applyFill="1" applyBorder="1" applyAlignment="1">
      <alignment horizontal="left" vertical="center" wrapText="1"/>
    </xf>
    <xf numFmtId="0" fontId="87" fillId="0" borderId="11" xfId="0" applyFont="1" applyBorder="1" applyAlignment="1">
      <alignment horizontal="right" vertical="center" wrapText="1"/>
    </xf>
    <xf numFmtId="0" fontId="0" fillId="0" borderId="38" xfId="0" applyBorder="1" applyAlignment="1">
      <alignment horizontal="center" vertical="center"/>
    </xf>
    <xf numFmtId="0" fontId="88" fillId="60" borderId="0" xfId="0" applyFont="1" applyFill="1" applyAlignment="1">
      <alignment horizontal="center" vertical="center"/>
    </xf>
    <xf numFmtId="0" fontId="87" fillId="60" borderId="0" xfId="0" applyFont="1" applyFill="1" applyAlignment="1">
      <alignment vertical="center"/>
    </xf>
    <xf numFmtId="4" fontId="0" fillId="0" borderId="0" xfId="0" applyNumberFormat="1"/>
    <xf numFmtId="44" fontId="0" fillId="0" borderId="0" xfId="0" applyNumberFormat="1"/>
    <xf numFmtId="0" fontId="87" fillId="68" borderId="11" xfId="0" applyFont="1" applyFill="1" applyBorder="1" applyAlignment="1">
      <alignment horizontal="right" vertical="center" wrapText="1"/>
    </xf>
    <xf numFmtId="166" fontId="87" fillId="68" borderId="11" xfId="0" applyNumberFormat="1" applyFont="1" applyFill="1" applyBorder="1" applyAlignment="1">
      <alignment horizontal="left" vertical="center" wrapText="1"/>
    </xf>
    <xf numFmtId="3" fontId="87" fillId="68" borderId="11" xfId="0" applyNumberFormat="1" applyFont="1" applyFill="1" applyBorder="1" applyAlignment="1">
      <alignment horizontal="left" vertical="center" wrapText="1"/>
    </xf>
    <xf numFmtId="0" fontId="87" fillId="69" borderId="11" xfId="0" applyFont="1" applyFill="1" applyBorder="1" applyAlignment="1">
      <alignment horizontal="right" vertical="center" wrapText="1"/>
    </xf>
    <xf numFmtId="166" fontId="87" fillId="69" borderId="11" xfId="0" applyNumberFormat="1" applyFont="1" applyFill="1" applyBorder="1" applyAlignment="1">
      <alignment horizontal="left" vertical="center" wrapText="1"/>
    </xf>
    <xf numFmtId="3" fontId="87" fillId="69" borderId="11" xfId="0" applyNumberFormat="1" applyFont="1" applyFill="1" applyBorder="1" applyAlignment="1">
      <alignment horizontal="left" vertical="center" wrapText="1"/>
    </xf>
    <xf numFmtId="0" fontId="87" fillId="60" borderId="37" xfId="0" applyFont="1" applyFill="1" applyBorder="1" applyAlignment="1">
      <alignment horizontal="center" vertical="center"/>
    </xf>
    <xf numFmtId="0" fontId="87" fillId="60" borderId="38" xfId="0" applyFont="1" applyFill="1" applyBorder="1" applyAlignment="1">
      <alignment horizontal="center" vertical="center"/>
    </xf>
    <xf numFmtId="0" fontId="87" fillId="60" borderId="25" xfId="0" applyFont="1" applyFill="1" applyBorder="1" applyAlignment="1">
      <alignment horizontal="center" vertical="center"/>
    </xf>
    <xf numFmtId="0" fontId="87" fillId="60" borderId="23" xfId="0" applyFont="1" applyFill="1" applyBorder="1" applyAlignment="1">
      <alignment horizontal="center" vertical="center"/>
    </xf>
    <xf numFmtId="0" fontId="87" fillId="68" borderId="37" xfId="0" applyFont="1" applyFill="1" applyBorder="1" applyAlignment="1">
      <alignment horizontal="center" vertical="center"/>
    </xf>
    <xf numFmtId="0" fontId="87" fillId="68" borderId="38" xfId="0" applyFont="1" applyFill="1" applyBorder="1" applyAlignment="1">
      <alignment horizontal="center" vertical="center"/>
    </xf>
    <xf numFmtId="0" fontId="87" fillId="68" borderId="25" xfId="0" applyFont="1" applyFill="1" applyBorder="1" applyAlignment="1">
      <alignment horizontal="center" vertical="center"/>
    </xf>
    <xf numFmtId="0" fontId="87" fillId="68" borderId="23" xfId="0" applyFont="1" applyFill="1" applyBorder="1" applyAlignment="1">
      <alignment horizontal="center" vertical="center"/>
    </xf>
    <xf numFmtId="0" fontId="87" fillId="69" borderId="37" xfId="0" applyFont="1" applyFill="1" applyBorder="1" applyAlignment="1">
      <alignment horizontal="center" vertical="center"/>
    </xf>
    <xf numFmtId="0" fontId="87" fillId="69" borderId="38" xfId="0" applyFont="1" applyFill="1" applyBorder="1" applyAlignment="1">
      <alignment horizontal="center" vertical="center"/>
    </xf>
    <xf numFmtId="0" fontId="87" fillId="69" borderId="25" xfId="0" applyFont="1" applyFill="1" applyBorder="1" applyAlignment="1">
      <alignment horizontal="center" vertical="center"/>
    </xf>
    <xf numFmtId="0" fontId="87" fillId="69" borderId="23" xfId="0" applyFont="1" applyFill="1" applyBorder="1" applyAlignment="1">
      <alignment horizontal="center" vertical="center"/>
    </xf>
    <xf numFmtId="0" fontId="0" fillId="0" borderId="0" xfId="0" applyAlignment="1">
      <alignment horizontal="center" vertical="center"/>
    </xf>
    <xf numFmtId="0" fontId="90" fillId="0" borderId="18" xfId="0" applyFont="1" applyBorder="1" applyAlignment="1">
      <alignment horizontal="center" vertical="center"/>
    </xf>
    <xf numFmtId="0" fontId="0" fillId="0" borderId="26" xfId="0" applyBorder="1" applyAlignment="1">
      <alignment horizontal="center" vertical="center" wrapText="1"/>
    </xf>
    <xf numFmtId="0" fontId="89" fillId="0" borderId="24" xfId="2461" applyBorder="1" applyAlignment="1">
      <alignment horizontal="center" vertical="center"/>
    </xf>
    <xf numFmtId="0" fontId="90" fillId="0" borderId="18" xfId="0" applyFont="1" applyBorder="1" applyAlignment="1">
      <alignment horizontal="center" vertical="center" wrapText="1"/>
    </xf>
    <xf numFmtId="0" fontId="87" fillId="70" borderId="11" xfId="0" applyFont="1" applyFill="1" applyBorder="1" applyAlignment="1">
      <alignment horizontal="right" vertical="center" wrapText="1"/>
    </xf>
    <xf numFmtId="166" fontId="87" fillId="70" borderId="11" xfId="0" applyNumberFormat="1" applyFont="1" applyFill="1" applyBorder="1" applyAlignment="1">
      <alignment horizontal="left" vertical="center" wrapText="1"/>
    </xf>
    <xf numFmtId="3" fontId="87" fillId="70" borderId="11" xfId="0" applyNumberFormat="1" applyFont="1" applyFill="1" applyBorder="1" applyAlignment="1">
      <alignment horizontal="left" vertical="center" wrapText="1"/>
    </xf>
    <xf numFmtId="0" fontId="87" fillId="70" borderId="37" xfId="0" applyFont="1" applyFill="1" applyBorder="1" applyAlignment="1">
      <alignment horizontal="center" vertical="center"/>
    </xf>
    <xf numFmtId="0" fontId="87" fillId="70" borderId="38" xfId="0" applyFont="1" applyFill="1" applyBorder="1" applyAlignment="1">
      <alignment horizontal="center" vertical="center"/>
    </xf>
    <xf numFmtId="0" fontId="87" fillId="70" borderId="25" xfId="0" applyFont="1" applyFill="1" applyBorder="1" applyAlignment="1">
      <alignment horizontal="center" vertical="center"/>
    </xf>
    <xf numFmtId="0" fontId="87" fillId="70" borderId="23" xfId="0" applyFont="1" applyFill="1" applyBorder="1" applyAlignment="1">
      <alignment horizontal="center" vertical="center"/>
    </xf>
    <xf numFmtId="0" fontId="91" fillId="0" borderId="0" xfId="0" applyFont="1"/>
    <xf numFmtId="4" fontId="0" fillId="0" borderId="0" xfId="2462" applyNumberFormat="1" applyFont="1"/>
    <xf numFmtId="0" fontId="86" fillId="71" borderId="19" xfId="0" applyFont="1" applyFill="1" applyBorder="1" applyAlignment="1">
      <alignment horizontal="center" vertical="center" wrapText="1"/>
    </xf>
    <xf numFmtId="0" fontId="86" fillId="71" borderId="6" xfId="0" applyFont="1" applyFill="1" applyBorder="1" applyAlignment="1">
      <alignment horizontal="center" vertical="center" wrapText="1"/>
    </xf>
    <xf numFmtId="0" fontId="86" fillId="71" borderId="20" xfId="0" applyFont="1" applyFill="1" applyBorder="1" applyAlignment="1">
      <alignment horizontal="center" vertical="center" wrapText="1"/>
    </xf>
    <xf numFmtId="0" fontId="94" fillId="0" borderId="0" xfId="0" applyFont="1"/>
    <xf numFmtId="10" fontId="87" fillId="60" borderId="11" xfId="0" applyNumberFormat="1" applyFont="1" applyFill="1" applyBorder="1" applyAlignment="1">
      <alignment horizontal="left" vertical="center"/>
    </xf>
    <xf numFmtId="10" fontId="87" fillId="68" borderId="11" xfId="0" applyNumberFormat="1" applyFont="1" applyFill="1" applyBorder="1" applyAlignment="1">
      <alignment horizontal="left" vertical="center"/>
    </xf>
    <xf numFmtId="10" fontId="87" fillId="70" borderId="11" xfId="0" applyNumberFormat="1" applyFont="1" applyFill="1" applyBorder="1" applyAlignment="1">
      <alignment horizontal="left" vertical="center"/>
    </xf>
    <xf numFmtId="10" fontId="87" fillId="69" borderId="11" xfId="0" applyNumberFormat="1" applyFont="1" applyFill="1" applyBorder="1" applyAlignment="1">
      <alignment horizontal="left" vertical="center"/>
    </xf>
    <xf numFmtId="0" fontId="0" fillId="0" borderId="0" xfId="0" quotePrefix="1"/>
    <xf numFmtId="0" fontId="82" fillId="0" borderId="0" xfId="0" applyFont="1" applyAlignment="1">
      <alignment vertical="center"/>
    </xf>
    <xf numFmtId="0" fontId="95" fillId="0" borderId="0" xfId="0" applyFont="1" applyAlignment="1">
      <alignment vertical="center"/>
    </xf>
    <xf numFmtId="0" fontId="97" fillId="0" borderId="0" xfId="0" applyFont="1" applyAlignment="1">
      <alignment horizontal="right" vertical="center"/>
    </xf>
    <xf numFmtId="166" fontId="96" fillId="0" borderId="11" xfId="2459" applyNumberFormat="1" applyFont="1" applyBorder="1" applyAlignment="1">
      <alignment horizontal="right" vertical="center"/>
    </xf>
    <xf numFmtId="166" fontId="96" fillId="0" borderId="11" xfId="0" applyNumberFormat="1" applyFont="1" applyBorder="1" applyAlignment="1">
      <alignment horizontal="right" vertical="center"/>
    </xf>
    <xf numFmtId="0" fontId="96" fillId="0" borderId="11" xfId="0" applyFont="1" applyBorder="1" applyAlignment="1">
      <alignment horizontal="right" vertical="center"/>
    </xf>
    <xf numFmtId="0" fontId="0" fillId="60" borderId="0" xfId="0" applyFill="1"/>
    <xf numFmtId="14" fontId="0" fillId="60" borderId="0" xfId="0" applyNumberFormat="1" applyFill="1"/>
    <xf numFmtId="0" fontId="0" fillId="0" borderId="11" xfId="0" applyBorder="1" applyAlignment="1">
      <alignment horizontal="right"/>
    </xf>
    <xf numFmtId="0" fontId="72" fillId="72" borderId="11" xfId="348" applyFont="1" applyFill="1" applyBorder="1" applyAlignment="1" applyProtection="1">
      <alignment horizontal="center" vertical="center" wrapText="1"/>
      <protection hidden="1"/>
    </xf>
    <xf numFmtId="0" fontId="72" fillId="72" borderId="18" xfId="348" applyFont="1" applyFill="1" applyBorder="1" applyAlignment="1" applyProtection="1">
      <alignment vertical="center" wrapText="1"/>
      <protection hidden="1"/>
    </xf>
    <xf numFmtId="0" fontId="70" fillId="73" borderId="11" xfId="0" applyFont="1" applyFill="1" applyBorder="1" applyAlignment="1" applyProtection="1">
      <alignment horizontal="center" vertical="center"/>
      <protection hidden="1"/>
    </xf>
    <xf numFmtId="0" fontId="70" fillId="73" borderId="11" xfId="0" applyFont="1" applyFill="1" applyBorder="1" applyAlignment="1" applyProtection="1">
      <alignment horizontal="center" vertical="center" wrapText="1"/>
      <protection locked="0"/>
    </xf>
    <xf numFmtId="4" fontId="70" fillId="73" borderId="11" xfId="0" applyNumberFormat="1" applyFont="1" applyFill="1" applyBorder="1" applyAlignment="1" applyProtection="1">
      <alignment horizontal="center" vertical="center"/>
      <protection hidden="1"/>
    </xf>
    <xf numFmtId="183" fontId="70" fillId="73" borderId="11" xfId="0" applyNumberFormat="1" applyFont="1" applyFill="1" applyBorder="1" applyAlignment="1" applyProtection="1">
      <alignment horizontal="center" vertical="center"/>
      <protection hidden="1"/>
    </xf>
    <xf numFmtId="166" fontId="70" fillId="73" borderId="11" xfId="0" applyNumberFormat="1" applyFont="1" applyFill="1" applyBorder="1" applyAlignment="1" applyProtection="1">
      <alignment horizontal="center" vertical="center"/>
      <protection hidden="1"/>
    </xf>
    <xf numFmtId="0" fontId="70" fillId="73" borderId="11" xfId="0" applyFont="1" applyFill="1" applyBorder="1" applyAlignment="1">
      <alignment horizontal="center" vertical="center"/>
    </xf>
    <xf numFmtId="0" fontId="70" fillId="74" borderId="0" xfId="0" applyFont="1" applyFill="1"/>
    <xf numFmtId="0" fontId="0" fillId="74" borderId="0" xfId="0" applyFill="1"/>
    <xf numFmtId="0" fontId="70" fillId="73" borderId="11" xfId="0" applyFont="1" applyFill="1" applyBorder="1" applyAlignment="1">
      <alignment vertical="center"/>
    </xf>
    <xf numFmtId="0" fontId="70" fillId="73" borderId="11" xfId="0" applyFont="1" applyFill="1" applyBorder="1" applyAlignment="1">
      <alignment vertical="center" wrapText="1"/>
    </xf>
    <xf numFmtId="0" fontId="70" fillId="73" borderId="11" xfId="0" applyFont="1" applyFill="1" applyBorder="1" applyAlignment="1">
      <alignment horizontal="center" vertical="center" wrapText="1"/>
    </xf>
    <xf numFmtId="0" fontId="44" fillId="73" borderId="11" xfId="0" applyFont="1" applyFill="1" applyBorder="1" applyAlignment="1">
      <alignment horizontal="center" vertical="center"/>
    </xf>
    <xf numFmtId="166" fontId="70" fillId="60" borderId="11" xfId="0" applyNumberFormat="1" applyFont="1" applyFill="1" applyBorder="1" applyAlignment="1" applyProtection="1">
      <alignment horizontal="center" vertical="center"/>
      <protection locked="0"/>
    </xf>
    <xf numFmtId="0" fontId="70" fillId="60" borderId="11" xfId="0" applyFont="1" applyFill="1" applyBorder="1" applyAlignment="1" applyProtection="1">
      <alignment vertical="center" wrapText="1"/>
      <protection locked="0"/>
    </xf>
    <xf numFmtId="0" fontId="70" fillId="60" borderId="11" xfId="0" applyFont="1" applyFill="1" applyBorder="1" applyAlignment="1" applyProtection="1">
      <alignment horizontal="center" vertical="center" wrapText="1"/>
      <protection locked="0"/>
    </xf>
    <xf numFmtId="0" fontId="70" fillId="60" borderId="11" xfId="0" applyFont="1" applyFill="1" applyBorder="1" applyAlignment="1" applyProtection="1">
      <alignment horizontal="center" vertical="center"/>
      <protection locked="0"/>
    </xf>
    <xf numFmtId="0" fontId="70" fillId="60" borderId="11" xfId="0" applyFont="1" applyFill="1" applyBorder="1" applyAlignment="1" applyProtection="1">
      <alignment horizontal="left" vertical="center"/>
      <protection locked="0"/>
    </xf>
    <xf numFmtId="0" fontId="70" fillId="60" borderId="11" xfId="0" applyFont="1" applyFill="1" applyBorder="1" applyAlignment="1">
      <alignment horizontal="center" vertical="center"/>
    </xf>
    <xf numFmtId="0" fontId="70" fillId="60" borderId="11" xfId="0" applyFont="1" applyFill="1" applyBorder="1" applyAlignment="1" applyProtection="1">
      <alignment vertical="center"/>
      <protection locked="0"/>
    </xf>
    <xf numFmtId="0" fontId="70" fillId="74" borderId="0" xfId="0" applyFont="1" applyFill="1" applyAlignment="1">
      <alignment vertical="center"/>
    </xf>
    <xf numFmtId="44" fontId="70" fillId="73" borderId="11" xfId="2459" applyFont="1" applyFill="1" applyBorder="1" applyAlignment="1">
      <alignment vertical="center"/>
    </xf>
    <xf numFmtId="166" fontId="70" fillId="73" borderId="11" xfId="0" applyNumberFormat="1" applyFont="1" applyFill="1" applyBorder="1" applyAlignment="1" applyProtection="1">
      <alignment horizontal="center"/>
      <protection hidden="1"/>
    </xf>
    <xf numFmtId="0" fontId="70" fillId="74" borderId="0" xfId="0" quotePrefix="1" applyFont="1" applyFill="1"/>
    <xf numFmtId="0" fontId="70" fillId="60" borderId="11" xfId="0" applyFont="1" applyFill="1" applyBorder="1"/>
    <xf numFmtId="0" fontId="98" fillId="60" borderId="0" xfId="2214" applyFont="1" applyFill="1" applyAlignment="1" applyProtection="1">
      <alignment vertical="center"/>
      <protection hidden="1"/>
    </xf>
    <xf numFmtId="0" fontId="72" fillId="76" borderId="11" xfId="348" applyFont="1" applyFill="1" applyBorder="1" applyAlignment="1" applyProtection="1">
      <alignment horizontal="center" vertical="center" wrapText="1"/>
      <protection hidden="1"/>
    </xf>
    <xf numFmtId="0" fontId="76" fillId="0" borderId="0" xfId="0" applyFont="1"/>
    <xf numFmtId="0" fontId="44" fillId="0" borderId="11" xfId="2323" applyFont="1" applyBorder="1" applyAlignment="1" applyProtection="1">
      <alignment horizontal="center"/>
      <protection locked="0"/>
    </xf>
    <xf numFmtId="0" fontId="44" fillId="0" borderId="11" xfId="2323" applyFont="1" applyBorder="1" applyAlignment="1" applyProtection="1">
      <alignment horizontal="left" indent="1"/>
      <protection locked="0"/>
    </xf>
    <xf numFmtId="0" fontId="44" fillId="77" borderId="11" xfId="2323" applyFont="1" applyFill="1" applyBorder="1" applyAlignment="1">
      <alignment horizontal="center"/>
    </xf>
    <xf numFmtId="0" fontId="44" fillId="77" borderId="11" xfId="2323" applyFont="1" applyFill="1" applyBorder="1" applyAlignment="1">
      <alignment horizontal="left" indent="1"/>
    </xf>
    <xf numFmtId="0" fontId="44" fillId="77" borderId="11" xfId="2323" applyFont="1" applyFill="1" applyBorder="1" applyAlignment="1">
      <alignment horizontal="center" shrinkToFit="1"/>
    </xf>
    <xf numFmtId="0" fontId="70" fillId="77" borderId="11" xfId="2324" applyFont="1" applyFill="1" applyBorder="1" applyAlignment="1">
      <alignment horizontal="center" shrinkToFit="1"/>
    </xf>
    <xf numFmtId="0" fontId="77" fillId="77" borderId="11" xfId="2323" applyFont="1" applyFill="1" applyBorder="1" applyAlignment="1">
      <alignment horizontal="center"/>
    </xf>
    <xf numFmtId="0" fontId="44" fillId="77" borderId="11" xfId="2326" applyFont="1" applyFill="1" applyBorder="1" applyAlignment="1">
      <alignment horizontal="center"/>
    </xf>
    <xf numFmtId="0" fontId="44" fillId="77" borderId="11" xfId="2325" applyFont="1" applyFill="1" applyBorder="1" applyAlignment="1">
      <alignment horizontal="center"/>
    </xf>
    <xf numFmtId="0" fontId="44" fillId="77" borderId="11" xfId="2324" applyFont="1" applyFill="1" applyBorder="1" applyAlignment="1">
      <alignment horizontal="left" indent="1"/>
    </xf>
    <xf numFmtId="0" fontId="44" fillId="77" borderId="11" xfId="2324" applyFont="1" applyFill="1" applyBorder="1" applyAlignment="1">
      <alignment horizontal="center"/>
    </xf>
    <xf numFmtId="0" fontId="78" fillId="77" borderId="11" xfId="2323" applyFont="1" applyFill="1" applyBorder="1" applyAlignment="1">
      <alignment horizontal="center"/>
    </xf>
    <xf numFmtId="0" fontId="44" fillId="77" borderId="11" xfId="2324" applyFont="1" applyFill="1" applyBorder="1" applyAlignment="1">
      <alignment horizontal="center" shrinkToFit="1"/>
    </xf>
    <xf numFmtId="1" fontId="44" fillId="77" borderId="11" xfId="2323" applyNumberFormat="1" applyFont="1" applyFill="1" applyBorder="1" applyAlignment="1">
      <alignment horizontal="center"/>
    </xf>
    <xf numFmtId="0" fontId="70" fillId="77" borderId="11" xfId="2323" applyFont="1" applyFill="1" applyBorder="1" applyAlignment="1">
      <alignment horizontal="center"/>
    </xf>
    <xf numFmtId="0" fontId="75" fillId="75" borderId="11" xfId="2323" applyFont="1" applyFill="1" applyBorder="1" applyAlignment="1">
      <alignment horizontal="center" vertical="center"/>
    </xf>
    <xf numFmtId="0" fontId="75" fillId="75" borderId="11" xfId="2323" applyFont="1" applyFill="1" applyBorder="1" applyAlignment="1">
      <alignment horizontal="center" vertical="center" wrapText="1"/>
    </xf>
    <xf numFmtId="0" fontId="75" fillId="75" borderId="11" xfId="2323" applyFont="1" applyFill="1" applyBorder="1" applyAlignment="1">
      <alignment horizontal="center" vertical="center" shrinkToFit="1"/>
    </xf>
    <xf numFmtId="0" fontId="75" fillId="75" borderId="11" xfId="2323" quotePrefix="1" applyFont="1" applyFill="1" applyBorder="1" applyAlignment="1">
      <alignment horizontal="center" vertical="center" wrapText="1"/>
    </xf>
    <xf numFmtId="164" fontId="75" fillId="75" borderId="11" xfId="2323" quotePrefix="1" applyNumberFormat="1" applyFont="1" applyFill="1" applyBorder="1" applyAlignment="1">
      <alignment horizontal="center" vertical="center" wrapText="1"/>
    </xf>
    <xf numFmtId="0" fontId="74" fillId="74" borderId="0" xfId="0" applyFont="1" applyFill="1"/>
    <xf numFmtId="0" fontId="74" fillId="74" borderId="0" xfId="0" applyFont="1" applyFill="1" applyAlignment="1">
      <alignment horizontal="center"/>
    </xf>
    <xf numFmtId="0" fontId="75" fillId="74" borderId="0" xfId="0" applyFont="1" applyFill="1"/>
    <xf numFmtId="0" fontId="76" fillId="74" borderId="0" xfId="0" applyFont="1" applyFill="1"/>
    <xf numFmtId="0" fontId="70" fillId="74" borderId="0" xfId="0" applyFont="1" applyFill="1" applyAlignment="1">
      <alignment horizontal="center"/>
    </xf>
    <xf numFmtId="0" fontId="75" fillId="74" borderId="11" xfId="2323" applyFont="1" applyFill="1" applyBorder="1" applyAlignment="1">
      <alignment horizontal="center" vertical="center" wrapText="1"/>
    </xf>
    <xf numFmtId="0" fontId="44" fillId="74" borderId="11" xfId="2323" applyFont="1" applyFill="1" applyBorder="1" applyAlignment="1">
      <alignment horizontal="center"/>
    </xf>
    <xf numFmtId="0" fontId="44" fillId="74" borderId="11" xfId="2326" applyFont="1" applyFill="1" applyBorder="1" applyAlignment="1">
      <alignment horizontal="center"/>
    </xf>
    <xf numFmtId="0" fontId="44" fillId="74" borderId="11" xfId="2325" applyFont="1" applyFill="1" applyBorder="1" applyAlignment="1">
      <alignment horizontal="center"/>
    </xf>
    <xf numFmtId="0" fontId="3" fillId="74" borderId="0" xfId="348" applyFont="1" applyFill="1" applyAlignment="1">
      <alignment horizontal="center"/>
    </xf>
    <xf numFmtId="0" fontId="73" fillId="74" borderId="0" xfId="0" applyFont="1" applyFill="1" applyAlignment="1">
      <alignment horizontal="left" vertical="center"/>
    </xf>
    <xf numFmtId="0" fontId="73" fillId="74" borderId="0" xfId="0" applyFont="1" applyFill="1"/>
    <xf numFmtId="0" fontId="100" fillId="78" borderId="14" xfId="0" applyFont="1" applyFill="1" applyBorder="1" applyAlignment="1">
      <alignment horizontal="right"/>
    </xf>
    <xf numFmtId="2" fontId="101" fillId="78" borderId="14" xfId="0" applyNumberFormat="1" applyFont="1" applyFill="1" applyBorder="1" applyAlignment="1">
      <alignment horizontal="center"/>
    </xf>
    <xf numFmtId="14" fontId="101" fillId="78" borderId="14" xfId="0" applyNumberFormat="1" applyFont="1" applyFill="1" applyBorder="1" applyAlignment="1">
      <alignment horizontal="center"/>
    </xf>
    <xf numFmtId="0" fontId="72" fillId="72" borderId="6" xfId="348" applyFont="1" applyFill="1" applyBorder="1" applyAlignment="1" applyProtection="1">
      <alignment vertical="center" wrapText="1"/>
      <protection hidden="1"/>
    </xf>
    <xf numFmtId="0" fontId="72" fillId="72" borderId="20" xfId="348" applyFont="1" applyFill="1" applyBorder="1" applyAlignment="1" applyProtection="1">
      <alignment vertical="center" wrapText="1"/>
      <protection hidden="1"/>
    </xf>
    <xf numFmtId="0" fontId="70" fillId="74" borderId="0" xfId="0" applyFont="1" applyFill="1" applyAlignment="1">
      <alignment vertical="top"/>
    </xf>
    <xf numFmtId="0" fontId="79" fillId="72" borderId="11" xfId="348" applyFont="1" applyFill="1" applyBorder="1" applyAlignment="1" applyProtection="1">
      <alignment vertical="center" wrapText="1"/>
      <protection hidden="1"/>
    </xf>
    <xf numFmtId="0" fontId="79" fillId="72" borderId="11" xfId="348" applyFont="1" applyFill="1" applyBorder="1" applyAlignment="1" applyProtection="1">
      <alignment horizontal="left" vertical="center" wrapText="1"/>
      <protection hidden="1"/>
    </xf>
    <xf numFmtId="0" fontId="79" fillId="72" borderId="18" xfId="348" applyFont="1" applyFill="1" applyBorder="1" applyAlignment="1" applyProtection="1">
      <alignment horizontal="left" vertical="center" wrapText="1"/>
      <protection hidden="1"/>
    </xf>
    <xf numFmtId="0" fontId="99" fillId="75" borderId="11" xfId="0" applyFont="1" applyFill="1" applyBorder="1" applyAlignment="1">
      <alignment horizontal="left" vertical="center"/>
    </xf>
    <xf numFmtId="0" fontId="44" fillId="77" borderId="11" xfId="2323" applyFont="1" applyFill="1" applyBorder="1" applyAlignment="1" applyProtection="1">
      <alignment horizontal="left"/>
      <protection hidden="1"/>
    </xf>
    <xf numFmtId="0" fontId="72" fillId="72" borderId="20" xfId="348" applyFont="1" applyFill="1" applyBorder="1" applyAlignment="1" applyProtection="1">
      <alignment horizontal="center" vertical="center" wrapText="1"/>
      <protection hidden="1"/>
    </xf>
    <xf numFmtId="0" fontId="72" fillId="72" borderId="18" xfId="348" applyFont="1" applyFill="1" applyBorder="1" applyAlignment="1" applyProtection="1">
      <alignment horizontal="center" vertical="center" wrapText="1"/>
      <protection hidden="1"/>
    </xf>
    <xf numFmtId="2" fontId="0" fillId="0" borderId="20" xfId="0" applyNumberFormat="1" applyBorder="1" applyAlignment="1">
      <alignment horizontal="center"/>
    </xf>
    <xf numFmtId="0" fontId="0" fillId="79" borderId="0" xfId="0" applyFill="1" applyAlignment="1">
      <alignment vertical="center"/>
    </xf>
    <xf numFmtId="0" fontId="99" fillId="75" borderId="39" xfId="0" applyFont="1" applyFill="1" applyBorder="1" applyAlignment="1">
      <alignment horizontal="right" vertical="center" wrapText="1"/>
    </xf>
    <xf numFmtId="0" fontId="99" fillId="75" borderId="41" xfId="0" applyFont="1" applyFill="1" applyBorder="1" applyAlignment="1">
      <alignment horizontal="right" vertical="center" wrapText="1"/>
    </xf>
    <xf numFmtId="0" fontId="99" fillId="65" borderId="24" xfId="0" applyFont="1" applyFill="1" applyBorder="1" applyAlignment="1">
      <alignment horizontal="right" vertical="center"/>
    </xf>
    <xf numFmtId="0" fontId="99" fillId="65" borderId="39" xfId="0" applyFont="1" applyFill="1" applyBorder="1" applyAlignment="1">
      <alignment horizontal="right" vertical="center"/>
    </xf>
    <xf numFmtId="0" fontId="99" fillId="65" borderId="45" xfId="0" applyFont="1" applyFill="1" applyBorder="1" applyAlignment="1">
      <alignment horizontal="right" vertical="center"/>
    </xf>
    <xf numFmtId="0" fontId="99" fillId="65" borderId="41" xfId="0" applyFont="1" applyFill="1" applyBorder="1" applyAlignment="1">
      <alignment horizontal="right" vertical="center"/>
    </xf>
    <xf numFmtId="166" fontId="70" fillId="73" borderId="41" xfId="0" applyNumberFormat="1" applyFont="1" applyFill="1" applyBorder="1" applyAlignment="1" applyProtection="1">
      <alignment horizontal="center" vertical="center"/>
      <protection hidden="1"/>
    </xf>
    <xf numFmtId="166" fontId="70" fillId="73" borderId="44" xfId="0" applyNumberFormat="1" applyFont="1" applyFill="1" applyBorder="1" applyAlignment="1" applyProtection="1">
      <alignment horizontal="center" vertical="center"/>
      <protection hidden="1"/>
    </xf>
    <xf numFmtId="185" fontId="70" fillId="73" borderId="44" xfId="0" applyNumberFormat="1" applyFont="1" applyFill="1" applyBorder="1" applyAlignment="1" applyProtection="1">
      <alignment horizontal="center" vertical="center"/>
      <protection hidden="1"/>
    </xf>
    <xf numFmtId="186" fontId="70" fillId="73" borderId="44" xfId="0" applyNumberFormat="1" applyFont="1" applyFill="1" applyBorder="1" applyAlignment="1" applyProtection="1">
      <alignment horizontal="center" vertical="center"/>
      <protection hidden="1"/>
    </xf>
    <xf numFmtId="186" fontId="70" fillId="73" borderId="42" xfId="0" applyNumberFormat="1" applyFont="1" applyFill="1" applyBorder="1" applyAlignment="1" applyProtection="1">
      <alignment horizontal="center" vertical="center"/>
      <protection hidden="1"/>
    </xf>
    <xf numFmtId="0" fontId="85" fillId="0" borderId="11" xfId="0" applyFont="1" applyBorder="1" applyAlignment="1">
      <alignment wrapText="1"/>
    </xf>
    <xf numFmtId="0" fontId="85" fillId="0" borderId="11" xfId="0" applyFont="1" applyBorder="1" applyAlignment="1">
      <alignment horizontal="center" vertical="center"/>
    </xf>
    <xf numFmtId="0" fontId="85" fillId="67" borderId="11" xfId="0" applyFont="1" applyFill="1" applyBorder="1" applyAlignment="1">
      <alignment wrapText="1"/>
    </xf>
    <xf numFmtId="0" fontId="85" fillId="67" borderId="11" xfId="0" applyFont="1" applyFill="1" applyBorder="1" applyAlignment="1">
      <alignment horizontal="center" vertical="center"/>
    </xf>
    <xf numFmtId="0" fontId="105" fillId="0" borderId="11" xfId="0" applyFont="1" applyBorder="1" applyAlignment="1">
      <alignment vertical="center" wrapText="1"/>
    </xf>
    <xf numFmtId="0" fontId="106" fillId="0" borderId="11" xfId="0" applyFont="1" applyBorder="1" applyAlignment="1">
      <alignment horizontal="center" vertical="center" wrapText="1"/>
    </xf>
    <xf numFmtId="2" fontId="107" fillId="0" borderId="11" xfId="2460" applyNumberFormat="1" applyFont="1" applyFill="1" applyBorder="1" applyAlignment="1" applyProtection="1">
      <alignment horizontal="center" vertical="center"/>
      <protection hidden="1"/>
    </xf>
    <xf numFmtId="2" fontId="107" fillId="0" borderId="11" xfId="2460" applyNumberFormat="1" applyFont="1" applyFill="1" applyBorder="1" applyAlignment="1">
      <alignment horizontal="center" vertical="center"/>
    </xf>
    <xf numFmtId="2" fontId="108" fillId="0" borderId="11" xfId="2460" applyNumberFormat="1" applyFont="1" applyFill="1" applyBorder="1" applyAlignment="1">
      <alignment horizontal="center"/>
    </xf>
    <xf numFmtId="166" fontId="0" fillId="74" borderId="0" xfId="0" applyNumberFormat="1" applyFill="1"/>
    <xf numFmtId="166" fontId="70" fillId="73" borderId="11" xfId="0" applyNumberFormat="1" applyFont="1" applyFill="1" applyBorder="1" applyAlignment="1" applyProtection="1">
      <alignment vertical="center"/>
      <protection hidden="1"/>
    </xf>
    <xf numFmtId="166" fontId="70" fillId="73" borderId="11" xfId="0" applyNumberFormat="1" applyFont="1" applyFill="1" applyBorder="1" applyAlignment="1">
      <alignment vertical="center"/>
    </xf>
    <xf numFmtId="0" fontId="0" fillId="74" borderId="0" xfId="0" applyFill="1" applyAlignment="1">
      <alignment horizontal="center"/>
    </xf>
    <xf numFmtId="0" fontId="109" fillId="80" borderId="11" xfId="0" applyFont="1" applyFill="1" applyBorder="1" applyAlignment="1" applyProtection="1">
      <alignment horizontal="center" vertical="center"/>
      <protection hidden="1"/>
    </xf>
    <xf numFmtId="0" fontId="109" fillId="80" borderId="11" xfId="0" applyFont="1" applyFill="1" applyBorder="1" applyAlignment="1" applyProtection="1">
      <alignment vertical="center"/>
      <protection hidden="1"/>
    </xf>
    <xf numFmtId="0" fontId="109" fillId="80" borderId="11" xfId="0" applyFont="1" applyFill="1" applyBorder="1" applyAlignment="1" applyProtection="1">
      <alignment horizontal="left" vertical="center" wrapText="1"/>
      <protection hidden="1"/>
    </xf>
    <xf numFmtId="0" fontId="109" fillId="80" borderId="11" xfId="0" applyFont="1" applyFill="1" applyBorder="1" applyAlignment="1" applyProtection="1">
      <alignment vertical="center" wrapText="1"/>
      <protection hidden="1"/>
    </xf>
    <xf numFmtId="0" fontId="109" fillId="80" borderId="11" xfId="0" applyFont="1" applyFill="1" applyBorder="1" applyAlignment="1" applyProtection="1">
      <alignment horizontal="center" vertical="center" wrapText="1"/>
      <protection hidden="1"/>
    </xf>
    <xf numFmtId="0" fontId="109" fillId="80" borderId="11" xfId="0" applyFont="1" applyFill="1" applyBorder="1" applyAlignment="1" applyProtection="1">
      <alignment horizontal="center" vertical="center" wrapText="1"/>
      <protection locked="0"/>
    </xf>
    <xf numFmtId="0" fontId="109" fillId="80" borderId="11" xfId="0" applyFont="1" applyFill="1" applyBorder="1" applyAlignment="1" applyProtection="1">
      <alignment horizontal="center" vertical="center"/>
      <protection locked="0"/>
    </xf>
    <xf numFmtId="166" fontId="109" fillId="80" borderId="11" xfId="0" applyNumberFormat="1" applyFont="1" applyFill="1" applyBorder="1" applyAlignment="1" applyProtection="1">
      <alignment horizontal="center" vertical="center"/>
      <protection hidden="1"/>
    </xf>
    <xf numFmtId="4" fontId="109" fillId="80" borderId="11" xfId="0" applyNumberFormat="1" applyFont="1" applyFill="1" applyBorder="1" applyAlignment="1" applyProtection="1">
      <alignment horizontal="center" vertical="center"/>
      <protection hidden="1"/>
    </xf>
    <xf numFmtId="183" fontId="109" fillId="80" borderId="11" xfId="0" applyNumberFormat="1" applyFont="1" applyFill="1" applyBorder="1" applyAlignment="1" applyProtection="1">
      <alignment horizontal="center" vertical="center"/>
      <protection hidden="1"/>
    </xf>
    <xf numFmtId="165" fontId="109" fillId="80" borderId="11" xfId="0" applyNumberFormat="1" applyFont="1" applyFill="1" applyBorder="1" applyAlignment="1" applyProtection="1">
      <alignment horizontal="center" vertical="center"/>
      <protection hidden="1"/>
    </xf>
    <xf numFmtId="0" fontId="51" fillId="80" borderId="0" xfId="0" applyFont="1" applyFill="1"/>
    <xf numFmtId="166" fontId="109" fillId="80" borderId="11" xfId="0" applyNumberFormat="1" applyFont="1" applyFill="1" applyBorder="1" applyAlignment="1" applyProtection="1">
      <alignment vertical="center"/>
      <protection hidden="1"/>
    </xf>
    <xf numFmtId="0" fontId="109" fillId="80" borderId="0" xfId="0" applyFont="1" applyFill="1" applyAlignment="1" applyProtection="1">
      <alignment vertical="center"/>
      <protection hidden="1"/>
    </xf>
    <xf numFmtId="0" fontId="1" fillId="0" borderId="0" xfId="0" applyFont="1" applyAlignment="1">
      <alignment horizontal="left"/>
    </xf>
    <xf numFmtId="8" fontId="80" fillId="0" borderId="11" xfId="0" applyNumberFormat="1" applyFont="1" applyBorder="1" applyAlignment="1">
      <alignment horizontal="center" vertical="center"/>
    </xf>
    <xf numFmtId="8" fontId="85" fillId="0" borderId="11" xfId="0" applyNumberFormat="1" applyFont="1" applyBorder="1" applyAlignment="1">
      <alignment horizontal="center" vertical="center"/>
    </xf>
    <xf numFmtId="8" fontId="1" fillId="0" borderId="11" xfId="0" applyNumberFormat="1" applyFont="1" applyBorder="1" applyAlignment="1">
      <alignment horizontal="center" vertical="center"/>
    </xf>
    <xf numFmtId="8" fontId="106" fillId="0" borderId="11" xfId="0" applyNumberFormat="1" applyFont="1" applyBorder="1" applyAlignment="1">
      <alignment horizontal="center" vertical="center" wrapText="1"/>
    </xf>
    <xf numFmtId="0" fontId="70" fillId="0" borderId="21" xfId="0" applyFont="1" applyBorder="1" applyAlignment="1">
      <alignment horizontal="left" wrapText="1"/>
    </xf>
    <xf numFmtId="0" fontId="70" fillId="0" borderId="20" xfId="0" applyFont="1" applyBorder="1" applyAlignment="1">
      <alignment horizontal="left" wrapText="1"/>
    </xf>
    <xf numFmtId="0" fontId="70" fillId="0" borderId="0" xfId="0" applyFont="1" applyAlignment="1">
      <alignment horizontal="left" vertical="top" wrapText="1"/>
    </xf>
    <xf numFmtId="0" fontId="79" fillId="72" borderId="11" xfId="348" applyFont="1" applyFill="1" applyBorder="1" applyAlignment="1" applyProtection="1">
      <alignment horizontal="center" vertical="center" wrapText="1"/>
      <protection hidden="1"/>
    </xf>
    <xf numFmtId="0" fontId="71" fillId="0" borderId="11" xfId="0" applyFont="1" applyBorder="1" applyAlignment="1">
      <alignment horizontal="left"/>
    </xf>
    <xf numFmtId="0" fontId="77" fillId="65" borderId="0" xfId="0" applyFont="1" applyFill="1" applyAlignment="1">
      <alignment horizontal="center"/>
    </xf>
    <xf numFmtId="0" fontId="82" fillId="0" borderId="0" xfId="0" applyFont="1" applyAlignment="1">
      <alignment horizontal="center" vertical="center"/>
    </xf>
    <xf numFmtId="0" fontId="83" fillId="0" borderId="21" xfId="0" applyFont="1" applyBorder="1" applyAlignment="1">
      <alignment horizontal="center"/>
    </xf>
    <xf numFmtId="0" fontId="83" fillId="0" borderId="6" xfId="0" applyFont="1" applyBorder="1" applyAlignment="1">
      <alignment horizontal="center"/>
    </xf>
    <xf numFmtId="0" fontId="83" fillId="0" borderId="20" xfId="0" applyFont="1" applyBorder="1" applyAlignment="1">
      <alignment horizontal="center"/>
    </xf>
    <xf numFmtId="0" fontId="70" fillId="60" borderId="43" xfId="0" applyFont="1" applyFill="1" applyBorder="1" applyAlignment="1" applyProtection="1">
      <alignment horizontal="left" vertical="center"/>
      <protection locked="0"/>
    </xf>
    <xf numFmtId="0" fontId="70" fillId="60" borderId="40" xfId="0" applyFont="1" applyFill="1" applyBorder="1" applyAlignment="1" applyProtection="1">
      <alignment horizontal="left" vertical="center"/>
      <protection locked="0"/>
    </xf>
    <xf numFmtId="0" fontId="99" fillId="72" borderId="48" xfId="348" applyFont="1" applyFill="1" applyBorder="1" applyAlignment="1" applyProtection="1">
      <alignment horizontal="center" vertical="center" wrapText="1"/>
      <protection hidden="1"/>
    </xf>
    <xf numFmtId="0" fontId="99" fillId="72" borderId="24" xfId="348" applyFont="1" applyFill="1" applyBorder="1" applyAlignment="1" applyProtection="1">
      <alignment horizontal="center" vertical="center" wrapText="1"/>
      <protection hidden="1"/>
    </xf>
    <xf numFmtId="0" fontId="99" fillId="72" borderId="49" xfId="348" applyFont="1" applyFill="1" applyBorder="1" applyAlignment="1" applyProtection="1">
      <alignment horizontal="center" vertical="center" wrapText="1"/>
      <protection hidden="1"/>
    </xf>
    <xf numFmtId="0" fontId="99" fillId="72" borderId="51" xfId="348" applyFont="1" applyFill="1" applyBorder="1" applyAlignment="1" applyProtection="1">
      <alignment horizontal="center" vertical="center" wrapText="1"/>
      <protection hidden="1"/>
    </xf>
    <xf numFmtId="0" fontId="99" fillId="72" borderId="47" xfId="348" applyFont="1" applyFill="1" applyBorder="1" applyAlignment="1" applyProtection="1">
      <alignment horizontal="center" vertical="center" wrapText="1"/>
      <protection hidden="1"/>
    </xf>
    <xf numFmtId="0" fontId="99" fillId="72" borderId="50" xfId="348" applyFont="1" applyFill="1" applyBorder="1" applyAlignment="1" applyProtection="1">
      <alignment horizontal="center" vertical="center" wrapText="1"/>
      <protection hidden="1"/>
    </xf>
    <xf numFmtId="0" fontId="70" fillId="0" borderId="25" xfId="0" applyFont="1" applyBorder="1" applyAlignment="1" applyProtection="1">
      <alignment horizontal="left"/>
      <protection locked="0"/>
    </xf>
    <xf numFmtId="0" fontId="70" fillId="0" borderId="23" xfId="0" applyFont="1" applyBorder="1" applyAlignment="1" applyProtection="1">
      <alignment horizontal="left"/>
      <protection locked="0"/>
    </xf>
    <xf numFmtId="0" fontId="70" fillId="60" borderId="11" xfId="0" applyFont="1" applyFill="1" applyBorder="1" applyAlignment="1" applyProtection="1">
      <alignment horizontal="left" vertical="center"/>
      <protection locked="0"/>
    </xf>
    <xf numFmtId="0" fontId="70" fillId="60" borderId="46" xfId="0" applyFont="1" applyFill="1" applyBorder="1" applyAlignment="1" applyProtection="1">
      <alignment horizontal="left" vertical="center"/>
      <protection locked="0"/>
    </xf>
    <xf numFmtId="166" fontId="70" fillId="60" borderId="11" xfId="0" applyNumberFormat="1" applyFont="1" applyFill="1" applyBorder="1" applyAlignment="1" applyProtection="1">
      <alignment horizontal="left" vertical="center"/>
      <protection locked="0"/>
    </xf>
    <xf numFmtId="166" fontId="70" fillId="60" borderId="46" xfId="0" applyNumberFormat="1" applyFont="1" applyFill="1" applyBorder="1" applyAlignment="1" applyProtection="1">
      <alignment horizontal="left" vertical="center"/>
      <protection locked="0"/>
    </xf>
    <xf numFmtId="0" fontId="70" fillId="60" borderId="44" xfId="0" applyFont="1" applyFill="1" applyBorder="1" applyAlignment="1" applyProtection="1">
      <alignment horizontal="left" vertical="center"/>
      <protection locked="0"/>
    </xf>
    <xf numFmtId="0" fontId="70" fillId="60" borderId="42" xfId="0" applyFont="1" applyFill="1" applyBorder="1" applyAlignment="1" applyProtection="1">
      <alignment horizontal="left" vertical="center"/>
      <protection locked="0"/>
    </xf>
    <xf numFmtId="14" fontId="70" fillId="60" borderId="11" xfId="0" applyNumberFormat="1" applyFont="1" applyFill="1" applyBorder="1" applyAlignment="1" applyProtection="1">
      <alignment horizontal="left" vertical="center"/>
      <protection locked="0"/>
    </xf>
    <xf numFmtId="14" fontId="70" fillId="60" borderId="46" xfId="0" applyNumberFormat="1" applyFont="1" applyFill="1" applyBorder="1" applyAlignment="1" applyProtection="1">
      <alignment horizontal="left" vertical="center"/>
      <protection locked="0"/>
    </xf>
    <xf numFmtId="0" fontId="72" fillId="72" borderId="25" xfId="348" applyFont="1" applyFill="1" applyBorder="1" applyAlignment="1" applyProtection="1">
      <alignment horizontal="center" vertical="center" wrapText="1"/>
      <protection hidden="1"/>
    </xf>
    <xf numFmtId="0" fontId="72" fillId="72" borderId="14" xfId="348" applyFont="1" applyFill="1" applyBorder="1" applyAlignment="1" applyProtection="1">
      <alignment horizontal="center" vertical="center" wrapText="1"/>
      <protection hidden="1"/>
    </xf>
    <xf numFmtId="0" fontId="72" fillId="72" borderId="23" xfId="348" applyFont="1" applyFill="1" applyBorder="1" applyAlignment="1" applyProtection="1">
      <alignment horizontal="center" vertical="center" wrapText="1"/>
      <protection hidden="1"/>
    </xf>
    <xf numFmtId="166" fontId="72" fillId="72" borderId="18" xfId="348" applyNumberFormat="1" applyFont="1" applyFill="1" applyBorder="1" applyAlignment="1" applyProtection="1">
      <alignment horizontal="center" vertical="center" wrapText="1"/>
      <protection hidden="1"/>
    </xf>
    <xf numFmtId="166" fontId="72" fillId="72" borderId="24" xfId="348" applyNumberFormat="1" applyFont="1" applyFill="1" applyBorder="1" applyAlignment="1" applyProtection="1">
      <alignment horizontal="center" vertical="center" wrapText="1"/>
      <protection hidden="1"/>
    </xf>
    <xf numFmtId="0" fontId="72" fillId="72" borderId="21" xfId="348" applyFont="1" applyFill="1" applyBorder="1" applyAlignment="1" applyProtection="1">
      <alignment horizontal="center" vertical="center" wrapText="1"/>
      <protection hidden="1"/>
    </xf>
    <xf numFmtId="0" fontId="72" fillId="72" borderId="20" xfId="348" applyFont="1" applyFill="1" applyBorder="1" applyAlignment="1" applyProtection="1">
      <alignment horizontal="center" vertical="center" wrapText="1"/>
      <protection hidden="1"/>
    </xf>
    <xf numFmtId="0" fontId="72" fillId="72" borderId="6" xfId="348" applyFont="1" applyFill="1" applyBorder="1" applyAlignment="1" applyProtection="1">
      <alignment horizontal="center" vertical="center" wrapText="1"/>
      <protection hidden="1"/>
    </xf>
    <xf numFmtId="0" fontId="72" fillId="72" borderId="18" xfId="348" applyFont="1" applyFill="1" applyBorder="1" applyAlignment="1" applyProtection="1">
      <alignment horizontal="center" vertical="center" wrapText="1"/>
      <protection hidden="1"/>
    </xf>
    <xf numFmtId="0" fontId="72" fillId="72" borderId="24" xfId="348" applyFont="1" applyFill="1" applyBorder="1" applyAlignment="1" applyProtection="1">
      <alignment horizontal="center" vertical="center" wrapText="1"/>
      <protection hidden="1"/>
    </xf>
    <xf numFmtId="0" fontId="72" fillId="72" borderId="11" xfId="348" applyFont="1" applyFill="1" applyBorder="1" applyAlignment="1" applyProtection="1">
      <alignment horizontal="center" vertical="center" wrapText="1"/>
      <protection hidden="1"/>
    </xf>
    <xf numFmtId="0" fontId="70" fillId="74" borderId="14" xfId="0" applyFont="1" applyFill="1" applyBorder="1" applyAlignment="1">
      <alignment horizontal="center"/>
    </xf>
    <xf numFmtId="0" fontId="95" fillId="0" borderId="0" xfId="0" applyFont="1" applyAlignment="1">
      <alignment horizontal="right" vertical="center"/>
    </xf>
    <xf numFmtId="0" fontId="38" fillId="0" borderId="14" xfId="0" applyFont="1" applyBorder="1" applyAlignment="1">
      <alignment horizontal="center" vertical="center"/>
    </xf>
    <xf numFmtId="0" fontId="91" fillId="0" borderId="0" xfId="0" applyFont="1"/>
    <xf numFmtId="0" fontId="0" fillId="0" borderId="14" xfId="0" applyBorder="1" applyAlignment="1">
      <alignment horizontal="center"/>
    </xf>
    <xf numFmtId="0" fontId="91" fillId="0" borderId="11" xfId="0" applyFont="1" applyBorder="1"/>
    <xf numFmtId="0" fontId="92" fillId="0" borderId="11" xfId="2461" applyFont="1" applyBorder="1"/>
    <xf numFmtId="0" fontId="0" fillId="70" borderId="11" xfId="0" applyFill="1" applyBorder="1" applyAlignment="1">
      <alignment horizontal="center" vertical="center"/>
    </xf>
    <xf numFmtId="0" fontId="86" fillId="71" borderId="6" xfId="0" applyFont="1" applyFill="1" applyBorder="1" applyAlignment="1">
      <alignment horizontal="center" vertical="center" wrapText="1"/>
    </xf>
    <xf numFmtId="166" fontId="93" fillId="70" borderId="19" xfId="0" applyNumberFormat="1" applyFont="1" applyFill="1" applyBorder="1" applyAlignment="1">
      <alignment horizontal="center" vertical="center"/>
    </xf>
    <xf numFmtId="166" fontId="93" fillId="70" borderId="37" xfId="0" applyNumberFormat="1" applyFont="1" applyFill="1" applyBorder="1" applyAlignment="1">
      <alignment horizontal="center" vertical="center"/>
    </xf>
    <xf numFmtId="166" fontId="93" fillId="70" borderId="22" xfId="0" applyNumberFormat="1" applyFont="1" applyFill="1" applyBorder="1" applyAlignment="1">
      <alignment horizontal="center" vertical="center"/>
    </xf>
    <xf numFmtId="166" fontId="93" fillId="70" borderId="38" xfId="0" applyNumberFormat="1" applyFont="1" applyFill="1" applyBorder="1" applyAlignment="1">
      <alignment horizontal="center" vertical="center"/>
    </xf>
    <xf numFmtId="2" fontId="93" fillId="70" borderId="37" xfId="2460" applyNumberFormat="1" applyFont="1" applyFill="1" applyBorder="1" applyAlignment="1">
      <alignment horizontal="center" vertical="center"/>
    </xf>
    <xf numFmtId="166" fontId="93" fillId="69" borderId="19" xfId="0" applyNumberFormat="1" applyFont="1" applyFill="1" applyBorder="1" applyAlignment="1">
      <alignment horizontal="center" vertical="center"/>
    </xf>
    <xf numFmtId="166" fontId="93" fillId="69" borderId="37" xfId="0" applyNumberFormat="1" applyFont="1" applyFill="1" applyBorder="1" applyAlignment="1">
      <alignment horizontal="center" vertical="center"/>
    </xf>
    <xf numFmtId="166" fontId="93" fillId="69" borderId="22" xfId="0" applyNumberFormat="1" applyFont="1" applyFill="1" applyBorder="1" applyAlignment="1">
      <alignment horizontal="center" vertical="center"/>
    </xf>
    <xf numFmtId="166" fontId="93" fillId="69" borderId="38" xfId="0" applyNumberFormat="1" applyFont="1" applyFill="1" applyBorder="1" applyAlignment="1">
      <alignment horizontal="center" vertical="center"/>
    </xf>
    <xf numFmtId="2" fontId="93" fillId="69" borderId="37" xfId="2460" applyNumberFormat="1" applyFont="1" applyFill="1" applyBorder="1" applyAlignment="1">
      <alignment horizontal="center" vertical="center"/>
    </xf>
    <xf numFmtId="166" fontId="93" fillId="68" borderId="19" xfId="0" applyNumberFormat="1" applyFont="1" applyFill="1" applyBorder="1" applyAlignment="1">
      <alignment horizontal="center" vertical="center"/>
    </xf>
    <xf numFmtId="166" fontId="93" fillId="68" borderId="37" xfId="0" applyNumberFormat="1" applyFont="1" applyFill="1" applyBorder="1" applyAlignment="1">
      <alignment horizontal="center" vertical="center"/>
    </xf>
    <xf numFmtId="166" fontId="93" fillId="68" borderId="22" xfId="0" applyNumberFormat="1" applyFont="1" applyFill="1" applyBorder="1" applyAlignment="1">
      <alignment horizontal="center" vertical="center"/>
    </xf>
    <xf numFmtId="166" fontId="93" fillId="68" borderId="38" xfId="0" applyNumberFormat="1" applyFont="1" applyFill="1" applyBorder="1" applyAlignment="1">
      <alignment horizontal="center" vertical="center"/>
    </xf>
    <xf numFmtId="166" fontId="93" fillId="60" borderId="19" xfId="0" applyNumberFormat="1" applyFont="1" applyFill="1" applyBorder="1" applyAlignment="1">
      <alignment horizontal="center" vertical="center"/>
    </xf>
    <xf numFmtId="166" fontId="93" fillId="60" borderId="37" xfId="0" applyNumberFormat="1" applyFont="1" applyFill="1" applyBorder="1" applyAlignment="1">
      <alignment horizontal="center" vertical="center"/>
    </xf>
    <xf numFmtId="0" fontId="90" fillId="0" borderId="19" xfId="0" applyFont="1" applyBorder="1" applyAlignment="1">
      <alignment horizontal="center" vertical="center"/>
    </xf>
    <xf numFmtId="0" fontId="90" fillId="0" borderId="22" xfId="0" applyFont="1" applyBorder="1" applyAlignment="1">
      <alignment horizontal="center" vertical="center"/>
    </xf>
    <xf numFmtId="2" fontId="93" fillId="60" borderId="37" xfId="2460" applyNumberFormat="1" applyFont="1" applyFill="1" applyBorder="1" applyAlignment="1">
      <alignment horizontal="center" vertical="center"/>
    </xf>
    <xf numFmtId="166" fontId="93" fillId="60" borderId="38"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89" fillId="0" borderId="25" xfId="2461" applyBorder="1" applyAlignment="1">
      <alignment horizontal="center" vertical="center"/>
    </xf>
    <xf numFmtId="0" fontId="89" fillId="0" borderId="23" xfId="2461" applyBorder="1" applyAlignment="1">
      <alignment horizontal="center" vertical="center"/>
    </xf>
    <xf numFmtId="0" fontId="0" fillId="68" borderId="19" xfId="0" applyFill="1" applyBorder="1" applyAlignment="1">
      <alignment horizontal="center" vertical="center"/>
    </xf>
    <xf numFmtId="0" fontId="0" fillId="68" borderId="22" xfId="0" applyFill="1" applyBorder="1" applyAlignment="1">
      <alignment horizontal="center" vertical="center"/>
    </xf>
    <xf numFmtId="0" fontId="0" fillId="68" borderId="37" xfId="0" applyFill="1" applyBorder="1" applyAlignment="1">
      <alignment horizontal="center" vertical="center"/>
    </xf>
    <xf numFmtId="0" fontId="0" fillId="68" borderId="38" xfId="0" applyFill="1" applyBorder="1" applyAlignment="1">
      <alignment horizontal="center" vertical="center"/>
    </xf>
    <xf numFmtId="0" fontId="0" fillId="68" borderId="25" xfId="0" applyFill="1" applyBorder="1" applyAlignment="1">
      <alignment horizontal="center" vertical="center"/>
    </xf>
    <xf numFmtId="0" fontId="0" fillId="68" borderId="23" xfId="0" applyFill="1" applyBorder="1" applyAlignment="1">
      <alignment horizontal="center" vertical="center"/>
    </xf>
    <xf numFmtId="0" fontId="0" fillId="69" borderId="19" xfId="0" applyFill="1" applyBorder="1" applyAlignment="1">
      <alignment horizontal="center" vertical="center" wrapText="1"/>
    </xf>
    <xf numFmtId="0" fontId="0" fillId="69" borderId="22" xfId="0" applyFill="1" applyBorder="1" applyAlignment="1">
      <alignment horizontal="center" vertical="center" wrapText="1"/>
    </xf>
    <xf numFmtId="0" fontId="0" fillId="69" borderId="37" xfId="0" applyFill="1" applyBorder="1" applyAlignment="1">
      <alignment horizontal="center" vertical="center" wrapText="1"/>
    </xf>
    <xf numFmtId="0" fontId="0" fillId="69" borderId="38" xfId="0" applyFill="1" applyBorder="1" applyAlignment="1">
      <alignment horizontal="center" vertical="center" wrapText="1"/>
    </xf>
    <xf numFmtId="0" fontId="0" fillId="69" borderId="25" xfId="0" applyFill="1" applyBorder="1" applyAlignment="1">
      <alignment horizontal="center" vertical="center" wrapText="1"/>
    </xf>
    <xf numFmtId="0" fontId="0" fillId="69" borderId="23" xfId="0" applyFill="1" applyBorder="1" applyAlignment="1">
      <alignment horizontal="center" vertical="center" wrapText="1"/>
    </xf>
    <xf numFmtId="0" fontId="0" fillId="70" borderId="19" xfId="0" applyFill="1" applyBorder="1" applyAlignment="1">
      <alignment horizontal="center" vertical="center" wrapText="1"/>
    </xf>
    <xf numFmtId="0" fontId="0" fillId="70" borderId="22" xfId="0" applyFill="1" applyBorder="1" applyAlignment="1">
      <alignment horizontal="center" vertical="center" wrapText="1"/>
    </xf>
    <xf numFmtId="0" fontId="0" fillId="70" borderId="37" xfId="0" applyFill="1" applyBorder="1" applyAlignment="1">
      <alignment horizontal="center" vertical="center" wrapText="1"/>
    </xf>
    <xf numFmtId="0" fontId="0" fillId="70" borderId="38" xfId="0" applyFill="1" applyBorder="1" applyAlignment="1">
      <alignment horizontal="center" vertical="center" wrapText="1"/>
    </xf>
    <xf numFmtId="0" fontId="0" fillId="70" borderId="25" xfId="0" applyFill="1" applyBorder="1" applyAlignment="1">
      <alignment horizontal="center" vertical="center" wrapText="1"/>
    </xf>
    <xf numFmtId="0" fontId="0" fillId="70" borderId="23" xfId="0" applyFill="1" applyBorder="1" applyAlignment="1">
      <alignment horizontal="center" vertical="center" wrapText="1"/>
    </xf>
    <xf numFmtId="0" fontId="86" fillId="71" borderId="27" xfId="0" applyFont="1" applyFill="1" applyBorder="1" applyAlignment="1">
      <alignment horizontal="center" vertical="center" wrapText="1"/>
    </xf>
    <xf numFmtId="0" fontId="86" fillId="71" borderId="0" xfId="0" applyFont="1" applyFill="1" applyAlignment="1">
      <alignment horizontal="center" vertical="center" wrapText="1"/>
    </xf>
    <xf numFmtId="0" fontId="0" fillId="0" borderId="11" xfId="0" applyBorder="1" applyAlignment="1">
      <alignment horizontal="center" vertical="center"/>
    </xf>
    <xf numFmtId="0" fontId="0" fillId="68" borderId="11" xfId="0" applyFill="1" applyBorder="1" applyAlignment="1">
      <alignment horizontal="center" vertical="center" wrapText="1"/>
    </xf>
    <xf numFmtId="0" fontId="0" fillId="69" borderId="11" xfId="0" applyFill="1" applyBorder="1" applyAlignment="1">
      <alignment horizontal="center" vertical="center"/>
    </xf>
    <xf numFmtId="2" fontId="93" fillId="68" borderId="37" xfId="2460" applyNumberFormat="1" applyFont="1" applyFill="1" applyBorder="1" applyAlignment="1">
      <alignment horizontal="center" vertical="center"/>
    </xf>
    <xf numFmtId="166" fontId="93" fillId="60" borderId="22" xfId="0" applyNumberFormat="1" applyFont="1" applyFill="1" applyBorder="1" applyAlignment="1">
      <alignment horizontal="center" vertical="center"/>
    </xf>
    <xf numFmtId="0" fontId="54" fillId="59" borderId="21" xfId="0" applyFont="1" applyFill="1" applyBorder="1" applyAlignment="1">
      <alignment horizontal="center"/>
    </xf>
    <xf numFmtId="0" fontId="54" fillId="59" borderId="20" xfId="0" applyFont="1" applyFill="1" applyBorder="1" applyAlignment="1">
      <alignment horizontal="center"/>
    </xf>
    <xf numFmtId="0" fontId="54" fillId="59" borderId="25" xfId="0" applyFont="1" applyFill="1" applyBorder="1" applyAlignment="1">
      <alignment horizontal="left" vertical="top" wrapText="1"/>
    </xf>
    <xf numFmtId="0" fontId="54" fillId="59" borderId="14" xfId="0" applyFont="1" applyFill="1" applyBorder="1" applyAlignment="1">
      <alignment horizontal="left" vertical="top" wrapText="1"/>
    </xf>
    <xf numFmtId="0" fontId="1" fillId="0" borderId="25" xfId="0" applyFont="1" applyBorder="1" applyAlignment="1">
      <alignment horizontal="center"/>
    </xf>
    <xf numFmtId="0" fontId="1" fillId="0" borderId="14" xfId="0" applyFont="1" applyBorder="1" applyAlignment="1">
      <alignment horizontal="center"/>
    </xf>
    <xf numFmtId="0" fontId="84" fillId="63" borderId="19" xfId="0" applyFont="1" applyFill="1" applyBorder="1" applyAlignment="1">
      <alignment horizontal="center" vertical="center" wrapText="1"/>
    </xf>
    <xf numFmtId="0" fontId="84" fillId="63" borderId="27" xfId="0" applyFont="1" applyFill="1" applyBorder="1" applyAlignment="1">
      <alignment horizontal="center" vertical="center"/>
    </xf>
    <xf numFmtId="0" fontId="84" fillId="63" borderId="25" xfId="0" applyFont="1" applyFill="1" applyBorder="1" applyAlignment="1">
      <alignment horizontal="center" vertical="center"/>
    </xf>
    <xf numFmtId="0" fontId="84" fillId="63" borderId="14" xfId="0" applyFont="1" applyFill="1" applyBorder="1" applyAlignment="1">
      <alignment horizontal="center" vertical="center"/>
    </xf>
    <xf numFmtId="0" fontId="47" fillId="74" borderId="0" xfId="348" applyFont="1" applyFill="1" applyAlignment="1">
      <alignment horizontal="right" indent="1"/>
    </xf>
    <xf numFmtId="0" fontId="68" fillId="60" borderId="0" xfId="2214" applyFont="1" applyFill="1" applyAlignment="1" applyProtection="1">
      <alignment horizontal="left" vertical="center"/>
      <protection hidden="1"/>
    </xf>
    <xf numFmtId="166" fontId="70" fillId="61" borderId="44" xfId="0" applyNumberFormat="1" applyFont="1" applyFill="1" applyBorder="1" applyAlignment="1" applyProtection="1">
      <alignment horizontal="left" vertical="center"/>
      <protection hidden="1"/>
    </xf>
    <xf numFmtId="166" fontId="70" fillId="61" borderId="42" xfId="0" applyNumberFormat="1" applyFont="1" applyFill="1" applyBorder="1" applyAlignment="1" applyProtection="1">
      <alignment horizontal="left" vertical="center"/>
      <protection hidden="1"/>
    </xf>
  </cellXfs>
  <cellStyles count="2463">
    <cellStyle name="_x0010_“+ˆÉ•?pý¤" xfId="1" xr:uid="{00000000-0005-0000-0000-000000000000}"/>
    <cellStyle name="_x0010_“+ˆÉ•?pý¤ 2" xfId="2" xr:uid="{00000000-0005-0000-0000-000001000000}"/>
    <cellStyle name="1" xfId="3" xr:uid="{00000000-0005-0000-0000-000002000000}"/>
    <cellStyle name="2" xfId="4" xr:uid="{00000000-0005-0000-0000-000003000000}"/>
    <cellStyle name="20% - Accent1" xfId="5" builtinId="30" customBuiltin="1"/>
    <cellStyle name="20% - Accent1 2" xfId="6" xr:uid="{00000000-0005-0000-0000-000005000000}"/>
    <cellStyle name="20% - Accent1 2 2" xfId="7" xr:uid="{00000000-0005-0000-0000-000006000000}"/>
    <cellStyle name="20% - Accent1 3" xfId="8" xr:uid="{00000000-0005-0000-0000-000007000000}"/>
    <cellStyle name="20% - Accent2" xfId="9" builtinId="34" customBuiltin="1"/>
    <cellStyle name="20% - Accent2 2" xfId="10" xr:uid="{00000000-0005-0000-0000-000009000000}"/>
    <cellStyle name="20% - Accent2 2 2" xfId="11" xr:uid="{00000000-0005-0000-0000-00000A000000}"/>
    <cellStyle name="20% - Accent2 3" xfId="12" xr:uid="{00000000-0005-0000-0000-00000B000000}"/>
    <cellStyle name="20% - Accent3" xfId="13" builtinId="38" customBuiltin="1"/>
    <cellStyle name="20% - Accent3 2" xfId="14" xr:uid="{00000000-0005-0000-0000-00000D000000}"/>
    <cellStyle name="20% - Accent3 2 2" xfId="15" xr:uid="{00000000-0005-0000-0000-00000E000000}"/>
    <cellStyle name="20% - Accent3 3" xfId="16" xr:uid="{00000000-0005-0000-0000-00000F000000}"/>
    <cellStyle name="20% - Accent4" xfId="17" builtinId="42" customBuiltin="1"/>
    <cellStyle name="20% - Accent4 2" xfId="18" xr:uid="{00000000-0005-0000-0000-000011000000}"/>
    <cellStyle name="20% - Accent4 2 2" xfId="19" xr:uid="{00000000-0005-0000-0000-000012000000}"/>
    <cellStyle name="20% - Accent4 3" xfId="20" xr:uid="{00000000-0005-0000-0000-000013000000}"/>
    <cellStyle name="20% - Accent5" xfId="21" builtinId="46" customBuiltin="1"/>
    <cellStyle name="20% - Accent5 2" xfId="22" xr:uid="{00000000-0005-0000-0000-000015000000}"/>
    <cellStyle name="20% - Accent6" xfId="23" builtinId="50" customBuiltin="1"/>
    <cellStyle name="20% - Accent6 2" xfId="24" xr:uid="{00000000-0005-0000-0000-000017000000}"/>
    <cellStyle name="40% - Accent1" xfId="25" builtinId="31" customBuiltin="1"/>
    <cellStyle name="40% - Accent1 2" xfId="26" xr:uid="{00000000-0005-0000-0000-000019000000}"/>
    <cellStyle name="40% - Accent2" xfId="27" builtinId="35" customBuiltin="1"/>
    <cellStyle name="40% - Accent2 2" xfId="28" xr:uid="{00000000-0005-0000-0000-00001B000000}"/>
    <cellStyle name="40% - Accent3" xfId="29" builtinId="39" customBuiltin="1"/>
    <cellStyle name="40% - Accent3 2" xfId="30" xr:uid="{00000000-0005-0000-0000-00001D000000}"/>
    <cellStyle name="40% - Accent3 2 2" xfId="31" xr:uid="{00000000-0005-0000-0000-00001E000000}"/>
    <cellStyle name="40% - Accent3 3" xfId="32" xr:uid="{00000000-0005-0000-0000-00001F000000}"/>
    <cellStyle name="40% - Accent4" xfId="33" builtinId="43" customBuiltin="1"/>
    <cellStyle name="40% - Accent4 2" xfId="34" xr:uid="{00000000-0005-0000-0000-000021000000}"/>
    <cellStyle name="40% - Accent5" xfId="35" builtinId="47" customBuiltin="1"/>
    <cellStyle name="40% - Accent5 2" xfId="36" xr:uid="{00000000-0005-0000-0000-000023000000}"/>
    <cellStyle name="40% - Accent6" xfId="37" builtinId="51" customBuiltin="1"/>
    <cellStyle name="40% - Accent6 2" xfId="38" xr:uid="{00000000-0005-0000-0000-000025000000}"/>
    <cellStyle name="60% - Accent1 2" xfId="39" xr:uid="{00000000-0005-0000-0000-000026000000}"/>
    <cellStyle name="60% - Accent1 3" xfId="40" xr:uid="{00000000-0005-0000-0000-000027000000}"/>
    <cellStyle name="60% - Accent2 2" xfId="41" xr:uid="{00000000-0005-0000-0000-000028000000}"/>
    <cellStyle name="60% - Accent2 3" xfId="42" xr:uid="{00000000-0005-0000-0000-000029000000}"/>
    <cellStyle name="60% - Accent3 2" xfId="43" xr:uid="{00000000-0005-0000-0000-00002A000000}"/>
    <cellStyle name="60% - Accent3 2 2" xfId="44" xr:uid="{00000000-0005-0000-0000-00002B000000}"/>
    <cellStyle name="60% - Accent3 3" xfId="45" xr:uid="{00000000-0005-0000-0000-00002C000000}"/>
    <cellStyle name="60% - Accent3 4" xfId="46" xr:uid="{00000000-0005-0000-0000-00002D000000}"/>
    <cellStyle name="60% - Accent4 2" xfId="47" xr:uid="{00000000-0005-0000-0000-00002E000000}"/>
    <cellStyle name="60% - Accent4 2 2" xfId="48" xr:uid="{00000000-0005-0000-0000-00002F000000}"/>
    <cellStyle name="60% - Accent4 3" xfId="49" xr:uid="{00000000-0005-0000-0000-000030000000}"/>
    <cellStyle name="60% - Accent4 4" xfId="50" xr:uid="{00000000-0005-0000-0000-000031000000}"/>
    <cellStyle name="60% - Accent5 2" xfId="51" xr:uid="{00000000-0005-0000-0000-000032000000}"/>
    <cellStyle name="60% - Accent5 3" xfId="52" xr:uid="{00000000-0005-0000-0000-000033000000}"/>
    <cellStyle name="60% - Accent6 2" xfId="53" xr:uid="{00000000-0005-0000-0000-000034000000}"/>
    <cellStyle name="60% - Accent6 2 2" xfId="54" xr:uid="{00000000-0005-0000-0000-000035000000}"/>
    <cellStyle name="60% - Accent6 3" xfId="55" xr:uid="{00000000-0005-0000-0000-000036000000}"/>
    <cellStyle name="60% - Accent6 4" xfId="56" xr:uid="{00000000-0005-0000-0000-000037000000}"/>
    <cellStyle name="Accent1" xfId="57" builtinId="29" customBuiltin="1"/>
    <cellStyle name="Accent1 2" xfId="58" xr:uid="{00000000-0005-0000-0000-000039000000}"/>
    <cellStyle name="Accent2" xfId="59" builtinId="33" customBuiltin="1"/>
    <cellStyle name="Accent2 2" xfId="60" xr:uid="{00000000-0005-0000-0000-00003B000000}"/>
    <cellStyle name="Accent3" xfId="61" builtinId="37" customBuiltin="1"/>
    <cellStyle name="Accent3 2" xfId="62" xr:uid="{00000000-0005-0000-0000-00003D000000}"/>
    <cellStyle name="Accent4" xfId="63" builtinId="41" customBuiltin="1"/>
    <cellStyle name="Accent4 2" xfId="64" xr:uid="{00000000-0005-0000-0000-00003F000000}"/>
    <cellStyle name="Accent5" xfId="65" builtinId="45" customBuiltin="1"/>
    <cellStyle name="Accent5 2" xfId="66" xr:uid="{00000000-0005-0000-0000-000041000000}"/>
    <cellStyle name="Accent6" xfId="67" builtinId="49" customBuiltin="1"/>
    <cellStyle name="Accent6 2" xfId="68" xr:uid="{00000000-0005-0000-0000-000043000000}"/>
    <cellStyle name="Actual Date" xfId="69" xr:uid="{00000000-0005-0000-0000-000044000000}"/>
    <cellStyle name="Actual Date 2" xfId="70" xr:uid="{00000000-0005-0000-0000-000045000000}"/>
    <cellStyle name="Bad" xfId="71" builtinId="27" customBuiltin="1"/>
    <cellStyle name="Bad 2" xfId="72" xr:uid="{00000000-0005-0000-0000-000047000000}"/>
    <cellStyle name="Calc Currency (0)" xfId="73" xr:uid="{00000000-0005-0000-0000-000048000000}"/>
    <cellStyle name="Calc Currency (2)" xfId="74" xr:uid="{00000000-0005-0000-0000-000049000000}"/>
    <cellStyle name="Calc Percent (0)" xfId="75" xr:uid="{00000000-0005-0000-0000-00004A000000}"/>
    <cellStyle name="Calc Percent (1)" xfId="76" xr:uid="{00000000-0005-0000-0000-00004B000000}"/>
    <cellStyle name="Calc Percent (2)" xfId="77" xr:uid="{00000000-0005-0000-0000-00004C000000}"/>
    <cellStyle name="Calc Units (0)" xfId="78" xr:uid="{00000000-0005-0000-0000-00004D000000}"/>
    <cellStyle name="Calc Units (1)" xfId="79" xr:uid="{00000000-0005-0000-0000-00004E000000}"/>
    <cellStyle name="Calc Units (2)" xfId="80" xr:uid="{00000000-0005-0000-0000-00004F000000}"/>
    <cellStyle name="Calculation" xfId="81" builtinId="22" customBuiltin="1"/>
    <cellStyle name="Calculation 2" xfId="82" xr:uid="{00000000-0005-0000-0000-000051000000}"/>
    <cellStyle name="Calculation 2 2" xfId="83" xr:uid="{00000000-0005-0000-0000-000052000000}"/>
    <cellStyle name="Calculation 2 3" xfId="84" xr:uid="{00000000-0005-0000-0000-000053000000}"/>
    <cellStyle name="Check Cell" xfId="85" builtinId="23" customBuiltin="1"/>
    <cellStyle name="Check Cell 2" xfId="86" xr:uid="{00000000-0005-0000-0000-000055000000}"/>
    <cellStyle name="Comma" xfId="2462" builtinId="3"/>
    <cellStyle name="Comma [00]" xfId="87" xr:uid="{00000000-0005-0000-0000-000056000000}"/>
    <cellStyle name="Comma 10" xfId="88" xr:uid="{00000000-0005-0000-0000-000057000000}"/>
    <cellStyle name="Comma 10 2" xfId="89" xr:uid="{00000000-0005-0000-0000-000058000000}"/>
    <cellStyle name="Comma 11" xfId="90" xr:uid="{00000000-0005-0000-0000-000059000000}"/>
    <cellStyle name="Comma 11 2" xfId="91" xr:uid="{00000000-0005-0000-0000-00005A000000}"/>
    <cellStyle name="Comma 12" xfId="92" xr:uid="{00000000-0005-0000-0000-00005B000000}"/>
    <cellStyle name="Comma 12 2" xfId="93" xr:uid="{00000000-0005-0000-0000-00005C000000}"/>
    <cellStyle name="Comma 13" xfId="94" xr:uid="{00000000-0005-0000-0000-00005D000000}"/>
    <cellStyle name="Comma 13 2" xfId="95" xr:uid="{00000000-0005-0000-0000-00005E000000}"/>
    <cellStyle name="Comma 13 2 2" xfId="96" xr:uid="{00000000-0005-0000-0000-00005F000000}"/>
    <cellStyle name="Comma 13 3" xfId="97" xr:uid="{00000000-0005-0000-0000-000060000000}"/>
    <cellStyle name="Comma 14" xfId="98" xr:uid="{00000000-0005-0000-0000-000061000000}"/>
    <cellStyle name="Comma 14 2" xfId="99" xr:uid="{00000000-0005-0000-0000-000062000000}"/>
    <cellStyle name="Comma 15 2" xfId="100" xr:uid="{00000000-0005-0000-0000-000063000000}"/>
    <cellStyle name="Comma 16" xfId="101" xr:uid="{00000000-0005-0000-0000-000064000000}"/>
    <cellStyle name="Comma 16 2" xfId="102" xr:uid="{00000000-0005-0000-0000-000065000000}"/>
    <cellStyle name="Comma 17 2" xfId="103" xr:uid="{00000000-0005-0000-0000-000066000000}"/>
    <cellStyle name="Comma 18" xfId="104" xr:uid="{00000000-0005-0000-0000-000067000000}"/>
    <cellStyle name="Comma 19" xfId="105" xr:uid="{00000000-0005-0000-0000-000068000000}"/>
    <cellStyle name="Comma 2" xfId="106" xr:uid="{00000000-0005-0000-0000-000069000000}"/>
    <cellStyle name="Comma 2 106" xfId="107" xr:uid="{00000000-0005-0000-0000-00006A000000}"/>
    <cellStyle name="Comma 2 2" xfId="108" xr:uid="{00000000-0005-0000-0000-00006B000000}"/>
    <cellStyle name="Comma 2 2 2" xfId="109" xr:uid="{00000000-0005-0000-0000-00006C000000}"/>
    <cellStyle name="Comma 2 2 2 2" xfId="110" xr:uid="{00000000-0005-0000-0000-00006D000000}"/>
    <cellStyle name="Comma 2 2 2 3" xfId="111" xr:uid="{00000000-0005-0000-0000-00006E000000}"/>
    <cellStyle name="Comma 2 2 3" xfId="112" xr:uid="{00000000-0005-0000-0000-00006F000000}"/>
    <cellStyle name="Comma 2 2 4" xfId="113" xr:uid="{00000000-0005-0000-0000-000070000000}"/>
    <cellStyle name="Comma 2 2 5" xfId="114" xr:uid="{00000000-0005-0000-0000-000071000000}"/>
    <cellStyle name="Comma 2 3" xfId="115" xr:uid="{00000000-0005-0000-0000-000072000000}"/>
    <cellStyle name="Comma 2 3 2" xfId="116" xr:uid="{00000000-0005-0000-0000-000073000000}"/>
    <cellStyle name="Comma 2 3 2 2" xfId="117" xr:uid="{00000000-0005-0000-0000-000074000000}"/>
    <cellStyle name="Comma 2 3 3" xfId="118" xr:uid="{00000000-0005-0000-0000-000075000000}"/>
    <cellStyle name="Comma 2 4" xfId="119" xr:uid="{00000000-0005-0000-0000-000076000000}"/>
    <cellStyle name="Comma 2 4 2" xfId="120" xr:uid="{00000000-0005-0000-0000-000077000000}"/>
    <cellStyle name="Comma 2 4 3" xfId="121" xr:uid="{00000000-0005-0000-0000-000078000000}"/>
    <cellStyle name="Comma 2 4 3 2" xfId="122" xr:uid="{00000000-0005-0000-0000-000079000000}"/>
    <cellStyle name="Comma 2 4 4" xfId="123" xr:uid="{00000000-0005-0000-0000-00007A000000}"/>
    <cellStyle name="Comma 2 4 5" xfId="124" xr:uid="{00000000-0005-0000-0000-00007B000000}"/>
    <cellStyle name="Comma 2 4 6" xfId="125" xr:uid="{00000000-0005-0000-0000-00007C000000}"/>
    <cellStyle name="Comma 2 5" xfId="126" xr:uid="{00000000-0005-0000-0000-00007D000000}"/>
    <cellStyle name="Comma 2 5 2" xfId="127" xr:uid="{00000000-0005-0000-0000-00007E000000}"/>
    <cellStyle name="Comma 2 6" xfId="128" xr:uid="{00000000-0005-0000-0000-00007F000000}"/>
    <cellStyle name="Comma 2 7" xfId="129" xr:uid="{00000000-0005-0000-0000-000080000000}"/>
    <cellStyle name="Comma 20" xfId="130" xr:uid="{00000000-0005-0000-0000-000081000000}"/>
    <cellStyle name="Comma 21" xfId="131" xr:uid="{00000000-0005-0000-0000-000082000000}"/>
    <cellStyle name="Comma 22" xfId="132" xr:uid="{00000000-0005-0000-0000-000083000000}"/>
    <cellStyle name="Comma 3" xfId="133" xr:uid="{00000000-0005-0000-0000-000084000000}"/>
    <cellStyle name="Comma 3 2" xfId="134" xr:uid="{00000000-0005-0000-0000-000085000000}"/>
    <cellStyle name="Comma 3 2 10" xfId="135" xr:uid="{00000000-0005-0000-0000-000086000000}"/>
    <cellStyle name="Comma 3 2 11" xfId="136" xr:uid="{00000000-0005-0000-0000-000087000000}"/>
    <cellStyle name="Comma 3 2 2" xfId="137" xr:uid="{00000000-0005-0000-0000-000088000000}"/>
    <cellStyle name="Comma 3 2 2 2" xfId="138" xr:uid="{00000000-0005-0000-0000-000089000000}"/>
    <cellStyle name="Comma 3 2 3" xfId="139" xr:uid="{00000000-0005-0000-0000-00008A000000}"/>
    <cellStyle name="Comma 3 2 4" xfId="140" xr:uid="{00000000-0005-0000-0000-00008B000000}"/>
    <cellStyle name="Comma 3 2 5" xfId="141" xr:uid="{00000000-0005-0000-0000-00008C000000}"/>
    <cellStyle name="Comma 3 2 6" xfId="142" xr:uid="{00000000-0005-0000-0000-00008D000000}"/>
    <cellStyle name="Comma 3 2 6 2" xfId="143" xr:uid="{00000000-0005-0000-0000-00008E000000}"/>
    <cellStyle name="Comma 3 2 7" xfId="144" xr:uid="{00000000-0005-0000-0000-00008F000000}"/>
    <cellStyle name="Comma 3 2 7 2" xfId="145" xr:uid="{00000000-0005-0000-0000-000090000000}"/>
    <cellStyle name="Comma 3 2 8" xfId="146" xr:uid="{00000000-0005-0000-0000-000091000000}"/>
    <cellStyle name="Comma 3 2 8 2" xfId="147" xr:uid="{00000000-0005-0000-0000-000092000000}"/>
    <cellStyle name="Comma 3 2 9" xfId="148" xr:uid="{00000000-0005-0000-0000-000093000000}"/>
    <cellStyle name="Comma 3 2 9 2" xfId="149" xr:uid="{00000000-0005-0000-0000-000094000000}"/>
    <cellStyle name="Comma 3 3" xfId="150" xr:uid="{00000000-0005-0000-0000-000095000000}"/>
    <cellStyle name="Comma 3 3 2" xfId="151" xr:uid="{00000000-0005-0000-0000-000096000000}"/>
    <cellStyle name="Comma 3 3 3" xfId="152" xr:uid="{00000000-0005-0000-0000-000097000000}"/>
    <cellStyle name="Comma 3 3 4" xfId="153" xr:uid="{00000000-0005-0000-0000-000098000000}"/>
    <cellStyle name="Comma 3 3 5" xfId="154" xr:uid="{00000000-0005-0000-0000-000099000000}"/>
    <cellStyle name="Comma 3 3 6" xfId="155" xr:uid="{00000000-0005-0000-0000-00009A000000}"/>
    <cellStyle name="Comma 3 4" xfId="156" xr:uid="{00000000-0005-0000-0000-00009B000000}"/>
    <cellStyle name="Comma 3 5" xfId="157" xr:uid="{00000000-0005-0000-0000-00009C000000}"/>
    <cellStyle name="Comma 3 6" xfId="158" xr:uid="{00000000-0005-0000-0000-00009D000000}"/>
    <cellStyle name="Comma 3 7" xfId="159" xr:uid="{00000000-0005-0000-0000-00009E000000}"/>
    <cellStyle name="Comma 3 8" xfId="160" xr:uid="{00000000-0005-0000-0000-00009F000000}"/>
    <cellStyle name="Comma 4" xfId="161" xr:uid="{00000000-0005-0000-0000-0000A0000000}"/>
    <cellStyle name="Comma 4 2" xfId="162" xr:uid="{00000000-0005-0000-0000-0000A1000000}"/>
    <cellStyle name="Comma 4 2 2" xfId="163" xr:uid="{00000000-0005-0000-0000-0000A2000000}"/>
    <cellStyle name="Comma 4 2 2 2" xfId="164" xr:uid="{00000000-0005-0000-0000-0000A3000000}"/>
    <cellStyle name="Comma 4 2 3" xfId="165" xr:uid="{00000000-0005-0000-0000-0000A4000000}"/>
    <cellStyle name="Comma 4 3" xfId="166" xr:uid="{00000000-0005-0000-0000-0000A5000000}"/>
    <cellStyle name="Comma 4 3 2" xfId="167" xr:uid="{00000000-0005-0000-0000-0000A6000000}"/>
    <cellStyle name="Comma 4 4" xfId="168" xr:uid="{00000000-0005-0000-0000-0000A7000000}"/>
    <cellStyle name="Comma 4 5" xfId="169" xr:uid="{00000000-0005-0000-0000-0000A8000000}"/>
    <cellStyle name="Comma 4 5 2" xfId="170" xr:uid="{00000000-0005-0000-0000-0000A9000000}"/>
    <cellStyle name="Comma 4 6" xfId="171" xr:uid="{00000000-0005-0000-0000-0000AA000000}"/>
    <cellStyle name="Comma 4 7" xfId="172" xr:uid="{00000000-0005-0000-0000-0000AB000000}"/>
    <cellStyle name="Comma 4 8" xfId="173" xr:uid="{00000000-0005-0000-0000-0000AC000000}"/>
    <cellStyle name="Comma 4 9" xfId="174" xr:uid="{00000000-0005-0000-0000-0000AD000000}"/>
    <cellStyle name="Comma 5" xfId="175" xr:uid="{00000000-0005-0000-0000-0000AE000000}"/>
    <cellStyle name="Comma 5 2" xfId="176" xr:uid="{00000000-0005-0000-0000-0000AF000000}"/>
    <cellStyle name="Comma 5 2 2" xfId="177" xr:uid="{00000000-0005-0000-0000-0000B0000000}"/>
    <cellStyle name="Comma 5 2 2 2" xfId="178" xr:uid="{00000000-0005-0000-0000-0000B1000000}"/>
    <cellStyle name="Comma 5 2 3" xfId="179" xr:uid="{00000000-0005-0000-0000-0000B2000000}"/>
    <cellStyle name="Comma 5 3" xfId="180" xr:uid="{00000000-0005-0000-0000-0000B3000000}"/>
    <cellStyle name="Comma 5 3 2" xfId="181" xr:uid="{00000000-0005-0000-0000-0000B4000000}"/>
    <cellStyle name="Comma 5 4" xfId="182" xr:uid="{00000000-0005-0000-0000-0000B5000000}"/>
    <cellStyle name="Comma 5 5" xfId="183" xr:uid="{00000000-0005-0000-0000-0000B6000000}"/>
    <cellStyle name="Comma 5 6" xfId="184" xr:uid="{00000000-0005-0000-0000-0000B7000000}"/>
    <cellStyle name="Comma 6" xfId="185" xr:uid="{00000000-0005-0000-0000-0000B8000000}"/>
    <cellStyle name="Comma 6 2" xfId="186" xr:uid="{00000000-0005-0000-0000-0000B9000000}"/>
    <cellStyle name="Comma 6 2 2" xfId="187" xr:uid="{00000000-0005-0000-0000-0000BA000000}"/>
    <cellStyle name="Comma 6 3" xfId="188" xr:uid="{00000000-0005-0000-0000-0000BB000000}"/>
    <cellStyle name="Comma 6 3 2" xfId="189" xr:uid="{00000000-0005-0000-0000-0000BC000000}"/>
    <cellStyle name="Comma 6 3 3" xfId="190" xr:uid="{00000000-0005-0000-0000-0000BD000000}"/>
    <cellStyle name="Comma 6 4" xfId="191" xr:uid="{00000000-0005-0000-0000-0000BE000000}"/>
    <cellStyle name="Comma 7" xfId="192" xr:uid="{00000000-0005-0000-0000-0000BF000000}"/>
    <cellStyle name="Comma 7 2" xfId="193" xr:uid="{00000000-0005-0000-0000-0000C0000000}"/>
    <cellStyle name="Comma 7 3" xfId="194" xr:uid="{00000000-0005-0000-0000-0000C1000000}"/>
    <cellStyle name="Comma 7 4" xfId="195" xr:uid="{00000000-0005-0000-0000-0000C2000000}"/>
    <cellStyle name="Comma 8" xfId="196" xr:uid="{00000000-0005-0000-0000-0000C3000000}"/>
    <cellStyle name="Comma 8 2" xfId="197" xr:uid="{00000000-0005-0000-0000-0000C4000000}"/>
    <cellStyle name="Comma 9" xfId="198" xr:uid="{00000000-0005-0000-0000-0000C5000000}"/>
    <cellStyle name="Comma 9 2" xfId="199" xr:uid="{00000000-0005-0000-0000-0000C6000000}"/>
    <cellStyle name="Comma 9 2 2" xfId="200" xr:uid="{00000000-0005-0000-0000-0000C7000000}"/>
    <cellStyle name="Comma 9 3" xfId="201" xr:uid="{00000000-0005-0000-0000-0000C8000000}"/>
    <cellStyle name="Comma 9 4" xfId="202" xr:uid="{00000000-0005-0000-0000-0000C9000000}"/>
    <cellStyle name="Comma0" xfId="203" xr:uid="{00000000-0005-0000-0000-0000CA000000}"/>
    <cellStyle name="CommaSimple" xfId="204" xr:uid="{00000000-0005-0000-0000-0000CB000000}"/>
    <cellStyle name="Currency" xfId="2459" builtinId="4"/>
    <cellStyle name="Currency [00]" xfId="205" xr:uid="{00000000-0005-0000-0000-0000CC000000}"/>
    <cellStyle name="Currency 10" xfId="206" xr:uid="{00000000-0005-0000-0000-0000CD000000}"/>
    <cellStyle name="Currency 11" xfId="207" xr:uid="{00000000-0005-0000-0000-0000CE000000}"/>
    <cellStyle name="Currency 11 2" xfId="208" xr:uid="{00000000-0005-0000-0000-0000CF000000}"/>
    <cellStyle name="Currency 11 2 2" xfId="209" xr:uid="{00000000-0005-0000-0000-0000D0000000}"/>
    <cellStyle name="Currency 12" xfId="210" xr:uid="{00000000-0005-0000-0000-0000D1000000}"/>
    <cellStyle name="Currency 13" xfId="211" xr:uid="{00000000-0005-0000-0000-0000D2000000}"/>
    <cellStyle name="Currency 13 2" xfId="212" xr:uid="{00000000-0005-0000-0000-0000D3000000}"/>
    <cellStyle name="Currency 14" xfId="213" xr:uid="{00000000-0005-0000-0000-0000D4000000}"/>
    <cellStyle name="Currency 14 2" xfId="214" xr:uid="{00000000-0005-0000-0000-0000D5000000}"/>
    <cellStyle name="Currency 15" xfId="215" xr:uid="{00000000-0005-0000-0000-0000D6000000}"/>
    <cellStyle name="Currency 15 2" xfId="216" xr:uid="{00000000-0005-0000-0000-0000D7000000}"/>
    <cellStyle name="Currency 16 2" xfId="217" xr:uid="{00000000-0005-0000-0000-0000D8000000}"/>
    <cellStyle name="Currency 17" xfId="218" xr:uid="{00000000-0005-0000-0000-0000D9000000}"/>
    <cellStyle name="Currency 17 2" xfId="219" xr:uid="{00000000-0005-0000-0000-0000DA000000}"/>
    <cellStyle name="Currency 18" xfId="220" xr:uid="{00000000-0005-0000-0000-0000DB000000}"/>
    <cellStyle name="Currency 19" xfId="221" xr:uid="{00000000-0005-0000-0000-0000DC000000}"/>
    <cellStyle name="Currency 2" xfId="222" xr:uid="{00000000-0005-0000-0000-0000DD000000}"/>
    <cellStyle name="Currency 2 2" xfId="223" xr:uid="{00000000-0005-0000-0000-0000DE000000}"/>
    <cellStyle name="Currency 2 2 2" xfId="224" xr:uid="{00000000-0005-0000-0000-0000DF000000}"/>
    <cellStyle name="Currency 2 2 3" xfId="225" xr:uid="{00000000-0005-0000-0000-0000E0000000}"/>
    <cellStyle name="Currency 2 2 4" xfId="226" xr:uid="{00000000-0005-0000-0000-0000E1000000}"/>
    <cellStyle name="Currency 2 3" xfId="227" xr:uid="{00000000-0005-0000-0000-0000E2000000}"/>
    <cellStyle name="Currency 2 3 2" xfId="228" xr:uid="{00000000-0005-0000-0000-0000E3000000}"/>
    <cellStyle name="Currency 2 3 3" xfId="229" xr:uid="{00000000-0005-0000-0000-0000E4000000}"/>
    <cellStyle name="Currency 2 4" xfId="230" xr:uid="{00000000-0005-0000-0000-0000E5000000}"/>
    <cellStyle name="Currency 2 4 2" xfId="231" xr:uid="{00000000-0005-0000-0000-0000E6000000}"/>
    <cellStyle name="Currency 2 4 3" xfId="232" xr:uid="{00000000-0005-0000-0000-0000E7000000}"/>
    <cellStyle name="Currency 2 4 3 2" xfId="233" xr:uid="{00000000-0005-0000-0000-0000E8000000}"/>
    <cellStyle name="Currency 2 4 4" xfId="234" xr:uid="{00000000-0005-0000-0000-0000E9000000}"/>
    <cellStyle name="Currency 2 5" xfId="235" xr:uid="{00000000-0005-0000-0000-0000EA000000}"/>
    <cellStyle name="Currency 2 5 2" xfId="236" xr:uid="{00000000-0005-0000-0000-0000EB000000}"/>
    <cellStyle name="Currency 2 6" xfId="237" xr:uid="{00000000-0005-0000-0000-0000EC000000}"/>
    <cellStyle name="Currency 2 7" xfId="238" xr:uid="{00000000-0005-0000-0000-0000ED000000}"/>
    <cellStyle name="Currency 2 8" xfId="239" xr:uid="{00000000-0005-0000-0000-0000EE000000}"/>
    <cellStyle name="Currency 20" xfId="240" xr:uid="{00000000-0005-0000-0000-0000EF000000}"/>
    <cellStyle name="Currency 21" xfId="241" xr:uid="{00000000-0005-0000-0000-0000F0000000}"/>
    <cellStyle name="Currency 22" xfId="242" xr:uid="{00000000-0005-0000-0000-0000F1000000}"/>
    <cellStyle name="Currency 24" xfId="243" xr:uid="{00000000-0005-0000-0000-0000F2000000}"/>
    <cellStyle name="Currency 3" xfId="244" xr:uid="{00000000-0005-0000-0000-0000F3000000}"/>
    <cellStyle name="Currency 3 2" xfId="245" xr:uid="{00000000-0005-0000-0000-0000F4000000}"/>
    <cellStyle name="Currency 3 2 2" xfId="246" xr:uid="{00000000-0005-0000-0000-0000F5000000}"/>
    <cellStyle name="Currency 3 3" xfId="247" xr:uid="{00000000-0005-0000-0000-0000F6000000}"/>
    <cellStyle name="Currency 4" xfId="248" xr:uid="{00000000-0005-0000-0000-0000F7000000}"/>
    <cellStyle name="Currency 4 2" xfId="249" xr:uid="{00000000-0005-0000-0000-0000F8000000}"/>
    <cellStyle name="Currency 4 2 10" xfId="250" xr:uid="{00000000-0005-0000-0000-0000F9000000}"/>
    <cellStyle name="Currency 4 2 10 2" xfId="251" xr:uid="{00000000-0005-0000-0000-0000FA000000}"/>
    <cellStyle name="Currency 4 2 11" xfId="252" xr:uid="{00000000-0005-0000-0000-0000FB000000}"/>
    <cellStyle name="Currency 4 2 2" xfId="253" xr:uid="{00000000-0005-0000-0000-0000FC000000}"/>
    <cellStyle name="Currency 4 2 2 2" xfId="254" xr:uid="{00000000-0005-0000-0000-0000FD000000}"/>
    <cellStyle name="Currency 4 2 3" xfId="255" xr:uid="{00000000-0005-0000-0000-0000FE000000}"/>
    <cellStyle name="Currency 4 2 4" xfId="256" xr:uid="{00000000-0005-0000-0000-0000FF000000}"/>
    <cellStyle name="Currency 4 2 5" xfId="257" xr:uid="{00000000-0005-0000-0000-000000010000}"/>
    <cellStyle name="Currency 4 2 6" xfId="258" xr:uid="{00000000-0005-0000-0000-000001010000}"/>
    <cellStyle name="Currency 4 2 6 2" xfId="259" xr:uid="{00000000-0005-0000-0000-000002010000}"/>
    <cellStyle name="Currency 4 2 7" xfId="260" xr:uid="{00000000-0005-0000-0000-000003010000}"/>
    <cellStyle name="Currency 4 2 7 2" xfId="261" xr:uid="{00000000-0005-0000-0000-000004010000}"/>
    <cellStyle name="Currency 4 2 8" xfId="262" xr:uid="{00000000-0005-0000-0000-000005010000}"/>
    <cellStyle name="Currency 4 2 8 2" xfId="263" xr:uid="{00000000-0005-0000-0000-000006010000}"/>
    <cellStyle name="Currency 4 2 9" xfId="264" xr:uid="{00000000-0005-0000-0000-000007010000}"/>
    <cellStyle name="Currency 4 2 9 2" xfId="265" xr:uid="{00000000-0005-0000-0000-000008010000}"/>
    <cellStyle name="Currency 4 3" xfId="266" xr:uid="{00000000-0005-0000-0000-000009010000}"/>
    <cellStyle name="Currency 4 3 2" xfId="267" xr:uid="{00000000-0005-0000-0000-00000A010000}"/>
    <cellStyle name="Currency 4 3 3" xfId="268" xr:uid="{00000000-0005-0000-0000-00000B010000}"/>
    <cellStyle name="Currency 4 3 4" xfId="269" xr:uid="{00000000-0005-0000-0000-00000C010000}"/>
    <cellStyle name="Currency 4 3 5" xfId="270" xr:uid="{00000000-0005-0000-0000-00000D010000}"/>
    <cellStyle name="Currency 4 4" xfId="271" xr:uid="{00000000-0005-0000-0000-00000E010000}"/>
    <cellStyle name="Currency 4 5" xfId="272" xr:uid="{00000000-0005-0000-0000-00000F010000}"/>
    <cellStyle name="Currency 5" xfId="273" xr:uid="{00000000-0005-0000-0000-000010010000}"/>
    <cellStyle name="Currency 5 2" xfId="274" xr:uid="{00000000-0005-0000-0000-000011010000}"/>
    <cellStyle name="Currency 5 3" xfId="275" xr:uid="{00000000-0005-0000-0000-000012010000}"/>
    <cellStyle name="Currency 5 4" xfId="276" xr:uid="{00000000-0005-0000-0000-000013010000}"/>
    <cellStyle name="Currency 5 5" xfId="277" xr:uid="{00000000-0005-0000-0000-000014010000}"/>
    <cellStyle name="Currency 5 6" xfId="278" xr:uid="{00000000-0005-0000-0000-000015010000}"/>
    <cellStyle name="Currency 6" xfId="279" xr:uid="{00000000-0005-0000-0000-000016010000}"/>
    <cellStyle name="Currency 6 2" xfId="280" xr:uid="{00000000-0005-0000-0000-000017010000}"/>
    <cellStyle name="Currency 6 2 2" xfId="281" xr:uid="{00000000-0005-0000-0000-000018010000}"/>
    <cellStyle name="Currency 7" xfId="282" xr:uid="{00000000-0005-0000-0000-000019010000}"/>
    <cellStyle name="Currency 7 2" xfId="283" xr:uid="{00000000-0005-0000-0000-00001A010000}"/>
    <cellStyle name="Currency 8" xfId="284" xr:uid="{00000000-0005-0000-0000-00001B010000}"/>
    <cellStyle name="Currency 8 2" xfId="285" xr:uid="{00000000-0005-0000-0000-00001C010000}"/>
    <cellStyle name="Currency 8 3" xfId="286" xr:uid="{00000000-0005-0000-0000-00001D010000}"/>
    <cellStyle name="Currency 8 4" xfId="287" xr:uid="{00000000-0005-0000-0000-00001E010000}"/>
    <cellStyle name="Currency 8 5" xfId="288" xr:uid="{00000000-0005-0000-0000-00001F010000}"/>
    <cellStyle name="Currency 8 6" xfId="289" xr:uid="{00000000-0005-0000-0000-000020010000}"/>
    <cellStyle name="Currency 9" xfId="290" xr:uid="{00000000-0005-0000-0000-000021010000}"/>
    <cellStyle name="Currency 9 2" xfId="291" xr:uid="{00000000-0005-0000-0000-000022010000}"/>
    <cellStyle name="Currency 9 3" xfId="292" xr:uid="{00000000-0005-0000-0000-000023010000}"/>
    <cellStyle name="Currency Simple" xfId="293" xr:uid="{00000000-0005-0000-0000-000024010000}"/>
    <cellStyle name="Date" xfId="294" xr:uid="{00000000-0005-0000-0000-000025010000}"/>
    <cellStyle name="Date Short" xfId="295" xr:uid="{00000000-0005-0000-0000-000026010000}"/>
    <cellStyle name="DELTA" xfId="296" xr:uid="{00000000-0005-0000-0000-000027010000}"/>
    <cellStyle name="Enter Currency (0)" xfId="297" xr:uid="{00000000-0005-0000-0000-000028010000}"/>
    <cellStyle name="Enter Currency (2)" xfId="298" xr:uid="{00000000-0005-0000-0000-000029010000}"/>
    <cellStyle name="Enter Units (0)" xfId="299" xr:uid="{00000000-0005-0000-0000-00002A010000}"/>
    <cellStyle name="Enter Units (1)" xfId="300" xr:uid="{00000000-0005-0000-0000-00002B010000}"/>
    <cellStyle name="Enter Units (2)" xfId="301" xr:uid="{00000000-0005-0000-0000-00002C010000}"/>
    <cellStyle name="Explanatory Text" xfId="302" builtinId="53" customBuiltin="1"/>
    <cellStyle name="Explanatory Text 2" xfId="303" xr:uid="{00000000-0005-0000-0000-00002E010000}"/>
    <cellStyle name="Fixed" xfId="304" xr:uid="{00000000-0005-0000-0000-00002F010000}"/>
    <cellStyle name="Good" xfId="305" builtinId="26" customBuiltin="1"/>
    <cellStyle name="Good 2" xfId="306" xr:uid="{00000000-0005-0000-0000-000031010000}"/>
    <cellStyle name="Grey" xfId="307" xr:uid="{00000000-0005-0000-0000-000032010000}"/>
    <cellStyle name="Grey 2" xfId="308" xr:uid="{00000000-0005-0000-0000-000033010000}"/>
    <cellStyle name="HEADER" xfId="309" xr:uid="{00000000-0005-0000-0000-000034010000}"/>
    <cellStyle name="Header1" xfId="310" xr:uid="{00000000-0005-0000-0000-000035010000}"/>
    <cellStyle name="Header2" xfId="311" xr:uid="{00000000-0005-0000-0000-000036010000}"/>
    <cellStyle name="Header2 2" xfId="312" xr:uid="{00000000-0005-0000-0000-000037010000}"/>
    <cellStyle name="Heading 1" xfId="313" builtinId="16" customBuiltin="1"/>
    <cellStyle name="Heading 1 2" xfId="314" xr:uid="{00000000-0005-0000-0000-000039010000}"/>
    <cellStyle name="Heading 2" xfId="315" builtinId="17" customBuiltin="1"/>
    <cellStyle name="Heading 2 2" xfId="316" xr:uid="{00000000-0005-0000-0000-00003B010000}"/>
    <cellStyle name="Heading 3" xfId="317" builtinId="18" customBuiltin="1"/>
    <cellStyle name="Heading 3 2" xfId="318" xr:uid="{00000000-0005-0000-0000-00003D010000}"/>
    <cellStyle name="Heading 4" xfId="319" builtinId="19" customBuiltin="1"/>
    <cellStyle name="Heading 4 2" xfId="320" xr:uid="{00000000-0005-0000-0000-00003F010000}"/>
    <cellStyle name="Heading1" xfId="321" xr:uid="{00000000-0005-0000-0000-000040010000}"/>
    <cellStyle name="Heading2" xfId="322" xr:uid="{00000000-0005-0000-0000-000041010000}"/>
    <cellStyle name="HIGHLIGHT" xfId="323" xr:uid="{00000000-0005-0000-0000-000042010000}"/>
    <cellStyle name="Hyperlink" xfId="2461" builtinId="8"/>
    <cellStyle name="Hyperlink 2" xfId="324" xr:uid="{00000000-0005-0000-0000-000043010000}"/>
    <cellStyle name="Hyperlink 3" xfId="325" xr:uid="{00000000-0005-0000-0000-000044010000}"/>
    <cellStyle name="Hyperlink 4" xfId="326" xr:uid="{00000000-0005-0000-0000-000045010000}"/>
    <cellStyle name="Hyperlink 5" xfId="327" xr:uid="{00000000-0005-0000-0000-000046010000}"/>
    <cellStyle name="Input" xfId="328" builtinId="20" customBuiltin="1"/>
    <cellStyle name="Input [yellow]" xfId="329" xr:uid="{00000000-0005-0000-0000-000048010000}"/>
    <cellStyle name="Input [yellow] 2" xfId="330" xr:uid="{00000000-0005-0000-0000-000049010000}"/>
    <cellStyle name="Input [yellow] 2 2" xfId="331" xr:uid="{00000000-0005-0000-0000-00004A010000}"/>
    <cellStyle name="Input [yellow] 3" xfId="332" xr:uid="{00000000-0005-0000-0000-00004B010000}"/>
    <cellStyle name="Input 2" xfId="333" xr:uid="{00000000-0005-0000-0000-00004C010000}"/>
    <cellStyle name="Input 2 2" xfId="334" xr:uid="{00000000-0005-0000-0000-00004D010000}"/>
    <cellStyle name="Input 2 3" xfId="335" xr:uid="{00000000-0005-0000-0000-00004E010000}"/>
    <cellStyle name="Link Currency (0)" xfId="336" xr:uid="{00000000-0005-0000-0000-00004F010000}"/>
    <cellStyle name="Link Currency (2)" xfId="337" xr:uid="{00000000-0005-0000-0000-000050010000}"/>
    <cellStyle name="Link Units (0)" xfId="338" xr:uid="{00000000-0005-0000-0000-000051010000}"/>
    <cellStyle name="Link Units (1)" xfId="339" xr:uid="{00000000-0005-0000-0000-000052010000}"/>
    <cellStyle name="Link Units (2)" xfId="340" xr:uid="{00000000-0005-0000-0000-000053010000}"/>
    <cellStyle name="Linked Cell" xfId="341" builtinId="24" customBuiltin="1"/>
    <cellStyle name="Linked Cell 2" xfId="342" xr:uid="{00000000-0005-0000-0000-000055010000}"/>
    <cellStyle name="Neutral 2" xfId="343" xr:uid="{00000000-0005-0000-0000-000056010000}"/>
    <cellStyle name="Neutral 3" xfId="344" xr:uid="{00000000-0005-0000-0000-000057010000}"/>
    <cellStyle name="no dec" xfId="345" xr:uid="{00000000-0005-0000-0000-000058010000}"/>
    <cellStyle name="Normal" xfId="0" builtinId="0"/>
    <cellStyle name="Normal - Style1" xfId="346" xr:uid="{00000000-0005-0000-0000-00005A010000}"/>
    <cellStyle name="Normal 10" xfId="347" xr:uid="{00000000-0005-0000-0000-00005B010000}"/>
    <cellStyle name="Normal 10 2" xfId="348" xr:uid="{00000000-0005-0000-0000-00005C010000}"/>
    <cellStyle name="Normal 10 3" xfId="349" xr:uid="{00000000-0005-0000-0000-00005D010000}"/>
    <cellStyle name="Normal 11" xfId="350" xr:uid="{00000000-0005-0000-0000-00005E010000}"/>
    <cellStyle name="Normal 11 2" xfId="351" xr:uid="{00000000-0005-0000-0000-00005F010000}"/>
    <cellStyle name="Normal 12" xfId="352" xr:uid="{00000000-0005-0000-0000-000060010000}"/>
    <cellStyle name="Normal 12 2" xfId="353" xr:uid="{00000000-0005-0000-0000-000061010000}"/>
    <cellStyle name="Normal 13" xfId="354" xr:uid="{00000000-0005-0000-0000-000062010000}"/>
    <cellStyle name="Normal 13 2" xfId="355" xr:uid="{00000000-0005-0000-0000-000063010000}"/>
    <cellStyle name="Normal 14" xfId="356" xr:uid="{00000000-0005-0000-0000-000064010000}"/>
    <cellStyle name="Normal 14 2" xfId="357" xr:uid="{00000000-0005-0000-0000-000065010000}"/>
    <cellStyle name="Normal 15" xfId="358" xr:uid="{00000000-0005-0000-0000-000066010000}"/>
    <cellStyle name="Normal 15 2" xfId="359" xr:uid="{00000000-0005-0000-0000-000067010000}"/>
    <cellStyle name="Normal 15 3" xfId="360" xr:uid="{00000000-0005-0000-0000-000068010000}"/>
    <cellStyle name="Normal 16" xfId="361" xr:uid="{00000000-0005-0000-0000-000069010000}"/>
    <cellStyle name="Normal 16 2" xfId="362" xr:uid="{00000000-0005-0000-0000-00006A010000}"/>
    <cellStyle name="Normal 17" xfId="363" xr:uid="{00000000-0005-0000-0000-00006B010000}"/>
    <cellStyle name="Normal 18" xfId="364" xr:uid="{00000000-0005-0000-0000-00006C010000}"/>
    <cellStyle name="Normal 18 2" xfId="365" xr:uid="{00000000-0005-0000-0000-00006D010000}"/>
    <cellStyle name="Normal 19" xfId="366" xr:uid="{00000000-0005-0000-0000-00006E010000}"/>
    <cellStyle name="Normal 19 2" xfId="367" xr:uid="{00000000-0005-0000-0000-00006F010000}"/>
    <cellStyle name="Normal 2" xfId="368" xr:uid="{00000000-0005-0000-0000-000070010000}"/>
    <cellStyle name="Normal 2 10" xfId="369" xr:uid="{00000000-0005-0000-0000-000071010000}"/>
    <cellStyle name="Normal 2 10 10" xfId="370" xr:uid="{00000000-0005-0000-0000-000072010000}"/>
    <cellStyle name="Normal 2 10 11" xfId="371" xr:uid="{00000000-0005-0000-0000-000073010000}"/>
    <cellStyle name="Normal 2 10 12" xfId="372" xr:uid="{00000000-0005-0000-0000-000074010000}"/>
    <cellStyle name="Normal 2 10 13" xfId="373" xr:uid="{00000000-0005-0000-0000-000075010000}"/>
    <cellStyle name="Normal 2 10 14" xfId="374" xr:uid="{00000000-0005-0000-0000-000076010000}"/>
    <cellStyle name="Normal 2 10 15" xfId="375" xr:uid="{00000000-0005-0000-0000-000077010000}"/>
    <cellStyle name="Normal 2 10 16" xfId="376" xr:uid="{00000000-0005-0000-0000-000078010000}"/>
    <cellStyle name="Normal 2 10 17" xfId="377" xr:uid="{00000000-0005-0000-0000-000079010000}"/>
    <cellStyle name="Normal 2 10 18" xfId="378" xr:uid="{00000000-0005-0000-0000-00007A010000}"/>
    <cellStyle name="Normal 2 10 19" xfId="379" xr:uid="{00000000-0005-0000-0000-00007B010000}"/>
    <cellStyle name="Normal 2 10 2" xfId="380" xr:uid="{00000000-0005-0000-0000-00007C010000}"/>
    <cellStyle name="Normal 2 10 20" xfId="381" xr:uid="{00000000-0005-0000-0000-00007D010000}"/>
    <cellStyle name="Normal 2 10 21" xfId="382" xr:uid="{00000000-0005-0000-0000-00007E010000}"/>
    <cellStyle name="Normal 2 10 22" xfId="383" xr:uid="{00000000-0005-0000-0000-00007F010000}"/>
    <cellStyle name="Normal 2 10 23" xfId="384" xr:uid="{00000000-0005-0000-0000-000080010000}"/>
    <cellStyle name="Normal 2 10 3" xfId="385" xr:uid="{00000000-0005-0000-0000-000081010000}"/>
    <cellStyle name="Normal 2 10 4" xfId="386" xr:uid="{00000000-0005-0000-0000-000082010000}"/>
    <cellStyle name="Normal 2 10 5" xfId="387" xr:uid="{00000000-0005-0000-0000-000083010000}"/>
    <cellStyle name="Normal 2 10 6" xfId="388" xr:uid="{00000000-0005-0000-0000-000084010000}"/>
    <cellStyle name="Normal 2 10 7" xfId="389" xr:uid="{00000000-0005-0000-0000-000085010000}"/>
    <cellStyle name="Normal 2 10 8" xfId="390" xr:uid="{00000000-0005-0000-0000-000086010000}"/>
    <cellStyle name="Normal 2 10 9" xfId="391" xr:uid="{00000000-0005-0000-0000-000087010000}"/>
    <cellStyle name="Normal 2 11" xfId="392" xr:uid="{00000000-0005-0000-0000-000088010000}"/>
    <cellStyle name="Normal 2 11 10" xfId="393" xr:uid="{00000000-0005-0000-0000-000089010000}"/>
    <cellStyle name="Normal 2 11 11" xfId="394" xr:uid="{00000000-0005-0000-0000-00008A010000}"/>
    <cellStyle name="Normal 2 11 12" xfId="395" xr:uid="{00000000-0005-0000-0000-00008B010000}"/>
    <cellStyle name="Normal 2 11 13" xfId="396" xr:uid="{00000000-0005-0000-0000-00008C010000}"/>
    <cellStyle name="Normal 2 11 14" xfId="397" xr:uid="{00000000-0005-0000-0000-00008D010000}"/>
    <cellStyle name="Normal 2 11 15" xfId="398" xr:uid="{00000000-0005-0000-0000-00008E010000}"/>
    <cellStyle name="Normal 2 11 16" xfId="399" xr:uid="{00000000-0005-0000-0000-00008F010000}"/>
    <cellStyle name="Normal 2 11 17" xfId="400" xr:uid="{00000000-0005-0000-0000-000090010000}"/>
    <cellStyle name="Normal 2 11 18" xfId="401" xr:uid="{00000000-0005-0000-0000-000091010000}"/>
    <cellStyle name="Normal 2 11 19" xfId="402" xr:uid="{00000000-0005-0000-0000-000092010000}"/>
    <cellStyle name="Normal 2 11 2" xfId="403" xr:uid="{00000000-0005-0000-0000-000093010000}"/>
    <cellStyle name="Normal 2 11 20" xfId="404" xr:uid="{00000000-0005-0000-0000-000094010000}"/>
    <cellStyle name="Normal 2 11 21" xfId="405" xr:uid="{00000000-0005-0000-0000-000095010000}"/>
    <cellStyle name="Normal 2 11 22" xfId="406" xr:uid="{00000000-0005-0000-0000-000096010000}"/>
    <cellStyle name="Normal 2 11 23" xfId="407" xr:uid="{00000000-0005-0000-0000-000097010000}"/>
    <cellStyle name="Normal 2 11 3" xfId="408" xr:uid="{00000000-0005-0000-0000-000098010000}"/>
    <cellStyle name="Normal 2 11 4" xfId="409" xr:uid="{00000000-0005-0000-0000-000099010000}"/>
    <cellStyle name="Normal 2 11 5" xfId="410" xr:uid="{00000000-0005-0000-0000-00009A010000}"/>
    <cellStyle name="Normal 2 11 6" xfId="411" xr:uid="{00000000-0005-0000-0000-00009B010000}"/>
    <cellStyle name="Normal 2 11 7" xfId="412" xr:uid="{00000000-0005-0000-0000-00009C010000}"/>
    <cellStyle name="Normal 2 11 8" xfId="413" xr:uid="{00000000-0005-0000-0000-00009D010000}"/>
    <cellStyle name="Normal 2 11 9" xfId="414" xr:uid="{00000000-0005-0000-0000-00009E010000}"/>
    <cellStyle name="Normal 2 12" xfId="415" xr:uid="{00000000-0005-0000-0000-00009F010000}"/>
    <cellStyle name="Normal 2 12 10" xfId="416" xr:uid="{00000000-0005-0000-0000-0000A0010000}"/>
    <cellStyle name="Normal 2 12 11" xfId="417" xr:uid="{00000000-0005-0000-0000-0000A1010000}"/>
    <cellStyle name="Normal 2 12 12" xfId="418" xr:uid="{00000000-0005-0000-0000-0000A2010000}"/>
    <cellStyle name="Normal 2 12 13" xfId="419" xr:uid="{00000000-0005-0000-0000-0000A3010000}"/>
    <cellStyle name="Normal 2 12 14" xfId="420" xr:uid="{00000000-0005-0000-0000-0000A4010000}"/>
    <cellStyle name="Normal 2 12 15" xfId="421" xr:uid="{00000000-0005-0000-0000-0000A5010000}"/>
    <cellStyle name="Normal 2 12 16" xfId="422" xr:uid="{00000000-0005-0000-0000-0000A6010000}"/>
    <cellStyle name="Normal 2 12 17" xfId="423" xr:uid="{00000000-0005-0000-0000-0000A7010000}"/>
    <cellStyle name="Normal 2 12 18" xfId="424" xr:uid="{00000000-0005-0000-0000-0000A8010000}"/>
    <cellStyle name="Normal 2 12 19" xfId="425" xr:uid="{00000000-0005-0000-0000-0000A9010000}"/>
    <cellStyle name="Normal 2 12 2" xfId="426" xr:uid="{00000000-0005-0000-0000-0000AA010000}"/>
    <cellStyle name="Normal 2 12 20" xfId="427" xr:uid="{00000000-0005-0000-0000-0000AB010000}"/>
    <cellStyle name="Normal 2 12 21" xfId="428" xr:uid="{00000000-0005-0000-0000-0000AC010000}"/>
    <cellStyle name="Normal 2 12 22" xfId="429" xr:uid="{00000000-0005-0000-0000-0000AD010000}"/>
    <cellStyle name="Normal 2 12 23" xfId="430" xr:uid="{00000000-0005-0000-0000-0000AE010000}"/>
    <cellStyle name="Normal 2 12 3" xfId="431" xr:uid="{00000000-0005-0000-0000-0000AF010000}"/>
    <cellStyle name="Normal 2 12 4" xfId="432" xr:uid="{00000000-0005-0000-0000-0000B0010000}"/>
    <cellStyle name="Normal 2 12 5" xfId="433" xr:uid="{00000000-0005-0000-0000-0000B1010000}"/>
    <cellStyle name="Normal 2 12 6" xfId="434" xr:uid="{00000000-0005-0000-0000-0000B2010000}"/>
    <cellStyle name="Normal 2 12 7" xfId="435" xr:uid="{00000000-0005-0000-0000-0000B3010000}"/>
    <cellStyle name="Normal 2 12 8" xfId="436" xr:uid="{00000000-0005-0000-0000-0000B4010000}"/>
    <cellStyle name="Normal 2 12 9" xfId="437" xr:uid="{00000000-0005-0000-0000-0000B5010000}"/>
    <cellStyle name="Normal 2 13" xfId="438" xr:uid="{00000000-0005-0000-0000-0000B6010000}"/>
    <cellStyle name="Normal 2 13 10" xfId="439" xr:uid="{00000000-0005-0000-0000-0000B7010000}"/>
    <cellStyle name="Normal 2 13 11" xfId="440" xr:uid="{00000000-0005-0000-0000-0000B8010000}"/>
    <cellStyle name="Normal 2 13 12" xfId="441" xr:uid="{00000000-0005-0000-0000-0000B9010000}"/>
    <cellStyle name="Normal 2 13 13" xfId="442" xr:uid="{00000000-0005-0000-0000-0000BA010000}"/>
    <cellStyle name="Normal 2 13 14" xfId="443" xr:uid="{00000000-0005-0000-0000-0000BB010000}"/>
    <cellStyle name="Normal 2 13 15" xfId="444" xr:uid="{00000000-0005-0000-0000-0000BC010000}"/>
    <cellStyle name="Normal 2 13 16" xfId="445" xr:uid="{00000000-0005-0000-0000-0000BD010000}"/>
    <cellStyle name="Normal 2 13 17" xfId="446" xr:uid="{00000000-0005-0000-0000-0000BE010000}"/>
    <cellStyle name="Normal 2 13 18" xfId="447" xr:uid="{00000000-0005-0000-0000-0000BF010000}"/>
    <cellStyle name="Normal 2 13 19" xfId="448" xr:uid="{00000000-0005-0000-0000-0000C0010000}"/>
    <cellStyle name="Normal 2 13 2" xfId="449" xr:uid="{00000000-0005-0000-0000-0000C1010000}"/>
    <cellStyle name="Normal 2 13 20" xfId="450" xr:uid="{00000000-0005-0000-0000-0000C2010000}"/>
    <cellStyle name="Normal 2 13 21" xfId="451" xr:uid="{00000000-0005-0000-0000-0000C3010000}"/>
    <cellStyle name="Normal 2 13 22" xfId="452" xr:uid="{00000000-0005-0000-0000-0000C4010000}"/>
    <cellStyle name="Normal 2 13 23" xfId="453" xr:uid="{00000000-0005-0000-0000-0000C5010000}"/>
    <cellStyle name="Normal 2 13 3" xfId="454" xr:uid="{00000000-0005-0000-0000-0000C6010000}"/>
    <cellStyle name="Normal 2 13 4" xfId="455" xr:uid="{00000000-0005-0000-0000-0000C7010000}"/>
    <cellStyle name="Normal 2 13 5" xfId="456" xr:uid="{00000000-0005-0000-0000-0000C8010000}"/>
    <cellStyle name="Normal 2 13 6" xfId="457" xr:uid="{00000000-0005-0000-0000-0000C9010000}"/>
    <cellStyle name="Normal 2 13 7" xfId="458" xr:uid="{00000000-0005-0000-0000-0000CA010000}"/>
    <cellStyle name="Normal 2 13 8" xfId="459" xr:uid="{00000000-0005-0000-0000-0000CB010000}"/>
    <cellStyle name="Normal 2 13 9" xfId="460" xr:uid="{00000000-0005-0000-0000-0000CC010000}"/>
    <cellStyle name="Normal 2 14" xfId="461" xr:uid="{00000000-0005-0000-0000-0000CD010000}"/>
    <cellStyle name="Normal 2 14 10" xfId="462" xr:uid="{00000000-0005-0000-0000-0000CE010000}"/>
    <cellStyle name="Normal 2 14 11" xfId="463" xr:uid="{00000000-0005-0000-0000-0000CF010000}"/>
    <cellStyle name="Normal 2 14 12" xfId="464" xr:uid="{00000000-0005-0000-0000-0000D0010000}"/>
    <cellStyle name="Normal 2 14 13" xfId="465" xr:uid="{00000000-0005-0000-0000-0000D1010000}"/>
    <cellStyle name="Normal 2 14 14" xfId="466" xr:uid="{00000000-0005-0000-0000-0000D2010000}"/>
    <cellStyle name="Normal 2 14 15" xfId="467" xr:uid="{00000000-0005-0000-0000-0000D3010000}"/>
    <cellStyle name="Normal 2 14 16" xfId="468" xr:uid="{00000000-0005-0000-0000-0000D4010000}"/>
    <cellStyle name="Normal 2 14 17" xfId="469" xr:uid="{00000000-0005-0000-0000-0000D5010000}"/>
    <cellStyle name="Normal 2 14 18" xfId="470" xr:uid="{00000000-0005-0000-0000-0000D6010000}"/>
    <cellStyle name="Normal 2 14 19" xfId="471" xr:uid="{00000000-0005-0000-0000-0000D7010000}"/>
    <cellStyle name="Normal 2 14 2" xfId="472" xr:uid="{00000000-0005-0000-0000-0000D8010000}"/>
    <cellStyle name="Normal 2 14 20" xfId="473" xr:uid="{00000000-0005-0000-0000-0000D9010000}"/>
    <cellStyle name="Normal 2 14 21" xfId="474" xr:uid="{00000000-0005-0000-0000-0000DA010000}"/>
    <cellStyle name="Normal 2 14 22" xfId="475" xr:uid="{00000000-0005-0000-0000-0000DB010000}"/>
    <cellStyle name="Normal 2 14 23" xfId="476" xr:uid="{00000000-0005-0000-0000-0000DC010000}"/>
    <cellStyle name="Normal 2 14 3" xfId="477" xr:uid="{00000000-0005-0000-0000-0000DD010000}"/>
    <cellStyle name="Normal 2 14 4" xfId="478" xr:uid="{00000000-0005-0000-0000-0000DE010000}"/>
    <cellStyle name="Normal 2 14 5" xfId="479" xr:uid="{00000000-0005-0000-0000-0000DF010000}"/>
    <cellStyle name="Normal 2 14 6" xfId="480" xr:uid="{00000000-0005-0000-0000-0000E0010000}"/>
    <cellStyle name="Normal 2 14 7" xfId="481" xr:uid="{00000000-0005-0000-0000-0000E1010000}"/>
    <cellStyle name="Normal 2 14 8" xfId="482" xr:uid="{00000000-0005-0000-0000-0000E2010000}"/>
    <cellStyle name="Normal 2 14 9" xfId="483" xr:uid="{00000000-0005-0000-0000-0000E3010000}"/>
    <cellStyle name="Normal 2 15" xfId="484" xr:uid="{00000000-0005-0000-0000-0000E4010000}"/>
    <cellStyle name="Normal 2 15 10" xfId="485" xr:uid="{00000000-0005-0000-0000-0000E5010000}"/>
    <cellStyle name="Normal 2 15 11" xfId="486" xr:uid="{00000000-0005-0000-0000-0000E6010000}"/>
    <cellStyle name="Normal 2 15 12" xfId="487" xr:uid="{00000000-0005-0000-0000-0000E7010000}"/>
    <cellStyle name="Normal 2 15 13" xfId="488" xr:uid="{00000000-0005-0000-0000-0000E8010000}"/>
    <cellStyle name="Normal 2 15 14" xfId="489" xr:uid="{00000000-0005-0000-0000-0000E9010000}"/>
    <cellStyle name="Normal 2 15 15" xfId="490" xr:uid="{00000000-0005-0000-0000-0000EA010000}"/>
    <cellStyle name="Normal 2 15 16" xfId="491" xr:uid="{00000000-0005-0000-0000-0000EB010000}"/>
    <cellStyle name="Normal 2 15 17" xfId="492" xr:uid="{00000000-0005-0000-0000-0000EC010000}"/>
    <cellStyle name="Normal 2 15 18" xfId="493" xr:uid="{00000000-0005-0000-0000-0000ED010000}"/>
    <cellStyle name="Normal 2 15 19" xfId="494" xr:uid="{00000000-0005-0000-0000-0000EE010000}"/>
    <cellStyle name="Normal 2 15 2" xfId="495" xr:uid="{00000000-0005-0000-0000-0000EF010000}"/>
    <cellStyle name="Normal 2 15 20" xfId="496" xr:uid="{00000000-0005-0000-0000-0000F0010000}"/>
    <cellStyle name="Normal 2 15 21" xfId="497" xr:uid="{00000000-0005-0000-0000-0000F1010000}"/>
    <cellStyle name="Normal 2 15 22" xfId="498" xr:uid="{00000000-0005-0000-0000-0000F2010000}"/>
    <cellStyle name="Normal 2 15 23" xfId="499" xr:uid="{00000000-0005-0000-0000-0000F3010000}"/>
    <cellStyle name="Normal 2 15 3" xfId="500" xr:uid="{00000000-0005-0000-0000-0000F4010000}"/>
    <cellStyle name="Normal 2 15 4" xfId="501" xr:uid="{00000000-0005-0000-0000-0000F5010000}"/>
    <cellStyle name="Normal 2 15 5" xfId="502" xr:uid="{00000000-0005-0000-0000-0000F6010000}"/>
    <cellStyle name="Normal 2 15 6" xfId="503" xr:uid="{00000000-0005-0000-0000-0000F7010000}"/>
    <cellStyle name="Normal 2 15 7" xfId="504" xr:uid="{00000000-0005-0000-0000-0000F8010000}"/>
    <cellStyle name="Normal 2 15 8" xfId="505" xr:uid="{00000000-0005-0000-0000-0000F9010000}"/>
    <cellStyle name="Normal 2 15 9" xfId="506" xr:uid="{00000000-0005-0000-0000-0000FA010000}"/>
    <cellStyle name="Normal 2 16" xfId="507" xr:uid="{00000000-0005-0000-0000-0000FB010000}"/>
    <cellStyle name="Normal 2 16 10" xfId="508" xr:uid="{00000000-0005-0000-0000-0000FC010000}"/>
    <cellStyle name="Normal 2 16 11" xfId="509" xr:uid="{00000000-0005-0000-0000-0000FD010000}"/>
    <cellStyle name="Normal 2 16 12" xfId="510" xr:uid="{00000000-0005-0000-0000-0000FE010000}"/>
    <cellStyle name="Normal 2 16 13" xfId="511" xr:uid="{00000000-0005-0000-0000-0000FF010000}"/>
    <cellStyle name="Normal 2 16 14" xfId="512" xr:uid="{00000000-0005-0000-0000-000000020000}"/>
    <cellStyle name="Normal 2 16 15" xfId="513" xr:uid="{00000000-0005-0000-0000-000001020000}"/>
    <cellStyle name="Normal 2 16 16" xfId="514" xr:uid="{00000000-0005-0000-0000-000002020000}"/>
    <cellStyle name="Normal 2 16 17" xfId="515" xr:uid="{00000000-0005-0000-0000-000003020000}"/>
    <cellStyle name="Normal 2 16 18" xfId="516" xr:uid="{00000000-0005-0000-0000-000004020000}"/>
    <cellStyle name="Normal 2 16 19" xfId="517" xr:uid="{00000000-0005-0000-0000-000005020000}"/>
    <cellStyle name="Normal 2 16 2" xfId="518" xr:uid="{00000000-0005-0000-0000-000006020000}"/>
    <cellStyle name="Normal 2 16 20" xfId="519" xr:uid="{00000000-0005-0000-0000-000007020000}"/>
    <cellStyle name="Normal 2 16 21" xfId="520" xr:uid="{00000000-0005-0000-0000-000008020000}"/>
    <cellStyle name="Normal 2 16 22" xfId="521" xr:uid="{00000000-0005-0000-0000-000009020000}"/>
    <cellStyle name="Normal 2 16 23" xfId="522" xr:uid="{00000000-0005-0000-0000-00000A020000}"/>
    <cellStyle name="Normal 2 16 3" xfId="523" xr:uid="{00000000-0005-0000-0000-00000B020000}"/>
    <cellStyle name="Normal 2 16 4" xfId="524" xr:uid="{00000000-0005-0000-0000-00000C020000}"/>
    <cellStyle name="Normal 2 16 5" xfId="525" xr:uid="{00000000-0005-0000-0000-00000D020000}"/>
    <cellStyle name="Normal 2 16 6" xfId="526" xr:uid="{00000000-0005-0000-0000-00000E020000}"/>
    <cellStyle name="Normal 2 16 7" xfId="527" xr:uid="{00000000-0005-0000-0000-00000F020000}"/>
    <cellStyle name="Normal 2 16 8" xfId="528" xr:uid="{00000000-0005-0000-0000-000010020000}"/>
    <cellStyle name="Normal 2 16 9" xfId="529" xr:uid="{00000000-0005-0000-0000-000011020000}"/>
    <cellStyle name="Normal 2 17" xfId="530" xr:uid="{00000000-0005-0000-0000-000012020000}"/>
    <cellStyle name="Normal 2 17 10" xfId="531" xr:uid="{00000000-0005-0000-0000-000013020000}"/>
    <cellStyle name="Normal 2 17 11" xfId="532" xr:uid="{00000000-0005-0000-0000-000014020000}"/>
    <cellStyle name="Normal 2 17 12" xfId="533" xr:uid="{00000000-0005-0000-0000-000015020000}"/>
    <cellStyle name="Normal 2 17 13" xfId="534" xr:uid="{00000000-0005-0000-0000-000016020000}"/>
    <cellStyle name="Normal 2 17 14" xfId="535" xr:uid="{00000000-0005-0000-0000-000017020000}"/>
    <cellStyle name="Normal 2 17 15" xfId="536" xr:uid="{00000000-0005-0000-0000-000018020000}"/>
    <cellStyle name="Normal 2 17 16" xfId="537" xr:uid="{00000000-0005-0000-0000-000019020000}"/>
    <cellStyle name="Normal 2 17 17" xfId="538" xr:uid="{00000000-0005-0000-0000-00001A020000}"/>
    <cellStyle name="Normal 2 17 18" xfId="539" xr:uid="{00000000-0005-0000-0000-00001B020000}"/>
    <cellStyle name="Normal 2 17 19" xfId="540" xr:uid="{00000000-0005-0000-0000-00001C020000}"/>
    <cellStyle name="Normal 2 17 2" xfId="541" xr:uid="{00000000-0005-0000-0000-00001D020000}"/>
    <cellStyle name="Normal 2 17 20" xfId="542" xr:uid="{00000000-0005-0000-0000-00001E020000}"/>
    <cellStyle name="Normal 2 17 21" xfId="543" xr:uid="{00000000-0005-0000-0000-00001F020000}"/>
    <cellStyle name="Normal 2 17 22" xfId="544" xr:uid="{00000000-0005-0000-0000-000020020000}"/>
    <cellStyle name="Normal 2 17 23" xfId="545" xr:uid="{00000000-0005-0000-0000-000021020000}"/>
    <cellStyle name="Normal 2 17 3" xfId="546" xr:uid="{00000000-0005-0000-0000-000022020000}"/>
    <cellStyle name="Normal 2 17 4" xfId="547" xr:uid="{00000000-0005-0000-0000-000023020000}"/>
    <cellStyle name="Normal 2 17 5" xfId="548" xr:uid="{00000000-0005-0000-0000-000024020000}"/>
    <cellStyle name="Normal 2 17 6" xfId="549" xr:uid="{00000000-0005-0000-0000-000025020000}"/>
    <cellStyle name="Normal 2 17 7" xfId="550" xr:uid="{00000000-0005-0000-0000-000026020000}"/>
    <cellStyle name="Normal 2 17 8" xfId="551" xr:uid="{00000000-0005-0000-0000-000027020000}"/>
    <cellStyle name="Normal 2 17 9" xfId="552" xr:uid="{00000000-0005-0000-0000-000028020000}"/>
    <cellStyle name="Normal 2 18" xfId="553" xr:uid="{00000000-0005-0000-0000-000029020000}"/>
    <cellStyle name="Normal 2 18 10" xfId="554" xr:uid="{00000000-0005-0000-0000-00002A020000}"/>
    <cellStyle name="Normal 2 18 11" xfId="555" xr:uid="{00000000-0005-0000-0000-00002B020000}"/>
    <cellStyle name="Normal 2 18 12" xfId="556" xr:uid="{00000000-0005-0000-0000-00002C020000}"/>
    <cellStyle name="Normal 2 18 13" xfId="557" xr:uid="{00000000-0005-0000-0000-00002D020000}"/>
    <cellStyle name="Normal 2 18 14" xfId="558" xr:uid="{00000000-0005-0000-0000-00002E020000}"/>
    <cellStyle name="Normal 2 18 15" xfId="559" xr:uid="{00000000-0005-0000-0000-00002F020000}"/>
    <cellStyle name="Normal 2 18 16" xfId="560" xr:uid="{00000000-0005-0000-0000-000030020000}"/>
    <cellStyle name="Normal 2 18 17" xfId="561" xr:uid="{00000000-0005-0000-0000-000031020000}"/>
    <cellStyle name="Normal 2 18 18" xfId="562" xr:uid="{00000000-0005-0000-0000-000032020000}"/>
    <cellStyle name="Normal 2 18 19" xfId="563" xr:uid="{00000000-0005-0000-0000-000033020000}"/>
    <cellStyle name="Normal 2 18 2" xfId="564" xr:uid="{00000000-0005-0000-0000-000034020000}"/>
    <cellStyle name="Normal 2 18 20" xfId="565" xr:uid="{00000000-0005-0000-0000-000035020000}"/>
    <cellStyle name="Normal 2 18 21" xfId="566" xr:uid="{00000000-0005-0000-0000-000036020000}"/>
    <cellStyle name="Normal 2 18 22" xfId="567" xr:uid="{00000000-0005-0000-0000-000037020000}"/>
    <cellStyle name="Normal 2 18 23" xfId="568" xr:uid="{00000000-0005-0000-0000-000038020000}"/>
    <cellStyle name="Normal 2 18 3" xfId="569" xr:uid="{00000000-0005-0000-0000-000039020000}"/>
    <cellStyle name="Normal 2 18 4" xfId="570" xr:uid="{00000000-0005-0000-0000-00003A020000}"/>
    <cellStyle name="Normal 2 18 5" xfId="571" xr:uid="{00000000-0005-0000-0000-00003B020000}"/>
    <cellStyle name="Normal 2 18 6" xfId="572" xr:uid="{00000000-0005-0000-0000-00003C020000}"/>
    <cellStyle name="Normal 2 18 7" xfId="573" xr:uid="{00000000-0005-0000-0000-00003D020000}"/>
    <cellStyle name="Normal 2 18 8" xfId="574" xr:uid="{00000000-0005-0000-0000-00003E020000}"/>
    <cellStyle name="Normal 2 18 9" xfId="575" xr:uid="{00000000-0005-0000-0000-00003F020000}"/>
    <cellStyle name="Normal 2 19" xfId="576" xr:uid="{00000000-0005-0000-0000-000040020000}"/>
    <cellStyle name="Normal 2 19 10" xfId="577" xr:uid="{00000000-0005-0000-0000-000041020000}"/>
    <cellStyle name="Normal 2 19 11" xfId="578" xr:uid="{00000000-0005-0000-0000-000042020000}"/>
    <cellStyle name="Normal 2 19 12" xfId="579" xr:uid="{00000000-0005-0000-0000-000043020000}"/>
    <cellStyle name="Normal 2 19 13" xfId="580" xr:uid="{00000000-0005-0000-0000-000044020000}"/>
    <cellStyle name="Normal 2 19 14" xfId="581" xr:uid="{00000000-0005-0000-0000-000045020000}"/>
    <cellStyle name="Normal 2 19 15" xfId="582" xr:uid="{00000000-0005-0000-0000-000046020000}"/>
    <cellStyle name="Normal 2 19 16" xfId="583" xr:uid="{00000000-0005-0000-0000-000047020000}"/>
    <cellStyle name="Normal 2 19 17" xfId="584" xr:uid="{00000000-0005-0000-0000-000048020000}"/>
    <cellStyle name="Normal 2 19 18" xfId="585" xr:uid="{00000000-0005-0000-0000-000049020000}"/>
    <cellStyle name="Normal 2 19 19" xfId="586" xr:uid="{00000000-0005-0000-0000-00004A020000}"/>
    <cellStyle name="Normal 2 19 2" xfId="587" xr:uid="{00000000-0005-0000-0000-00004B020000}"/>
    <cellStyle name="Normal 2 19 20" xfId="588" xr:uid="{00000000-0005-0000-0000-00004C020000}"/>
    <cellStyle name="Normal 2 19 21" xfId="589" xr:uid="{00000000-0005-0000-0000-00004D020000}"/>
    <cellStyle name="Normal 2 19 22" xfId="590" xr:uid="{00000000-0005-0000-0000-00004E020000}"/>
    <cellStyle name="Normal 2 19 23" xfId="591" xr:uid="{00000000-0005-0000-0000-00004F020000}"/>
    <cellStyle name="Normal 2 19 3" xfId="592" xr:uid="{00000000-0005-0000-0000-000050020000}"/>
    <cellStyle name="Normal 2 19 4" xfId="593" xr:uid="{00000000-0005-0000-0000-000051020000}"/>
    <cellStyle name="Normal 2 19 5" xfId="594" xr:uid="{00000000-0005-0000-0000-000052020000}"/>
    <cellStyle name="Normal 2 19 6" xfId="595" xr:uid="{00000000-0005-0000-0000-000053020000}"/>
    <cellStyle name="Normal 2 19 7" xfId="596" xr:uid="{00000000-0005-0000-0000-000054020000}"/>
    <cellStyle name="Normal 2 19 8" xfId="597" xr:uid="{00000000-0005-0000-0000-000055020000}"/>
    <cellStyle name="Normal 2 19 9" xfId="598" xr:uid="{00000000-0005-0000-0000-000056020000}"/>
    <cellStyle name="Normal 2 2" xfId="599" xr:uid="{00000000-0005-0000-0000-000057020000}"/>
    <cellStyle name="Normal 2 2 2" xfId="600" xr:uid="{00000000-0005-0000-0000-000058020000}"/>
    <cellStyle name="Normal 2 2 2 2" xfId="601" xr:uid="{00000000-0005-0000-0000-000059020000}"/>
    <cellStyle name="Normal 2 2 2 3" xfId="602" xr:uid="{00000000-0005-0000-0000-00005A020000}"/>
    <cellStyle name="Normal 2 2 2 4" xfId="603" xr:uid="{00000000-0005-0000-0000-00005B020000}"/>
    <cellStyle name="Normal 2 2 3" xfId="604" xr:uid="{00000000-0005-0000-0000-00005C020000}"/>
    <cellStyle name="Normal 2 2 4" xfId="605" xr:uid="{00000000-0005-0000-0000-00005D020000}"/>
    <cellStyle name="Normal 2 2_Summary" xfId="606" xr:uid="{00000000-0005-0000-0000-00005E020000}"/>
    <cellStyle name="Normal 2 20" xfId="607" xr:uid="{00000000-0005-0000-0000-00005F020000}"/>
    <cellStyle name="Normal 2 20 10" xfId="608" xr:uid="{00000000-0005-0000-0000-000060020000}"/>
    <cellStyle name="Normal 2 20 11" xfId="609" xr:uid="{00000000-0005-0000-0000-000061020000}"/>
    <cellStyle name="Normal 2 20 12" xfId="610" xr:uid="{00000000-0005-0000-0000-000062020000}"/>
    <cellStyle name="Normal 2 20 13" xfId="611" xr:uid="{00000000-0005-0000-0000-000063020000}"/>
    <cellStyle name="Normal 2 20 14" xfId="612" xr:uid="{00000000-0005-0000-0000-000064020000}"/>
    <cellStyle name="Normal 2 20 15" xfId="613" xr:uid="{00000000-0005-0000-0000-000065020000}"/>
    <cellStyle name="Normal 2 20 16" xfId="614" xr:uid="{00000000-0005-0000-0000-000066020000}"/>
    <cellStyle name="Normal 2 20 17" xfId="615" xr:uid="{00000000-0005-0000-0000-000067020000}"/>
    <cellStyle name="Normal 2 20 18" xfId="616" xr:uid="{00000000-0005-0000-0000-000068020000}"/>
    <cellStyle name="Normal 2 20 19" xfId="617" xr:uid="{00000000-0005-0000-0000-000069020000}"/>
    <cellStyle name="Normal 2 20 2" xfId="618" xr:uid="{00000000-0005-0000-0000-00006A020000}"/>
    <cellStyle name="Normal 2 20 20" xfId="619" xr:uid="{00000000-0005-0000-0000-00006B020000}"/>
    <cellStyle name="Normal 2 20 21" xfId="620" xr:uid="{00000000-0005-0000-0000-00006C020000}"/>
    <cellStyle name="Normal 2 20 22" xfId="621" xr:uid="{00000000-0005-0000-0000-00006D020000}"/>
    <cellStyle name="Normal 2 20 23" xfId="622" xr:uid="{00000000-0005-0000-0000-00006E020000}"/>
    <cellStyle name="Normal 2 20 3" xfId="623" xr:uid="{00000000-0005-0000-0000-00006F020000}"/>
    <cellStyle name="Normal 2 20 4" xfId="624" xr:uid="{00000000-0005-0000-0000-000070020000}"/>
    <cellStyle name="Normal 2 20 5" xfId="625" xr:uid="{00000000-0005-0000-0000-000071020000}"/>
    <cellStyle name="Normal 2 20 6" xfId="626" xr:uid="{00000000-0005-0000-0000-000072020000}"/>
    <cellStyle name="Normal 2 20 7" xfId="627" xr:uid="{00000000-0005-0000-0000-000073020000}"/>
    <cellStyle name="Normal 2 20 8" xfId="628" xr:uid="{00000000-0005-0000-0000-000074020000}"/>
    <cellStyle name="Normal 2 20 9" xfId="629" xr:uid="{00000000-0005-0000-0000-000075020000}"/>
    <cellStyle name="Normal 2 21" xfId="630" xr:uid="{00000000-0005-0000-0000-000076020000}"/>
    <cellStyle name="Normal 2 21 10" xfId="631" xr:uid="{00000000-0005-0000-0000-000077020000}"/>
    <cellStyle name="Normal 2 21 11" xfId="632" xr:uid="{00000000-0005-0000-0000-000078020000}"/>
    <cellStyle name="Normal 2 21 12" xfId="633" xr:uid="{00000000-0005-0000-0000-000079020000}"/>
    <cellStyle name="Normal 2 21 13" xfId="634" xr:uid="{00000000-0005-0000-0000-00007A020000}"/>
    <cellStyle name="Normal 2 21 14" xfId="635" xr:uid="{00000000-0005-0000-0000-00007B020000}"/>
    <cellStyle name="Normal 2 21 15" xfId="636" xr:uid="{00000000-0005-0000-0000-00007C020000}"/>
    <cellStyle name="Normal 2 21 16" xfId="637" xr:uid="{00000000-0005-0000-0000-00007D020000}"/>
    <cellStyle name="Normal 2 21 17" xfId="638" xr:uid="{00000000-0005-0000-0000-00007E020000}"/>
    <cellStyle name="Normal 2 21 18" xfId="639" xr:uid="{00000000-0005-0000-0000-00007F020000}"/>
    <cellStyle name="Normal 2 21 19" xfId="640" xr:uid="{00000000-0005-0000-0000-000080020000}"/>
    <cellStyle name="Normal 2 21 2" xfId="641" xr:uid="{00000000-0005-0000-0000-000081020000}"/>
    <cellStyle name="Normal 2 21 20" xfId="642" xr:uid="{00000000-0005-0000-0000-000082020000}"/>
    <cellStyle name="Normal 2 21 21" xfId="643" xr:uid="{00000000-0005-0000-0000-000083020000}"/>
    <cellStyle name="Normal 2 21 22" xfId="644" xr:uid="{00000000-0005-0000-0000-000084020000}"/>
    <cellStyle name="Normal 2 21 23" xfId="645" xr:uid="{00000000-0005-0000-0000-000085020000}"/>
    <cellStyle name="Normal 2 21 3" xfId="646" xr:uid="{00000000-0005-0000-0000-000086020000}"/>
    <cellStyle name="Normal 2 21 4" xfId="647" xr:uid="{00000000-0005-0000-0000-000087020000}"/>
    <cellStyle name="Normal 2 21 5" xfId="648" xr:uid="{00000000-0005-0000-0000-000088020000}"/>
    <cellStyle name="Normal 2 21 6" xfId="649" xr:uid="{00000000-0005-0000-0000-000089020000}"/>
    <cellStyle name="Normal 2 21 7" xfId="650" xr:uid="{00000000-0005-0000-0000-00008A020000}"/>
    <cellStyle name="Normal 2 21 8" xfId="651" xr:uid="{00000000-0005-0000-0000-00008B020000}"/>
    <cellStyle name="Normal 2 21 9" xfId="652" xr:uid="{00000000-0005-0000-0000-00008C020000}"/>
    <cellStyle name="Normal 2 22" xfId="653" xr:uid="{00000000-0005-0000-0000-00008D020000}"/>
    <cellStyle name="Normal 2 22 10" xfId="654" xr:uid="{00000000-0005-0000-0000-00008E020000}"/>
    <cellStyle name="Normal 2 22 11" xfId="655" xr:uid="{00000000-0005-0000-0000-00008F020000}"/>
    <cellStyle name="Normal 2 22 12" xfId="656" xr:uid="{00000000-0005-0000-0000-000090020000}"/>
    <cellStyle name="Normal 2 22 13" xfId="657" xr:uid="{00000000-0005-0000-0000-000091020000}"/>
    <cellStyle name="Normal 2 22 14" xfId="658" xr:uid="{00000000-0005-0000-0000-000092020000}"/>
    <cellStyle name="Normal 2 22 15" xfId="659" xr:uid="{00000000-0005-0000-0000-000093020000}"/>
    <cellStyle name="Normal 2 22 16" xfId="660" xr:uid="{00000000-0005-0000-0000-000094020000}"/>
    <cellStyle name="Normal 2 22 17" xfId="661" xr:uid="{00000000-0005-0000-0000-000095020000}"/>
    <cellStyle name="Normal 2 22 18" xfId="662" xr:uid="{00000000-0005-0000-0000-000096020000}"/>
    <cellStyle name="Normal 2 22 19" xfId="663" xr:uid="{00000000-0005-0000-0000-000097020000}"/>
    <cellStyle name="Normal 2 22 2" xfId="664" xr:uid="{00000000-0005-0000-0000-000098020000}"/>
    <cellStyle name="Normal 2 22 20" xfId="665" xr:uid="{00000000-0005-0000-0000-000099020000}"/>
    <cellStyle name="Normal 2 22 21" xfId="666" xr:uid="{00000000-0005-0000-0000-00009A020000}"/>
    <cellStyle name="Normal 2 22 22" xfId="667" xr:uid="{00000000-0005-0000-0000-00009B020000}"/>
    <cellStyle name="Normal 2 22 23" xfId="668" xr:uid="{00000000-0005-0000-0000-00009C020000}"/>
    <cellStyle name="Normal 2 22 3" xfId="669" xr:uid="{00000000-0005-0000-0000-00009D020000}"/>
    <cellStyle name="Normal 2 22 4" xfId="670" xr:uid="{00000000-0005-0000-0000-00009E020000}"/>
    <cellStyle name="Normal 2 22 5" xfId="671" xr:uid="{00000000-0005-0000-0000-00009F020000}"/>
    <cellStyle name="Normal 2 22 6" xfId="672" xr:uid="{00000000-0005-0000-0000-0000A0020000}"/>
    <cellStyle name="Normal 2 22 7" xfId="673" xr:uid="{00000000-0005-0000-0000-0000A1020000}"/>
    <cellStyle name="Normal 2 22 8" xfId="674" xr:uid="{00000000-0005-0000-0000-0000A2020000}"/>
    <cellStyle name="Normal 2 22 9" xfId="675" xr:uid="{00000000-0005-0000-0000-0000A3020000}"/>
    <cellStyle name="Normal 2 23" xfId="676" xr:uid="{00000000-0005-0000-0000-0000A4020000}"/>
    <cellStyle name="Normal 2 23 10" xfId="677" xr:uid="{00000000-0005-0000-0000-0000A5020000}"/>
    <cellStyle name="Normal 2 23 11" xfId="678" xr:uid="{00000000-0005-0000-0000-0000A6020000}"/>
    <cellStyle name="Normal 2 23 12" xfId="679" xr:uid="{00000000-0005-0000-0000-0000A7020000}"/>
    <cellStyle name="Normal 2 23 13" xfId="680" xr:uid="{00000000-0005-0000-0000-0000A8020000}"/>
    <cellStyle name="Normal 2 23 14" xfId="681" xr:uid="{00000000-0005-0000-0000-0000A9020000}"/>
    <cellStyle name="Normal 2 23 15" xfId="682" xr:uid="{00000000-0005-0000-0000-0000AA020000}"/>
    <cellStyle name="Normal 2 23 16" xfId="683" xr:uid="{00000000-0005-0000-0000-0000AB020000}"/>
    <cellStyle name="Normal 2 23 17" xfId="684" xr:uid="{00000000-0005-0000-0000-0000AC020000}"/>
    <cellStyle name="Normal 2 23 18" xfId="685" xr:uid="{00000000-0005-0000-0000-0000AD020000}"/>
    <cellStyle name="Normal 2 23 19" xfId="686" xr:uid="{00000000-0005-0000-0000-0000AE020000}"/>
    <cellStyle name="Normal 2 23 2" xfId="687" xr:uid="{00000000-0005-0000-0000-0000AF020000}"/>
    <cellStyle name="Normal 2 23 20" xfId="688" xr:uid="{00000000-0005-0000-0000-0000B0020000}"/>
    <cellStyle name="Normal 2 23 21" xfId="689" xr:uid="{00000000-0005-0000-0000-0000B1020000}"/>
    <cellStyle name="Normal 2 23 22" xfId="690" xr:uid="{00000000-0005-0000-0000-0000B2020000}"/>
    <cellStyle name="Normal 2 23 23" xfId="691" xr:uid="{00000000-0005-0000-0000-0000B3020000}"/>
    <cellStyle name="Normal 2 23 3" xfId="692" xr:uid="{00000000-0005-0000-0000-0000B4020000}"/>
    <cellStyle name="Normal 2 23 4" xfId="693" xr:uid="{00000000-0005-0000-0000-0000B5020000}"/>
    <cellStyle name="Normal 2 23 5" xfId="694" xr:uid="{00000000-0005-0000-0000-0000B6020000}"/>
    <cellStyle name="Normal 2 23 6" xfId="695" xr:uid="{00000000-0005-0000-0000-0000B7020000}"/>
    <cellStyle name="Normal 2 23 7" xfId="696" xr:uid="{00000000-0005-0000-0000-0000B8020000}"/>
    <cellStyle name="Normal 2 23 8" xfId="697" xr:uid="{00000000-0005-0000-0000-0000B9020000}"/>
    <cellStyle name="Normal 2 23 9" xfId="698" xr:uid="{00000000-0005-0000-0000-0000BA020000}"/>
    <cellStyle name="Normal 2 24" xfId="699" xr:uid="{00000000-0005-0000-0000-0000BB020000}"/>
    <cellStyle name="Normal 2 24 10" xfId="700" xr:uid="{00000000-0005-0000-0000-0000BC020000}"/>
    <cellStyle name="Normal 2 24 11" xfId="701" xr:uid="{00000000-0005-0000-0000-0000BD020000}"/>
    <cellStyle name="Normal 2 24 12" xfId="702" xr:uid="{00000000-0005-0000-0000-0000BE020000}"/>
    <cellStyle name="Normal 2 24 13" xfId="703" xr:uid="{00000000-0005-0000-0000-0000BF020000}"/>
    <cellStyle name="Normal 2 24 14" xfId="704" xr:uid="{00000000-0005-0000-0000-0000C0020000}"/>
    <cellStyle name="Normal 2 24 15" xfId="705" xr:uid="{00000000-0005-0000-0000-0000C1020000}"/>
    <cellStyle name="Normal 2 24 16" xfId="706" xr:uid="{00000000-0005-0000-0000-0000C2020000}"/>
    <cellStyle name="Normal 2 24 17" xfId="707" xr:uid="{00000000-0005-0000-0000-0000C3020000}"/>
    <cellStyle name="Normal 2 24 18" xfId="708" xr:uid="{00000000-0005-0000-0000-0000C4020000}"/>
    <cellStyle name="Normal 2 24 19" xfId="709" xr:uid="{00000000-0005-0000-0000-0000C5020000}"/>
    <cellStyle name="Normal 2 24 2" xfId="710" xr:uid="{00000000-0005-0000-0000-0000C6020000}"/>
    <cellStyle name="Normal 2 24 20" xfId="711" xr:uid="{00000000-0005-0000-0000-0000C7020000}"/>
    <cellStyle name="Normal 2 24 21" xfId="712" xr:uid="{00000000-0005-0000-0000-0000C8020000}"/>
    <cellStyle name="Normal 2 24 22" xfId="713" xr:uid="{00000000-0005-0000-0000-0000C9020000}"/>
    <cellStyle name="Normal 2 24 23" xfId="714" xr:uid="{00000000-0005-0000-0000-0000CA020000}"/>
    <cellStyle name="Normal 2 24 3" xfId="715" xr:uid="{00000000-0005-0000-0000-0000CB020000}"/>
    <cellStyle name="Normal 2 24 4" xfId="716" xr:uid="{00000000-0005-0000-0000-0000CC020000}"/>
    <cellStyle name="Normal 2 24 5" xfId="717" xr:uid="{00000000-0005-0000-0000-0000CD020000}"/>
    <cellStyle name="Normal 2 24 6" xfId="718" xr:uid="{00000000-0005-0000-0000-0000CE020000}"/>
    <cellStyle name="Normal 2 24 7" xfId="719" xr:uid="{00000000-0005-0000-0000-0000CF020000}"/>
    <cellStyle name="Normal 2 24 8" xfId="720" xr:uid="{00000000-0005-0000-0000-0000D0020000}"/>
    <cellStyle name="Normal 2 24 9" xfId="721" xr:uid="{00000000-0005-0000-0000-0000D1020000}"/>
    <cellStyle name="Normal 2 25" xfId="722" xr:uid="{00000000-0005-0000-0000-0000D2020000}"/>
    <cellStyle name="Normal 2 25 10" xfId="723" xr:uid="{00000000-0005-0000-0000-0000D3020000}"/>
    <cellStyle name="Normal 2 25 11" xfId="724" xr:uid="{00000000-0005-0000-0000-0000D4020000}"/>
    <cellStyle name="Normal 2 25 12" xfId="725" xr:uid="{00000000-0005-0000-0000-0000D5020000}"/>
    <cellStyle name="Normal 2 25 13" xfId="726" xr:uid="{00000000-0005-0000-0000-0000D6020000}"/>
    <cellStyle name="Normal 2 25 14" xfId="727" xr:uid="{00000000-0005-0000-0000-0000D7020000}"/>
    <cellStyle name="Normal 2 25 15" xfId="728" xr:uid="{00000000-0005-0000-0000-0000D8020000}"/>
    <cellStyle name="Normal 2 25 16" xfId="729" xr:uid="{00000000-0005-0000-0000-0000D9020000}"/>
    <cellStyle name="Normal 2 25 17" xfId="730" xr:uid="{00000000-0005-0000-0000-0000DA020000}"/>
    <cellStyle name="Normal 2 25 18" xfId="731" xr:uid="{00000000-0005-0000-0000-0000DB020000}"/>
    <cellStyle name="Normal 2 25 19" xfId="732" xr:uid="{00000000-0005-0000-0000-0000DC020000}"/>
    <cellStyle name="Normal 2 25 2" xfId="733" xr:uid="{00000000-0005-0000-0000-0000DD020000}"/>
    <cellStyle name="Normal 2 25 20" xfId="734" xr:uid="{00000000-0005-0000-0000-0000DE020000}"/>
    <cellStyle name="Normal 2 25 21" xfId="735" xr:uid="{00000000-0005-0000-0000-0000DF020000}"/>
    <cellStyle name="Normal 2 25 22" xfId="736" xr:uid="{00000000-0005-0000-0000-0000E0020000}"/>
    <cellStyle name="Normal 2 25 23" xfId="737" xr:uid="{00000000-0005-0000-0000-0000E1020000}"/>
    <cellStyle name="Normal 2 25 3" xfId="738" xr:uid="{00000000-0005-0000-0000-0000E2020000}"/>
    <cellStyle name="Normal 2 25 4" xfId="739" xr:uid="{00000000-0005-0000-0000-0000E3020000}"/>
    <cellStyle name="Normal 2 25 5" xfId="740" xr:uid="{00000000-0005-0000-0000-0000E4020000}"/>
    <cellStyle name="Normal 2 25 6" xfId="741" xr:uid="{00000000-0005-0000-0000-0000E5020000}"/>
    <cellStyle name="Normal 2 25 7" xfId="742" xr:uid="{00000000-0005-0000-0000-0000E6020000}"/>
    <cellStyle name="Normal 2 25 8" xfId="743" xr:uid="{00000000-0005-0000-0000-0000E7020000}"/>
    <cellStyle name="Normal 2 25 9" xfId="744" xr:uid="{00000000-0005-0000-0000-0000E8020000}"/>
    <cellStyle name="Normal 2 26" xfId="745" xr:uid="{00000000-0005-0000-0000-0000E9020000}"/>
    <cellStyle name="Normal 2 26 10" xfId="746" xr:uid="{00000000-0005-0000-0000-0000EA020000}"/>
    <cellStyle name="Normal 2 26 11" xfId="747" xr:uid="{00000000-0005-0000-0000-0000EB020000}"/>
    <cellStyle name="Normal 2 26 12" xfId="748" xr:uid="{00000000-0005-0000-0000-0000EC020000}"/>
    <cellStyle name="Normal 2 26 13" xfId="749" xr:uid="{00000000-0005-0000-0000-0000ED020000}"/>
    <cellStyle name="Normal 2 26 14" xfId="750" xr:uid="{00000000-0005-0000-0000-0000EE020000}"/>
    <cellStyle name="Normal 2 26 15" xfId="751" xr:uid="{00000000-0005-0000-0000-0000EF020000}"/>
    <cellStyle name="Normal 2 26 16" xfId="752" xr:uid="{00000000-0005-0000-0000-0000F0020000}"/>
    <cellStyle name="Normal 2 26 17" xfId="753" xr:uid="{00000000-0005-0000-0000-0000F1020000}"/>
    <cellStyle name="Normal 2 26 18" xfId="754" xr:uid="{00000000-0005-0000-0000-0000F2020000}"/>
    <cellStyle name="Normal 2 26 19" xfId="755" xr:uid="{00000000-0005-0000-0000-0000F3020000}"/>
    <cellStyle name="Normal 2 26 2" xfId="756" xr:uid="{00000000-0005-0000-0000-0000F4020000}"/>
    <cellStyle name="Normal 2 26 20" xfId="757" xr:uid="{00000000-0005-0000-0000-0000F5020000}"/>
    <cellStyle name="Normal 2 26 21" xfId="758" xr:uid="{00000000-0005-0000-0000-0000F6020000}"/>
    <cellStyle name="Normal 2 26 22" xfId="759" xr:uid="{00000000-0005-0000-0000-0000F7020000}"/>
    <cellStyle name="Normal 2 26 23" xfId="760" xr:uid="{00000000-0005-0000-0000-0000F8020000}"/>
    <cellStyle name="Normal 2 26 3" xfId="761" xr:uid="{00000000-0005-0000-0000-0000F9020000}"/>
    <cellStyle name="Normal 2 26 4" xfId="762" xr:uid="{00000000-0005-0000-0000-0000FA020000}"/>
    <cellStyle name="Normal 2 26 5" xfId="763" xr:uid="{00000000-0005-0000-0000-0000FB020000}"/>
    <cellStyle name="Normal 2 26 6" xfId="764" xr:uid="{00000000-0005-0000-0000-0000FC020000}"/>
    <cellStyle name="Normal 2 26 7" xfId="765" xr:uid="{00000000-0005-0000-0000-0000FD020000}"/>
    <cellStyle name="Normal 2 26 8" xfId="766" xr:uid="{00000000-0005-0000-0000-0000FE020000}"/>
    <cellStyle name="Normal 2 26 9" xfId="767" xr:uid="{00000000-0005-0000-0000-0000FF020000}"/>
    <cellStyle name="Normal 2 27" xfId="768" xr:uid="{00000000-0005-0000-0000-000000030000}"/>
    <cellStyle name="Normal 2 27 10" xfId="769" xr:uid="{00000000-0005-0000-0000-000001030000}"/>
    <cellStyle name="Normal 2 27 11" xfId="770" xr:uid="{00000000-0005-0000-0000-000002030000}"/>
    <cellStyle name="Normal 2 27 12" xfId="771" xr:uid="{00000000-0005-0000-0000-000003030000}"/>
    <cellStyle name="Normal 2 27 13" xfId="772" xr:uid="{00000000-0005-0000-0000-000004030000}"/>
    <cellStyle name="Normal 2 27 14" xfId="773" xr:uid="{00000000-0005-0000-0000-000005030000}"/>
    <cellStyle name="Normal 2 27 15" xfId="774" xr:uid="{00000000-0005-0000-0000-000006030000}"/>
    <cellStyle name="Normal 2 27 16" xfId="775" xr:uid="{00000000-0005-0000-0000-000007030000}"/>
    <cellStyle name="Normal 2 27 17" xfId="776" xr:uid="{00000000-0005-0000-0000-000008030000}"/>
    <cellStyle name="Normal 2 27 18" xfId="777" xr:uid="{00000000-0005-0000-0000-000009030000}"/>
    <cellStyle name="Normal 2 27 19" xfId="778" xr:uid="{00000000-0005-0000-0000-00000A030000}"/>
    <cellStyle name="Normal 2 27 2" xfId="779" xr:uid="{00000000-0005-0000-0000-00000B030000}"/>
    <cellStyle name="Normal 2 27 20" xfId="780" xr:uid="{00000000-0005-0000-0000-00000C030000}"/>
    <cellStyle name="Normal 2 27 21" xfId="781" xr:uid="{00000000-0005-0000-0000-00000D030000}"/>
    <cellStyle name="Normal 2 27 22" xfId="782" xr:uid="{00000000-0005-0000-0000-00000E030000}"/>
    <cellStyle name="Normal 2 27 23" xfId="783" xr:uid="{00000000-0005-0000-0000-00000F030000}"/>
    <cellStyle name="Normal 2 27 3" xfId="784" xr:uid="{00000000-0005-0000-0000-000010030000}"/>
    <cellStyle name="Normal 2 27 4" xfId="785" xr:uid="{00000000-0005-0000-0000-000011030000}"/>
    <cellStyle name="Normal 2 27 5" xfId="786" xr:uid="{00000000-0005-0000-0000-000012030000}"/>
    <cellStyle name="Normal 2 27 6" xfId="787" xr:uid="{00000000-0005-0000-0000-000013030000}"/>
    <cellStyle name="Normal 2 27 7" xfId="788" xr:uid="{00000000-0005-0000-0000-000014030000}"/>
    <cellStyle name="Normal 2 27 8" xfId="789" xr:uid="{00000000-0005-0000-0000-000015030000}"/>
    <cellStyle name="Normal 2 27 9" xfId="790" xr:uid="{00000000-0005-0000-0000-000016030000}"/>
    <cellStyle name="Normal 2 28" xfId="791" xr:uid="{00000000-0005-0000-0000-000017030000}"/>
    <cellStyle name="Normal 2 28 10" xfId="792" xr:uid="{00000000-0005-0000-0000-000018030000}"/>
    <cellStyle name="Normal 2 28 11" xfId="793" xr:uid="{00000000-0005-0000-0000-000019030000}"/>
    <cellStyle name="Normal 2 28 12" xfId="794" xr:uid="{00000000-0005-0000-0000-00001A030000}"/>
    <cellStyle name="Normal 2 28 13" xfId="795" xr:uid="{00000000-0005-0000-0000-00001B030000}"/>
    <cellStyle name="Normal 2 28 14" xfId="796" xr:uid="{00000000-0005-0000-0000-00001C030000}"/>
    <cellStyle name="Normal 2 28 15" xfId="797" xr:uid="{00000000-0005-0000-0000-00001D030000}"/>
    <cellStyle name="Normal 2 28 16" xfId="798" xr:uid="{00000000-0005-0000-0000-00001E030000}"/>
    <cellStyle name="Normal 2 28 17" xfId="799" xr:uid="{00000000-0005-0000-0000-00001F030000}"/>
    <cellStyle name="Normal 2 28 18" xfId="800" xr:uid="{00000000-0005-0000-0000-000020030000}"/>
    <cellStyle name="Normal 2 28 19" xfId="801" xr:uid="{00000000-0005-0000-0000-000021030000}"/>
    <cellStyle name="Normal 2 28 2" xfId="802" xr:uid="{00000000-0005-0000-0000-000022030000}"/>
    <cellStyle name="Normal 2 28 20" xfId="803" xr:uid="{00000000-0005-0000-0000-000023030000}"/>
    <cellStyle name="Normal 2 28 21" xfId="804" xr:uid="{00000000-0005-0000-0000-000024030000}"/>
    <cellStyle name="Normal 2 28 22" xfId="805" xr:uid="{00000000-0005-0000-0000-000025030000}"/>
    <cellStyle name="Normal 2 28 23" xfId="806" xr:uid="{00000000-0005-0000-0000-000026030000}"/>
    <cellStyle name="Normal 2 28 3" xfId="807" xr:uid="{00000000-0005-0000-0000-000027030000}"/>
    <cellStyle name="Normal 2 28 4" xfId="808" xr:uid="{00000000-0005-0000-0000-000028030000}"/>
    <cellStyle name="Normal 2 28 5" xfId="809" xr:uid="{00000000-0005-0000-0000-000029030000}"/>
    <cellStyle name="Normal 2 28 6" xfId="810" xr:uid="{00000000-0005-0000-0000-00002A030000}"/>
    <cellStyle name="Normal 2 28 7" xfId="811" xr:uid="{00000000-0005-0000-0000-00002B030000}"/>
    <cellStyle name="Normal 2 28 8" xfId="812" xr:uid="{00000000-0005-0000-0000-00002C030000}"/>
    <cellStyle name="Normal 2 28 9" xfId="813" xr:uid="{00000000-0005-0000-0000-00002D030000}"/>
    <cellStyle name="Normal 2 29" xfId="814" xr:uid="{00000000-0005-0000-0000-00002E030000}"/>
    <cellStyle name="Normal 2 29 10" xfId="815" xr:uid="{00000000-0005-0000-0000-00002F030000}"/>
    <cellStyle name="Normal 2 29 11" xfId="816" xr:uid="{00000000-0005-0000-0000-000030030000}"/>
    <cellStyle name="Normal 2 29 12" xfId="817" xr:uid="{00000000-0005-0000-0000-000031030000}"/>
    <cellStyle name="Normal 2 29 13" xfId="818" xr:uid="{00000000-0005-0000-0000-000032030000}"/>
    <cellStyle name="Normal 2 29 14" xfId="819" xr:uid="{00000000-0005-0000-0000-000033030000}"/>
    <cellStyle name="Normal 2 29 15" xfId="820" xr:uid="{00000000-0005-0000-0000-000034030000}"/>
    <cellStyle name="Normal 2 29 16" xfId="821" xr:uid="{00000000-0005-0000-0000-000035030000}"/>
    <cellStyle name="Normal 2 29 17" xfId="822" xr:uid="{00000000-0005-0000-0000-000036030000}"/>
    <cellStyle name="Normal 2 29 18" xfId="823" xr:uid="{00000000-0005-0000-0000-000037030000}"/>
    <cellStyle name="Normal 2 29 19" xfId="824" xr:uid="{00000000-0005-0000-0000-000038030000}"/>
    <cellStyle name="Normal 2 29 2" xfId="825" xr:uid="{00000000-0005-0000-0000-000039030000}"/>
    <cellStyle name="Normal 2 29 20" xfId="826" xr:uid="{00000000-0005-0000-0000-00003A030000}"/>
    <cellStyle name="Normal 2 29 21" xfId="827" xr:uid="{00000000-0005-0000-0000-00003B030000}"/>
    <cellStyle name="Normal 2 29 22" xfId="828" xr:uid="{00000000-0005-0000-0000-00003C030000}"/>
    <cellStyle name="Normal 2 29 23" xfId="829" xr:uid="{00000000-0005-0000-0000-00003D030000}"/>
    <cellStyle name="Normal 2 29 3" xfId="830" xr:uid="{00000000-0005-0000-0000-00003E030000}"/>
    <cellStyle name="Normal 2 29 4" xfId="831" xr:uid="{00000000-0005-0000-0000-00003F030000}"/>
    <cellStyle name="Normal 2 29 5" xfId="832" xr:uid="{00000000-0005-0000-0000-000040030000}"/>
    <cellStyle name="Normal 2 29 6" xfId="833" xr:uid="{00000000-0005-0000-0000-000041030000}"/>
    <cellStyle name="Normal 2 29 7" xfId="834" xr:uid="{00000000-0005-0000-0000-000042030000}"/>
    <cellStyle name="Normal 2 29 8" xfId="835" xr:uid="{00000000-0005-0000-0000-000043030000}"/>
    <cellStyle name="Normal 2 29 9" xfId="836" xr:uid="{00000000-0005-0000-0000-000044030000}"/>
    <cellStyle name="Normal 2 3" xfId="837" xr:uid="{00000000-0005-0000-0000-000045030000}"/>
    <cellStyle name="Normal 2 3 2" xfId="838" xr:uid="{00000000-0005-0000-0000-000046030000}"/>
    <cellStyle name="Normal 2 3 2 2" xfId="839" xr:uid="{00000000-0005-0000-0000-000047030000}"/>
    <cellStyle name="Normal 2 3 3" xfId="840" xr:uid="{00000000-0005-0000-0000-000048030000}"/>
    <cellStyle name="Normal 2 3 4" xfId="841" xr:uid="{00000000-0005-0000-0000-000049030000}"/>
    <cellStyle name="Normal 2 3 5" xfId="842" xr:uid="{00000000-0005-0000-0000-00004A030000}"/>
    <cellStyle name="Normal 2 3_Summary" xfId="843" xr:uid="{00000000-0005-0000-0000-00004B030000}"/>
    <cellStyle name="Normal 2 30" xfId="844" xr:uid="{00000000-0005-0000-0000-00004C030000}"/>
    <cellStyle name="Normal 2 30 10" xfId="845" xr:uid="{00000000-0005-0000-0000-00004D030000}"/>
    <cellStyle name="Normal 2 30 11" xfId="846" xr:uid="{00000000-0005-0000-0000-00004E030000}"/>
    <cellStyle name="Normal 2 30 12" xfId="847" xr:uid="{00000000-0005-0000-0000-00004F030000}"/>
    <cellStyle name="Normal 2 30 13" xfId="848" xr:uid="{00000000-0005-0000-0000-000050030000}"/>
    <cellStyle name="Normal 2 30 14" xfId="849" xr:uid="{00000000-0005-0000-0000-000051030000}"/>
    <cellStyle name="Normal 2 30 15" xfId="850" xr:uid="{00000000-0005-0000-0000-000052030000}"/>
    <cellStyle name="Normal 2 30 16" xfId="851" xr:uid="{00000000-0005-0000-0000-000053030000}"/>
    <cellStyle name="Normal 2 30 17" xfId="852" xr:uid="{00000000-0005-0000-0000-000054030000}"/>
    <cellStyle name="Normal 2 30 18" xfId="853" xr:uid="{00000000-0005-0000-0000-000055030000}"/>
    <cellStyle name="Normal 2 30 19" xfId="854" xr:uid="{00000000-0005-0000-0000-000056030000}"/>
    <cellStyle name="Normal 2 30 2" xfId="855" xr:uid="{00000000-0005-0000-0000-000057030000}"/>
    <cellStyle name="Normal 2 30 20" xfId="856" xr:uid="{00000000-0005-0000-0000-000058030000}"/>
    <cellStyle name="Normal 2 30 21" xfId="857" xr:uid="{00000000-0005-0000-0000-000059030000}"/>
    <cellStyle name="Normal 2 30 22" xfId="858" xr:uid="{00000000-0005-0000-0000-00005A030000}"/>
    <cellStyle name="Normal 2 30 23" xfId="859" xr:uid="{00000000-0005-0000-0000-00005B030000}"/>
    <cellStyle name="Normal 2 30 24" xfId="860" xr:uid="{00000000-0005-0000-0000-00005C030000}"/>
    <cellStyle name="Normal 2 30 25" xfId="861" xr:uid="{00000000-0005-0000-0000-00005D030000}"/>
    <cellStyle name="Normal 2 30 3" xfId="862" xr:uid="{00000000-0005-0000-0000-00005E030000}"/>
    <cellStyle name="Normal 2 30 4" xfId="863" xr:uid="{00000000-0005-0000-0000-00005F030000}"/>
    <cellStyle name="Normal 2 30 5" xfId="864" xr:uid="{00000000-0005-0000-0000-000060030000}"/>
    <cellStyle name="Normal 2 30 6" xfId="865" xr:uid="{00000000-0005-0000-0000-000061030000}"/>
    <cellStyle name="Normal 2 30 7" xfId="866" xr:uid="{00000000-0005-0000-0000-000062030000}"/>
    <cellStyle name="Normal 2 30 8" xfId="867" xr:uid="{00000000-0005-0000-0000-000063030000}"/>
    <cellStyle name="Normal 2 30 9" xfId="868" xr:uid="{00000000-0005-0000-0000-000064030000}"/>
    <cellStyle name="Normal 2 31" xfId="869" xr:uid="{00000000-0005-0000-0000-000065030000}"/>
    <cellStyle name="Normal 2 31 10" xfId="870" xr:uid="{00000000-0005-0000-0000-000066030000}"/>
    <cellStyle name="Normal 2 31 11" xfId="871" xr:uid="{00000000-0005-0000-0000-000067030000}"/>
    <cellStyle name="Normal 2 31 12" xfId="872" xr:uid="{00000000-0005-0000-0000-000068030000}"/>
    <cellStyle name="Normal 2 31 13" xfId="873" xr:uid="{00000000-0005-0000-0000-000069030000}"/>
    <cellStyle name="Normal 2 31 14" xfId="874" xr:uid="{00000000-0005-0000-0000-00006A030000}"/>
    <cellStyle name="Normal 2 31 15" xfId="875" xr:uid="{00000000-0005-0000-0000-00006B030000}"/>
    <cellStyle name="Normal 2 31 16" xfId="876" xr:uid="{00000000-0005-0000-0000-00006C030000}"/>
    <cellStyle name="Normal 2 31 17" xfId="877" xr:uid="{00000000-0005-0000-0000-00006D030000}"/>
    <cellStyle name="Normal 2 31 18" xfId="878" xr:uid="{00000000-0005-0000-0000-00006E030000}"/>
    <cellStyle name="Normal 2 31 19" xfId="879" xr:uid="{00000000-0005-0000-0000-00006F030000}"/>
    <cellStyle name="Normal 2 31 2" xfId="880" xr:uid="{00000000-0005-0000-0000-000070030000}"/>
    <cellStyle name="Normal 2 31 20" xfId="881" xr:uid="{00000000-0005-0000-0000-000071030000}"/>
    <cellStyle name="Normal 2 31 21" xfId="882" xr:uid="{00000000-0005-0000-0000-000072030000}"/>
    <cellStyle name="Normal 2 31 22" xfId="883" xr:uid="{00000000-0005-0000-0000-000073030000}"/>
    <cellStyle name="Normal 2 31 23" xfId="884" xr:uid="{00000000-0005-0000-0000-000074030000}"/>
    <cellStyle name="Normal 2 31 3" xfId="885" xr:uid="{00000000-0005-0000-0000-000075030000}"/>
    <cellStyle name="Normal 2 31 4" xfId="886" xr:uid="{00000000-0005-0000-0000-000076030000}"/>
    <cellStyle name="Normal 2 31 5" xfId="887" xr:uid="{00000000-0005-0000-0000-000077030000}"/>
    <cellStyle name="Normal 2 31 6" xfId="888" xr:uid="{00000000-0005-0000-0000-000078030000}"/>
    <cellStyle name="Normal 2 31 7" xfId="889" xr:uid="{00000000-0005-0000-0000-000079030000}"/>
    <cellStyle name="Normal 2 31 8" xfId="890" xr:uid="{00000000-0005-0000-0000-00007A030000}"/>
    <cellStyle name="Normal 2 31 9" xfId="891" xr:uid="{00000000-0005-0000-0000-00007B030000}"/>
    <cellStyle name="Normal 2 32" xfId="892" xr:uid="{00000000-0005-0000-0000-00007C030000}"/>
    <cellStyle name="Normal 2 32 10" xfId="893" xr:uid="{00000000-0005-0000-0000-00007D030000}"/>
    <cellStyle name="Normal 2 32 11" xfId="894" xr:uid="{00000000-0005-0000-0000-00007E030000}"/>
    <cellStyle name="Normal 2 32 12" xfId="895" xr:uid="{00000000-0005-0000-0000-00007F030000}"/>
    <cellStyle name="Normal 2 32 13" xfId="896" xr:uid="{00000000-0005-0000-0000-000080030000}"/>
    <cellStyle name="Normal 2 32 14" xfId="897" xr:uid="{00000000-0005-0000-0000-000081030000}"/>
    <cellStyle name="Normal 2 32 15" xfId="898" xr:uid="{00000000-0005-0000-0000-000082030000}"/>
    <cellStyle name="Normal 2 32 16" xfId="899" xr:uid="{00000000-0005-0000-0000-000083030000}"/>
    <cellStyle name="Normal 2 32 17" xfId="900" xr:uid="{00000000-0005-0000-0000-000084030000}"/>
    <cellStyle name="Normal 2 32 18" xfId="901" xr:uid="{00000000-0005-0000-0000-000085030000}"/>
    <cellStyle name="Normal 2 32 19" xfId="902" xr:uid="{00000000-0005-0000-0000-000086030000}"/>
    <cellStyle name="Normal 2 32 2" xfId="903" xr:uid="{00000000-0005-0000-0000-000087030000}"/>
    <cellStyle name="Normal 2 32 20" xfId="904" xr:uid="{00000000-0005-0000-0000-000088030000}"/>
    <cellStyle name="Normal 2 32 21" xfId="905" xr:uid="{00000000-0005-0000-0000-000089030000}"/>
    <cellStyle name="Normal 2 32 22" xfId="906" xr:uid="{00000000-0005-0000-0000-00008A030000}"/>
    <cellStyle name="Normal 2 32 23" xfId="907" xr:uid="{00000000-0005-0000-0000-00008B030000}"/>
    <cellStyle name="Normal 2 32 3" xfId="908" xr:uid="{00000000-0005-0000-0000-00008C030000}"/>
    <cellStyle name="Normal 2 32 4" xfId="909" xr:uid="{00000000-0005-0000-0000-00008D030000}"/>
    <cellStyle name="Normal 2 32 5" xfId="910" xr:uid="{00000000-0005-0000-0000-00008E030000}"/>
    <cellStyle name="Normal 2 32 6" xfId="911" xr:uid="{00000000-0005-0000-0000-00008F030000}"/>
    <cellStyle name="Normal 2 32 7" xfId="912" xr:uid="{00000000-0005-0000-0000-000090030000}"/>
    <cellStyle name="Normal 2 32 8" xfId="913" xr:uid="{00000000-0005-0000-0000-000091030000}"/>
    <cellStyle name="Normal 2 32 9" xfId="914" xr:uid="{00000000-0005-0000-0000-000092030000}"/>
    <cellStyle name="Normal 2 33" xfId="915" xr:uid="{00000000-0005-0000-0000-000093030000}"/>
    <cellStyle name="Normal 2 33 10" xfId="916" xr:uid="{00000000-0005-0000-0000-000094030000}"/>
    <cellStyle name="Normal 2 33 11" xfId="917" xr:uid="{00000000-0005-0000-0000-000095030000}"/>
    <cellStyle name="Normal 2 33 12" xfId="918" xr:uid="{00000000-0005-0000-0000-000096030000}"/>
    <cellStyle name="Normal 2 33 13" xfId="919" xr:uid="{00000000-0005-0000-0000-000097030000}"/>
    <cellStyle name="Normal 2 33 14" xfId="920" xr:uid="{00000000-0005-0000-0000-000098030000}"/>
    <cellStyle name="Normal 2 33 15" xfId="921" xr:uid="{00000000-0005-0000-0000-000099030000}"/>
    <cellStyle name="Normal 2 33 16" xfId="922" xr:uid="{00000000-0005-0000-0000-00009A030000}"/>
    <cellStyle name="Normal 2 33 17" xfId="923" xr:uid="{00000000-0005-0000-0000-00009B030000}"/>
    <cellStyle name="Normal 2 33 18" xfId="924" xr:uid="{00000000-0005-0000-0000-00009C030000}"/>
    <cellStyle name="Normal 2 33 19" xfId="925" xr:uid="{00000000-0005-0000-0000-00009D030000}"/>
    <cellStyle name="Normal 2 33 2" xfId="926" xr:uid="{00000000-0005-0000-0000-00009E030000}"/>
    <cellStyle name="Normal 2 33 20" xfId="927" xr:uid="{00000000-0005-0000-0000-00009F030000}"/>
    <cellStyle name="Normal 2 33 21" xfId="928" xr:uid="{00000000-0005-0000-0000-0000A0030000}"/>
    <cellStyle name="Normal 2 33 22" xfId="929" xr:uid="{00000000-0005-0000-0000-0000A1030000}"/>
    <cellStyle name="Normal 2 33 23" xfId="930" xr:uid="{00000000-0005-0000-0000-0000A2030000}"/>
    <cellStyle name="Normal 2 33 3" xfId="931" xr:uid="{00000000-0005-0000-0000-0000A3030000}"/>
    <cellStyle name="Normal 2 33 4" xfId="932" xr:uid="{00000000-0005-0000-0000-0000A4030000}"/>
    <cellStyle name="Normal 2 33 5" xfId="933" xr:uid="{00000000-0005-0000-0000-0000A5030000}"/>
    <cellStyle name="Normal 2 33 6" xfId="934" xr:uid="{00000000-0005-0000-0000-0000A6030000}"/>
    <cellStyle name="Normal 2 33 7" xfId="935" xr:uid="{00000000-0005-0000-0000-0000A7030000}"/>
    <cellStyle name="Normal 2 33 8" xfId="936" xr:uid="{00000000-0005-0000-0000-0000A8030000}"/>
    <cellStyle name="Normal 2 33 9" xfId="937" xr:uid="{00000000-0005-0000-0000-0000A9030000}"/>
    <cellStyle name="Normal 2 34" xfId="938" xr:uid="{00000000-0005-0000-0000-0000AA030000}"/>
    <cellStyle name="Normal 2 34 10" xfId="939" xr:uid="{00000000-0005-0000-0000-0000AB030000}"/>
    <cellStyle name="Normal 2 34 11" xfId="940" xr:uid="{00000000-0005-0000-0000-0000AC030000}"/>
    <cellStyle name="Normal 2 34 12" xfId="941" xr:uid="{00000000-0005-0000-0000-0000AD030000}"/>
    <cellStyle name="Normal 2 34 13" xfId="942" xr:uid="{00000000-0005-0000-0000-0000AE030000}"/>
    <cellStyle name="Normal 2 34 14" xfId="943" xr:uid="{00000000-0005-0000-0000-0000AF030000}"/>
    <cellStyle name="Normal 2 34 15" xfId="944" xr:uid="{00000000-0005-0000-0000-0000B0030000}"/>
    <cellStyle name="Normal 2 34 16" xfId="945" xr:uid="{00000000-0005-0000-0000-0000B1030000}"/>
    <cellStyle name="Normal 2 34 17" xfId="946" xr:uid="{00000000-0005-0000-0000-0000B2030000}"/>
    <cellStyle name="Normal 2 34 18" xfId="947" xr:uid="{00000000-0005-0000-0000-0000B3030000}"/>
    <cellStyle name="Normal 2 34 19" xfId="948" xr:uid="{00000000-0005-0000-0000-0000B4030000}"/>
    <cellStyle name="Normal 2 34 2" xfId="949" xr:uid="{00000000-0005-0000-0000-0000B5030000}"/>
    <cellStyle name="Normal 2 34 20" xfId="950" xr:uid="{00000000-0005-0000-0000-0000B6030000}"/>
    <cellStyle name="Normal 2 34 21" xfId="951" xr:uid="{00000000-0005-0000-0000-0000B7030000}"/>
    <cellStyle name="Normal 2 34 22" xfId="952" xr:uid="{00000000-0005-0000-0000-0000B8030000}"/>
    <cellStyle name="Normal 2 34 23" xfId="953" xr:uid="{00000000-0005-0000-0000-0000B9030000}"/>
    <cellStyle name="Normal 2 34 3" xfId="954" xr:uid="{00000000-0005-0000-0000-0000BA030000}"/>
    <cellStyle name="Normal 2 34 4" xfId="955" xr:uid="{00000000-0005-0000-0000-0000BB030000}"/>
    <cellStyle name="Normal 2 34 5" xfId="956" xr:uid="{00000000-0005-0000-0000-0000BC030000}"/>
    <cellStyle name="Normal 2 34 6" xfId="957" xr:uid="{00000000-0005-0000-0000-0000BD030000}"/>
    <cellStyle name="Normal 2 34 7" xfId="958" xr:uid="{00000000-0005-0000-0000-0000BE030000}"/>
    <cellStyle name="Normal 2 34 8" xfId="959" xr:uid="{00000000-0005-0000-0000-0000BF030000}"/>
    <cellStyle name="Normal 2 34 9" xfId="960" xr:uid="{00000000-0005-0000-0000-0000C0030000}"/>
    <cellStyle name="Normal 2 35" xfId="961" xr:uid="{00000000-0005-0000-0000-0000C1030000}"/>
    <cellStyle name="Normal 2 35 10" xfId="962" xr:uid="{00000000-0005-0000-0000-0000C2030000}"/>
    <cellStyle name="Normal 2 35 11" xfId="963" xr:uid="{00000000-0005-0000-0000-0000C3030000}"/>
    <cellStyle name="Normal 2 35 12" xfId="964" xr:uid="{00000000-0005-0000-0000-0000C4030000}"/>
    <cellStyle name="Normal 2 35 13" xfId="965" xr:uid="{00000000-0005-0000-0000-0000C5030000}"/>
    <cellStyle name="Normal 2 35 14" xfId="966" xr:uid="{00000000-0005-0000-0000-0000C6030000}"/>
    <cellStyle name="Normal 2 35 15" xfId="967" xr:uid="{00000000-0005-0000-0000-0000C7030000}"/>
    <cellStyle name="Normal 2 35 16" xfId="968" xr:uid="{00000000-0005-0000-0000-0000C8030000}"/>
    <cellStyle name="Normal 2 35 17" xfId="969" xr:uid="{00000000-0005-0000-0000-0000C9030000}"/>
    <cellStyle name="Normal 2 35 18" xfId="970" xr:uid="{00000000-0005-0000-0000-0000CA030000}"/>
    <cellStyle name="Normal 2 35 19" xfId="971" xr:uid="{00000000-0005-0000-0000-0000CB030000}"/>
    <cellStyle name="Normal 2 35 2" xfId="972" xr:uid="{00000000-0005-0000-0000-0000CC030000}"/>
    <cellStyle name="Normal 2 35 20" xfId="973" xr:uid="{00000000-0005-0000-0000-0000CD030000}"/>
    <cellStyle name="Normal 2 35 21" xfId="974" xr:uid="{00000000-0005-0000-0000-0000CE030000}"/>
    <cellStyle name="Normal 2 35 22" xfId="975" xr:uid="{00000000-0005-0000-0000-0000CF030000}"/>
    <cellStyle name="Normal 2 35 23" xfId="976" xr:uid="{00000000-0005-0000-0000-0000D0030000}"/>
    <cellStyle name="Normal 2 35 3" xfId="977" xr:uid="{00000000-0005-0000-0000-0000D1030000}"/>
    <cellStyle name="Normal 2 35 4" xfId="978" xr:uid="{00000000-0005-0000-0000-0000D2030000}"/>
    <cellStyle name="Normal 2 35 5" xfId="979" xr:uid="{00000000-0005-0000-0000-0000D3030000}"/>
    <cellStyle name="Normal 2 35 6" xfId="980" xr:uid="{00000000-0005-0000-0000-0000D4030000}"/>
    <cellStyle name="Normal 2 35 7" xfId="981" xr:uid="{00000000-0005-0000-0000-0000D5030000}"/>
    <cellStyle name="Normal 2 35 8" xfId="982" xr:uid="{00000000-0005-0000-0000-0000D6030000}"/>
    <cellStyle name="Normal 2 35 9" xfId="983" xr:uid="{00000000-0005-0000-0000-0000D7030000}"/>
    <cellStyle name="Normal 2 36" xfId="984" xr:uid="{00000000-0005-0000-0000-0000D8030000}"/>
    <cellStyle name="Normal 2 36 10" xfId="985" xr:uid="{00000000-0005-0000-0000-0000D9030000}"/>
    <cellStyle name="Normal 2 36 11" xfId="986" xr:uid="{00000000-0005-0000-0000-0000DA030000}"/>
    <cellStyle name="Normal 2 36 12" xfId="987" xr:uid="{00000000-0005-0000-0000-0000DB030000}"/>
    <cellStyle name="Normal 2 36 13" xfId="988" xr:uid="{00000000-0005-0000-0000-0000DC030000}"/>
    <cellStyle name="Normal 2 36 14" xfId="989" xr:uid="{00000000-0005-0000-0000-0000DD030000}"/>
    <cellStyle name="Normal 2 36 15" xfId="990" xr:uid="{00000000-0005-0000-0000-0000DE030000}"/>
    <cellStyle name="Normal 2 36 16" xfId="991" xr:uid="{00000000-0005-0000-0000-0000DF030000}"/>
    <cellStyle name="Normal 2 36 17" xfId="992" xr:uid="{00000000-0005-0000-0000-0000E0030000}"/>
    <cellStyle name="Normal 2 36 18" xfId="993" xr:uid="{00000000-0005-0000-0000-0000E1030000}"/>
    <cellStyle name="Normal 2 36 19" xfId="994" xr:uid="{00000000-0005-0000-0000-0000E2030000}"/>
    <cellStyle name="Normal 2 36 2" xfId="995" xr:uid="{00000000-0005-0000-0000-0000E3030000}"/>
    <cellStyle name="Normal 2 36 20" xfId="996" xr:uid="{00000000-0005-0000-0000-0000E4030000}"/>
    <cellStyle name="Normal 2 36 21" xfId="997" xr:uid="{00000000-0005-0000-0000-0000E5030000}"/>
    <cellStyle name="Normal 2 36 22" xfId="998" xr:uid="{00000000-0005-0000-0000-0000E6030000}"/>
    <cellStyle name="Normal 2 36 23" xfId="999" xr:uid="{00000000-0005-0000-0000-0000E7030000}"/>
    <cellStyle name="Normal 2 36 3" xfId="1000" xr:uid="{00000000-0005-0000-0000-0000E8030000}"/>
    <cellStyle name="Normal 2 36 4" xfId="1001" xr:uid="{00000000-0005-0000-0000-0000E9030000}"/>
    <cellStyle name="Normal 2 36 5" xfId="1002" xr:uid="{00000000-0005-0000-0000-0000EA030000}"/>
    <cellStyle name="Normal 2 36 6" xfId="1003" xr:uid="{00000000-0005-0000-0000-0000EB030000}"/>
    <cellStyle name="Normal 2 36 7" xfId="1004" xr:uid="{00000000-0005-0000-0000-0000EC030000}"/>
    <cellStyle name="Normal 2 36 8" xfId="1005" xr:uid="{00000000-0005-0000-0000-0000ED030000}"/>
    <cellStyle name="Normal 2 36 9" xfId="1006" xr:uid="{00000000-0005-0000-0000-0000EE030000}"/>
    <cellStyle name="Normal 2 37" xfId="1007" xr:uid="{00000000-0005-0000-0000-0000EF030000}"/>
    <cellStyle name="Normal 2 37 10" xfId="1008" xr:uid="{00000000-0005-0000-0000-0000F0030000}"/>
    <cellStyle name="Normal 2 37 11" xfId="1009" xr:uid="{00000000-0005-0000-0000-0000F1030000}"/>
    <cellStyle name="Normal 2 37 12" xfId="1010" xr:uid="{00000000-0005-0000-0000-0000F2030000}"/>
    <cellStyle name="Normal 2 37 13" xfId="1011" xr:uid="{00000000-0005-0000-0000-0000F3030000}"/>
    <cellStyle name="Normal 2 37 14" xfId="1012" xr:uid="{00000000-0005-0000-0000-0000F4030000}"/>
    <cellStyle name="Normal 2 37 15" xfId="1013" xr:uid="{00000000-0005-0000-0000-0000F5030000}"/>
    <cellStyle name="Normal 2 37 16" xfId="1014" xr:uid="{00000000-0005-0000-0000-0000F6030000}"/>
    <cellStyle name="Normal 2 37 17" xfId="1015" xr:uid="{00000000-0005-0000-0000-0000F7030000}"/>
    <cellStyle name="Normal 2 37 18" xfId="1016" xr:uid="{00000000-0005-0000-0000-0000F8030000}"/>
    <cellStyle name="Normal 2 37 19" xfId="1017" xr:uid="{00000000-0005-0000-0000-0000F9030000}"/>
    <cellStyle name="Normal 2 37 2" xfId="1018" xr:uid="{00000000-0005-0000-0000-0000FA030000}"/>
    <cellStyle name="Normal 2 37 20" xfId="1019" xr:uid="{00000000-0005-0000-0000-0000FB030000}"/>
    <cellStyle name="Normal 2 37 21" xfId="1020" xr:uid="{00000000-0005-0000-0000-0000FC030000}"/>
    <cellStyle name="Normal 2 37 22" xfId="1021" xr:uid="{00000000-0005-0000-0000-0000FD030000}"/>
    <cellStyle name="Normal 2 37 23" xfId="1022" xr:uid="{00000000-0005-0000-0000-0000FE030000}"/>
    <cellStyle name="Normal 2 37 3" xfId="1023" xr:uid="{00000000-0005-0000-0000-0000FF030000}"/>
    <cellStyle name="Normal 2 37 4" xfId="1024" xr:uid="{00000000-0005-0000-0000-000000040000}"/>
    <cellStyle name="Normal 2 37 5" xfId="1025" xr:uid="{00000000-0005-0000-0000-000001040000}"/>
    <cellStyle name="Normal 2 37 6" xfId="1026" xr:uid="{00000000-0005-0000-0000-000002040000}"/>
    <cellStyle name="Normal 2 37 7" xfId="1027" xr:uid="{00000000-0005-0000-0000-000003040000}"/>
    <cellStyle name="Normal 2 37 8" xfId="1028" xr:uid="{00000000-0005-0000-0000-000004040000}"/>
    <cellStyle name="Normal 2 37 9" xfId="1029" xr:uid="{00000000-0005-0000-0000-000005040000}"/>
    <cellStyle name="Normal 2 38" xfId="1030" xr:uid="{00000000-0005-0000-0000-000006040000}"/>
    <cellStyle name="Normal 2 38 10" xfId="1031" xr:uid="{00000000-0005-0000-0000-000007040000}"/>
    <cellStyle name="Normal 2 38 11" xfId="1032" xr:uid="{00000000-0005-0000-0000-000008040000}"/>
    <cellStyle name="Normal 2 38 12" xfId="1033" xr:uid="{00000000-0005-0000-0000-000009040000}"/>
    <cellStyle name="Normal 2 38 13" xfId="1034" xr:uid="{00000000-0005-0000-0000-00000A040000}"/>
    <cellStyle name="Normal 2 38 14" xfId="1035" xr:uid="{00000000-0005-0000-0000-00000B040000}"/>
    <cellStyle name="Normal 2 38 15" xfId="1036" xr:uid="{00000000-0005-0000-0000-00000C040000}"/>
    <cellStyle name="Normal 2 38 16" xfId="1037" xr:uid="{00000000-0005-0000-0000-00000D040000}"/>
    <cellStyle name="Normal 2 38 17" xfId="1038" xr:uid="{00000000-0005-0000-0000-00000E040000}"/>
    <cellStyle name="Normal 2 38 18" xfId="1039" xr:uid="{00000000-0005-0000-0000-00000F040000}"/>
    <cellStyle name="Normal 2 38 19" xfId="1040" xr:uid="{00000000-0005-0000-0000-000010040000}"/>
    <cellStyle name="Normal 2 38 2" xfId="1041" xr:uid="{00000000-0005-0000-0000-000011040000}"/>
    <cellStyle name="Normal 2 38 20" xfId="1042" xr:uid="{00000000-0005-0000-0000-000012040000}"/>
    <cellStyle name="Normal 2 38 21" xfId="1043" xr:uid="{00000000-0005-0000-0000-000013040000}"/>
    <cellStyle name="Normal 2 38 22" xfId="1044" xr:uid="{00000000-0005-0000-0000-000014040000}"/>
    <cellStyle name="Normal 2 38 23" xfId="1045" xr:uid="{00000000-0005-0000-0000-000015040000}"/>
    <cellStyle name="Normal 2 38 3" xfId="1046" xr:uid="{00000000-0005-0000-0000-000016040000}"/>
    <cellStyle name="Normal 2 38 4" xfId="1047" xr:uid="{00000000-0005-0000-0000-000017040000}"/>
    <cellStyle name="Normal 2 38 5" xfId="1048" xr:uid="{00000000-0005-0000-0000-000018040000}"/>
    <cellStyle name="Normal 2 38 6" xfId="1049" xr:uid="{00000000-0005-0000-0000-000019040000}"/>
    <cellStyle name="Normal 2 38 7" xfId="1050" xr:uid="{00000000-0005-0000-0000-00001A040000}"/>
    <cellStyle name="Normal 2 38 8" xfId="1051" xr:uid="{00000000-0005-0000-0000-00001B040000}"/>
    <cellStyle name="Normal 2 38 9" xfId="1052" xr:uid="{00000000-0005-0000-0000-00001C040000}"/>
    <cellStyle name="Normal 2 39" xfId="1053" xr:uid="{00000000-0005-0000-0000-00001D040000}"/>
    <cellStyle name="Normal 2 39 10" xfId="1054" xr:uid="{00000000-0005-0000-0000-00001E040000}"/>
    <cellStyle name="Normal 2 39 11" xfId="1055" xr:uid="{00000000-0005-0000-0000-00001F040000}"/>
    <cellStyle name="Normal 2 39 12" xfId="1056" xr:uid="{00000000-0005-0000-0000-000020040000}"/>
    <cellStyle name="Normal 2 39 13" xfId="1057" xr:uid="{00000000-0005-0000-0000-000021040000}"/>
    <cellStyle name="Normal 2 39 14" xfId="1058" xr:uid="{00000000-0005-0000-0000-000022040000}"/>
    <cellStyle name="Normal 2 39 15" xfId="1059" xr:uid="{00000000-0005-0000-0000-000023040000}"/>
    <cellStyle name="Normal 2 39 16" xfId="1060" xr:uid="{00000000-0005-0000-0000-000024040000}"/>
    <cellStyle name="Normal 2 39 17" xfId="1061" xr:uid="{00000000-0005-0000-0000-000025040000}"/>
    <cellStyle name="Normal 2 39 18" xfId="1062" xr:uid="{00000000-0005-0000-0000-000026040000}"/>
    <cellStyle name="Normal 2 39 19" xfId="1063" xr:uid="{00000000-0005-0000-0000-000027040000}"/>
    <cellStyle name="Normal 2 39 2" xfId="1064" xr:uid="{00000000-0005-0000-0000-000028040000}"/>
    <cellStyle name="Normal 2 39 20" xfId="1065" xr:uid="{00000000-0005-0000-0000-000029040000}"/>
    <cellStyle name="Normal 2 39 21" xfId="1066" xr:uid="{00000000-0005-0000-0000-00002A040000}"/>
    <cellStyle name="Normal 2 39 22" xfId="1067" xr:uid="{00000000-0005-0000-0000-00002B040000}"/>
    <cellStyle name="Normal 2 39 23" xfId="1068" xr:uid="{00000000-0005-0000-0000-00002C040000}"/>
    <cellStyle name="Normal 2 39 3" xfId="1069" xr:uid="{00000000-0005-0000-0000-00002D040000}"/>
    <cellStyle name="Normal 2 39 4" xfId="1070" xr:uid="{00000000-0005-0000-0000-00002E040000}"/>
    <cellStyle name="Normal 2 39 5" xfId="1071" xr:uid="{00000000-0005-0000-0000-00002F040000}"/>
    <cellStyle name="Normal 2 39 6" xfId="1072" xr:uid="{00000000-0005-0000-0000-000030040000}"/>
    <cellStyle name="Normal 2 39 7" xfId="1073" xr:uid="{00000000-0005-0000-0000-000031040000}"/>
    <cellStyle name="Normal 2 39 8" xfId="1074" xr:uid="{00000000-0005-0000-0000-000032040000}"/>
    <cellStyle name="Normal 2 39 9" xfId="1075" xr:uid="{00000000-0005-0000-0000-000033040000}"/>
    <cellStyle name="Normal 2 4" xfId="1076" xr:uid="{00000000-0005-0000-0000-000034040000}"/>
    <cellStyle name="Normal 2 4 2" xfId="1077" xr:uid="{00000000-0005-0000-0000-000035040000}"/>
    <cellStyle name="Normal 2 4 3" xfId="1078" xr:uid="{00000000-0005-0000-0000-000036040000}"/>
    <cellStyle name="Normal 2 40" xfId="1079" xr:uid="{00000000-0005-0000-0000-000037040000}"/>
    <cellStyle name="Normal 2 41" xfId="1080" xr:uid="{00000000-0005-0000-0000-000038040000}"/>
    <cellStyle name="Normal 2 42" xfId="1081" xr:uid="{00000000-0005-0000-0000-000039040000}"/>
    <cellStyle name="Normal 2 43" xfId="1082" xr:uid="{00000000-0005-0000-0000-00003A040000}"/>
    <cellStyle name="Normal 2 44" xfId="1083" xr:uid="{00000000-0005-0000-0000-00003B040000}"/>
    <cellStyle name="Normal 2 45" xfId="1084" xr:uid="{00000000-0005-0000-0000-00003C040000}"/>
    <cellStyle name="Normal 2 46" xfId="1085" xr:uid="{00000000-0005-0000-0000-00003D040000}"/>
    <cellStyle name="Normal 2 47" xfId="1086" xr:uid="{00000000-0005-0000-0000-00003E040000}"/>
    <cellStyle name="Normal 2 48" xfId="1087" xr:uid="{00000000-0005-0000-0000-00003F040000}"/>
    <cellStyle name="Normal 2 49" xfId="1088" xr:uid="{00000000-0005-0000-0000-000040040000}"/>
    <cellStyle name="Normal 2 5" xfId="1089" xr:uid="{00000000-0005-0000-0000-000041040000}"/>
    <cellStyle name="Normal 2 5 10" xfId="1090" xr:uid="{00000000-0005-0000-0000-000042040000}"/>
    <cellStyle name="Normal 2 5 11" xfId="1091" xr:uid="{00000000-0005-0000-0000-000043040000}"/>
    <cellStyle name="Normal 2 5 12" xfId="1092" xr:uid="{00000000-0005-0000-0000-000044040000}"/>
    <cellStyle name="Normal 2 5 13" xfId="1093" xr:uid="{00000000-0005-0000-0000-000045040000}"/>
    <cellStyle name="Normal 2 5 14" xfId="1094" xr:uid="{00000000-0005-0000-0000-000046040000}"/>
    <cellStyle name="Normal 2 5 15" xfId="1095" xr:uid="{00000000-0005-0000-0000-000047040000}"/>
    <cellStyle name="Normal 2 5 16" xfId="1096" xr:uid="{00000000-0005-0000-0000-000048040000}"/>
    <cellStyle name="Normal 2 5 17" xfId="1097" xr:uid="{00000000-0005-0000-0000-000049040000}"/>
    <cellStyle name="Normal 2 5 18" xfId="1098" xr:uid="{00000000-0005-0000-0000-00004A040000}"/>
    <cellStyle name="Normal 2 5 19" xfId="1099" xr:uid="{00000000-0005-0000-0000-00004B040000}"/>
    <cellStyle name="Normal 2 5 2" xfId="1100" xr:uid="{00000000-0005-0000-0000-00004C040000}"/>
    <cellStyle name="Normal 2 5 2 10" xfId="1101" xr:uid="{00000000-0005-0000-0000-00004D040000}"/>
    <cellStyle name="Normal 2 5 2 11" xfId="1102" xr:uid="{00000000-0005-0000-0000-00004E040000}"/>
    <cellStyle name="Normal 2 5 2 12" xfId="1103" xr:uid="{00000000-0005-0000-0000-00004F040000}"/>
    <cellStyle name="Normal 2 5 2 13" xfId="1104" xr:uid="{00000000-0005-0000-0000-000050040000}"/>
    <cellStyle name="Normal 2 5 2 14" xfId="1105" xr:uid="{00000000-0005-0000-0000-000051040000}"/>
    <cellStyle name="Normal 2 5 2 15" xfId="1106" xr:uid="{00000000-0005-0000-0000-000052040000}"/>
    <cellStyle name="Normal 2 5 2 16" xfId="1107" xr:uid="{00000000-0005-0000-0000-000053040000}"/>
    <cellStyle name="Normal 2 5 2 17" xfId="1108" xr:uid="{00000000-0005-0000-0000-000054040000}"/>
    <cellStyle name="Normal 2 5 2 18" xfId="1109" xr:uid="{00000000-0005-0000-0000-000055040000}"/>
    <cellStyle name="Normal 2 5 2 19" xfId="1110" xr:uid="{00000000-0005-0000-0000-000056040000}"/>
    <cellStyle name="Normal 2 5 2 2" xfId="1111" xr:uid="{00000000-0005-0000-0000-000057040000}"/>
    <cellStyle name="Normal 2 5 2 2 10" xfId="1112" xr:uid="{00000000-0005-0000-0000-000058040000}"/>
    <cellStyle name="Normal 2 5 2 2 11" xfId="1113" xr:uid="{00000000-0005-0000-0000-000059040000}"/>
    <cellStyle name="Normal 2 5 2 2 12" xfId="1114" xr:uid="{00000000-0005-0000-0000-00005A040000}"/>
    <cellStyle name="Normal 2 5 2 2 13" xfId="1115" xr:uid="{00000000-0005-0000-0000-00005B040000}"/>
    <cellStyle name="Normal 2 5 2 2 14" xfId="1116" xr:uid="{00000000-0005-0000-0000-00005C040000}"/>
    <cellStyle name="Normal 2 5 2 2 15" xfId="1117" xr:uid="{00000000-0005-0000-0000-00005D040000}"/>
    <cellStyle name="Normal 2 5 2 2 16" xfId="1118" xr:uid="{00000000-0005-0000-0000-00005E040000}"/>
    <cellStyle name="Normal 2 5 2 2 17" xfId="1119" xr:uid="{00000000-0005-0000-0000-00005F040000}"/>
    <cellStyle name="Normal 2 5 2 2 18" xfId="1120" xr:uid="{00000000-0005-0000-0000-000060040000}"/>
    <cellStyle name="Normal 2 5 2 2 19" xfId="1121" xr:uid="{00000000-0005-0000-0000-000061040000}"/>
    <cellStyle name="Normal 2 5 2 2 2" xfId="1122" xr:uid="{00000000-0005-0000-0000-000062040000}"/>
    <cellStyle name="Normal 2 5 2 2 20" xfId="1123" xr:uid="{00000000-0005-0000-0000-000063040000}"/>
    <cellStyle name="Normal 2 5 2 2 21" xfId="1124" xr:uid="{00000000-0005-0000-0000-000064040000}"/>
    <cellStyle name="Normal 2 5 2 2 22" xfId="1125" xr:uid="{00000000-0005-0000-0000-000065040000}"/>
    <cellStyle name="Normal 2 5 2 2 23" xfId="1126" xr:uid="{00000000-0005-0000-0000-000066040000}"/>
    <cellStyle name="Normal 2 5 2 2 24" xfId="1127" xr:uid="{00000000-0005-0000-0000-000067040000}"/>
    <cellStyle name="Normal 2 5 2 2 25" xfId="1128" xr:uid="{00000000-0005-0000-0000-000068040000}"/>
    <cellStyle name="Normal 2 5 2 2 26" xfId="1129" xr:uid="{00000000-0005-0000-0000-000069040000}"/>
    <cellStyle name="Normal 2 5 2 2 27" xfId="1130" xr:uid="{00000000-0005-0000-0000-00006A040000}"/>
    <cellStyle name="Normal 2 5 2 2 28" xfId="1131" xr:uid="{00000000-0005-0000-0000-00006B040000}"/>
    <cellStyle name="Normal 2 5 2 2 29" xfId="1132" xr:uid="{00000000-0005-0000-0000-00006C040000}"/>
    <cellStyle name="Normal 2 5 2 2 3" xfId="1133" xr:uid="{00000000-0005-0000-0000-00006D040000}"/>
    <cellStyle name="Normal 2 5 2 2 30" xfId="1134" xr:uid="{00000000-0005-0000-0000-00006E040000}"/>
    <cellStyle name="Normal 2 5 2 2 31" xfId="1135" xr:uid="{00000000-0005-0000-0000-00006F040000}"/>
    <cellStyle name="Normal 2 5 2 2 32" xfId="1136" xr:uid="{00000000-0005-0000-0000-000070040000}"/>
    <cellStyle name="Normal 2 5 2 2 33" xfId="1137" xr:uid="{00000000-0005-0000-0000-000071040000}"/>
    <cellStyle name="Normal 2 5 2 2 34" xfId="1138" xr:uid="{00000000-0005-0000-0000-000072040000}"/>
    <cellStyle name="Normal 2 5 2 2 35" xfId="1139" xr:uid="{00000000-0005-0000-0000-000073040000}"/>
    <cellStyle name="Normal 2 5 2 2 36" xfId="1140" xr:uid="{00000000-0005-0000-0000-000074040000}"/>
    <cellStyle name="Normal 2 5 2 2 37" xfId="1141" xr:uid="{00000000-0005-0000-0000-000075040000}"/>
    <cellStyle name="Normal 2 5 2 2 38" xfId="1142" xr:uid="{00000000-0005-0000-0000-000076040000}"/>
    <cellStyle name="Normal 2 5 2 2 39" xfId="1143" xr:uid="{00000000-0005-0000-0000-000077040000}"/>
    <cellStyle name="Normal 2 5 2 2 4" xfId="1144" xr:uid="{00000000-0005-0000-0000-000078040000}"/>
    <cellStyle name="Normal 2 5 2 2 40" xfId="1145" xr:uid="{00000000-0005-0000-0000-000079040000}"/>
    <cellStyle name="Normal 2 5 2 2 41" xfId="1146" xr:uid="{00000000-0005-0000-0000-00007A040000}"/>
    <cellStyle name="Normal 2 5 2 2 42" xfId="1147" xr:uid="{00000000-0005-0000-0000-00007B040000}"/>
    <cellStyle name="Normal 2 5 2 2 43" xfId="1148" xr:uid="{00000000-0005-0000-0000-00007C040000}"/>
    <cellStyle name="Normal 2 5 2 2 44" xfId="1149" xr:uid="{00000000-0005-0000-0000-00007D040000}"/>
    <cellStyle name="Normal 2 5 2 2 45" xfId="1150" xr:uid="{00000000-0005-0000-0000-00007E040000}"/>
    <cellStyle name="Normal 2 5 2 2 46" xfId="1151" xr:uid="{00000000-0005-0000-0000-00007F040000}"/>
    <cellStyle name="Normal 2 5 2 2 47" xfId="1152" xr:uid="{00000000-0005-0000-0000-000080040000}"/>
    <cellStyle name="Normal 2 5 2 2 48" xfId="1153" xr:uid="{00000000-0005-0000-0000-000081040000}"/>
    <cellStyle name="Normal 2 5 2 2 49" xfId="1154" xr:uid="{00000000-0005-0000-0000-000082040000}"/>
    <cellStyle name="Normal 2 5 2 2 5" xfId="1155" xr:uid="{00000000-0005-0000-0000-000083040000}"/>
    <cellStyle name="Normal 2 5 2 2 50" xfId="1156" xr:uid="{00000000-0005-0000-0000-000084040000}"/>
    <cellStyle name="Normal 2 5 2 2 51" xfId="1157" xr:uid="{00000000-0005-0000-0000-000085040000}"/>
    <cellStyle name="Normal 2 5 2 2 52" xfId="1158" xr:uid="{00000000-0005-0000-0000-000086040000}"/>
    <cellStyle name="Normal 2 5 2 2 53" xfId="1159" xr:uid="{00000000-0005-0000-0000-000087040000}"/>
    <cellStyle name="Normal 2 5 2 2 54" xfId="1160" xr:uid="{00000000-0005-0000-0000-000088040000}"/>
    <cellStyle name="Normal 2 5 2 2 55" xfId="1161" xr:uid="{00000000-0005-0000-0000-000089040000}"/>
    <cellStyle name="Normal 2 5 2 2 6" xfId="1162" xr:uid="{00000000-0005-0000-0000-00008A040000}"/>
    <cellStyle name="Normal 2 5 2 2 7" xfId="1163" xr:uid="{00000000-0005-0000-0000-00008B040000}"/>
    <cellStyle name="Normal 2 5 2 2 8" xfId="1164" xr:uid="{00000000-0005-0000-0000-00008C040000}"/>
    <cellStyle name="Normal 2 5 2 2 9" xfId="1165" xr:uid="{00000000-0005-0000-0000-00008D040000}"/>
    <cellStyle name="Normal 2 5 2 20" xfId="1166" xr:uid="{00000000-0005-0000-0000-00008E040000}"/>
    <cellStyle name="Normal 2 5 2 21" xfId="1167" xr:uid="{00000000-0005-0000-0000-00008F040000}"/>
    <cellStyle name="Normal 2 5 2 22" xfId="1168" xr:uid="{00000000-0005-0000-0000-000090040000}"/>
    <cellStyle name="Normal 2 5 2 23" xfId="1169" xr:uid="{00000000-0005-0000-0000-000091040000}"/>
    <cellStyle name="Normal 2 5 2 24" xfId="1170" xr:uid="{00000000-0005-0000-0000-000092040000}"/>
    <cellStyle name="Normal 2 5 2 25" xfId="1171" xr:uid="{00000000-0005-0000-0000-000093040000}"/>
    <cellStyle name="Normal 2 5 2 26" xfId="1172" xr:uid="{00000000-0005-0000-0000-000094040000}"/>
    <cellStyle name="Normal 2 5 2 27" xfId="1173" xr:uid="{00000000-0005-0000-0000-000095040000}"/>
    <cellStyle name="Normal 2 5 2 28" xfId="1174" xr:uid="{00000000-0005-0000-0000-000096040000}"/>
    <cellStyle name="Normal 2 5 2 29" xfId="1175" xr:uid="{00000000-0005-0000-0000-000097040000}"/>
    <cellStyle name="Normal 2 5 2 3" xfId="1176" xr:uid="{00000000-0005-0000-0000-000098040000}"/>
    <cellStyle name="Normal 2 5 2 30" xfId="1177" xr:uid="{00000000-0005-0000-0000-000099040000}"/>
    <cellStyle name="Normal 2 5 2 31" xfId="1178" xr:uid="{00000000-0005-0000-0000-00009A040000}"/>
    <cellStyle name="Normal 2 5 2 32" xfId="1179" xr:uid="{00000000-0005-0000-0000-00009B040000}"/>
    <cellStyle name="Normal 2 5 2 33" xfId="1180" xr:uid="{00000000-0005-0000-0000-00009C040000}"/>
    <cellStyle name="Normal 2 5 2 4" xfId="1181" xr:uid="{00000000-0005-0000-0000-00009D040000}"/>
    <cellStyle name="Normal 2 5 2 5" xfId="1182" xr:uid="{00000000-0005-0000-0000-00009E040000}"/>
    <cellStyle name="Normal 2 5 2 6" xfId="1183" xr:uid="{00000000-0005-0000-0000-00009F040000}"/>
    <cellStyle name="Normal 2 5 2 7" xfId="1184" xr:uid="{00000000-0005-0000-0000-0000A0040000}"/>
    <cellStyle name="Normal 2 5 2 8" xfId="1185" xr:uid="{00000000-0005-0000-0000-0000A1040000}"/>
    <cellStyle name="Normal 2 5 2 9" xfId="1186" xr:uid="{00000000-0005-0000-0000-0000A2040000}"/>
    <cellStyle name="Normal 2 5 20" xfId="1187" xr:uid="{00000000-0005-0000-0000-0000A3040000}"/>
    <cellStyle name="Normal 2 5 21" xfId="1188" xr:uid="{00000000-0005-0000-0000-0000A4040000}"/>
    <cellStyle name="Normal 2 5 22" xfId="1189" xr:uid="{00000000-0005-0000-0000-0000A5040000}"/>
    <cellStyle name="Normal 2 5 23" xfId="1190" xr:uid="{00000000-0005-0000-0000-0000A6040000}"/>
    <cellStyle name="Normal 2 5 24" xfId="1191" xr:uid="{00000000-0005-0000-0000-0000A7040000}"/>
    <cellStyle name="Normal 2 5 25" xfId="1192" xr:uid="{00000000-0005-0000-0000-0000A8040000}"/>
    <cellStyle name="Normal 2 5 26" xfId="1193" xr:uid="{00000000-0005-0000-0000-0000A9040000}"/>
    <cellStyle name="Normal 2 5 27" xfId="1194" xr:uid="{00000000-0005-0000-0000-0000AA040000}"/>
    <cellStyle name="Normal 2 5 28" xfId="1195" xr:uid="{00000000-0005-0000-0000-0000AB040000}"/>
    <cellStyle name="Normal 2 5 29" xfId="1196" xr:uid="{00000000-0005-0000-0000-0000AC040000}"/>
    <cellStyle name="Normal 2 5 3" xfId="1197" xr:uid="{00000000-0005-0000-0000-0000AD040000}"/>
    <cellStyle name="Normal 2 5 30" xfId="1198" xr:uid="{00000000-0005-0000-0000-0000AE040000}"/>
    <cellStyle name="Normal 2 5 31" xfId="1199" xr:uid="{00000000-0005-0000-0000-0000AF040000}"/>
    <cellStyle name="Normal 2 5 32" xfId="1200" xr:uid="{00000000-0005-0000-0000-0000B0040000}"/>
    <cellStyle name="Normal 2 5 33" xfId="1201" xr:uid="{00000000-0005-0000-0000-0000B1040000}"/>
    <cellStyle name="Normal 2 5 34" xfId="1202" xr:uid="{00000000-0005-0000-0000-0000B2040000}"/>
    <cellStyle name="Normal 2 5 35" xfId="1203" xr:uid="{00000000-0005-0000-0000-0000B3040000}"/>
    <cellStyle name="Normal 2 5 36" xfId="1204" xr:uid="{00000000-0005-0000-0000-0000B4040000}"/>
    <cellStyle name="Normal 2 5 37" xfId="1205" xr:uid="{00000000-0005-0000-0000-0000B5040000}"/>
    <cellStyle name="Normal 2 5 38" xfId="1206" xr:uid="{00000000-0005-0000-0000-0000B6040000}"/>
    <cellStyle name="Normal 2 5 39" xfId="1207" xr:uid="{00000000-0005-0000-0000-0000B7040000}"/>
    <cellStyle name="Normal 2 5 4" xfId="1208" xr:uid="{00000000-0005-0000-0000-0000B8040000}"/>
    <cellStyle name="Normal 2 5 40" xfId="1209" xr:uid="{00000000-0005-0000-0000-0000B9040000}"/>
    <cellStyle name="Normal 2 5 41" xfId="1210" xr:uid="{00000000-0005-0000-0000-0000BA040000}"/>
    <cellStyle name="Normal 2 5 42" xfId="1211" xr:uid="{00000000-0005-0000-0000-0000BB040000}"/>
    <cellStyle name="Normal 2 5 43" xfId="1212" xr:uid="{00000000-0005-0000-0000-0000BC040000}"/>
    <cellStyle name="Normal 2 5 44" xfId="1213" xr:uid="{00000000-0005-0000-0000-0000BD040000}"/>
    <cellStyle name="Normal 2 5 45" xfId="1214" xr:uid="{00000000-0005-0000-0000-0000BE040000}"/>
    <cellStyle name="Normal 2 5 46" xfId="1215" xr:uid="{00000000-0005-0000-0000-0000BF040000}"/>
    <cellStyle name="Normal 2 5 47" xfId="1216" xr:uid="{00000000-0005-0000-0000-0000C0040000}"/>
    <cellStyle name="Normal 2 5 48" xfId="1217" xr:uid="{00000000-0005-0000-0000-0000C1040000}"/>
    <cellStyle name="Normal 2 5 49" xfId="1218" xr:uid="{00000000-0005-0000-0000-0000C2040000}"/>
    <cellStyle name="Normal 2 5 5" xfId="1219" xr:uid="{00000000-0005-0000-0000-0000C3040000}"/>
    <cellStyle name="Normal 2 5 50" xfId="1220" xr:uid="{00000000-0005-0000-0000-0000C4040000}"/>
    <cellStyle name="Normal 2 5 51" xfId="1221" xr:uid="{00000000-0005-0000-0000-0000C5040000}"/>
    <cellStyle name="Normal 2 5 52" xfId="1222" xr:uid="{00000000-0005-0000-0000-0000C6040000}"/>
    <cellStyle name="Normal 2 5 53" xfId="1223" xr:uid="{00000000-0005-0000-0000-0000C7040000}"/>
    <cellStyle name="Normal 2 5 54" xfId="1224" xr:uid="{00000000-0005-0000-0000-0000C8040000}"/>
    <cellStyle name="Normal 2 5 55" xfId="1225" xr:uid="{00000000-0005-0000-0000-0000C9040000}"/>
    <cellStyle name="Normal 2 5 56" xfId="1226" xr:uid="{00000000-0005-0000-0000-0000CA040000}"/>
    <cellStyle name="Normal 2 5 57" xfId="1227" xr:uid="{00000000-0005-0000-0000-0000CB040000}"/>
    <cellStyle name="Normal 2 5 58" xfId="1228" xr:uid="{00000000-0005-0000-0000-0000CC040000}"/>
    <cellStyle name="Normal 2 5 59" xfId="1229" xr:uid="{00000000-0005-0000-0000-0000CD040000}"/>
    <cellStyle name="Normal 2 5 6" xfId="1230" xr:uid="{00000000-0005-0000-0000-0000CE040000}"/>
    <cellStyle name="Normal 2 5 60" xfId="1231" xr:uid="{00000000-0005-0000-0000-0000CF040000}"/>
    <cellStyle name="Normal 2 5 61" xfId="1232" xr:uid="{00000000-0005-0000-0000-0000D0040000}"/>
    <cellStyle name="Normal 2 5 62" xfId="1233" xr:uid="{00000000-0005-0000-0000-0000D1040000}"/>
    <cellStyle name="Normal 2 5 63" xfId="1234" xr:uid="{00000000-0005-0000-0000-0000D2040000}"/>
    <cellStyle name="Normal 2 5 64" xfId="1235" xr:uid="{00000000-0005-0000-0000-0000D3040000}"/>
    <cellStyle name="Normal 2 5 65" xfId="1236" xr:uid="{00000000-0005-0000-0000-0000D4040000}"/>
    <cellStyle name="Normal 2 5 66" xfId="1237" xr:uid="{00000000-0005-0000-0000-0000D5040000}"/>
    <cellStyle name="Normal 2 5 67" xfId="1238" xr:uid="{00000000-0005-0000-0000-0000D6040000}"/>
    <cellStyle name="Normal 2 5 68" xfId="1239" xr:uid="{00000000-0005-0000-0000-0000D7040000}"/>
    <cellStyle name="Normal 2 5 69" xfId="1240" xr:uid="{00000000-0005-0000-0000-0000D8040000}"/>
    <cellStyle name="Normal 2 5 7" xfId="1241" xr:uid="{00000000-0005-0000-0000-0000D9040000}"/>
    <cellStyle name="Normal 2 5 70" xfId="1242" xr:uid="{00000000-0005-0000-0000-0000DA040000}"/>
    <cellStyle name="Normal 2 5 71" xfId="1243" xr:uid="{00000000-0005-0000-0000-0000DB040000}"/>
    <cellStyle name="Normal 2 5 72" xfId="1244" xr:uid="{00000000-0005-0000-0000-0000DC040000}"/>
    <cellStyle name="Normal 2 5 73" xfId="1245" xr:uid="{00000000-0005-0000-0000-0000DD040000}"/>
    <cellStyle name="Normal 2 5 74" xfId="1246" xr:uid="{00000000-0005-0000-0000-0000DE040000}"/>
    <cellStyle name="Normal 2 5 75" xfId="1247" xr:uid="{00000000-0005-0000-0000-0000DF040000}"/>
    <cellStyle name="Normal 2 5 76" xfId="1248" xr:uid="{00000000-0005-0000-0000-0000E0040000}"/>
    <cellStyle name="Normal 2 5 77" xfId="1249" xr:uid="{00000000-0005-0000-0000-0000E1040000}"/>
    <cellStyle name="Normal 2 5 78" xfId="1250" xr:uid="{00000000-0005-0000-0000-0000E2040000}"/>
    <cellStyle name="Normal 2 5 79" xfId="1251" xr:uid="{00000000-0005-0000-0000-0000E3040000}"/>
    <cellStyle name="Normal 2 5 8" xfId="1252" xr:uid="{00000000-0005-0000-0000-0000E4040000}"/>
    <cellStyle name="Normal 2 5 80" xfId="1253" xr:uid="{00000000-0005-0000-0000-0000E5040000}"/>
    <cellStyle name="Normal 2 5 81" xfId="1254" xr:uid="{00000000-0005-0000-0000-0000E6040000}"/>
    <cellStyle name="Normal 2 5 82" xfId="1255" xr:uid="{00000000-0005-0000-0000-0000E7040000}"/>
    <cellStyle name="Normal 2 5 83" xfId="1256" xr:uid="{00000000-0005-0000-0000-0000E8040000}"/>
    <cellStyle name="Normal 2 5 84" xfId="1257" xr:uid="{00000000-0005-0000-0000-0000E9040000}"/>
    <cellStyle name="Normal 2 5 85" xfId="1258" xr:uid="{00000000-0005-0000-0000-0000EA040000}"/>
    <cellStyle name="Normal 2 5 86" xfId="1259" xr:uid="{00000000-0005-0000-0000-0000EB040000}"/>
    <cellStyle name="Normal 2 5 87" xfId="1260" xr:uid="{00000000-0005-0000-0000-0000EC040000}"/>
    <cellStyle name="Normal 2 5 88" xfId="1261" xr:uid="{00000000-0005-0000-0000-0000ED040000}"/>
    <cellStyle name="Normal 2 5 9" xfId="1262" xr:uid="{00000000-0005-0000-0000-0000EE040000}"/>
    <cellStyle name="Normal 2 5_DEER 032008 Cost Summary Delivery - Rev 4 (2)" xfId="1263" xr:uid="{00000000-0005-0000-0000-0000EF040000}"/>
    <cellStyle name="Normal 2 50" xfId="1264" xr:uid="{00000000-0005-0000-0000-0000F0040000}"/>
    <cellStyle name="Normal 2 51" xfId="1265" xr:uid="{00000000-0005-0000-0000-0000F1040000}"/>
    <cellStyle name="Normal 2 52" xfId="1266" xr:uid="{00000000-0005-0000-0000-0000F2040000}"/>
    <cellStyle name="Normal 2 53" xfId="1267" xr:uid="{00000000-0005-0000-0000-0000F3040000}"/>
    <cellStyle name="Normal 2 54" xfId="1268" xr:uid="{00000000-0005-0000-0000-0000F4040000}"/>
    <cellStyle name="Normal 2 55" xfId="1269" xr:uid="{00000000-0005-0000-0000-0000F5040000}"/>
    <cellStyle name="Normal 2 56" xfId="1270" xr:uid="{00000000-0005-0000-0000-0000F6040000}"/>
    <cellStyle name="Normal 2 57" xfId="1271" xr:uid="{00000000-0005-0000-0000-0000F7040000}"/>
    <cellStyle name="Normal 2 58" xfId="1272" xr:uid="{00000000-0005-0000-0000-0000F8040000}"/>
    <cellStyle name="Normal 2 59" xfId="1273" xr:uid="{00000000-0005-0000-0000-0000F9040000}"/>
    <cellStyle name="Normal 2 6" xfId="1274" xr:uid="{00000000-0005-0000-0000-0000FA040000}"/>
    <cellStyle name="Normal 2 6 2" xfId="1275" xr:uid="{00000000-0005-0000-0000-0000FB040000}"/>
    <cellStyle name="Normal 2 60" xfId="1276" xr:uid="{00000000-0005-0000-0000-0000FC040000}"/>
    <cellStyle name="Normal 2 61" xfId="1277" xr:uid="{00000000-0005-0000-0000-0000FD040000}"/>
    <cellStyle name="Normal 2 62" xfId="1278" xr:uid="{00000000-0005-0000-0000-0000FE040000}"/>
    <cellStyle name="Normal 2 63" xfId="1279" xr:uid="{00000000-0005-0000-0000-0000FF040000}"/>
    <cellStyle name="Normal 2 64" xfId="1280" xr:uid="{00000000-0005-0000-0000-000000050000}"/>
    <cellStyle name="Normal 2 65" xfId="1281" xr:uid="{00000000-0005-0000-0000-000001050000}"/>
    <cellStyle name="Normal 2 66" xfId="1282" xr:uid="{00000000-0005-0000-0000-000002050000}"/>
    <cellStyle name="Normal 2 67" xfId="1283" xr:uid="{00000000-0005-0000-0000-000003050000}"/>
    <cellStyle name="Normal 2 68" xfId="1284" xr:uid="{00000000-0005-0000-0000-000004050000}"/>
    <cellStyle name="Normal 2 69" xfId="1285" xr:uid="{00000000-0005-0000-0000-000005050000}"/>
    <cellStyle name="Normal 2 7" xfId="1286" xr:uid="{00000000-0005-0000-0000-000006050000}"/>
    <cellStyle name="Normal 2 70" xfId="1287" xr:uid="{00000000-0005-0000-0000-000007050000}"/>
    <cellStyle name="Normal 2 71" xfId="1288" xr:uid="{00000000-0005-0000-0000-000008050000}"/>
    <cellStyle name="Normal 2 72" xfId="1289" xr:uid="{00000000-0005-0000-0000-000009050000}"/>
    <cellStyle name="Normal 2 73" xfId="1290" xr:uid="{00000000-0005-0000-0000-00000A050000}"/>
    <cellStyle name="Normal 2 74" xfId="1291" xr:uid="{00000000-0005-0000-0000-00000B050000}"/>
    <cellStyle name="Normal 2 75" xfId="1292" xr:uid="{00000000-0005-0000-0000-00000C050000}"/>
    <cellStyle name="Normal 2 76" xfId="1293" xr:uid="{00000000-0005-0000-0000-00000D050000}"/>
    <cellStyle name="Normal 2 77" xfId="1294" xr:uid="{00000000-0005-0000-0000-00000E050000}"/>
    <cellStyle name="Normal 2 78" xfId="1295" xr:uid="{00000000-0005-0000-0000-00000F050000}"/>
    <cellStyle name="Normal 2 79" xfId="1296" xr:uid="{00000000-0005-0000-0000-000010050000}"/>
    <cellStyle name="Normal 2 8" xfId="1297" xr:uid="{00000000-0005-0000-0000-000011050000}"/>
    <cellStyle name="Normal 2 8 10" xfId="1298" xr:uid="{00000000-0005-0000-0000-000012050000}"/>
    <cellStyle name="Normal 2 8 11" xfId="1299" xr:uid="{00000000-0005-0000-0000-000013050000}"/>
    <cellStyle name="Normal 2 8 12" xfId="1300" xr:uid="{00000000-0005-0000-0000-000014050000}"/>
    <cellStyle name="Normal 2 8 13" xfId="1301" xr:uid="{00000000-0005-0000-0000-000015050000}"/>
    <cellStyle name="Normal 2 8 14" xfId="1302" xr:uid="{00000000-0005-0000-0000-000016050000}"/>
    <cellStyle name="Normal 2 8 15" xfId="1303" xr:uid="{00000000-0005-0000-0000-000017050000}"/>
    <cellStyle name="Normal 2 8 16" xfId="1304" xr:uid="{00000000-0005-0000-0000-000018050000}"/>
    <cellStyle name="Normal 2 8 17" xfId="1305" xr:uid="{00000000-0005-0000-0000-000019050000}"/>
    <cellStyle name="Normal 2 8 18" xfId="1306" xr:uid="{00000000-0005-0000-0000-00001A050000}"/>
    <cellStyle name="Normal 2 8 19" xfId="1307" xr:uid="{00000000-0005-0000-0000-00001B050000}"/>
    <cellStyle name="Normal 2 8 2" xfId="1308" xr:uid="{00000000-0005-0000-0000-00001C050000}"/>
    <cellStyle name="Normal 2 8 20" xfId="1309" xr:uid="{00000000-0005-0000-0000-00001D050000}"/>
    <cellStyle name="Normal 2 8 21" xfId="1310" xr:uid="{00000000-0005-0000-0000-00001E050000}"/>
    <cellStyle name="Normal 2 8 22" xfId="1311" xr:uid="{00000000-0005-0000-0000-00001F050000}"/>
    <cellStyle name="Normal 2 8 23" xfId="1312" xr:uid="{00000000-0005-0000-0000-000020050000}"/>
    <cellStyle name="Normal 2 8 3" xfId="1313" xr:uid="{00000000-0005-0000-0000-000021050000}"/>
    <cellStyle name="Normal 2 8 4" xfId="1314" xr:uid="{00000000-0005-0000-0000-000022050000}"/>
    <cellStyle name="Normal 2 8 5" xfId="1315" xr:uid="{00000000-0005-0000-0000-000023050000}"/>
    <cellStyle name="Normal 2 8 6" xfId="1316" xr:uid="{00000000-0005-0000-0000-000024050000}"/>
    <cellStyle name="Normal 2 8 7" xfId="1317" xr:uid="{00000000-0005-0000-0000-000025050000}"/>
    <cellStyle name="Normal 2 8 8" xfId="1318" xr:uid="{00000000-0005-0000-0000-000026050000}"/>
    <cellStyle name="Normal 2 8 9" xfId="1319" xr:uid="{00000000-0005-0000-0000-000027050000}"/>
    <cellStyle name="Normal 2 80" xfId="1320" xr:uid="{00000000-0005-0000-0000-000028050000}"/>
    <cellStyle name="Normal 2 81" xfId="1321" xr:uid="{00000000-0005-0000-0000-000029050000}"/>
    <cellStyle name="Normal 2 82" xfId="1322" xr:uid="{00000000-0005-0000-0000-00002A050000}"/>
    <cellStyle name="Normal 2 83" xfId="1323" xr:uid="{00000000-0005-0000-0000-00002B050000}"/>
    <cellStyle name="Normal 2 84" xfId="1324" xr:uid="{00000000-0005-0000-0000-00002C050000}"/>
    <cellStyle name="Normal 2 85" xfId="1325" xr:uid="{00000000-0005-0000-0000-00002D050000}"/>
    <cellStyle name="Normal 2 86" xfId="1326" xr:uid="{00000000-0005-0000-0000-00002E050000}"/>
    <cellStyle name="Normal 2 87" xfId="1327" xr:uid="{00000000-0005-0000-0000-00002F050000}"/>
    <cellStyle name="Normal 2 88" xfId="1328" xr:uid="{00000000-0005-0000-0000-000030050000}"/>
    <cellStyle name="Normal 2 89" xfId="1329" xr:uid="{00000000-0005-0000-0000-000031050000}"/>
    <cellStyle name="Normal 2 9" xfId="1330" xr:uid="{00000000-0005-0000-0000-000032050000}"/>
    <cellStyle name="Normal 2 9 10" xfId="1331" xr:uid="{00000000-0005-0000-0000-000033050000}"/>
    <cellStyle name="Normal 2 9 11" xfId="1332" xr:uid="{00000000-0005-0000-0000-000034050000}"/>
    <cellStyle name="Normal 2 9 12" xfId="1333" xr:uid="{00000000-0005-0000-0000-000035050000}"/>
    <cellStyle name="Normal 2 9 13" xfId="1334" xr:uid="{00000000-0005-0000-0000-000036050000}"/>
    <cellStyle name="Normal 2 9 14" xfId="1335" xr:uid="{00000000-0005-0000-0000-000037050000}"/>
    <cellStyle name="Normal 2 9 15" xfId="1336" xr:uid="{00000000-0005-0000-0000-000038050000}"/>
    <cellStyle name="Normal 2 9 16" xfId="1337" xr:uid="{00000000-0005-0000-0000-000039050000}"/>
    <cellStyle name="Normal 2 9 17" xfId="1338" xr:uid="{00000000-0005-0000-0000-00003A050000}"/>
    <cellStyle name="Normal 2 9 18" xfId="1339" xr:uid="{00000000-0005-0000-0000-00003B050000}"/>
    <cellStyle name="Normal 2 9 19" xfId="1340" xr:uid="{00000000-0005-0000-0000-00003C050000}"/>
    <cellStyle name="Normal 2 9 2" xfId="1341" xr:uid="{00000000-0005-0000-0000-00003D050000}"/>
    <cellStyle name="Normal 2 9 20" xfId="1342" xr:uid="{00000000-0005-0000-0000-00003E050000}"/>
    <cellStyle name="Normal 2 9 21" xfId="1343" xr:uid="{00000000-0005-0000-0000-00003F050000}"/>
    <cellStyle name="Normal 2 9 22" xfId="1344" xr:uid="{00000000-0005-0000-0000-000040050000}"/>
    <cellStyle name="Normal 2 9 23" xfId="1345" xr:uid="{00000000-0005-0000-0000-000041050000}"/>
    <cellStyle name="Normal 2 9 3" xfId="1346" xr:uid="{00000000-0005-0000-0000-000042050000}"/>
    <cellStyle name="Normal 2 9 4" xfId="1347" xr:uid="{00000000-0005-0000-0000-000043050000}"/>
    <cellStyle name="Normal 2 9 5" xfId="1348" xr:uid="{00000000-0005-0000-0000-000044050000}"/>
    <cellStyle name="Normal 2 9 6" xfId="1349" xr:uid="{00000000-0005-0000-0000-000045050000}"/>
    <cellStyle name="Normal 2 9 7" xfId="1350" xr:uid="{00000000-0005-0000-0000-000046050000}"/>
    <cellStyle name="Normal 2 9 8" xfId="1351" xr:uid="{00000000-0005-0000-0000-000047050000}"/>
    <cellStyle name="Normal 2 9 9" xfId="1352" xr:uid="{00000000-0005-0000-0000-000048050000}"/>
    <cellStyle name="Normal 2 90" xfId="1353" xr:uid="{00000000-0005-0000-0000-000049050000}"/>
    <cellStyle name="Normal 2 91" xfId="1354" xr:uid="{00000000-0005-0000-0000-00004A050000}"/>
    <cellStyle name="Normal 2 92" xfId="1355" xr:uid="{00000000-0005-0000-0000-00004B050000}"/>
    <cellStyle name="Normal 2 93" xfId="1356" xr:uid="{00000000-0005-0000-0000-00004C050000}"/>
    <cellStyle name="Normal 2 94" xfId="1357" xr:uid="{00000000-0005-0000-0000-00004D050000}"/>
    <cellStyle name="Normal 2_DEER 032008 Cost Summary Delivery - Rev 4 (2)" xfId="1358" xr:uid="{00000000-0005-0000-0000-00004E050000}"/>
    <cellStyle name="Normal 20" xfId="1359" xr:uid="{00000000-0005-0000-0000-00004F050000}"/>
    <cellStyle name="Normal 21" xfId="1360" xr:uid="{00000000-0005-0000-0000-000050050000}"/>
    <cellStyle name="Normal 22" xfId="1361" xr:uid="{00000000-0005-0000-0000-000051050000}"/>
    <cellStyle name="Normal 23" xfId="1362" xr:uid="{00000000-0005-0000-0000-000052050000}"/>
    <cellStyle name="Normal 24" xfId="1363" xr:uid="{00000000-0005-0000-0000-000053050000}"/>
    <cellStyle name="Normal 3" xfId="1364" xr:uid="{00000000-0005-0000-0000-000054050000}"/>
    <cellStyle name="Normal 3 10" xfId="1365" xr:uid="{00000000-0005-0000-0000-000055050000}"/>
    <cellStyle name="Normal 3 10 10" xfId="1366" xr:uid="{00000000-0005-0000-0000-000056050000}"/>
    <cellStyle name="Normal 3 10 11" xfId="1367" xr:uid="{00000000-0005-0000-0000-000057050000}"/>
    <cellStyle name="Normal 3 10 12" xfId="1368" xr:uid="{00000000-0005-0000-0000-000058050000}"/>
    <cellStyle name="Normal 3 10 13" xfId="1369" xr:uid="{00000000-0005-0000-0000-000059050000}"/>
    <cellStyle name="Normal 3 10 14" xfId="1370" xr:uid="{00000000-0005-0000-0000-00005A050000}"/>
    <cellStyle name="Normal 3 10 15" xfId="1371" xr:uid="{00000000-0005-0000-0000-00005B050000}"/>
    <cellStyle name="Normal 3 10 16" xfId="1372" xr:uid="{00000000-0005-0000-0000-00005C050000}"/>
    <cellStyle name="Normal 3 10 17" xfId="1373" xr:uid="{00000000-0005-0000-0000-00005D050000}"/>
    <cellStyle name="Normal 3 10 18" xfId="1374" xr:uid="{00000000-0005-0000-0000-00005E050000}"/>
    <cellStyle name="Normal 3 10 19" xfId="1375" xr:uid="{00000000-0005-0000-0000-00005F050000}"/>
    <cellStyle name="Normal 3 10 2" xfId="1376" xr:uid="{00000000-0005-0000-0000-000060050000}"/>
    <cellStyle name="Normal 3 10 20" xfId="1377" xr:uid="{00000000-0005-0000-0000-000061050000}"/>
    <cellStyle name="Normal 3 10 21" xfId="1378" xr:uid="{00000000-0005-0000-0000-000062050000}"/>
    <cellStyle name="Normal 3 10 22" xfId="1379" xr:uid="{00000000-0005-0000-0000-000063050000}"/>
    <cellStyle name="Normal 3 10 23" xfId="1380" xr:uid="{00000000-0005-0000-0000-000064050000}"/>
    <cellStyle name="Normal 3 10 3" xfId="1381" xr:uid="{00000000-0005-0000-0000-000065050000}"/>
    <cellStyle name="Normal 3 10 4" xfId="1382" xr:uid="{00000000-0005-0000-0000-000066050000}"/>
    <cellStyle name="Normal 3 10 5" xfId="1383" xr:uid="{00000000-0005-0000-0000-000067050000}"/>
    <cellStyle name="Normal 3 10 6" xfId="1384" xr:uid="{00000000-0005-0000-0000-000068050000}"/>
    <cellStyle name="Normal 3 10 7" xfId="1385" xr:uid="{00000000-0005-0000-0000-000069050000}"/>
    <cellStyle name="Normal 3 10 8" xfId="1386" xr:uid="{00000000-0005-0000-0000-00006A050000}"/>
    <cellStyle name="Normal 3 10 9" xfId="1387" xr:uid="{00000000-0005-0000-0000-00006B050000}"/>
    <cellStyle name="Normal 3 11" xfId="1388" xr:uid="{00000000-0005-0000-0000-00006C050000}"/>
    <cellStyle name="Normal 3 11 10" xfId="1389" xr:uid="{00000000-0005-0000-0000-00006D050000}"/>
    <cellStyle name="Normal 3 11 11" xfId="1390" xr:uid="{00000000-0005-0000-0000-00006E050000}"/>
    <cellStyle name="Normal 3 11 12" xfId="1391" xr:uid="{00000000-0005-0000-0000-00006F050000}"/>
    <cellStyle name="Normal 3 11 13" xfId="1392" xr:uid="{00000000-0005-0000-0000-000070050000}"/>
    <cellStyle name="Normal 3 11 14" xfId="1393" xr:uid="{00000000-0005-0000-0000-000071050000}"/>
    <cellStyle name="Normal 3 11 15" xfId="1394" xr:uid="{00000000-0005-0000-0000-000072050000}"/>
    <cellStyle name="Normal 3 11 16" xfId="1395" xr:uid="{00000000-0005-0000-0000-000073050000}"/>
    <cellStyle name="Normal 3 11 17" xfId="1396" xr:uid="{00000000-0005-0000-0000-000074050000}"/>
    <cellStyle name="Normal 3 11 18" xfId="1397" xr:uid="{00000000-0005-0000-0000-000075050000}"/>
    <cellStyle name="Normal 3 11 19" xfId="1398" xr:uid="{00000000-0005-0000-0000-000076050000}"/>
    <cellStyle name="Normal 3 11 2" xfId="1399" xr:uid="{00000000-0005-0000-0000-000077050000}"/>
    <cellStyle name="Normal 3 11 20" xfId="1400" xr:uid="{00000000-0005-0000-0000-000078050000}"/>
    <cellStyle name="Normal 3 11 21" xfId="1401" xr:uid="{00000000-0005-0000-0000-000079050000}"/>
    <cellStyle name="Normal 3 11 22" xfId="1402" xr:uid="{00000000-0005-0000-0000-00007A050000}"/>
    <cellStyle name="Normal 3 11 23" xfId="1403" xr:uid="{00000000-0005-0000-0000-00007B050000}"/>
    <cellStyle name="Normal 3 11 3" xfId="1404" xr:uid="{00000000-0005-0000-0000-00007C050000}"/>
    <cellStyle name="Normal 3 11 4" xfId="1405" xr:uid="{00000000-0005-0000-0000-00007D050000}"/>
    <cellStyle name="Normal 3 11 5" xfId="1406" xr:uid="{00000000-0005-0000-0000-00007E050000}"/>
    <cellStyle name="Normal 3 11 6" xfId="1407" xr:uid="{00000000-0005-0000-0000-00007F050000}"/>
    <cellStyle name="Normal 3 11 7" xfId="1408" xr:uid="{00000000-0005-0000-0000-000080050000}"/>
    <cellStyle name="Normal 3 11 8" xfId="1409" xr:uid="{00000000-0005-0000-0000-000081050000}"/>
    <cellStyle name="Normal 3 11 9" xfId="1410" xr:uid="{00000000-0005-0000-0000-000082050000}"/>
    <cellStyle name="Normal 3 12" xfId="1411" xr:uid="{00000000-0005-0000-0000-000083050000}"/>
    <cellStyle name="Normal 3 12 10" xfId="1412" xr:uid="{00000000-0005-0000-0000-000084050000}"/>
    <cellStyle name="Normal 3 12 11" xfId="1413" xr:uid="{00000000-0005-0000-0000-000085050000}"/>
    <cellStyle name="Normal 3 12 12" xfId="1414" xr:uid="{00000000-0005-0000-0000-000086050000}"/>
    <cellStyle name="Normal 3 12 13" xfId="1415" xr:uid="{00000000-0005-0000-0000-000087050000}"/>
    <cellStyle name="Normal 3 12 14" xfId="1416" xr:uid="{00000000-0005-0000-0000-000088050000}"/>
    <cellStyle name="Normal 3 12 15" xfId="1417" xr:uid="{00000000-0005-0000-0000-000089050000}"/>
    <cellStyle name="Normal 3 12 16" xfId="1418" xr:uid="{00000000-0005-0000-0000-00008A050000}"/>
    <cellStyle name="Normal 3 12 17" xfId="1419" xr:uid="{00000000-0005-0000-0000-00008B050000}"/>
    <cellStyle name="Normal 3 12 18" xfId="1420" xr:uid="{00000000-0005-0000-0000-00008C050000}"/>
    <cellStyle name="Normal 3 12 19" xfId="1421" xr:uid="{00000000-0005-0000-0000-00008D050000}"/>
    <cellStyle name="Normal 3 12 2" xfId="1422" xr:uid="{00000000-0005-0000-0000-00008E050000}"/>
    <cellStyle name="Normal 3 12 20" xfId="1423" xr:uid="{00000000-0005-0000-0000-00008F050000}"/>
    <cellStyle name="Normal 3 12 21" xfId="1424" xr:uid="{00000000-0005-0000-0000-000090050000}"/>
    <cellStyle name="Normal 3 12 22" xfId="1425" xr:uid="{00000000-0005-0000-0000-000091050000}"/>
    <cellStyle name="Normal 3 12 23" xfId="1426" xr:uid="{00000000-0005-0000-0000-000092050000}"/>
    <cellStyle name="Normal 3 12 3" xfId="1427" xr:uid="{00000000-0005-0000-0000-000093050000}"/>
    <cellStyle name="Normal 3 12 4" xfId="1428" xr:uid="{00000000-0005-0000-0000-000094050000}"/>
    <cellStyle name="Normal 3 12 5" xfId="1429" xr:uid="{00000000-0005-0000-0000-000095050000}"/>
    <cellStyle name="Normal 3 12 6" xfId="1430" xr:uid="{00000000-0005-0000-0000-000096050000}"/>
    <cellStyle name="Normal 3 12 7" xfId="1431" xr:uid="{00000000-0005-0000-0000-000097050000}"/>
    <cellStyle name="Normal 3 12 8" xfId="1432" xr:uid="{00000000-0005-0000-0000-000098050000}"/>
    <cellStyle name="Normal 3 12 9" xfId="1433" xr:uid="{00000000-0005-0000-0000-000099050000}"/>
    <cellStyle name="Normal 3 13" xfId="1434" xr:uid="{00000000-0005-0000-0000-00009A050000}"/>
    <cellStyle name="Normal 3 13 10" xfId="1435" xr:uid="{00000000-0005-0000-0000-00009B050000}"/>
    <cellStyle name="Normal 3 13 11" xfId="1436" xr:uid="{00000000-0005-0000-0000-00009C050000}"/>
    <cellStyle name="Normal 3 13 12" xfId="1437" xr:uid="{00000000-0005-0000-0000-00009D050000}"/>
    <cellStyle name="Normal 3 13 13" xfId="1438" xr:uid="{00000000-0005-0000-0000-00009E050000}"/>
    <cellStyle name="Normal 3 13 14" xfId="1439" xr:uid="{00000000-0005-0000-0000-00009F050000}"/>
    <cellStyle name="Normal 3 13 15" xfId="1440" xr:uid="{00000000-0005-0000-0000-0000A0050000}"/>
    <cellStyle name="Normal 3 13 16" xfId="1441" xr:uid="{00000000-0005-0000-0000-0000A1050000}"/>
    <cellStyle name="Normal 3 13 17" xfId="1442" xr:uid="{00000000-0005-0000-0000-0000A2050000}"/>
    <cellStyle name="Normal 3 13 18" xfId="1443" xr:uid="{00000000-0005-0000-0000-0000A3050000}"/>
    <cellStyle name="Normal 3 13 19" xfId="1444" xr:uid="{00000000-0005-0000-0000-0000A4050000}"/>
    <cellStyle name="Normal 3 13 2" xfId="1445" xr:uid="{00000000-0005-0000-0000-0000A5050000}"/>
    <cellStyle name="Normal 3 13 20" xfId="1446" xr:uid="{00000000-0005-0000-0000-0000A6050000}"/>
    <cellStyle name="Normal 3 13 21" xfId="1447" xr:uid="{00000000-0005-0000-0000-0000A7050000}"/>
    <cellStyle name="Normal 3 13 22" xfId="1448" xr:uid="{00000000-0005-0000-0000-0000A8050000}"/>
    <cellStyle name="Normal 3 13 23" xfId="1449" xr:uid="{00000000-0005-0000-0000-0000A9050000}"/>
    <cellStyle name="Normal 3 13 3" xfId="1450" xr:uid="{00000000-0005-0000-0000-0000AA050000}"/>
    <cellStyle name="Normal 3 13 4" xfId="1451" xr:uid="{00000000-0005-0000-0000-0000AB050000}"/>
    <cellStyle name="Normal 3 13 5" xfId="1452" xr:uid="{00000000-0005-0000-0000-0000AC050000}"/>
    <cellStyle name="Normal 3 13 6" xfId="1453" xr:uid="{00000000-0005-0000-0000-0000AD050000}"/>
    <cellStyle name="Normal 3 13 7" xfId="1454" xr:uid="{00000000-0005-0000-0000-0000AE050000}"/>
    <cellStyle name="Normal 3 13 8" xfId="1455" xr:uid="{00000000-0005-0000-0000-0000AF050000}"/>
    <cellStyle name="Normal 3 13 9" xfId="1456" xr:uid="{00000000-0005-0000-0000-0000B0050000}"/>
    <cellStyle name="Normal 3 14" xfId="1457" xr:uid="{00000000-0005-0000-0000-0000B1050000}"/>
    <cellStyle name="Normal 3 14 10" xfId="1458" xr:uid="{00000000-0005-0000-0000-0000B2050000}"/>
    <cellStyle name="Normal 3 14 11" xfId="1459" xr:uid="{00000000-0005-0000-0000-0000B3050000}"/>
    <cellStyle name="Normal 3 14 12" xfId="1460" xr:uid="{00000000-0005-0000-0000-0000B4050000}"/>
    <cellStyle name="Normal 3 14 13" xfId="1461" xr:uid="{00000000-0005-0000-0000-0000B5050000}"/>
    <cellStyle name="Normal 3 14 14" xfId="1462" xr:uid="{00000000-0005-0000-0000-0000B6050000}"/>
    <cellStyle name="Normal 3 14 15" xfId="1463" xr:uid="{00000000-0005-0000-0000-0000B7050000}"/>
    <cellStyle name="Normal 3 14 16" xfId="1464" xr:uid="{00000000-0005-0000-0000-0000B8050000}"/>
    <cellStyle name="Normal 3 14 17" xfId="1465" xr:uid="{00000000-0005-0000-0000-0000B9050000}"/>
    <cellStyle name="Normal 3 14 18" xfId="1466" xr:uid="{00000000-0005-0000-0000-0000BA050000}"/>
    <cellStyle name="Normal 3 14 19" xfId="1467" xr:uid="{00000000-0005-0000-0000-0000BB050000}"/>
    <cellStyle name="Normal 3 14 2" xfId="1468" xr:uid="{00000000-0005-0000-0000-0000BC050000}"/>
    <cellStyle name="Normal 3 14 20" xfId="1469" xr:uid="{00000000-0005-0000-0000-0000BD050000}"/>
    <cellStyle name="Normal 3 14 21" xfId="1470" xr:uid="{00000000-0005-0000-0000-0000BE050000}"/>
    <cellStyle name="Normal 3 14 22" xfId="1471" xr:uid="{00000000-0005-0000-0000-0000BF050000}"/>
    <cellStyle name="Normal 3 14 23" xfId="1472" xr:uid="{00000000-0005-0000-0000-0000C0050000}"/>
    <cellStyle name="Normal 3 14 3" xfId="1473" xr:uid="{00000000-0005-0000-0000-0000C1050000}"/>
    <cellStyle name="Normal 3 14 4" xfId="1474" xr:uid="{00000000-0005-0000-0000-0000C2050000}"/>
    <cellStyle name="Normal 3 14 5" xfId="1475" xr:uid="{00000000-0005-0000-0000-0000C3050000}"/>
    <cellStyle name="Normal 3 14 6" xfId="1476" xr:uid="{00000000-0005-0000-0000-0000C4050000}"/>
    <cellStyle name="Normal 3 14 7" xfId="1477" xr:uid="{00000000-0005-0000-0000-0000C5050000}"/>
    <cellStyle name="Normal 3 14 8" xfId="1478" xr:uid="{00000000-0005-0000-0000-0000C6050000}"/>
    <cellStyle name="Normal 3 14 9" xfId="1479" xr:uid="{00000000-0005-0000-0000-0000C7050000}"/>
    <cellStyle name="Normal 3 15" xfId="1480" xr:uid="{00000000-0005-0000-0000-0000C8050000}"/>
    <cellStyle name="Normal 3 15 10" xfId="1481" xr:uid="{00000000-0005-0000-0000-0000C9050000}"/>
    <cellStyle name="Normal 3 15 11" xfId="1482" xr:uid="{00000000-0005-0000-0000-0000CA050000}"/>
    <cellStyle name="Normal 3 15 12" xfId="1483" xr:uid="{00000000-0005-0000-0000-0000CB050000}"/>
    <cellStyle name="Normal 3 15 13" xfId="1484" xr:uid="{00000000-0005-0000-0000-0000CC050000}"/>
    <cellStyle name="Normal 3 15 14" xfId="1485" xr:uid="{00000000-0005-0000-0000-0000CD050000}"/>
    <cellStyle name="Normal 3 15 15" xfId="1486" xr:uid="{00000000-0005-0000-0000-0000CE050000}"/>
    <cellStyle name="Normal 3 15 16" xfId="1487" xr:uid="{00000000-0005-0000-0000-0000CF050000}"/>
    <cellStyle name="Normal 3 15 17" xfId="1488" xr:uid="{00000000-0005-0000-0000-0000D0050000}"/>
    <cellStyle name="Normal 3 15 18" xfId="1489" xr:uid="{00000000-0005-0000-0000-0000D1050000}"/>
    <cellStyle name="Normal 3 15 19" xfId="1490" xr:uid="{00000000-0005-0000-0000-0000D2050000}"/>
    <cellStyle name="Normal 3 15 2" xfId="1491" xr:uid="{00000000-0005-0000-0000-0000D3050000}"/>
    <cellStyle name="Normal 3 15 20" xfId="1492" xr:uid="{00000000-0005-0000-0000-0000D4050000}"/>
    <cellStyle name="Normal 3 15 21" xfId="1493" xr:uid="{00000000-0005-0000-0000-0000D5050000}"/>
    <cellStyle name="Normal 3 15 22" xfId="1494" xr:uid="{00000000-0005-0000-0000-0000D6050000}"/>
    <cellStyle name="Normal 3 15 23" xfId="1495" xr:uid="{00000000-0005-0000-0000-0000D7050000}"/>
    <cellStyle name="Normal 3 15 3" xfId="1496" xr:uid="{00000000-0005-0000-0000-0000D8050000}"/>
    <cellStyle name="Normal 3 15 4" xfId="1497" xr:uid="{00000000-0005-0000-0000-0000D9050000}"/>
    <cellStyle name="Normal 3 15 5" xfId="1498" xr:uid="{00000000-0005-0000-0000-0000DA050000}"/>
    <cellStyle name="Normal 3 15 6" xfId="1499" xr:uid="{00000000-0005-0000-0000-0000DB050000}"/>
    <cellStyle name="Normal 3 15 7" xfId="1500" xr:uid="{00000000-0005-0000-0000-0000DC050000}"/>
    <cellStyle name="Normal 3 15 8" xfId="1501" xr:uid="{00000000-0005-0000-0000-0000DD050000}"/>
    <cellStyle name="Normal 3 15 9" xfId="1502" xr:uid="{00000000-0005-0000-0000-0000DE050000}"/>
    <cellStyle name="Normal 3 16" xfId="1503" xr:uid="{00000000-0005-0000-0000-0000DF050000}"/>
    <cellStyle name="Normal 3 16 10" xfId="1504" xr:uid="{00000000-0005-0000-0000-0000E0050000}"/>
    <cellStyle name="Normal 3 16 11" xfId="1505" xr:uid="{00000000-0005-0000-0000-0000E1050000}"/>
    <cellStyle name="Normal 3 16 12" xfId="1506" xr:uid="{00000000-0005-0000-0000-0000E2050000}"/>
    <cellStyle name="Normal 3 16 13" xfId="1507" xr:uid="{00000000-0005-0000-0000-0000E3050000}"/>
    <cellStyle name="Normal 3 16 14" xfId="1508" xr:uid="{00000000-0005-0000-0000-0000E4050000}"/>
    <cellStyle name="Normal 3 16 15" xfId="1509" xr:uid="{00000000-0005-0000-0000-0000E5050000}"/>
    <cellStyle name="Normal 3 16 16" xfId="1510" xr:uid="{00000000-0005-0000-0000-0000E6050000}"/>
    <cellStyle name="Normal 3 16 17" xfId="1511" xr:uid="{00000000-0005-0000-0000-0000E7050000}"/>
    <cellStyle name="Normal 3 16 18" xfId="1512" xr:uid="{00000000-0005-0000-0000-0000E8050000}"/>
    <cellStyle name="Normal 3 16 19" xfId="1513" xr:uid="{00000000-0005-0000-0000-0000E9050000}"/>
    <cellStyle name="Normal 3 16 2" xfId="1514" xr:uid="{00000000-0005-0000-0000-0000EA050000}"/>
    <cellStyle name="Normal 3 16 20" xfId="1515" xr:uid="{00000000-0005-0000-0000-0000EB050000}"/>
    <cellStyle name="Normal 3 16 21" xfId="1516" xr:uid="{00000000-0005-0000-0000-0000EC050000}"/>
    <cellStyle name="Normal 3 16 22" xfId="1517" xr:uid="{00000000-0005-0000-0000-0000ED050000}"/>
    <cellStyle name="Normal 3 16 23" xfId="1518" xr:uid="{00000000-0005-0000-0000-0000EE050000}"/>
    <cellStyle name="Normal 3 16 3" xfId="1519" xr:uid="{00000000-0005-0000-0000-0000EF050000}"/>
    <cellStyle name="Normal 3 16 4" xfId="1520" xr:uid="{00000000-0005-0000-0000-0000F0050000}"/>
    <cellStyle name="Normal 3 16 5" xfId="1521" xr:uid="{00000000-0005-0000-0000-0000F1050000}"/>
    <cellStyle name="Normal 3 16 6" xfId="1522" xr:uid="{00000000-0005-0000-0000-0000F2050000}"/>
    <cellStyle name="Normal 3 16 7" xfId="1523" xr:uid="{00000000-0005-0000-0000-0000F3050000}"/>
    <cellStyle name="Normal 3 16 8" xfId="1524" xr:uid="{00000000-0005-0000-0000-0000F4050000}"/>
    <cellStyle name="Normal 3 16 9" xfId="1525" xr:uid="{00000000-0005-0000-0000-0000F5050000}"/>
    <cellStyle name="Normal 3 17" xfId="1526" xr:uid="{00000000-0005-0000-0000-0000F6050000}"/>
    <cellStyle name="Normal 3 17 10" xfId="1527" xr:uid="{00000000-0005-0000-0000-0000F7050000}"/>
    <cellStyle name="Normal 3 17 11" xfId="1528" xr:uid="{00000000-0005-0000-0000-0000F8050000}"/>
    <cellStyle name="Normal 3 17 12" xfId="1529" xr:uid="{00000000-0005-0000-0000-0000F9050000}"/>
    <cellStyle name="Normal 3 17 13" xfId="1530" xr:uid="{00000000-0005-0000-0000-0000FA050000}"/>
    <cellStyle name="Normal 3 17 14" xfId="1531" xr:uid="{00000000-0005-0000-0000-0000FB050000}"/>
    <cellStyle name="Normal 3 17 15" xfId="1532" xr:uid="{00000000-0005-0000-0000-0000FC050000}"/>
    <cellStyle name="Normal 3 17 16" xfId="1533" xr:uid="{00000000-0005-0000-0000-0000FD050000}"/>
    <cellStyle name="Normal 3 17 17" xfId="1534" xr:uid="{00000000-0005-0000-0000-0000FE050000}"/>
    <cellStyle name="Normal 3 17 18" xfId="1535" xr:uid="{00000000-0005-0000-0000-0000FF050000}"/>
    <cellStyle name="Normal 3 17 19" xfId="1536" xr:uid="{00000000-0005-0000-0000-000000060000}"/>
    <cellStyle name="Normal 3 17 2" xfId="1537" xr:uid="{00000000-0005-0000-0000-000001060000}"/>
    <cellStyle name="Normal 3 17 20" xfId="1538" xr:uid="{00000000-0005-0000-0000-000002060000}"/>
    <cellStyle name="Normal 3 17 21" xfId="1539" xr:uid="{00000000-0005-0000-0000-000003060000}"/>
    <cellStyle name="Normal 3 17 22" xfId="1540" xr:uid="{00000000-0005-0000-0000-000004060000}"/>
    <cellStyle name="Normal 3 17 23" xfId="1541" xr:uid="{00000000-0005-0000-0000-000005060000}"/>
    <cellStyle name="Normal 3 17 3" xfId="1542" xr:uid="{00000000-0005-0000-0000-000006060000}"/>
    <cellStyle name="Normal 3 17 4" xfId="1543" xr:uid="{00000000-0005-0000-0000-000007060000}"/>
    <cellStyle name="Normal 3 17 5" xfId="1544" xr:uid="{00000000-0005-0000-0000-000008060000}"/>
    <cellStyle name="Normal 3 17 6" xfId="1545" xr:uid="{00000000-0005-0000-0000-000009060000}"/>
    <cellStyle name="Normal 3 17 7" xfId="1546" xr:uid="{00000000-0005-0000-0000-00000A060000}"/>
    <cellStyle name="Normal 3 17 8" xfId="1547" xr:uid="{00000000-0005-0000-0000-00000B060000}"/>
    <cellStyle name="Normal 3 17 9" xfId="1548" xr:uid="{00000000-0005-0000-0000-00000C060000}"/>
    <cellStyle name="Normal 3 18" xfId="1549" xr:uid="{00000000-0005-0000-0000-00000D060000}"/>
    <cellStyle name="Normal 3 18 10" xfId="1550" xr:uid="{00000000-0005-0000-0000-00000E060000}"/>
    <cellStyle name="Normal 3 18 11" xfId="1551" xr:uid="{00000000-0005-0000-0000-00000F060000}"/>
    <cellStyle name="Normal 3 18 12" xfId="1552" xr:uid="{00000000-0005-0000-0000-000010060000}"/>
    <cellStyle name="Normal 3 18 13" xfId="1553" xr:uid="{00000000-0005-0000-0000-000011060000}"/>
    <cellStyle name="Normal 3 18 14" xfId="1554" xr:uid="{00000000-0005-0000-0000-000012060000}"/>
    <cellStyle name="Normal 3 18 15" xfId="1555" xr:uid="{00000000-0005-0000-0000-000013060000}"/>
    <cellStyle name="Normal 3 18 16" xfId="1556" xr:uid="{00000000-0005-0000-0000-000014060000}"/>
    <cellStyle name="Normal 3 18 17" xfId="1557" xr:uid="{00000000-0005-0000-0000-000015060000}"/>
    <cellStyle name="Normal 3 18 18" xfId="1558" xr:uid="{00000000-0005-0000-0000-000016060000}"/>
    <cellStyle name="Normal 3 18 19" xfId="1559" xr:uid="{00000000-0005-0000-0000-000017060000}"/>
    <cellStyle name="Normal 3 18 2" xfId="1560" xr:uid="{00000000-0005-0000-0000-000018060000}"/>
    <cellStyle name="Normal 3 18 20" xfId="1561" xr:uid="{00000000-0005-0000-0000-000019060000}"/>
    <cellStyle name="Normal 3 18 21" xfId="1562" xr:uid="{00000000-0005-0000-0000-00001A060000}"/>
    <cellStyle name="Normal 3 18 22" xfId="1563" xr:uid="{00000000-0005-0000-0000-00001B060000}"/>
    <cellStyle name="Normal 3 18 23" xfId="1564" xr:uid="{00000000-0005-0000-0000-00001C060000}"/>
    <cellStyle name="Normal 3 18 3" xfId="1565" xr:uid="{00000000-0005-0000-0000-00001D060000}"/>
    <cellStyle name="Normal 3 18 4" xfId="1566" xr:uid="{00000000-0005-0000-0000-00001E060000}"/>
    <cellStyle name="Normal 3 18 5" xfId="1567" xr:uid="{00000000-0005-0000-0000-00001F060000}"/>
    <cellStyle name="Normal 3 18 6" xfId="1568" xr:uid="{00000000-0005-0000-0000-000020060000}"/>
    <cellStyle name="Normal 3 18 7" xfId="1569" xr:uid="{00000000-0005-0000-0000-000021060000}"/>
    <cellStyle name="Normal 3 18 8" xfId="1570" xr:uid="{00000000-0005-0000-0000-000022060000}"/>
    <cellStyle name="Normal 3 18 9" xfId="1571" xr:uid="{00000000-0005-0000-0000-000023060000}"/>
    <cellStyle name="Normal 3 19" xfId="1572" xr:uid="{00000000-0005-0000-0000-000024060000}"/>
    <cellStyle name="Normal 3 19 10" xfId="1573" xr:uid="{00000000-0005-0000-0000-000025060000}"/>
    <cellStyle name="Normal 3 19 11" xfId="1574" xr:uid="{00000000-0005-0000-0000-000026060000}"/>
    <cellStyle name="Normal 3 19 12" xfId="1575" xr:uid="{00000000-0005-0000-0000-000027060000}"/>
    <cellStyle name="Normal 3 19 13" xfId="1576" xr:uid="{00000000-0005-0000-0000-000028060000}"/>
    <cellStyle name="Normal 3 19 14" xfId="1577" xr:uid="{00000000-0005-0000-0000-000029060000}"/>
    <cellStyle name="Normal 3 19 15" xfId="1578" xr:uid="{00000000-0005-0000-0000-00002A060000}"/>
    <cellStyle name="Normal 3 19 16" xfId="1579" xr:uid="{00000000-0005-0000-0000-00002B060000}"/>
    <cellStyle name="Normal 3 19 17" xfId="1580" xr:uid="{00000000-0005-0000-0000-00002C060000}"/>
    <cellStyle name="Normal 3 19 18" xfId="1581" xr:uid="{00000000-0005-0000-0000-00002D060000}"/>
    <cellStyle name="Normal 3 19 19" xfId="1582" xr:uid="{00000000-0005-0000-0000-00002E060000}"/>
    <cellStyle name="Normal 3 19 2" xfId="1583" xr:uid="{00000000-0005-0000-0000-00002F060000}"/>
    <cellStyle name="Normal 3 19 20" xfId="1584" xr:uid="{00000000-0005-0000-0000-000030060000}"/>
    <cellStyle name="Normal 3 19 21" xfId="1585" xr:uid="{00000000-0005-0000-0000-000031060000}"/>
    <cellStyle name="Normal 3 19 22" xfId="1586" xr:uid="{00000000-0005-0000-0000-000032060000}"/>
    <cellStyle name="Normal 3 19 23" xfId="1587" xr:uid="{00000000-0005-0000-0000-000033060000}"/>
    <cellStyle name="Normal 3 19 3" xfId="1588" xr:uid="{00000000-0005-0000-0000-000034060000}"/>
    <cellStyle name="Normal 3 19 4" xfId="1589" xr:uid="{00000000-0005-0000-0000-000035060000}"/>
    <cellStyle name="Normal 3 19 5" xfId="1590" xr:uid="{00000000-0005-0000-0000-000036060000}"/>
    <cellStyle name="Normal 3 19 6" xfId="1591" xr:uid="{00000000-0005-0000-0000-000037060000}"/>
    <cellStyle name="Normal 3 19 7" xfId="1592" xr:uid="{00000000-0005-0000-0000-000038060000}"/>
    <cellStyle name="Normal 3 19 8" xfId="1593" xr:uid="{00000000-0005-0000-0000-000039060000}"/>
    <cellStyle name="Normal 3 19 9" xfId="1594" xr:uid="{00000000-0005-0000-0000-00003A060000}"/>
    <cellStyle name="Normal 3 2" xfId="1595" xr:uid="{00000000-0005-0000-0000-00003B060000}"/>
    <cellStyle name="Normal 3 2 10" xfId="1596" xr:uid="{00000000-0005-0000-0000-00003C060000}"/>
    <cellStyle name="Normal 3 2 11" xfId="1597" xr:uid="{00000000-0005-0000-0000-00003D060000}"/>
    <cellStyle name="Normal 3 2 12" xfId="1598" xr:uid="{00000000-0005-0000-0000-00003E060000}"/>
    <cellStyle name="Normal 3 2 13" xfId="1599" xr:uid="{00000000-0005-0000-0000-00003F060000}"/>
    <cellStyle name="Normal 3 2 14" xfId="1600" xr:uid="{00000000-0005-0000-0000-000040060000}"/>
    <cellStyle name="Normal 3 2 15" xfId="1601" xr:uid="{00000000-0005-0000-0000-000041060000}"/>
    <cellStyle name="Normal 3 2 16" xfId="1602" xr:uid="{00000000-0005-0000-0000-000042060000}"/>
    <cellStyle name="Normal 3 2 17" xfId="1603" xr:uid="{00000000-0005-0000-0000-000043060000}"/>
    <cellStyle name="Normal 3 2 18" xfId="1604" xr:uid="{00000000-0005-0000-0000-000044060000}"/>
    <cellStyle name="Normal 3 2 19" xfId="1605" xr:uid="{00000000-0005-0000-0000-000045060000}"/>
    <cellStyle name="Normal 3 2 2" xfId="1606" xr:uid="{00000000-0005-0000-0000-000046060000}"/>
    <cellStyle name="Normal 3 2 2 10" xfId="1607" xr:uid="{00000000-0005-0000-0000-000047060000}"/>
    <cellStyle name="Normal 3 2 2 11" xfId="1608" xr:uid="{00000000-0005-0000-0000-000048060000}"/>
    <cellStyle name="Normal 3 2 2 12" xfId="1609" xr:uid="{00000000-0005-0000-0000-000049060000}"/>
    <cellStyle name="Normal 3 2 2 13" xfId="1610" xr:uid="{00000000-0005-0000-0000-00004A060000}"/>
    <cellStyle name="Normal 3 2 2 14" xfId="1611" xr:uid="{00000000-0005-0000-0000-00004B060000}"/>
    <cellStyle name="Normal 3 2 2 15" xfId="1612" xr:uid="{00000000-0005-0000-0000-00004C060000}"/>
    <cellStyle name="Normal 3 2 2 16" xfId="1613" xr:uid="{00000000-0005-0000-0000-00004D060000}"/>
    <cellStyle name="Normal 3 2 2 17" xfId="1614" xr:uid="{00000000-0005-0000-0000-00004E060000}"/>
    <cellStyle name="Normal 3 2 2 18" xfId="1615" xr:uid="{00000000-0005-0000-0000-00004F060000}"/>
    <cellStyle name="Normal 3 2 2 19" xfId="1616" xr:uid="{00000000-0005-0000-0000-000050060000}"/>
    <cellStyle name="Normal 3 2 2 2" xfId="1617" xr:uid="{00000000-0005-0000-0000-000051060000}"/>
    <cellStyle name="Normal 3 2 2 20" xfId="1618" xr:uid="{00000000-0005-0000-0000-000052060000}"/>
    <cellStyle name="Normal 3 2 2 21" xfId="1619" xr:uid="{00000000-0005-0000-0000-000053060000}"/>
    <cellStyle name="Normal 3 2 2 22" xfId="1620" xr:uid="{00000000-0005-0000-0000-000054060000}"/>
    <cellStyle name="Normal 3 2 2 23" xfId="1621" xr:uid="{00000000-0005-0000-0000-000055060000}"/>
    <cellStyle name="Normal 3 2 2 24" xfId="1622" xr:uid="{00000000-0005-0000-0000-000056060000}"/>
    <cellStyle name="Normal 3 2 2 25" xfId="1623" xr:uid="{00000000-0005-0000-0000-000057060000}"/>
    <cellStyle name="Normal 3 2 2 26" xfId="1624" xr:uid="{00000000-0005-0000-0000-000058060000}"/>
    <cellStyle name="Normal 3 2 2 27" xfId="1625" xr:uid="{00000000-0005-0000-0000-000059060000}"/>
    <cellStyle name="Normal 3 2 2 28" xfId="1626" xr:uid="{00000000-0005-0000-0000-00005A060000}"/>
    <cellStyle name="Normal 3 2 2 29" xfId="1627" xr:uid="{00000000-0005-0000-0000-00005B060000}"/>
    <cellStyle name="Normal 3 2 2 3" xfId="1628" xr:uid="{00000000-0005-0000-0000-00005C060000}"/>
    <cellStyle name="Normal 3 2 2 30" xfId="1629" xr:uid="{00000000-0005-0000-0000-00005D060000}"/>
    <cellStyle name="Normal 3 2 2 31" xfId="1630" xr:uid="{00000000-0005-0000-0000-00005E060000}"/>
    <cellStyle name="Normal 3 2 2 32" xfId="1631" xr:uid="{00000000-0005-0000-0000-00005F060000}"/>
    <cellStyle name="Normal 3 2 2 33" xfId="1632" xr:uid="{00000000-0005-0000-0000-000060060000}"/>
    <cellStyle name="Normal 3 2 2 4" xfId="1633" xr:uid="{00000000-0005-0000-0000-000061060000}"/>
    <cellStyle name="Normal 3 2 2 5" xfId="1634" xr:uid="{00000000-0005-0000-0000-000062060000}"/>
    <cellStyle name="Normal 3 2 2 6" xfId="1635" xr:uid="{00000000-0005-0000-0000-000063060000}"/>
    <cellStyle name="Normal 3 2 2 7" xfId="1636" xr:uid="{00000000-0005-0000-0000-000064060000}"/>
    <cellStyle name="Normal 3 2 2 8" xfId="1637" xr:uid="{00000000-0005-0000-0000-000065060000}"/>
    <cellStyle name="Normal 3 2 2 9" xfId="1638" xr:uid="{00000000-0005-0000-0000-000066060000}"/>
    <cellStyle name="Normal 3 2 20" xfId="1639" xr:uid="{00000000-0005-0000-0000-000067060000}"/>
    <cellStyle name="Normal 3 2 21" xfId="1640" xr:uid="{00000000-0005-0000-0000-000068060000}"/>
    <cellStyle name="Normal 3 2 22" xfId="1641" xr:uid="{00000000-0005-0000-0000-000069060000}"/>
    <cellStyle name="Normal 3 2 23" xfId="1642" xr:uid="{00000000-0005-0000-0000-00006A060000}"/>
    <cellStyle name="Normal 3 2 24" xfId="1643" xr:uid="{00000000-0005-0000-0000-00006B060000}"/>
    <cellStyle name="Normal 3 2 25" xfId="1644" xr:uid="{00000000-0005-0000-0000-00006C060000}"/>
    <cellStyle name="Normal 3 2 26" xfId="1645" xr:uid="{00000000-0005-0000-0000-00006D060000}"/>
    <cellStyle name="Normal 3 2 27" xfId="1646" xr:uid="{00000000-0005-0000-0000-00006E060000}"/>
    <cellStyle name="Normal 3 2 28" xfId="1647" xr:uid="{00000000-0005-0000-0000-00006F060000}"/>
    <cellStyle name="Normal 3 2 29" xfId="1648" xr:uid="{00000000-0005-0000-0000-000070060000}"/>
    <cellStyle name="Normal 3 2 3" xfId="1649" xr:uid="{00000000-0005-0000-0000-000071060000}"/>
    <cellStyle name="Normal 3 2 30" xfId="1650" xr:uid="{00000000-0005-0000-0000-000072060000}"/>
    <cellStyle name="Normal 3 2 31" xfId="1651" xr:uid="{00000000-0005-0000-0000-000073060000}"/>
    <cellStyle name="Normal 3 2 32" xfId="1652" xr:uid="{00000000-0005-0000-0000-000074060000}"/>
    <cellStyle name="Normal 3 2 33" xfId="1653" xr:uid="{00000000-0005-0000-0000-000075060000}"/>
    <cellStyle name="Normal 3 2 34" xfId="1654" xr:uid="{00000000-0005-0000-0000-000076060000}"/>
    <cellStyle name="Normal 3 2 35" xfId="1655" xr:uid="{00000000-0005-0000-0000-000077060000}"/>
    <cellStyle name="Normal 3 2 36" xfId="1656" xr:uid="{00000000-0005-0000-0000-000078060000}"/>
    <cellStyle name="Normal 3 2 37" xfId="1657" xr:uid="{00000000-0005-0000-0000-000079060000}"/>
    <cellStyle name="Normal 3 2 38" xfId="1658" xr:uid="{00000000-0005-0000-0000-00007A060000}"/>
    <cellStyle name="Normal 3 2 39" xfId="1659" xr:uid="{00000000-0005-0000-0000-00007B060000}"/>
    <cellStyle name="Normal 3 2 4" xfId="1660" xr:uid="{00000000-0005-0000-0000-00007C060000}"/>
    <cellStyle name="Normal 3 2 40" xfId="1661" xr:uid="{00000000-0005-0000-0000-00007D060000}"/>
    <cellStyle name="Normal 3 2 41" xfId="1662" xr:uid="{00000000-0005-0000-0000-00007E060000}"/>
    <cellStyle name="Normal 3 2 42" xfId="1663" xr:uid="{00000000-0005-0000-0000-00007F060000}"/>
    <cellStyle name="Normal 3 2 43" xfId="1664" xr:uid="{00000000-0005-0000-0000-000080060000}"/>
    <cellStyle name="Normal 3 2 44" xfId="1665" xr:uid="{00000000-0005-0000-0000-000081060000}"/>
    <cellStyle name="Normal 3 2 45" xfId="1666" xr:uid="{00000000-0005-0000-0000-000082060000}"/>
    <cellStyle name="Normal 3 2 46" xfId="1667" xr:uid="{00000000-0005-0000-0000-000083060000}"/>
    <cellStyle name="Normal 3 2 47" xfId="1668" xr:uid="{00000000-0005-0000-0000-000084060000}"/>
    <cellStyle name="Normal 3 2 48" xfId="1669" xr:uid="{00000000-0005-0000-0000-000085060000}"/>
    <cellStyle name="Normal 3 2 49" xfId="1670" xr:uid="{00000000-0005-0000-0000-000086060000}"/>
    <cellStyle name="Normal 3 2 5" xfId="1671" xr:uid="{00000000-0005-0000-0000-000087060000}"/>
    <cellStyle name="Normal 3 2 50" xfId="1672" xr:uid="{00000000-0005-0000-0000-000088060000}"/>
    <cellStyle name="Normal 3 2 51" xfId="1673" xr:uid="{00000000-0005-0000-0000-000089060000}"/>
    <cellStyle name="Normal 3 2 52" xfId="1674" xr:uid="{00000000-0005-0000-0000-00008A060000}"/>
    <cellStyle name="Normal 3 2 53" xfId="1675" xr:uid="{00000000-0005-0000-0000-00008B060000}"/>
    <cellStyle name="Normal 3 2 54" xfId="1676" xr:uid="{00000000-0005-0000-0000-00008C060000}"/>
    <cellStyle name="Normal 3 2 55" xfId="1677" xr:uid="{00000000-0005-0000-0000-00008D060000}"/>
    <cellStyle name="Normal 3 2 56" xfId="1678" xr:uid="{00000000-0005-0000-0000-00008E060000}"/>
    <cellStyle name="Normal 3 2 6" xfId="1679" xr:uid="{00000000-0005-0000-0000-00008F060000}"/>
    <cellStyle name="Normal 3 2 7" xfId="1680" xr:uid="{00000000-0005-0000-0000-000090060000}"/>
    <cellStyle name="Normal 3 2 8" xfId="1681" xr:uid="{00000000-0005-0000-0000-000091060000}"/>
    <cellStyle name="Normal 3 2 9" xfId="1682" xr:uid="{00000000-0005-0000-0000-000092060000}"/>
    <cellStyle name="Normal 3 20" xfId="1683" xr:uid="{00000000-0005-0000-0000-000093060000}"/>
    <cellStyle name="Normal 3 20 10" xfId="1684" xr:uid="{00000000-0005-0000-0000-000094060000}"/>
    <cellStyle name="Normal 3 20 11" xfId="1685" xr:uid="{00000000-0005-0000-0000-000095060000}"/>
    <cellStyle name="Normal 3 20 12" xfId="1686" xr:uid="{00000000-0005-0000-0000-000096060000}"/>
    <cellStyle name="Normal 3 20 13" xfId="1687" xr:uid="{00000000-0005-0000-0000-000097060000}"/>
    <cellStyle name="Normal 3 20 14" xfId="1688" xr:uid="{00000000-0005-0000-0000-000098060000}"/>
    <cellStyle name="Normal 3 20 15" xfId="1689" xr:uid="{00000000-0005-0000-0000-000099060000}"/>
    <cellStyle name="Normal 3 20 16" xfId="1690" xr:uid="{00000000-0005-0000-0000-00009A060000}"/>
    <cellStyle name="Normal 3 20 17" xfId="1691" xr:uid="{00000000-0005-0000-0000-00009B060000}"/>
    <cellStyle name="Normal 3 20 18" xfId="1692" xr:uid="{00000000-0005-0000-0000-00009C060000}"/>
    <cellStyle name="Normal 3 20 19" xfId="1693" xr:uid="{00000000-0005-0000-0000-00009D060000}"/>
    <cellStyle name="Normal 3 20 2" xfId="1694" xr:uid="{00000000-0005-0000-0000-00009E060000}"/>
    <cellStyle name="Normal 3 20 20" xfId="1695" xr:uid="{00000000-0005-0000-0000-00009F060000}"/>
    <cellStyle name="Normal 3 20 21" xfId="1696" xr:uid="{00000000-0005-0000-0000-0000A0060000}"/>
    <cellStyle name="Normal 3 20 22" xfId="1697" xr:uid="{00000000-0005-0000-0000-0000A1060000}"/>
    <cellStyle name="Normal 3 20 23" xfId="1698" xr:uid="{00000000-0005-0000-0000-0000A2060000}"/>
    <cellStyle name="Normal 3 20 3" xfId="1699" xr:uid="{00000000-0005-0000-0000-0000A3060000}"/>
    <cellStyle name="Normal 3 20 4" xfId="1700" xr:uid="{00000000-0005-0000-0000-0000A4060000}"/>
    <cellStyle name="Normal 3 20 5" xfId="1701" xr:uid="{00000000-0005-0000-0000-0000A5060000}"/>
    <cellStyle name="Normal 3 20 6" xfId="1702" xr:uid="{00000000-0005-0000-0000-0000A6060000}"/>
    <cellStyle name="Normal 3 20 7" xfId="1703" xr:uid="{00000000-0005-0000-0000-0000A7060000}"/>
    <cellStyle name="Normal 3 20 8" xfId="1704" xr:uid="{00000000-0005-0000-0000-0000A8060000}"/>
    <cellStyle name="Normal 3 20 9" xfId="1705" xr:uid="{00000000-0005-0000-0000-0000A9060000}"/>
    <cellStyle name="Normal 3 21" xfId="1706" xr:uid="{00000000-0005-0000-0000-0000AA060000}"/>
    <cellStyle name="Normal 3 21 10" xfId="1707" xr:uid="{00000000-0005-0000-0000-0000AB060000}"/>
    <cellStyle name="Normal 3 21 11" xfId="1708" xr:uid="{00000000-0005-0000-0000-0000AC060000}"/>
    <cellStyle name="Normal 3 21 12" xfId="1709" xr:uid="{00000000-0005-0000-0000-0000AD060000}"/>
    <cellStyle name="Normal 3 21 13" xfId="1710" xr:uid="{00000000-0005-0000-0000-0000AE060000}"/>
    <cellStyle name="Normal 3 21 14" xfId="1711" xr:uid="{00000000-0005-0000-0000-0000AF060000}"/>
    <cellStyle name="Normal 3 21 15" xfId="1712" xr:uid="{00000000-0005-0000-0000-0000B0060000}"/>
    <cellStyle name="Normal 3 21 16" xfId="1713" xr:uid="{00000000-0005-0000-0000-0000B1060000}"/>
    <cellStyle name="Normal 3 21 17" xfId="1714" xr:uid="{00000000-0005-0000-0000-0000B2060000}"/>
    <cellStyle name="Normal 3 21 18" xfId="1715" xr:uid="{00000000-0005-0000-0000-0000B3060000}"/>
    <cellStyle name="Normal 3 21 19" xfId="1716" xr:uid="{00000000-0005-0000-0000-0000B4060000}"/>
    <cellStyle name="Normal 3 21 2" xfId="1717" xr:uid="{00000000-0005-0000-0000-0000B5060000}"/>
    <cellStyle name="Normal 3 21 20" xfId="1718" xr:uid="{00000000-0005-0000-0000-0000B6060000}"/>
    <cellStyle name="Normal 3 21 21" xfId="1719" xr:uid="{00000000-0005-0000-0000-0000B7060000}"/>
    <cellStyle name="Normal 3 21 22" xfId="1720" xr:uid="{00000000-0005-0000-0000-0000B8060000}"/>
    <cellStyle name="Normal 3 21 23" xfId="1721" xr:uid="{00000000-0005-0000-0000-0000B9060000}"/>
    <cellStyle name="Normal 3 21 3" xfId="1722" xr:uid="{00000000-0005-0000-0000-0000BA060000}"/>
    <cellStyle name="Normal 3 21 4" xfId="1723" xr:uid="{00000000-0005-0000-0000-0000BB060000}"/>
    <cellStyle name="Normal 3 21 5" xfId="1724" xr:uid="{00000000-0005-0000-0000-0000BC060000}"/>
    <cellStyle name="Normal 3 21 6" xfId="1725" xr:uid="{00000000-0005-0000-0000-0000BD060000}"/>
    <cellStyle name="Normal 3 21 7" xfId="1726" xr:uid="{00000000-0005-0000-0000-0000BE060000}"/>
    <cellStyle name="Normal 3 21 8" xfId="1727" xr:uid="{00000000-0005-0000-0000-0000BF060000}"/>
    <cellStyle name="Normal 3 21 9" xfId="1728" xr:uid="{00000000-0005-0000-0000-0000C0060000}"/>
    <cellStyle name="Normal 3 22" xfId="1729" xr:uid="{00000000-0005-0000-0000-0000C1060000}"/>
    <cellStyle name="Normal 3 22 10" xfId="1730" xr:uid="{00000000-0005-0000-0000-0000C2060000}"/>
    <cellStyle name="Normal 3 22 11" xfId="1731" xr:uid="{00000000-0005-0000-0000-0000C3060000}"/>
    <cellStyle name="Normal 3 22 12" xfId="1732" xr:uid="{00000000-0005-0000-0000-0000C4060000}"/>
    <cellStyle name="Normal 3 22 13" xfId="1733" xr:uid="{00000000-0005-0000-0000-0000C5060000}"/>
    <cellStyle name="Normal 3 22 14" xfId="1734" xr:uid="{00000000-0005-0000-0000-0000C6060000}"/>
    <cellStyle name="Normal 3 22 15" xfId="1735" xr:uid="{00000000-0005-0000-0000-0000C7060000}"/>
    <cellStyle name="Normal 3 22 16" xfId="1736" xr:uid="{00000000-0005-0000-0000-0000C8060000}"/>
    <cellStyle name="Normal 3 22 17" xfId="1737" xr:uid="{00000000-0005-0000-0000-0000C9060000}"/>
    <cellStyle name="Normal 3 22 18" xfId="1738" xr:uid="{00000000-0005-0000-0000-0000CA060000}"/>
    <cellStyle name="Normal 3 22 19" xfId="1739" xr:uid="{00000000-0005-0000-0000-0000CB060000}"/>
    <cellStyle name="Normal 3 22 2" xfId="1740" xr:uid="{00000000-0005-0000-0000-0000CC060000}"/>
    <cellStyle name="Normal 3 22 20" xfId="1741" xr:uid="{00000000-0005-0000-0000-0000CD060000}"/>
    <cellStyle name="Normal 3 22 21" xfId="1742" xr:uid="{00000000-0005-0000-0000-0000CE060000}"/>
    <cellStyle name="Normal 3 22 22" xfId="1743" xr:uid="{00000000-0005-0000-0000-0000CF060000}"/>
    <cellStyle name="Normal 3 22 23" xfId="1744" xr:uid="{00000000-0005-0000-0000-0000D0060000}"/>
    <cellStyle name="Normal 3 22 3" xfId="1745" xr:uid="{00000000-0005-0000-0000-0000D1060000}"/>
    <cellStyle name="Normal 3 22 4" xfId="1746" xr:uid="{00000000-0005-0000-0000-0000D2060000}"/>
    <cellStyle name="Normal 3 22 5" xfId="1747" xr:uid="{00000000-0005-0000-0000-0000D3060000}"/>
    <cellStyle name="Normal 3 22 6" xfId="1748" xr:uid="{00000000-0005-0000-0000-0000D4060000}"/>
    <cellStyle name="Normal 3 22 7" xfId="1749" xr:uid="{00000000-0005-0000-0000-0000D5060000}"/>
    <cellStyle name="Normal 3 22 8" xfId="1750" xr:uid="{00000000-0005-0000-0000-0000D6060000}"/>
    <cellStyle name="Normal 3 22 9" xfId="1751" xr:uid="{00000000-0005-0000-0000-0000D7060000}"/>
    <cellStyle name="Normal 3 23" xfId="1752" xr:uid="{00000000-0005-0000-0000-0000D8060000}"/>
    <cellStyle name="Normal 3 23 10" xfId="1753" xr:uid="{00000000-0005-0000-0000-0000D9060000}"/>
    <cellStyle name="Normal 3 23 11" xfId="1754" xr:uid="{00000000-0005-0000-0000-0000DA060000}"/>
    <cellStyle name="Normal 3 23 12" xfId="1755" xr:uid="{00000000-0005-0000-0000-0000DB060000}"/>
    <cellStyle name="Normal 3 23 13" xfId="1756" xr:uid="{00000000-0005-0000-0000-0000DC060000}"/>
    <cellStyle name="Normal 3 23 14" xfId="1757" xr:uid="{00000000-0005-0000-0000-0000DD060000}"/>
    <cellStyle name="Normal 3 23 15" xfId="1758" xr:uid="{00000000-0005-0000-0000-0000DE060000}"/>
    <cellStyle name="Normal 3 23 16" xfId="1759" xr:uid="{00000000-0005-0000-0000-0000DF060000}"/>
    <cellStyle name="Normal 3 23 17" xfId="1760" xr:uid="{00000000-0005-0000-0000-0000E0060000}"/>
    <cellStyle name="Normal 3 23 18" xfId="1761" xr:uid="{00000000-0005-0000-0000-0000E1060000}"/>
    <cellStyle name="Normal 3 23 19" xfId="1762" xr:uid="{00000000-0005-0000-0000-0000E2060000}"/>
    <cellStyle name="Normal 3 23 2" xfId="1763" xr:uid="{00000000-0005-0000-0000-0000E3060000}"/>
    <cellStyle name="Normal 3 23 20" xfId="1764" xr:uid="{00000000-0005-0000-0000-0000E4060000}"/>
    <cellStyle name="Normal 3 23 21" xfId="1765" xr:uid="{00000000-0005-0000-0000-0000E5060000}"/>
    <cellStyle name="Normal 3 23 22" xfId="1766" xr:uid="{00000000-0005-0000-0000-0000E6060000}"/>
    <cellStyle name="Normal 3 23 23" xfId="1767" xr:uid="{00000000-0005-0000-0000-0000E7060000}"/>
    <cellStyle name="Normal 3 23 3" xfId="1768" xr:uid="{00000000-0005-0000-0000-0000E8060000}"/>
    <cellStyle name="Normal 3 23 4" xfId="1769" xr:uid="{00000000-0005-0000-0000-0000E9060000}"/>
    <cellStyle name="Normal 3 23 5" xfId="1770" xr:uid="{00000000-0005-0000-0000-0000EA060000}"/>
    <cellStyle name="Normal 3 23 6" xfId="1771" xr:uid="{00000000-0005-0000-0000-0000EB060000}"/>
    <cellStyle name="Normal 3 23 7" xfId="1772" xr:uid="{00000000-0005-0000-0000-0000EC060000}"/>
    <cellStyle name="Normal 3 23 8" xfId="1773" xr:uid="{00000000-0005-0000-0000-0000ED060000}"/>
    <cellStyle name="Normal 3 23 9" xfId="1774" xr:uid="{00000000-0005-0000-0000-0000EE060000}"/>
    <cellStyle name="Normal 3 24" xfId="1775" xr:uid="{00000000-0005-0000-0000-0000EF060000}"/>
    <cellStyle name="Normal 3 24 10" xfId="1776" xr:uid="{00000000-0005-0000-0000-0000F0060000}"/>
    <cellStyle name="Normal 3 24 11" xfId="1777" xr:uid="{00000000-0005-0000-0000-0000F1060000}"/>
    <cellStyle name="Normal 3 24 12" xfId="1778" xr:uid="{00000000-0005-0000-0000-0000F2060000}"/>
    <cellStyle name="Normal 3 24 13" xfId="1779" xr:uid="{00000000-0005-0000-0000-0000F3060000}"/>
    <cellStyle name="Normal 3 24 14" xfId="1780" xr:uid="{00000000-0005-0000-0000-0000F4060000}"/>
    <cellStyle name="Normal 3 24 15" xfId="1781" xr:uid="{00000000-0005-0000-0000-0000F5060000}"/>
    <cellStyle name="Normal 3 24 16" xfId="1782" xr:uid="{00000000-0005-0000-0000-0000F6060000}"/>
    <cellStyle name="Normal 3 24 17" xfId="1783" xr:uid="{00000000-0005-0000-0000-0000F7060000}"/>
    <cellStyle name="Normal 3 24 18" xfId="1784" xr:uid="{00000000-0005-0000-0000-0000F8060000}"/>
    <cellStyle name="Normal 3 24 19" xfId="1785" xr:uid="{00000000-0005-0000-0000-0000F9060000}"/>
    <cellStyle name="Normal 3 24 2" xfId="1786" xr:uid="{00000000-0005-0000-0000-0000FA060000}"/>
    <cellStyle name="Normal 3 24 20" xfId="1787" xr:uid="{00000000-0005-0000-0000-0000FB060000}"/>
    <cellStyle name="Normal 3 24 21" xfId="1788" xr:uid="{00000000-0005-0000-0000-0000FC060000}"/>
    <cellStyle name="Normal 3 24 22" xfId="1789" xr:uid="{00000000-0005-0000-0000-0000FD060000}"/>
    <cellStyle name="Normal 3 24 23" xfId="1790" xr:uid="{00000000-0005-0000-0000-0000FE060000}"/>
    <cellStyle name="Normal 3 24 3" xfId="1791" xr:uid="{00000000-0005-0000-0000-0000FF060000}"/>
    <cellStyle name="Normal 3 24 4" xfId="1792" xr:uid="{00000000-0005-0000-0000-000000070000}"/>
    <cellStyle name="Normal 3 24 5" xfId="1793" xr:uid="{00000000-0005-0000-0000-000001070000}"/>
    <cellStyle name="Normal 3 24 6" xfId="1794" xr:uid="{00000000-0005-0000-0000-000002070000}"/>
    <cellStyle name="Normal 3 24 7" xfId="1795" xr:uid="{00000000-0005-0000-0000-000003070000}"/>
    <cellStyle name="Normal 3 24 8" xfId="1796" xr:uid="{00000000-0005-0000-0000-000004070000}"/>
    <cellStyle name="Normal 3 24 9" xfId="1797" xr:uid="{00000000-0005-0000-0000-000005070000}"/>
    <cellStyle name="Normal 3 25" xfId="1798" xr:uid="{00000000-0005-0000-0000-000006070000}"/>
    <cellStyle name="Normal 3 25 10" xfId="1799" xr:uid="{00000000-0005-0000-0000-000007070000}"/>
    <cellStyle name="Normal 3 25 11" xfId="1800" xr:uid="{00000000-0005-0000-0000-000008070000}"/>
    <cellStyle name="Normal 3 25 12" xfId="1801" xr:uid="{00000000-0005-0000-0000-000009070000}"/>
    <cellStyle name="Normal 3 25 13" xfId="1802" xr:uid="{00000000-0005-0000-0000-00000A070000}"/>
    <cellStyle name="Normal 3 25 14" xfId="1803" xr:uid="{00000000-0005-0000-0000-00000B070000}"/>
    <cellStyle name="Normal 3 25 15" xfId="1804" xr:uid="{00000000-0005-0000-0000-00000C070000}"/>
    <cellStyle name="Normal 3 25 16" xfId="1805" xr:uid="{00000000-0005-0000-0000-00000D070000}"/>
    <cellStyle name="Normal 3 25 17" xfId="1806" xr:uid="{00000000-0005-0000-0000-00000E070000}"/>
    <cellStyle name="Normal 3 25 18" xfId="1807" xr:uid="{00000000-0005-0000-0000-00000F070000}"/>
    <cellStyle name="Normal 3 25 19" xfId="1808" xr:uid="{00000000-0005-0000-0000-000010070000}"/>
    <cellStyle name="Normal 3 25 2" xfId="1809" xr:uid="{00000000-0005-0000-0000-000011070000}"/>
    <cellStyle name="Normal 3 25 20" xfId="1810" xr:uid="{00000000-0005-0000-0000-000012070000}"/>
    <cellStyle name="Normal 3 25 21" xfId="1811" xr:uid="{00000000-0005-0000-0000-000013070000}"/>
    <cellStyle name="Normal 3 25 22" xfId="1812" xr:uid="{00000000-0005-0000-0000-000014070000}"/>
    <cellStyle name="Normal 3 25 23" xfId="1813" xr:uid="{00000000-0005-0000-0000-000015070000}"/>
    <cellStyle name="Normal 3 25 3" xfId="1814" xr:uid="{00000000-0005-0000-0000-000016070000}"/>
    <cellStyle name="Normal 3 25 4" xfId="1815" xr:uid="{00000000-0005-0000-0000-000017070000}"/>
    <cellStyle name="Normal 3 25 5" xfId="1816" xr:uid="{00000000-0005-0000-0000-000018070000}"/>
    <cellStyle name="Normal 3 25 6" xfId="1817" xr:uid="{00000000-0005-0000-0000-000019070000}"/>
    <cellStyle name="Normal 3 25 7" xfId="1818" xr:uid="{00000000-0005-0000-0000-00001A070000}"/>
    <cellStyle name="Normal 3 25 8" xfId="1819" xr:uid="{00000000-0005-0000-0000-00001B070000}"/>
    <cellStyle name="Normal 3 25 9" xfId="1820" xr:uid="{00000000-0005-0000-0000-00001C070000}"/>
    <cellStyle name="Normal 3 26" xfId="1821" xr:uid="{00000000-0005-0000-0000-00001D070000}"/>
    <cellStyle name="Normal 3 26 10" xfId="1822" xr:uid="{00000000-0005-0000-0000-00001E070000}"/>
    <cellStyle name="Normal 3 26 11" xfId="1823" xr:uid="{00000000-0005-0000-0000-00001F070000}"/>
    <cellStyle name="Normal 3 26 12" xfId="1824" xr:uid="{00000000-0005-0000-0000-000020070000}"/>
    <cellStyle name="Normal 3 26 13" xfId="1825" xr:uid="{00000000-0005-0000-0000-000021070000}"/>
    <cellStyle name="Normal 3 26 14" xfId="1826" xr:uid="{00000000-0005-0000-0000-000022070000}"/>
    <cellStyle name="Normal 3 26 15" xfId="1827" xr:uid="{00000000-0005-0000-0000-000023070000}"/>
    <cellStyle name="Normal 3 26 16" xfId="1828" xr:uid="{00000000-0005-0000-0000-000024070000}"/>
    <cellStyle name="Normal 3 26 17" xfId="1829" xr:uid="{00000000-0005-0000-0000-000025070000}"/>
    <cellStyle name="Normal 3 26 18" xfId="1830" xr:uid="{00000000-0005-0000-0000-000026070000}"/>
    <cellStyle name="Normal 3 26 19" xfId="1831" xr:uid="{00000000-0005-0000-0000-000027070000}"/>
    <cellStyle name="Normal 3 26 2" xfId="1832" xr:uid="{00000000-0005-0000-0000-000028070000}"/>
    <cellStyle name="Normal 3 26 20" xfId="1833" xr:uid="{00000000-0005-0000-0000-000029070000}"/>
    <cellStyle name="Normal 3 26 21" xfId="1834" xr:uid="{00000000-0005-0000-0000-00002A070000}"/>
    <cellStyle name="Normal 3 26 22" xfId="1835" xr:uid="{00000000-0005-0000-0000-00002B070000}"/>
    <cellStyle name="Normal 3 26 23" xfId="1836" xr:uid="{00000000-0005-0000-0000-00002C070000}"/>
    <cellStyle name="Normal 3 26 3" xfId="1837" xr:uid="{00000000-0005-0000-0000-00002D070000}"/>
    <cellStyle name="Normal 3 26 4" xfId="1838" xr:uid="{00000000-0005-0000-0000-00002E070000}"/>
    <cellStyle name="Normal 3 26 5" xfId="1839" xr:uid="{00000000-0005-0000-0000-00002F070000}"/>
    <cellStyle name="Normal 3 26 6" xfId="1840" xr:uid="{00000000-0005-0000-0000-000030070000}"/>
    <cellStyle name="Normal 3 26 7" xfId="1841" xr:uid="{00000000-0005-0000-0000-000031070000}"/>
    <cellStyle name="Normal 3 26 8" xfId="1842" xr:uid="{00000000-0005-0000-0000-000032070000}"/>
    <cellStyle name="Normal 3 26 9" xfId="1843" xr:uid="{00000000-0005-0000-0000-000033070000}"/>
    <cellStyle name="Normal 3 27" xfId="1844" xr:uid="{00000000-0005-0000-0000-000034070000}"/>
    <cellStyle name="Normal 3 27 10" xfId="1845" xr:uid="{00000000-0005-0000-0000-000035070000}"/>
    <cellStyle name="Normal 3 27 11" xfId="1846" xr:uid="{00000000-0005-0000-0000-000036070000}"/>
    <cellStyle name="Normal 3 27 12" xfId="1847" xr:uid="{00000000-0005-0000-0000-000037070000}"/>
    <cellStyle name="Normal 3 27 13" xfId="1848" xr:uid="{00000000-0005-0000-0000-000038070000}"/>
    <cellStyle name="Normal 3 27 14" xfId="1849" xr:uid="{00000000-0005-0000-0000-000039070000}"/>
    <cellStyle name="Normal 3 27 15" xfId="1850" xr:uid="{00000000-0005-0000-0000-00003A070000}"/>
    <cellStyle name="Normal 3 27 16" xfId="1851" xr:uid="{00000000-0005-0000-0000-00003B070000}"/>
    <cellStyle name="Normal 3 27 17" xfId="1852" xr:uid="{00000000-0005-0000-0000-00003C070000}"/>
    <cellStyle name="Normal 3 27 18" xfId="1853" xr:uid="{00000000-0005-0000-0000-00003D070000}"/>
    <cellStyle name="Normal 3 27 19" xfId="1854" xr:uid="{00000000-0005-0000-0000-00003E070000}"/>
    <cellStyle name="Normal 3 27 2" xfId="1855" xr:uid="{00000000-0005-0000-0000-00003F070000}"/>
    <cellStyle name="Normal 3 27 20" xfId="1856" xr:uid="{00000000-0005-0000-0000-000040070000}"/>
    <cellStyle name="Normal 3 27 21" xfId="1857" xr:uid="{00000000-0005-0000-0000-000041070000}"/>
    <cellStyle name="Normal 3 27 22" xfId="1858" xr:uid="{00000000-0005-0000-0000-000042070000}"/>
    <cellStyle name="Normal 3 27 23" xfId="1859" xr:uid="{00000000-0005-0000-0000-000043070000}"/>
    <cellStyle name="Normal 3 27 3" xfId="1860" xr:uid="{00000000-0005-0000-0000-000044070000}"/>
    <cellStyle name="Normal 3 27 4" xfId="1861" xr:uid="{00000000-0005-0000-0000-000045070000}"/>
    <cellStyle name="Normal 3 27 5" xfId="1862" xr:uid="{00000000-0005-0000-0000-000046070000}"/>
    <cellStyle name="Normal 3 27 6" xfId="1863" xr:uid="{00000000-0005-0000-0000-000047070000}"/>
    <cellStyle name="Normal 3 27 7" xfId="1864" xr:uid="{00000000-0005-0000-0000-000048070000}"/>
    <cellStyle name="Normal 3 27 8" xfId="1865" xr:uid="{00000000-0005-0000-0000-000049070000}"/>
    <cellStyle name="Normal 3 27 9" xfId="1866" xr:uid="{00000000-0005-0000-0000-00004A070000}"/>
    <cellStyle name="Normal 3 28" xfId="1867" xr:uid="{00000000-0005-0000-0000-00004B070000}"/>
    <cellStyle name="Normal 3 28 10" xfId="1868" xr:uid="{00000000-0005-0000-0000-00004C070000}"/>
    <cellStyle name="Normal 3 28 11" xfId="1869" xr:uid="{00000000-0005-0000-0000-00004D070000}"/>
    <cellStyle name="Normal 3 28 12" xfId="1870" xr:uid="{00000000-0005-0000-0000-00004E070000}"/>
    <cellStyle name="Normal 3 28 13" xfId="1871" xr:uid="{00000000-0005-0000-0000-00004F070000}"/>
    <cellStyle name="Normal 3 28 14" xfId="1872" xr:uid="{00000000-0005-0000-0000-000050070000}"/>
    <cellStyle name="Normal 3 28 15" xfId="1873" xr:uid="{00000000-0005-0000-0000-000051070000}"/>
    <cellStyle name="Normal 3 28 16" xfId="1874" xr:uid="{00000000-0005-0000-0000-000052070000}"/>
    <cellStyle name="Normal 3 28 17" xfId="1875" xr:uid="{00000000-0005-0000-0000-000053070000}"/>
    <cellStyle name="Normal 3 28 18" xfId="1876" xr:uid="{00000000-0005-0000-0000-000054070000}"/>
    <cellStyle name="Normal 3 28 19" xfId="1877" xr:uid="{00000000-0005-0000-0000-000055070000}"/>
    <cellStyle name="Normal 3 28 2" xfId="1878" xr:uid="{00000000-0005-0000-0000-000056070000}"/>
    <cellStyle name="Normal 3 28 20" xfId="1879" xr:uid="{00000000-0005-0000-0000-000057070000}"/>
    <cellStyle name="Normal 3 28 21" xfId="1880" xr:uid="{00000000-0005-0000-0000-000058070000}"/>
    <cellStyle name="Normal 3 28 22" xfId="1881" xr:uid="{00000000-0005-0000-0000-000059070000}"/>
    <cellStyle name="Normal 3 28 23" xfId="1882" xr:uid="{00000000-0005-0000-0000-00005A070000}"/>
    <cellStyle name="Normal 3 28 3" xfId="1883" xr:uid="{00000000-0005-0000-0000-00005B070000}"/>
    <cellStyle name="Normal 3 28 4" xfId="1884" xr:uid="{00000000-0005-0000-0000-00005C070000}"/>
    <cellStyle name="Normal 3 28 5" xfId="1885" xr:uid="{00000000-0005-0000-0000-00005D070000}"/>
    <cellStyle name="Normal 3 28 6" xfId="1886" xr:uid="{00000000-0005-0000-0000-00005E070000}"/>
    <cellStyle name="Normal 3 28 7" xfId="1887" xr:uid="{00000000-0005-0000-0000-00005F070000}"/>
    <cellStyle name="Normal 3 28 8" xfId="1888" xr:uid="{00000000-0005-0000-0000-000060070000}"/>
    <cellStyle name="Normal 3 28 9" xfId="1889" xr:uid="{00000000-0005-0000-0000-000061070000}"/>
    <cellStyle name="Normal 3 29" xfId="1890" xr:uid="{00000000-0005-0000-0000-000062070000}"/>
    <cellStyle name="Normal 3 29 10" xfId="1891" xr:uid="{00000000-0005-0000-0000-000063070000}"/>
    <cellStyle name="Normal 3 29 11" xfId="1892" xr:uid="{00000000-0005-0000-0000-000064070000}"/>
    <cellStyle name="Normal 3 29 12" xfId="1893" xr:uid="{00000000-0005-0000-0000-000065070000}"/>
    <cellStyle name="Normal 3 29 13" xfId="1894" xr:uid="{00000000-0005-0000-0000-000066070000}"/>
    <cellStyle name="Normal 3 29 14" xfId="1895" xr:uid="{00000000-0005-0000-0000-000067070000}"/>
    <cellStyle name="Normal 3 29 15" xfId="1896" xr:uid="{00000000-0005-0000-0000-000068070000}"/>
    <cellStyle name="Normal 3 29 16" xfId="1897" xr:uid="{00000000-0005-0000-0000-000069070000}"/>
    <cellStyle name="Normal 3 29 17" xfId="1898" xr:uid="{00000000-0005-0000-0000-00006A070000}"/>
    <cellStyle name="Normal 3 29 18" xfId="1899" xr:uid="{00000000-0005-0000-0000-00006B070000}"/>
    <cellStyle name="Normal 3 29 19" xfId="1900" xr:uid="{00000000-0005-0000-0000-00006C070000}"/>
    <cellStyle name="Normal 3 29 2" xfId="1901" xr:uid="{00000000-0005-0000-0000-00006D070000}"/>
    <cellStyle name="Normal 3 29 20" xfId="1902" xr:uid="{00000000-0005-0000-0000-00006E070000}"/>
    <cellStyle name="Normal 3 29 21" xfId="1903" xr:uid="{00000000-0005-0000-0000-00006F070000}"/>
    <cellStyle name="Normal 3 29 22" xfId="1904" xr:uid="{00000000-0005-0000-0000-000070070000}"/>
    <cellStyle name="Normal 3 29 23" xfId="1905" xr:uid="{00000000-0005-0000-0000-000071070000}"/>
    <cellStyle name="Normal 3 29 3" xfId="1906" xr:uid="{00000000-0005-0000-0000-000072070000}"/>
    <cellStyle name="Normal 3 29 4" xfId="1907" xr:uid="{00000000-0005-0000-0000-000073070000}"/>
    <cellStyle name="Normal 3 29 5" xfId="1908" xr:uid="{00000000-0005-0000-0000-000074070000}"/>
    <cellStyle name="Normal 3 29 6" xfId="1909" xr:uid="{00000000-0005-0000-0000-000075070000}"/>
    <cellStyle name="Normal 3 29 7" xfId="1910" xr:uid="{00000000-0005-0000-0000-000076070000}"/>
    <cellStyle name="Normal 3 29 8" xfId="1911" xr:uid="{00000000-0005-0000-0000-000077070000}"/>
    <cellStyle name="Normal 3 29 9" xfId="1912" xr:uid="{00000000-0005-0000-0000-000078070000}"/>
    <cellStyle name="Normal 3 3" xfId="1913" xr:uid="{00000000-0005-0000-0000-000079070000}"/>
    <cellStyle name="Normal 3 3 10" xfId="1914" xr:uid="{00000000-0005-0000-0000-00007A070000}"/>
    <cellStyle name="Normal 3 3 11" xfId="1915" xr:uid="{00000000-0005-0000-0000-00007B070000}"/>
    <cellStyle name="Normal 3 3 12" xfId="1916" xr:uid="{00000000-0005-0000-0000-00007C070000}"/>
    <cellStyle name="Normal 3 3 13" xfId="1917" xr:uid="{00000000-0005-0000-0000-00007D070000}"/>
    <cellStyle name="Normal 3 3 14" xfId="1918" xr:uid="{00000000-0005-0000-0000-00007E070000}"/>
    <cellStyle name="Normal 3 3 15" xfId="1919" xr:uid="{00000000-0005-0000-0000-00007F070000}"/>
    <cellStyle name="Normal 3 3 16" xfId="1920" xr:uid="{00000000-0005-0000-0000-000080070000}"/>
    <cellStyle name="Normal 3 3 17" xfId="1921" xr:uid="{00000000-0005-0000-0000-000081070000}"/>
    <cellStyle name="Normal 3 3 18" xfId="1922" xr:uid="{00000000-0005-0000-0000-000082070000}"/>
    <cellStyle name="Normal 3 3 19" xfId="1923" xr:uid="{00000000-0005-0000-0000-000083070000}"/>
    <cellStyle name="Normal 3 3 2" xfId="1924" xr:uid="{00000000-0005-0000-0000-000084070000}"/>
    <cellStyle name="Normal 3 3 20" xfId="1925" xr:uid="{00000000-0005-0000-0000-000085070000}"/>
    <cellStyle name="Normal 3 3 21" xfId="1926" xr:uid="{00000000-0005-0000-0000-000086070000}"/>
    <cellStyle name="Normal 3 3 22" xfId="1927" xr:uid="{00000000-0005-0000-0000-000087070000}"/>
    <cellStyle name="Normal 3 3 23" xfId="1928" xr:uid="{00000000-0005-0000-0000-000088070000}"/>
    <cellStyle name="Normal 3 3 3" xfId="1929" xr:uid="{00000000-0005-0000-0000-000089070000}"/>
    <cellStyle name="Normal 3 3 4" xfId="1930" xr:uid="{00000000-0005-0000-0000-00008A070000}"/>
    <cellStyle name="Normal 3 3 5" xfId="1931" xr:uid="{00000000-0005-0000-0000-00008B070000}"/>
    <cellStyle name="Normal 3 3 6" xfId="1932" xr:uid="{00000000-0005-0000-0000-00008C070000}"/>
    <cellStyle name="Normal 3 3 7" xfId="1933" xr:uid="{00000000-0005-0000-0000-00008D070000}"/>
    <cellStyle name="Normal 3 3 8" xfId="1934" xr:uid="{00000000-0005-0000-0000-00008E070000}"/>
    <cellStyle name="Normal 3 3 9" xfId="1935" xr:uid="{00000000-0005-0000-0000-00008F070000}"/>
    <cellStyle name="Normal 3 30" xfId="1936" xr:uid="{00000000-0005-0000-0000-000090070000}"/>
    <cellStyle name="Normal 3 30 10" xfId="1937" xr:uid="{00000000-0005-0000-0000-000091070000}"/>
    <cellStyle name="Normal 3 30 11" xfId="1938" xr:uid="{00000000-0005-0000-0000-000092070000}"/>
    <cellStyle name="Normal 3 30 12" xfId="1939" xr:uid="{00000000-0005-0000-0000-000093070000}"/>
    <cellStyle name="Normal 3 30 13" xfId="1940" xr:uid="{00000000-0005-0000-0000-000094070000}"/>
    <cellStyle name="Normal 3 30 14" xfId="1941" xr:uid="{00000000-0005-0000-0000-000095070000}"/>
    <cellStyle name="Normal 3 30 15" xfId="1942" xr:uid="{00000000-0005-0000-0000-000096070000}"/>
    <cellStyle name="Normal 3 30 16" xfId="1943" xr:uid="{00000000-0005-0000-0000-000097070000}"/>
    <cellStyle name="Normal 3 30 17" xfId="1944" xr:uid="{00000000-0005-0000-0000-000098070000}"/>
    <cellStyle name="Normal 3 30 18" xfId="1945" xr:uid="{00000000-0005-0000-0000-000099070000}"/>
    <cellStyle name="Normal 3 30 19" xfId="1946" xr:uid="{00000000-0005-0000-0000-00009A070000}"/>
    <cellStyle name="Normal 3 30 2" xfId="1947" xr:uid="{00000000-0005-0000-0000-00009B070000}"/>
    <cellStyle name="Normal 3 30 20" xfId="1948" xr:uid="{00000000-0005-0000-0000-00009C070000}"/>
    <cellStyle name="Normal 3 30 21" xfId="1949" xr:uid="{00000000-0005-0000-0000-00009D070000}"/>
    <cellStyle name="Normal 3 30 22" xfId="1950" xr:uid="{00000000-0005-0000-0000-00009E070000}"/>
    <cellStyle name="Normal 3 30 23" xfId="1951" xr:uid="{00000000-0005-0000-0000-00009F070000}"/>
    <cellStyle name="Normal 3 30 3" xfId="1952" xr:uid="{00000000-0005-0000-0000-0000A0070000}"/>
    <cellStyle name="Normal 3 30 4" xfId="1953" xr:uid="{00000000-0005-0000-0000-0000A1070000}"/>
    <cellStyle name="Normal 3 30 5" xfId="1954" xr:uid="{00000000-0005-0000-0000-0000A2070000}"/>
    <cellStyle name="Normal 3 30 6" xfId="1955" xr:uid="{00000000-0005-0000-0000-0000A3070000}"/>
    <cellStyle name="Normal 3 30 7" xfId="1956" xr:uid="{00000000-0005-0000-0000-0000A4070000}"/>
    <cellStyle name="Normal 3 30 8" xfId="1957" xr:uid="{00000000-0005-0000-0000-0000A5070000}"/>
    <cellStyle name="Normal 3 30 9" xfId="1958" xr:uid="{00000000-0005-0000-0000-0000A6070000}"/>
    <cellStyle name="Normal 3 31" xfId="1959" xr:uid="{00000000-0005-0000-0000-0000A7070000}"/>
    <cellStyle name="Normal 3 31 10" xfId="1960" xr:uid="{00000000-0005-0000-0000-0000A8070000}"/>
    <cellStyle name="Normal 3 31 11" xfId="1961" xr:uid="{00000000-0005-0000-0000-0000A9070000}"/>
    <cellStyle name="Normal 3 31 12" xfId="1962" xr:uid="{00000000-0005-0000-0000-0000AA070000}"/>
    <cellStyle name="Normal 3 31 13" xfId="1963" xr:uid="{00000000-0005-0000-0000-0000AB070000}"/>
    <cellStyle name="Normal 3 31 14" xfId="1964" xr:uid="{00000000-0005-0000-0000-0000AC070000}"/>
    <cellStyle name="Normal 3 31 15" xfId="1965" xr:uid="{00000000-0005-0000-0000-0000AD070000}"/>
    <cellStyle name="Normal 3 31 16" xfId="1966" xr:uid="{00000000-0005-0000-0000-0000AE070000}"/>
    <cellStyle name="Normal 3 31 17" xfId="1967" xr:uid="{00000000-0005-0000-0000-0000AF070000}"/>
    <cellStyle name="Normal 3 31 18" xfId="1968" xr:uid="{00000000-0005-0000-0000-0000B0070000}"/>
    <cellStyle name="Normal 3 31 19" xfId="1969" xr:uid="{00000000-0005-0000-0000-0000B1070000}"/>
    <cellStyle name="Normal 3 31 2" xfId="1970" xr:uid="{00000000-0005-0000-0000-0000B2070000}"/>
    <cellStyle name="Normal 3 31 20" xfId="1971" xr:uid="{00000000-0005-0000-0000-0000B3070000}"/>
    <cellStyle name="Normal 3 31 21" xfId="1972" xr:uid="{00000000-0005-0000-0000-0000B4070000}"/>
    <cellStyle name="Normal 3 31 22" xfId="1973" xr:uid="{00000000-0005-0000-0000-0000B5070000}"/>
    <cellStyle name="Normal 3 31 23" xfId="1974" xr:uid="{00000000-0005-0000-0000-0000B6070000}"/>
    <cellStyle name="Normal 3 31 3" xfId="1975" xr:uid="{00000000-0005-0000-0000-0000B7070000}"/>
    <cellStyle name="Normal 3 31 4" xfId="1976" xr:uid="{00000000-0005-0000-0000-0000B8070000}"/>
    <cellStyle name="Normal 3 31 5" xfId="1977" xr:uid="{00000000-0005-0000-0000-0000B9070000}"/>
    <cellStyle name="Normal 3 31 6" xfId="1978" xr:uid="{00000000-0005-0000-0000-0000BA070000}"/>
    <cellStyle name="Normal 3 31 7" xfId="1979" xr:uid="{00000000-0005-0000-0000-0000BB070000}"/>
    <cellStyle name="Normal 3 31 8" xfId="1980" xr:uid="{00000000-0005-0000-0000-0000BC070000}"/>
    <cellStyle name="Normal 3 31 9" xfId="1981" xr:uid="{00000000-0005-0000-0000-0000BD070000}"/>
    <cellStyle name="Normal 3 32" xfId="1982" xr:uid="{00000000-0005-0000-0000-0000BE070000}"/>
    <cellStyle name="Normal 3 32 10" xfId="1983" xr:uid="{00000000-0005-0000-0000-0000BF070000}"/>
    <cellStyle name="Normal 3 32 11" xfId="1984" xr:uid="{00000000-0005-0000-0000-0000C0070000}"/>
    <cellStyle name="Normal 3 32 12" xfId="1985" xr:uid="{00000000-0005-0000-0000-0000C1070000}"/>
    <cellStyle name="Normal 3 32 13" xfId="1986" xr:uid="{00000000-0005-0000-0000-0000C2070000}"/>
    <cellStyle name="Normal 3 32 14" xfId="1987" xr:uid="{00000000-0005-0000-0000-0000C3070000}"/>
    <cellStyle name="Normal 3 32 15" xfId="1988" xr:uid="{00000000-0005-0000-0000-0000C4070000}"/>
    <cellStyle name="Normal 3 32 16" xfId="1989" xr:uid="{00000000-0005-0000-0000-0000C5070000}"/>
    <cellStyle name="Normal 3 32 17" xfId="1990" xr:uid="{00000000-0005-0000-0000-0000C6070000}"/>
    <cellStyle name="Normal 3 32 18" xfId="1991" xr:uid="{00000000-0005-0000-0000-0000C7070000}"/>
    <cellStyle name="Normal 3 32 19" xfId="1992" xr:uid="{00000000-0005-0000-0000-0000C8070000}"/>
    <cellStyle name="Normal 3 32 2" xfId="1993" xr:uid="{00000000-0005-0000-0000-0000C9070000}"/>
    <cellStyle name="Normal 3 32 20" xfId="1994" xr:uid="{00000000-0005-0000-0000-0000CA070000}"/>
    <cellStyle name="Normal 3 32 21" xfId="1995" xr:uid="{00000000-0005-0000-0000-0000CB070000}"/>
    <cellStyle name="Normal 3 32 22" xfId="1996" xr:uid="{00000000-0005-0000-0000-0000CC070000}"/>
    <cellStyle name="Normal 3 32 23" xfId="1997" xr:uid="{00000000-0005-0000-0000-0000CD070000}"/>
    <cellStyle name="Normal 3 32 3" xfId="1998" xr:uid="{00000000-0005-0000-0000-0000CE070000}"/>
    <cellStyle name="Normal 3 32 4" xfId="1999" xr:uid="{00000000-0005-0000-0000-0000CF070000}"/>
    <cellStyle name="Normal 3 32 5" xfId="2000" xr:uid="{00000000-0005-0000-0000-0000D0070000}"/>
    <cellStyle name="Normal 3 32 6" xfId="2001" xr:uid="{00000000-0005-0000-0000-0000D1070000}"/>
    <cellStyle name="Normal 3 32 7" xfId="2002" xr:uid="{00000000-0005-0000-0000-0000D2070000}"/>
    <cellStyle name="Normal 3 32 8" xfId="2003" xr:uid="{00000000-0005-0000-0000-0000D3070000}"/>
    <cellStyle name="Normal 3 32 9" xfId="2004" xr:uid="{00000000-0005-0000-0000-0000D4070000}"/>
    <cellStyle name="Normal 3 33" xfId="2005" xr:uid="{00000000-0005-0000-0000-0000D5070000}"/>
    <cellStyle name="Normal 3 33 10" xfId="2006" xr:uid="{00000000-0005-0000-0000-0000D6070000}"/>
    <cellStyle name="Normal 3 33 11" xfId="2007" xr:uid="{00000000-0005-0000-0000-0000D7070000}"/>
    <cellStyle name="Normal 3 33 12" xfId="2008" xr:uid="{00000000-0005-0000-0000-0000D8070000}"/>
    <cellStyle name="Normal 3 33 13" xfId="2009" xr:uid="{00000000-0005-0000-0000-0000D9070000}"/>
    <cellStyle name="Normal 3 33 14" xfId="2010" xr:uid="{00000000-0005-0000-0000-0000DA070000}"/>
    <cellStyle name="Normal 3 33 15" xfId="2011" xr:uid="{00000000-0005-0000-0000-0000DB070000}"/>
    <cellStyle name="Normal 3 33 16" xfId="2012" xr:uid="{00000000-0005-0000-0000-0000DC070000}"/>
    <cellStyle name="Normal 3 33 17" xfId="2013" xr:uid="{00000000-0005-0000-0000-0000DD070000}"/>
    <cellStyle name="Normal 3 33 18" xfId="2014" xr:uid="{00000000-0005-0000-0000-0000DE070000}"/>
    <cellStyle name="Normal 3 33 19" xfId="2015" xr:uid="{00000000-0005-0000-0000-0000DF070000}"/>
    <cellStyle name="Normal 3 33 2" xfId="2016" xr:uid="{00000000-0005-0000-0000-0000E0070000}"/>
    <cellStyle name="Normal 3 33 20" xfId="2017" xr:uid="{00000000-0005-0000-0000-0000E1070000}"/>
    <cellStyle name="Normal 3 33 21" xfId="2018" xr:uid="{00000000-0005-0000-0000-0000E2070000}"/>
    <cellStyle name="Normal 3 33 22" xfId="2019" xr:uid="{00000000-0005-0000-0000-0000E3070000}"/>
    <cellStyle name="Normal 3 33 23" xfId="2020" xr:uid="{00000000-0005-0000-0000-0000E4070000}"/>
    <cellStyle name="Normal 3 33 3" xfId="2021" xr:uid="{00000000-0005-0000-0000-0000E5070000}"/>
    <cellStyle name="Normal 3 33 4" xfId="2022" xr:uid="{00000000-0005-0000-0000-0000E6070000}"/>
    <cellStyle name="Normal 3 33 5" xfId="2023" xr:uid="{00000000-0005-0000-0000-0000E7070000}"/>
    <cellStyle name="Normal 3 33 6" xfId="2024" xr:uid="{00000000-0005-0000-0000-0000E8070000}"/>
    <cellStyle name="Normal 3 33 7" xfId="2025" xr:uid="{00000000-0005-0000-0000-0000E9070000}"/>
    <cellStyle name="Normal 3 33 8" xfId="2026" xr:uid="{00000000-0005-0000-0000-0000EA070000}"/>
    <cellStyle name="Normal 3 33 9" xfId="2027" xr:uid="{00000000-0005-0000-0000-0000EB070000}"/>
    <cellStyle name="Normal 3 34" xfId="2028" xr:uid="{00000000-0005-0000-0000-0000EC070000}"/>
    <cellStyle name="Normal 3 35" xfId="2029" xr:uid="{00000000-0005-0000-0000-0000ED070000}"/>
    <cellStyle name="Normal 3 36" xfId="2030" xr:uid="{00000000-0005-0000-0000-0000EE070000}"/>
    <cellStyle name="Normal 3 37" xfId="2031" xr:uid="{00000000-0005-0000-0000-0000EF070000}"/>
    <cellStyle name="Normal 3 38" xfId="2032" xr:uid="{00000000-0005-0000-0000-0000F0070000}"/>
    <cellStyle name="Normal 3 39" xfId="2033" xr:uid="{00000000-0005-0000-0000-0000F1070000}"/>
    <cellStyle name="Normal 3 4" xfId="2034" xr:uid="{00000000-0005-0000-0000-0000F2070000}"/>
    <cellStyle name="Normal 3 4 10" xfId="2035" xr:uid="{00000000-0005-0000-0000-0000F3070000}"/>
    <cellStyle name="Normal 3 4 11" xfId="2036" xr:uid="{00000000-0005-0000-0000-0000F4070000}"/>
    <cellStyle name="Normal 3 4 12" xfId="2037" xr:uid="{00000000-0005-0000-0000-0000F5070000}"/>
    <cellStyle name="Normal 3 4 13" xfId="2038" xr:uid="{00000000-0005-0000-0000-0000F6070000}"/>
    <cellStyle name="Normal 3 4 14" xfId="2039" xr:uid="{00000000-0005-0000-0000-0000F7070000}"/>
    <cellStyle name="Normal 3 4 15" xfId="2040" xr:uid="{00000000-0005-0000-0000-0000F8070000}"/>
    <cellStyle name="Normal 3 4 16" xfId="2041" xr:uid="{00000000-0005-0000-0000-0000F9070000}"/>
    <cellStyle name="Normal 3 4 17" xfId="2042" xr:uid="{00000000-0005-0000-0000-0000FA070000}"/>
    <cellStyle name="Normal 3 4 18" xfId="2043" xr:uid="{00000000-0005-0000-0000-0000FB070000}"/>
    <cellStyle name="Normal 3 4 19" xfId="2044" xr:uid="{00000000-0005-0000-0000-0000FC070000}"/>
    <cellStyle name="Normal 3 4 2" xfId="2045" xr:uid="{00000000-0005-0000-0000-0000FD070000}"/>
    <cellStyle name="Normal 3 4 20" xfId="2046" xr:uid="{00000000-0005-0000-0000-0000FE070000}"/>
    <cellStyle name="Normal 3 4 21" xfId="2047" xr:uid="{00000000-0005-0000-0000-0000FF070000}"/>
    <cellStyle name="Normal 3 4 22" xfId="2048" xr:uid="{00000000-0005-0000-0000-000000080000}"/>
    <cellStyle name="Normal 3 4 23" xfId="2049" xr:uid="{00000000-0005-0000-0000-000001080000}"/>
    <cellStyle name="Normal 3 4 3" xfId="2050" xr:uid="{00000000-0005-0000-0000-000002080000}"/>
    <cellStyle name="Normal 3 4 4" xfId="2051" xr:uid="{00000000-0005-0000-0000-000003080000}"/>
    <cellStyle name="Normal 3 4 5" xfId="2052" xr:uid="{00000000-0005-0000-0000-000004080000}"/>
    <cellStyle name="Normal 3 4 6" xfId="2053" xr:uid="{00000000-0005-0000-0000-000005080000}"/>
    <cellStyle name="Normal 3 4 7" xfId="2054" xr:uid="{00000000-0005-0000-0000-000006080000}"/>
    <cellStyle name="Normal 3 4 8" xfId="2055" xr:uid="{00000000-0005-0000-0000-000007080000}"/>
    <cellStyle name="Normal 3 4 9" xfId="2056" xr:uid="{00000000-0005-0000-0000-000008080000}"/>
    <cellStyle name="Normal 3 40" xfId="2057" xr:uid="{00000000-0005-0000-0000-000009080000}"/>
    <cellStyle name="Normal 3 41" xfId="2058" xr:uid="{00000000-0005-0000-0000-00000A080000}"/>
    <cellStyle name="Normal 3 42" xfId="2059" xr:uid="{00000000-0005-0000-0000-00000B080000}"/>
    <cellStyle name="Normal 3 43" xfId="2060" xr:uid="{00000000-0005-0000-0000-00000C080000}"/>
    <cellStyle name="Normal 3 44" xfId="2061" xr:uid="{00000000-0005-0000-0000-00000D080000}"/>
    <cellStyle name="Normal 3 45" xfId="2062" xr:uid="{00000000-0005-0000-0000-00000E080000}"/>
    <cellStyle name="Normal 3 46" xfId="2063" xr:uid="{00000000-0005-0000-0000-00000F080000}"/>
    <cellStyle name="Normal 3 47" xfId="2064" xr:uid="{00000000-0005-0000-0000-000010080000}"/>
    <cellStyle name="Normal 3 48" xfId="2065" xr:uid="{00000000-0005-0000-0000-000011080000}"/>
    <cellStyle name="Normal 3 49" xfId="2066" xr:uid="{00000000-0005-0000-0000-000012080000}"/>
    <cellStyle name="Normal 3 5" xfId="2067" xr:uid="{00000000-0005-0000-0000-000013080000}"/>
    <cellStyle name="Normal 3 5 10" xfId="2068" xr:uid="{00000000-0005-0000-0000-000014080000}"/>
    <cellStyle name="Normal 3 5 11" xfId="2069" xr:uid="{00000000-0005-0000-0000-000015080000}"/>
    <cellStyle name="Normal 3 5 12" xfId="2070" xr:uid="{00000000-0005-0000-0000-000016080000}"/>
    <cellStyle name="Normal 3 5 13" xfId="2071" xr:uid="{00000000-0005-0000-0000-000017080000}"/>
    <cellStyle name="Normal 3 5 14" xfId="2072" xr:uid="{00000000-0005-0000-0000-000018080000}"/>
    <cellStyle name="Normal 3 5 15" xfId="2073" xr:uid="{00000000-0005-0000-0000-000019080000}"/>
    <cellStyle name="Normal 3 5 16" xfId="2074" xr:uid="{00000000-0005-0000-0000-00001A080000}"/>
    <cellStyle name="Normal 3 5 17" xfId="2075" xr:uid="{00000000-0005-0000-0000-00001B080000}"/>
    <cellStyle name="Normal 3 5 18" xfId="2076" xr:uid="{00000000-0005-0000-0000-00001C080000}"/>
    <cellStyle name="Normal 3 5 19" xfId="2077" xr:uid="{00000000-0005-0000-0000-00001D080000}"/>
    <cellStyle name="Normal 3 5 2" xfId="2078" xr:uid="{00000000-0005-0000-0000-00001E080000}"/>
    <cellStyle name="Normal 3 5 20" xfId="2079" xr:uid="{00000000-0005-0000-0000-00001F080000}"/>
    <cellStyle name="Normal 3 5 21" xfId="2080" xr:uid="{00000000-0005-0000-0000-000020080000}"/>
    <cellStyle name="Normal 3 5 22" xfId="2081" xr:uid="{00000000-0005-0000-0000-000021080000}"/>
    <cellStyle name="Normal 3 5 23" xfId="2082" xr:uid="{00000000-0005-0000-0000-000022080000}"/>
    <cellStyle name="Normal 3 5 3" xfId="2083" xr:uid="{00000000-0005-0000-0000-000023080000}"/>
    <cellStyle name="Normal 3 5 4" xfId="2084" xr:uid="{00000000-0005-0000-0000-000024080000}"/>
    <cellStyle name="Normal 3 5 5" xfId="2085" xr:uid="{00000000-0005-0000-0000-000025080000}"/>
    <cellStyle name="Normal 3 5 6" xfId="2086" xr:uid="{00000000-0005-0000-0000-000026080000}"/>
    <cellStyle name="Normal 3 5 7" xfId="2087" xr:uid="{00000000-0005-0000-0000-000027080000}"/>
    <cellStyle name="Normal 3 5 8" xfId="2088" xr:uid="{00000000-0005-0000-0000-000028080000}"/>
    <cellStyle name="Normal 3 5 9" xfId="2089" xr:uid="{00000000-0005-0000-0000-000029080000}"/>
    <cellStyle name="Normal 3 50" xfId="2090" xr:uid="{00000000-0005-0000-0000-00002A080000}"/>
    <cellStyle name="Normal 3 51" xfId="2091" xr:uid="{00000000-0005-0000-0000-00002B080000}"/>
    <cellStyle name="Normal 3 52" xfId="2092" xr:uid="{00000000-0005-0000-0000-00002C080000}"/>
    <cellStyle name="Normal 3 53" xfId="2093" xr:uid="{00000000-0005-0000-0000-00002D080000}"/>
    <cellStyle name="Normal 3 54" xfId="2094" xr:uid="{00000000-0005-0000-0000-00002E080000}"/>
    <cellStyle name="Normal 3 55" xfId="2095" xr:uid="{00000000-0005-0000-0000-00002F080000}"/>
    <cellStyle name="Normal 3 56" xfId="2096" xr:uid="{00000000-0005-0000-0000-000030080000}"/>
    <cellStyle name="Normal 3 57" xfId="2097" xr:uid="{00000000-0005-0000-0000-000031080000}"/>
    <cellStyle name="Normal 3 58" xfId="2098" xr:uid="{00000000-0005-0000-0000-000032080000}"/>
    <cellStyle name="Normal 3 59" xfId="2099" xr:uid="{00000000-0005-0000-0000-000033080000}"/>
    <cellStyle name="Normal 3 6" xfId="2100" xr:uid="{00000000-0005-0000-0000-000034080000}"/>
    <cellStyle name="Normal 3 6 10" xfId="2101" xr:uid="{00000000-0005-0000-0000-000035080000}"/>
    <cellStyle name="Normal 3 6 11" xfId="2102" xr:uid="{00000000-0005-0000-0000-000036080000}"/>
    <cellStyle name="Normal 3 6 12" xfId="2103" xr:uid="{00000000-0005-0000-0000-000037080000}"/>
    <cellStyle name="Normal 3 6 13" xfId="2104" xr:uid="{00000000-0005-0000-0000-000038080000}"/>
    <cellStyle name="Normal 3 6 14" xfId="2105" xr:uid="{00000000-0005-0000-0000-000039080000}"/>
    <cellStyle name="Normal 3 6 15" xfId="2106" xr:uid="{00000000-0005-0000-0000-00003A080000}"/>
    <cellStyle name="Normal 3 6 16" xfId="2107" xr:uid="{00000000-0005-0000-0000-00003B080000}"/>
    <cellStyle name="Normal 3 6 17" xfId="2108" xr:uid="{00000000-0005-0000-0000-00003C080000}"/>
    <cellStyle name="Normal 3 6 18" xfId="2109" xr:uid="{00000000-0005-0000-0000-00003D080000}"/>
    <cellStyle name="Normal 3 6 19" xfId="2110" xr:uid="{00000000-0005-0000-0000-00003E080000}"/>
    <cellStyle name="Normal 3 6 2" xfId="2111" xr:uid="{00000000-0005-0000-0000-00003F080000}"/>
    <cellStyle name="Normal 3 6 20" xfId="2112" xr:uid="{00000000-0005-0000-0000-000040080000}"/>
    <cellStyle name="Normal 3 6 21" xfId="2113" xr:uid="{00000000-0005-0000-0000-000041080000}"/>
    <cellStyle name="Normal 3 6 22" xfId="2114" xr:uid="{00000000-0005-0000-0000-000042080000}"/>
    <cellStyle name="Normal 3 6 23" xfId="2115" xr:uid="{00000000-0005-0000-0000-000043080000}"/>
    <cellStyle name="Normal 3 6 3" xfId="2116" xr:uid="{00000000-0005-0000-0000-000044080000}"/>
    <cellStyle name="Normal 3 6 4" xfId="2117" xr:uid="{00000000-0005-0000-0000-000045080000}"/>
    <cellStyle name="Normal 3 6 5" xfId="2118" xr:uid="{00000000-0005-0000-0000-000046080000}"/>
    <cellStyle name="Normal 3 6 6" xfId="2119" xr:uid="{00000000-0005-0000-0000-000047080000}"/>
    <cellStyle name="Normal 3 6 7" xfId="2120" xr:uid="{00000000-0005-0000-0000-000048080000}"/>
    <cellStyle name="Normal 3 6 8" xfId="2121" xr:uid="{00000000-0005-0000-0000-000049080000}"/>
    <cellStyle name="Normal 3 6 9" xfId="2122" xr:uid="{00000000-0005-0000-0000-00004A080000}"/>
    <cellStyle name="Normal 3 60" xfId="2123" xr:uid="{00000000-0005-0000-0000-00004B080000}"/>
    <cellStyle name="Normal 3 61" xfId="2124" xr:uid="{00000000-0005-0000-0000-00004C080000}"/>
    <cellStyle name="Normal 3 62" xfId="2125" xr:uid="{00000000-0005-0000-0000-00004D080000}"/>
    <cellStyle name="Normal 3 63" xfId="2126" xr:uid="{00000000-0005-0000-0000-00004E080000}"/>
    <cellStyle name="Normal 3 64" xfId="2127" xr:uid="{00000000-0005-0000-0000-00004F080000}"/>
    <cellStyle name="Normal 3 65" xfId="2128" xr:uid="{00000000-0005-0000-0000-000050080000}"/>
    <cellStyle name="Normal 3 66" xfId="2129" xr:uid="{00000000-0005-0000-0000-000051080000}"/>
    <cellStyle name="Normal 3 7" xfId="2130" xr:uid="{00000000-0005-0000-0000-000052080000}"/>
    <cellStyle name="Normal 3 7 10" xfId="2131" xr:uid="{00000000-0005-0000-0000-000053080000}"/>
    <cellStyle name="Normal 3 7 11" xfId="2132" xr:uid="{00000000-0005-0000-0000-000054080000}"/>
    <cellStyle name="Normal 3 7 12" xfId="2133" xr:uid="{00000000-0005-0000-0000-000055080000}"/>
    <cellStyle name="Normal 3 7 13" xfId="2134" xr:uid="{00000000-0005-0000-0000-000056080000}"/>
    <cellStyle name="Normal 3 7 14" xfId="2135" xr:uid="{00000000-0005-0000-0000-000057080000}"/>
    <cellStyle name="Normal 3 7 15" xfId="2136" xr:uid="{00000000-0005-0000-0000-000058080000}"/>
    <cellStyle name="Normal 3 7 16" xfId="2137" xr:uid="{00000000-0005-0000-0000-000059080000}"/>
    <cellStyle name="Normal 3 7 17" xfId="2138" xr:uid="{00000000-0005-0000-0000-00005A080000}"/>
    <cellStyle name="Normal 3 7 18" xfId="2139" xr:uid="{00000000-0005-0000-0000-00005B080000}"/>
    <cellStyle name="Normal 3 7 19" xfId="2140" xr:uid="{00000000-0005-0000-0000-00005C080000}"/>
    <cellStyle name="Normal 3 7 2" xfId="2141" xr:uid="{00000000-0005-0000-0000-00005D080000}"/>
    <cellStyle name="Normal 3 7 20" xfId="2142" xr:uid="{00000000-0005-0000-0000-00005E080000}"/>
    <cellStyle name="Normal 3 7 21" xfId="2143" xr:uid="{00000000-0005-0000-0000-00005F080000}"/>
    <cellStyle name="Normal 3 7 22" xfId="2144" xr:uid="{00000000-0005-0000-0000-000060080000}"/>
    <cellStyle name="Normal 3 7 23" xfId="2145" xr:uid="{00000000-0005-0000-0000-000061080000}"/>
    <cellStyle name="Normal 3 7 3" xfId="2146" xr:uid="{00000000-0005-0000-0000-000062080000}"/>
    <cellStyle name="Normal 3 7 4" xfId="2147" xr:uid="{00000000-0005-0000-0000-000063080000}"/>
    <cellStyle name="Normal 3 7 5" xfId="2148" xr:uid="{00000000-0005-0000-0000-000064080000}"/>
    <cellStyle name="Normal 3 7 6" xfId="2149" xr:uid="{00000000-0005-0000-0000-000065080000}"/>
    <cellStyle name="Normal 3 7 7" xfId="2150" xr:uid="{00000000-0005-0000-0000-000066080000}"/>
    <cellStyle name="Normal 3 7 8" xfId="2151" xr:uid="{00000000-0005-0000-0000-000067080000}"/>
    <cellStyle name="Normal 3 7 9" xfId="2152" xr:uid="{00000000-0005-0000-0000-000068080000}"/>
    <cellStyle name="Normal 3 7_Summary" xfId="2153" xr:uid="{00000000-0005-0000-0000-000069080000}"/>
    <cellStyle name="Normal 3 8" xfId="2154" xr:uid="{00000000-0005-0000-0000-00006A080000}"/>
    <cellStyle name="Normal 3 8 10" xfId="2155" xr:uid="{00000000-0005-0000-0000-00006B080000}"/>
    <cellStyle name="Normal 3 8 11" xfId="2156" xr:uid="{00000000-0005-0000-0000-00006C080000}"/>
    <cellStyle name="Normal 3 8 12" xfId="2157" xr:uid="{00000000-0005-0000-0000-00006D080000}"/>
    <cellStyle name="Normal 3 8 13" xfId="2158" xr:uid="{00000000-0005-0000-0000-00006E080000}"/>
    <cellStyle name="Normal 3 8 14" xfId="2159" xr:uid="{00000000-0005-0000-0000-00006F080000}"/>
    <cellStyle name="Normal 3 8 15" xfId="2160" xr:uid="{00000000-0005-0000-0000-000070080000}"/>
    <cellStyle name="Normal 3 8 16" xfId="2161" xr:uid="{00000000-0005-0000-0000-000071080000}"/>
    <cellStyle name="Normal 3 8 17" xfId="2162" xr:uid="{00000000-0005-0000-0000-000072080000}"/>
    <cellStyle name="Normal 3 8 18" xfId="2163" xr:uid="{00000000-0005-0000-0000-000073080000}"/>
    <cellStyle name="Normal 3 8 19" xfId="2164" xr:uid="{00000000-0005-0000-0000-000074080000}"/>
    <cellStyle name="Normal 3 8 2" xfId="2165" xr:uid="{00000000-0005-0000-0000-000075080000}"/>
    <cellStyle name="Normal 3 8 20" xfId="2166" xr:uid="{00000000-0005-0000-0000-000076080000}"/>
    <cellStyle name="Normal 3 8 21" xfId="2167" xr:uid="{00000000-0005-0000-0000-000077080000}"/>
    <cellStyle name="Normal 3 8 22" xfId="2168" xr:uid="{00000000-0005-0000-0000-000078080000}"/>
    <cellStyle name="Normal 3 8 23" xfId="2169" xr:uid="{00000000-0005-0000-0000-000079080000}"/>
    <cellStyle name="Normal 3 8 3" xfId="2170" xr:uid="{00000000-0005-0000-0000-00007A080000}"/>
    <cellStyle name="Normal 3 8 4" xfId="2171" xr:uid="{00000000-0005-0000-0000-00007B080000}"/>
    <cellStyle name="Normal 3 8 5" xfId="2172" xr:uid="{00000000-0005-0000-0000-00007C080000}"/>
    <cellStyle name="Normal 3 8 6" xfId="2173" xr:uid="{00000000-0005-0000-0000-00007D080000}"/>
    <cellStyle name="Normal 3 8 7" xfId="2174" xr:uid="{00000000-0005-0000-0000-00007E080000}"/>
    <cellStyle name="Normal 3 8 8" xfId="2175" xr:uid="{00000000-0005-0000-0000-00007F080000}"/>
    <cellStyle name="Normal 3 8 9" xfId="2176" xr:uid="{00000000-0005-0000-0000-000080080000}"/>
    <cellStyle name="Normal 3 9" xfId="2177" xr:uid="{00000000-0005-0000-0000-000081080000}"/>
    <cellStyle name="Normal 3 9 10" xfId="2178" xr:uid="{00000000-0005-0000-0000-000082080000}"/>
    <cellStyle name="Normal 3 9 11" xfId="2179" xr:uid="{00000000-0005-0000-0000-000083080000}"/>
    <cellStyle name="Normal 3 9 12" xfId="2180" xr:uid="{00000000-0005-0000-0000-000084080000}"/>
    <cellStyle name="Normal 3 9 13" xfId="2181" xr:uid="{00000000-0005-0000-0000-000085080000}"/>
    <cellStyle name="Normal 3 9 14" xfId="2182" xr:uid="{00000000-0005-0000-0000-000086080000}"/>
    <cellStyle name="Normal 3 9 15" xfId="2183" xr:uid="{00000000-0005-0000-0000-000087080000}"/>
    <cellStyle name="Normal 3 9 16" xfId="2184" xr:uid="{00000000-0005-0000-0000-000088080000}"/>
    <cellStyle name="Normal 3 9 17" xfId="2185" xr:uid="{00000000-0005-0000-0000-000089080000}"/>
    <cellStyle name="Normal 3 9 18" xfId="2186" xr:uid="{00000000-0005-0000-0000-00008A080000}"/>
    <cellStyle name="Normal 3 9 19" xfId="2187" xr:uid="{00000000-0005-0000-0000-00008B080000}"/>
    <cellStyle name="Normal 3 9 2" xfId="2188" xr:uid="{00000000-0005-0000-0000-00008C080000}"/>
    <cellStyle name="Normal 3 9 20" xfId="2189" xr:uid="{00000000-0005-0000-0000-00008D080000}"/>
    <cellStyle name="Normal 3 9 21" xfId="2190" xr:uid="{00000000-0005-0000-0000-00008E080000}"/>
    <cellStyle name="Normal 3 9 22" xfId="2191" xr:uid="{00000000-0005-0000-0000-00008F080000}"/>
    <cellStyle name="Normal 3 9 23" xfId="2192" xr:uid="{00000000-0005-0000-0000-000090080000}"/>
    <cellStyle name="Normal 3 9 3" xfId="2193" xr:uid="{00000000-0005-0000-0000-000091080000}"/>
    <cellStyle name="Normal 3 9 4" xfId="2194" xr:uid="{00000000-0005-0000-0000-000092080000}"/>
    <cellStyle name="Normal 3 9 5" xfId="2195" xr:uid="{00000000-0005-0000-0000-000093080000}"/>
    <cellStyle name="Normal 3 9 6" xfId="2196" xr:uid="{00000000-0005-0000-0000-000094080000}"/>
    <cellStyle name="Normal 3 9 7" xfId="2197" xr:uid="{00000000-0005-0000-0000-000095080000}"/>
    <cellStyle name="Normal 3 9 8" xfId="2198" xr:uid="{00000000-0005-0000-0000-000096080000}"/>
    <cellStyle name="Normal 3 9 9" xfId="2199" xr:uid="{00000000-0005-0000-0000-000097080000}"/>
    <cellStyle name="Normal 3 9_Summary" xfId="2200" xr:uid="{00000000-0005-0000-0000-000098080000}"/>
    <cellStyle name="Normal 3_Rates" xfId="2201" xr:uid="{00000000-0005-0000-0000-000099080000}"/>
    <cellStyle name="Normal 31" xfId="2202" xr:uid="{00000000-0005-0000-0000-00009A080000}"/>
    <cellStyle name="Normal 4" xfId="2203" xr:uid="{00000000-0005-0000-0000-00009B080000}"/>
    <cellStyle name="Normal 4 2" xfId="2204" xr:uid="{00000000-0005-0000-0000-00009C080000}"/>
    <cellStyle name="Normal 4 2 2" xfId="2205" xr:uid="{00000000-0005-0000-0000-00009D080000}"/>
    <cellStyle name="Normal 4 2 3" xfId="2206" xr:uid="{00000000-0005-0000-0000-00009E080000}"/>
    <cellStyle name="Normal 4 2 4" xfId="2207" xr:uid="{00000000-0005-0000-0000-00009F080000}"/>
    <cellStyle name="Normal 4 2 5" xfId="2208" xr:uid="{00000000-0005-0000-0000-0000A0080000}"/>
    <cellStyle name="Normal 4 26" xfId="2209" xr:uid="{00000000-0005-0000-0000-0000A1080000}"/>
    <cellStyle name="Normal 4 26 2" xfId="2210" xr:uid="{00000000-0005-0000-0000-0000A2080000}"/>
    <cellStyle name="Normal 4 3" xfId="2211" xr:uid="{00000000-0005-0000-0000-0000A3080000}"/>
    <cellStyle name="Normal 4 3 2" xfId="2212" xr:uid="{00000000-0005-0000-0000-0000A4080000}"/>
    <cellStyle name="Normal 5" xfId="2213" xr:uid="{00000000-0005-0000-0000-0000A5080000}"/>
    <cellStyle name="Normal 5 10" xfId="2214" xr:uid="{00000000-0005-0000-0000-0000A6080000}"/>
    <cellStyle name="Normal 5 11" xfId="2215" xr:uid="{00000000-0005-0000-0000-0000A7080000}"/>
    <cellStyle name="Normal 5 12" xfId="2216" xr:uid="{00000000-0005-0000-0000-0000A8080000}"/>
    <cellStyle name="Normal 5 13" xfId="2217" xr:uid="{00000000-0005-0000-0000-0000A9080000}"/>
    <cellStyle name="Normal 5 14" xfId="2218" xr:uid="{00000000-0005-0000-0000-0000AA080000}"/>
    <cellStyle name="Normal 5 15" xfId="2219" xr:uid="{00000000-0005-0000-0000-0000AB080000}"/>
    <cellStyle name="Normal 5 16" xfId="2220" xr:uid="{00000000-0005-0000-0000-0000AC080000}"/>
    <cellStyle name="Normal 5 17" xfId="2221" xr:uid="{00000000-0005-0000-0000-0000AD080000}"/>
    <cellStyle name="Normal 5 18" xfId="2222" xr:uid="{00000000-0005-0000-0000-0000AE080000}"/>
    <cellStyle name="Normal 5 19" xfId="2223" xr:uid="{00000000-0005-0000-0000-0000AF080000}"/>
    <cellStyle name="Normal 5 2" xfId="2224" xr:uid="{00000000-0005-0000-0000-0000B0080000}"/>
    <cellStyle name="Normal 5 2 10" xfId="2225" xr:uid="{00000000-0005-0000-0000-0000B1080000}"/>
    <cellStyle name="Normal 5 2 11" xfId="2226" xr:uid="{00000000-0005-0000-0000-0000B2080000}"/>
    <cellStyle name="Normal 5 2 12" xfId="2227" xr:uid="{00000000-0005-0000-0000-0000B3080000}"/>
    <cellStyle name="Normal 5 2 13" xfId="2228" xr:uid="{00000000-0005-0000-0000-0000B4080000}"/>
    <cellStyle name="Normal 5 2 14" xfId="2229" xr:uid="{00000000-0005-0000-0000-0000B5080000}"/>
    <cellStyle name="Normal 5 2 15" xfId="2230" xr:uid="{00000000-0005-0000-0000-0000B6080000}"/>
    <cellStyle name="Normal 5 2 16" xfId="2231" xr:uid="{00000000-0005-0000-0000-0000B7080000}"/>
    <cellStyle name="Normal 5 2 17" xfId="2232" xr:uid="{00000000-0005-0000-0000-0000B8080000}"/>
    <cellStyle name="Normal 5 2 18" xfId="2233" xr:uid="{00000000-0005-0000-0000-0000B9080000}"/>
    <cellStyle name="Normal 5 2 19" xfId="2234" xr:uid="{00000000-0005-0000-0000-0000BA080000}"/>
    <cellStyle name="Normal 5 2 2" xfId="2235" xr:uid="{00000000-0005-0000-0000-0000BB080000}"/>
    <cellStyle name="Normal 5 2 20" xfId="2236" xr:uid="{00000000-0005-0000-0000-0000BC080000}"/>
    <cellStyle name="Normal 5 2 21" xfId="2237" xr:uid="{00000000-0005-0000-0000-0000BD080000}"/>
    <cellStyle name="Normal 5 2 22" xfId="2238" xr:uid="{00000000-0005-0000-0000-0000BE080000}"/>
    <cellStyle name="Normal 5 2 23" xfId="2239" xr:uid="{00000000-0005-0000-0000-0000BF080000}"/>
    <cellStyle name="Normal 5 2 3" xfId="2240" xr:uid="{00000000-0005-0000-0000-0000C0080000}"/>
    <cellStyle name="Normal 5 2 4" xfId="2241" xr:uid="{00000000-0005-0000-0000-0000C1080000}"/>
    <cellStyle name="Normal 5 2 5" xfId="2242" xr:uid="{00000000-0005-0000-0000-0000C2080000}"/>
    <cellStyle name="Normal 5 2 6" xfId="2243" xr:uid="{00000000-0005-0000-0000-0000C3080000}"/>
    <cellStyle name="Normal 5 2 7" xfId="2244" xr:uid="{00000000-0005-0000-0000-0000C4080000}"/>
    <cellStyle name="Normal 5 2 8" xfId="2245" xr:uid="{00000000-0005-0000-0000-0000C5080000}"/>
    <cellStyle name="Normal 5 2 9" xfId="2246" xr:uid="{00000000-0005-0000-0000-0000C6080000}"/>
    <cellStyle name="Normal 5 20" xfId="2247" xr:uid="{00000000-0005-0000-0000-0000C7080000}"/>
    <cellStyle name="Normal 5 21" xfId="2248" xr:uid="{00000000-0005-0000-0000-0000C8080000}"/>
    <cellStyle name="Normal 5 22" xfId="2249" xr:uid="{00000000-0005-0000-0000-0000C9080000}"/>
    <cellStyle name="Normal 5 23" xfId="2250" xr:uid="{00000000-0005-0000-0000-0000CA080000}"/>
    <cellStyle name="Normal 5 24" xfId="2251" xr:uid="{00000000-0005-0000-0000-0000CB080000}"/>
    <cellStyle name="Normal 5 3" xfId="2252" xr:uid="{00000000-0005-0000-0000-0000CC080000}"/>
    <cellStyle name="Normal 5 4" xfId="2253" xr:uid="{00000000-0005-0000-0000-0000CD080000}"/>
    <cellStyle name="Normal 5 5" xfId="2254" xr:uid="{00000000-0005-0000-0000-0000CE080000}"/>
    <cellStyle name="Normal 5 6" xfId="2255" xr:uid="{00000000-0005-0000-0000-0000CF080000}"/>
    <cellStyle name="Normal 5 7" xfId="2256" xr:uid="{00000000-0005-0000-0000-0000D0080000}"/>
    <cellStyle name="Normal 5 8" xfId="2257" xr:uid="{00000000-0005-0000-0000-0000D1080000}"/>
    <cellStyle name="Normal 5 9" xfId="2258" xr:uid="{00000000-0005-0000-0000-0000D2080000}"/>
    <cellStyle name="Normal 5_Summary" xfId="2259" xr:uid="{00000000-0005-0000-0000-0000D3080000}"/>
    <cellStyle name="Normal 6" xfId="2260" xr:uid="{00000000-0005-0000-0000-0000D4080000}"/>
    <cellStyle name="Normal 6 2" xfId="2261" xr:uid="{00000000-0005-0000-0000-0000D5080000}"/>
    <cellStyle name="Normal 6 2 2" xfId="2262" xr:uid="{00000000-0005-0000-0000-0000D6080000}"/>
    <cellStyle name="Normal 6 2 2 2" xfId="2263" xr:uid="{00000000-0005-0000-0000-0000D7080000}"/>
    <cellStyle name="Normal 6 2 3" xfId="2264" xr:uid="{00000000-0005-0000-0000-0000D8080000}"/>
    <cellStyle name="Normal 6 3" xfId="2265" xr:uid="{00000000-0005-0000-0000-0000D9080000}"/>
    <cellStyle name="Normal 6 3 2" xfId="2266" xr:uid="{00000000-0005-0000-0000-0000DA080000}"/>
    <cellStyle name="Normal 6 4" xfId="2267" xr:uid="{00000000-0005-0000-0000-0000DB080000}"/>
    <cellStyle name="Normal 6 5" xfId="2268" xr:uid="{00000000-0005-0000-0000-0000DC080000}"/>
    <cellStyle name="Normal 7" xfId="2269" xr:uid="{00000000-0005-0000-0000-0000DD080000}"/>
    <cellStyle name="Normal 7 10" xfId="2270" xr:uid="{00000000-0005-0000-0000-0000DE080000}"/>
    <cellStyle name="Normal 7 11" xfId="2271" xr:uid="{00000000-0005-0000-0000-0000DF080000}"/>
    <cellStyle name="Normal 7 12" xfId="2272" xr:uid="{00000000-0005-0000-0000-0000E0080000}"/>
    <cellStyle name="Normal 7 13" xfId="2273" xr:uid="{00000000-0005-0000-0000-0000E1080000}"/>
    <cellStyle name="Normal 7 14" xfId="2274" xr:uid="{00000000-0005-0000-0000-0000E2080000}"/>
    <cellStyle name="Normal 7 15" xfId="2275" xr:uid="{00000000-0005-0000-0000-0000E3080000}"/>
    <cellStyle name="Normal 7 16" xfId="2276" xr:uid="{00000000-0005-0000-0000-0000E4080000}"/>
    <cellStyle name="Normal 7 17" xfId="2277" xr:uid="{00000000-0005-0000-0000-0000E5080000}"/>
    <cellStyle name="Normal 7 18" xfId="2278" xr:uid="{00000000-0005-0000-0000-0000E6080000}"/>
    <cellStyle name="Normal 7 19" xfId="2279" xr:uid="{00000000-0005-0000-0000-0000E7080000}"/>
    <cellStyle name="Normal 7 2" xfId="2280" xr:uid="{00000000-0005-0000-0000-0000E8080000}"/>
    <cellStyle name="Normal 7 2 10" xfId="2281" xr:uid="{00000000-0005-0000-0000-0000E9080000}"/>
    <cellStyle name="Normal 7 2 11" xfId="2282" xr:uid="{00000000-0005-0000-0000-0000EA080000}"/>
    <cellStyle name="Normal 7 2 12" xfId="2283" xr:uid="{00000000-0005-0000-0000-0000EB080000}"/>
    <cellStyle name="Normal 7 2 13" xfId="2284" xr:uid="{00000000-0005-0000-0000-0000EC080000}"/>
    <cellStyle name="Normal 7 2 14" xfId="2285" xr:uid="{00000000-0005-0000-0000-0000ED080000}"/>
    <cellStyle name="Normal 7 2 15" xfId="2286" xr:uid="{00000000-0005-0000-0000-0000EE080000}"/>
    <cellStyle name="Normal 7 2 16" xfId="2287" xr:uid="{00000000-0005-0000-0000-0000EF080000}"/>
    <cellStyle name="Normal 7 2 17" xfId="2288" xr:uid="{00000000-0005-0000-0000-0000F0080000}"/>
    <cellStyle name="Normal 7 2 18" xfId="2289" xr:uid="{00000000-0005-0000-0000-0000F1080000}"/>
    <cellStyle name="Normal 7 2 19" xfId="2290" xr:uid="{00000000-0005-0000-0000-0000F2080000}"/>
    <cellStyle name="Normal 7 2 2" xfId="2291" xr:uid="{00000000-0005-0000-0000-0000F3080000}"/>
    <cellStyle name="Normal 7 2 20" xfId="2292" xr:uid="{00000000-0005-0000-0000-0000F4080000}"/>
    <cellStyle name="Normal 7 2 21" xfId="2293" xr:uid="{00000000-0005-0000-0000-0000F5080000}"/>
    <cellStyle name="Normal 7 2 22" xfId="2294" xr:uid="{00000000-0005-0000-0000-0000F6080000}"/>
    <cellStyle name="Normal 7 2 23" xfId="2295" xr:uid="{00000000-0005-0000-0000-0000F7080000}"/>
    <cellStyle name="Normal 7 2 3" xfId="2296" xr:uid="{00000000-0005-0000-0000-0000F8080000}"/>
    <cellStyle name="Normal 7 2 4" xfId="2297" xr:uid="{00000000-0005-0000-0000-0000F9080000}"/>
    <cellStyle name="Normal 7 2 5" xfId="2298" xr:uid="{00000000-0005-0000-0000-0000FA080000}"/>
    <cellStyle name="Normal 7 2 6" xfId="2299" xr:uid="{00000000-0005-0000-0000-0000FB080000}"/>
    <cellStyle name="Normal 7 2 7" xfId="2300" xr:uid="{00000000-0005-0000-0000-0000FC080000}"/>
    <cellStyle name="Normal 7 2 8" xfId="2301" xr:uid="{00000000-0005-0000-0000-0000FD080000}"/>
    <cellStyle name="Normal 7 2 9" xfId="2302" xr:uid="{00000000-0005-0000-0000-0000FE080000}"/>
    <cellStyle name="Normal 7 20" xfId="2303" xr:uid="{00000000-0005-0000-0000-0000FF080000}"/>
    <cellStyle name="Normal 7 21" xfId="2304" xr:uid="{00000000-0005-0000-0000-000000090000}"/>
    <cellStyle name="Normal 7 22" xfId="2305" xr:uid="{00000000-0005-0000-0000-000001090000}"/>
    <cellStyle name="Normal 7 23" xfId="2306" xr:uid="{00000000-0005-0000-0000-000002090000}"/>
    <cellStyle name="Normal 7 24" xfId="2307" xr:uid="{00000000-0005-0000-0000-000003090000}"/>
    <cellStyle name="Normal 7 3" xfId="2308" xr:uid="{00000000-0005-0000-0000-000004090000}"/>
    <cellStyle name="Normal 7 4" xfId="2309" xr:uid="{00000000-0005-0000-0000-000005090000}"/>
    <cellStyle name="Normal 7 5" xfId="2310" xr:uid="{00000000-0005-0000-0000-000006090000}"/>
    <cellStyle name="Normal 7 6" xfId="2311" xr:uid="{00000000-0005-0000-0000-000007090000}"/>
    <cellStyle name="Normal 7 7" xfId="2312" xr:uid="{00000000-0005-0000-0000-000008090000}"/>
    <cellStyle name="Normal 7 8" xfId="2313" xr:uid="{00000000-0005-0000-0000-000009090000}"/>
    <cellStyle name="Normal 7 9" xfId="2314" xr:uid="{00000000-0005-0000-0000-00000A090000}"/>
    <cellStyle name="Normal 8" xfId="2315" xr:uid="{00000000-0005-0000-0000-00000B090000}"/>
    <cellStyle name="Normal 8 2" xfId="2316" xr:uid="{00000000-0005-0000-0000-00000C090000}"/>
    <cellStyle name="Normal 8 2 2" xfId="2317" xr:uid="{00000000-0005-0000-0000-00000D090000}"/>
    <cellStyle name="Normal 8 3" xfId="2318" xr:uid="{00000000-0005-0000-0000-00000E090000}"/>
    <cellStyle name="Normal 8 4" xfId="2319" xr:uid="{00000000-0005-0000-0000-00000F090000}"/>
    <cellStyle name="Normal 9" xfId="2320" xr:uid="{00000000-0005-0000-0000-000010090000}"/>
    <cellStyle name="Normal 9 2" xfId="2321" xr:uid="{00000000-0005-0000-0000-000011090000}"/>
    <cellStyle name="Normal 9 3" xfId="2322" xr:uid="{00000000-0005-0000-0000-000012090000}"/>
    <cellStyle name="Normal_lighttableapril1601 2" xfId="2323" xr:uid="{00000000-0005-0000-0000-000013090000}"/>
    <cellStyle name="Normal_lighttableapril1601 2 2" xfId="2324" xr:uid="{00000000-0005-0000-0000-000014090000}"/>
    <cellStyle name="Normal_lighttableapril1601 2 3" xfId="2325" xr:uid="{00000000-0005-0000-0000-000015090000}"/>
    <cellStyle name="Normal_lighttableapril1601 4" xfId="2326" xr:uid="{00000000-0005-0000-0000-000016090000}"/>
    <cellStyle name="Note" xfId="2327" builtinId="10" customBuiltin="1"/>
    <cellStyle name="Note 2" xfId="2328" xr:uid="{00000000-0005-0000-0000-000018090000}"/>
    <cellStyle name="Note 2 2" xfId="2329" xr:uid="{00000000-0005-0000-0000-000019090000}"/>
    <cellStyle name="Note 2 2 2" xfId="2330" xr:uid="{00000000-0005-0000-0000-00001A090000}"/>
    <cellStyle name="Note 2 2 3" xfId="2331" xr:uid="{00000000-0005-0000-0000-00001B090000}"/>
    <cellStyle name="Note 3" xfId="2332" xr:uid="{00000000-0005-0000-0000-00001C090000}"/>
    <cellStyle name="NumColmHd" xfId="2333" xr:uid="{00000000-0005-0000-0000-00001D090000}"/>
    <cellStyle name="NumColmHd 2" xfId="2334" xr:uid="{00000000-0005-0000-0000-00001E090000}"/>
    <cellStyle name="NumColmHd 3" xfId="2335" xr:uid="{00000000-0005-0000-0000-00001F090000}"/>
    <cellStyle name="Output" xfId="2336" builtinId="21" customBuiltin="1"/>
    <cellStyle name="Output 2" xfId="2337" xr:uid="{00000000-0005-0000-0000-000021090000}"/>
    <cellStyle name="Output 2 2" xfId="2338" xr:uid="{00000000-0005-0000-0000-000022090000}"/>
    <cellStyle name="Output 2 3" xfId="2339" xr:uid="{00000000-0005-0000-0000-000023090000}"/>
    <cellStyle name="Percent" xfId="2460" builtinId="5"/>
    <cellStyle name="Percent [0]" xfId="2340" xr:uid="{00000000-0005-0000-0000-000024090000}"/>
    <cellStyle name="Percent [00]" xfId="2341" xr:uid="{00000000-0005-0000-0000-000025090000}"/>
    <cellStyle name="Percent [2]" xfId="2342" xr:uid="{00000000-0005-0000-0000-000026090000}"/>
    <cellStyle name="Percent 10" xfId="2343" xr:uid="{00000000-0005-0000-0000-000027090000}"/>
    <cellStyle name="Percent 10 2" xfId="2344" xr:uid="{00000000-0005-0000-0000-000028090000}"/>
    <cellStyle name="Percent 10 2 2" xfId="2345" xr:uid="{00000000-0005-0000-0000-000029090000}"/>
    <cellStyle name="Percent 10 3" xfId="2346" xr:uid="{00000000-0005-0000-0000-00002A090000}"/>
    <cellStyle name="Percent 11" xfId="2347" xr:uid="{00000000-0005-0000-0000-00002B090000}"/>
    <cellStyle name="Percent 11 2" xfId="2348" xr:uid="{00000000-0005-0000-0000-00002C090000}"/>
    <cellStyle name="Percent 12" xfId="2349" xr:uid="{00000000-0005-0000-0000-00002D090000}"/>
    <cellStyle name="Percent 12 2" xfId="2350" xr:uid="{00000000-0005-0000-0000-00002E090000}"/>
    <cellStyle name="Percent 13" xfId="2351" xr:uid="{00000000-0005-0000-0000-00002F090000}"/>
    <cellStyle name="Percent 14" xfId="2352" xr:uid="{00000000-0005-0000-0000-000030090000}"/>
    <cellStyle name="Percent 15" xfId="2353" xr:uid="{00000000-0005-0000-0000-000031090000}"/>
    <cellStyle name="Percent 15 2" xfId="2354" xr:uid="{00000000-0005-0000-0000-000032090000}"/>
    <cellStyle name="Percent 16" xfId="2355" xr:uid="{00000000-0005-0000-0000-000033090000}"/>
    <cellStyle name="Percent 16 2" xfId="2356" xr:uid="{00000000-0005-0000-0000-000034090000}"/>
    <cellStyle name="Percent 17" xfId="2357" xr:uid="{00000000-0005-0000-0000-000035090000}"/>
    <cellStyle name="Percent 17 2" xfId="2358" xr:uid="{00000000-0005-0000-0000-000036090000}"/>
    <cellStyle name="Percent 18" xfId="2359" xr:uid="{00000000-0005-0000-0000-000037090000}"/>
    <cellStyle name="Percent 19" xfId="2360" xr:uid="{00000000-0005-0000-0000-000038090000}"/>
    <cellStyle name="Percent 19 2" xfId="2361" xr:uid="{00000000-0005-0000-0000-000039090000}"/>
    <cellStyle name="Percent 2" xfId="2362" xr:uid="{00000000-0005-0000-0000-00003A090000}"/>
    <cellStyle name="Percent 2 2" xfId="2363" xr:uid="{00000000-0005-0000-0000-00003B090000}"/>
    <cellStyle name="Percent 2 2 10" xfId="2364" xr:uid="{00000000-0005-0000-0000-00003C090000}"/>
    <cellStyle name="Percent 2 2 10 2" xfId="2365" xr:uid="{00000000-0005-0000-0000-00003D090000}"/>
    <cellStyle name="Percent 2 2 11" xfId="2366" xr:uid="{00000000-0005-0000-0000-00003E090000}"/>
    <cellStyle name="Percent 2 2 12" xfId="2367" xr:uid="{00000000-0005-0000-0000-00003F090000}"/>
    <cellStyle name="Percent 2 2 13" xfId="2368" xr:uid="{00000000-0005-0000-0000-000040090000}"/>
    <cellStyle name="Percent 2 2 2" xfId="2369" xr:uid="{00000000-0005-0000-0000-000041090000}"/>
    <cellStyle name="Percent 2 2 2 2" xfId="2370" xr:uid="{00000000-0005-0000-0000-000042090000}"/>
    <cellStyle name="Percent 2 2 2 3" xfId="2371" xr:uid="{00000000-0005-0000-0000-000043090000}"/>
    <cellStyle name="Percent 2 2 2 4" xfId="2372" xr:uid="{00000000-0005-0000-0000-000044090000}"/>
    <cellStyle name="Percent 2 2 3" xfId="2373" xr:uid="{00000000-0005-0000-0000-000045090000}"/>
    <cellStyle name="Percent 2 2 4" xfId="2374" xr:uid="{00000000-0005-0000-0000-000046090000}"/>
    <cellStyle name="Percent 2 2 5" xfId="2375" xr:uid="{00000000-0005-0000-0000-000047090000}"/>
    <cellStyle name="Percent 2 2 6" xfId="2376" xr:uid="{00000000-0005-0000-0000-000048090000}"/>
    <cellStyle name="Percent 2 2 6 2" xfId="2377" xr:uid="{00000000-0005-0000-0000-000049090000}"/>
    <cellStyle name="Percent 2 2 7" xfId="2378" xr:uid="{00000000-0005-0000-0000-00004A090000}"/>
    <cellStyle name="Percent 2 2 7 2" xfId="2379" xr:uid="{00000000-0005-0000-0000-00004B090000}"/>
    <cellStyle name="Percent 2 2 8" xfId="2380" xr:uid="{00000000-0005-0000-0000-00004C090000}"/>
    <cellStyle name="Percent 2 2 8 2" xfId="2381" xr:uid="{00000000-0005-0000-0000-00004D090000}"/>
    <cellStyle name="Percent 2 2 9" xfId="2382" xr:uid="{00000000-0005-0000-0000-00004E090000}"/>
    <cellStyle name="Percent 2 2 9 2" xfId="2383" xr:uid="{00000000-0005-0000-0000-00004F090000}"/>
    <cellStyle name="Percent 2 3" xfId="2384" xr:uid="{00000000-0005-0000-0000-000050090000}"/>
    <cellStyle name="Percent 2 3 2" xfId="2385" xr:uid="{00000000-0005-0000-0000-000051090000}"/>
    <cellStyle name="Percent 2 3 3" xfId="2386" xr:uid="{00000000-0005-0000-0000-000052090000}"/>
    <cellStyle name="Percent 2 3 4" xfId="2387" xr:uid="{00000000-0005-0000-0000-000053090000}"/>
    <cellStyle name="Percent 2 3 5" xfId="2388" xr:uid="{00000000-0005-0000-0000-000054090000}"/>
    <cellStyle name="Percent 2 4" xfId="2389" xr:uid="{00000000-0005-0000-0000-000055090000}"/>
    <cellStyle name="Percent 2 4 2" xfId="2390" xr:uid="{00000000-0005-0000-0000-000056090000}"/>
    <cellStyle name="Percent 2 5" xfId="2391" xr:uid="{00000000-0005-0000-0000-000057090000}"/>
    <cellStyle name="Percent 2 6" xfId="2392" xr:uid="{00000000-0005-0000-0000-000058090000}"/>
    <cellStyle name="Percent 2 6 2" xfId="2393" xr:uid="{00000000-0005-0000-0000-000059090000}"/>
    <cellStyle name="Percent 2 6 3" xfId="2394" xr:uid="{00000000-0005-0000-0000-00005A090000}"/>
    <cellStyle name="Percent 2 6 4" xfId="2395" xr:uid="{00000000-0005-0000-0000-00005B090000}"/>
    <cellStyle name="Percent 2 7" xfId="2396" xr:uid="{00000000-0005-0000-0000-00005C090000}"/>
    <cellStyle name="Percent 2 8" xfId="2397" xr:uid="{00000000-0005-0000-0000-00005D090000}"/>
    <cellStyle name="Percent 20" xfId="2398" xr:uid="{00000000-0005-0000-0000-00005E090000}"/>
    <cellStyle name="Percent 21" xfId="2399" xr:uid="{00000000-0005-0000-0000-00005F090000}"/>
    <cellStyle name="Percent 22" xfId="2400" xr:uid="{00000000-0005-0000-0000-000060090000}"/>
    <cellStyle name="Percent 3" xfId="2401" xr:uid="{00000000-0005-0000-0000-000061090000}"/>
    <cellStyle name="Percent 3 2" xfId="2402" xr:uid="{00000000-0005-0000-0000-000062090000}"/>
    <cellStyle name="Percent 3 2 2" xfId="2403" xr:uid="{00000000-0005-0000-0000-000063090000}"/>
    <cellStyle name="Percent 3 2 2 2" xfId="2404" xr:uid="{00000000-0005-0000-0000-000064090000}"/>
    <cellStyle name="Percent 3 2 3" xfId="2405" xr:uid="{00000000-0005-0000-0000-000065090000}"/>
    <cellStyle name="Percent 3 3" xfId="2406" xr:uid="{00000000-0005-0000-0000-000066090000}"/>
    <cellStyle name="Percent 3 3 2" xfId="2407" xr:uid="{00000000-0005-0000-0000-000067090000}"/>
    <cellStyle name="Percent 3 4" xfId="2408" xr:uid="{00000000-0005-0000-0000-000068090000}"/>
    <cellStyle name="Percent 3 5" xfId="2409" xr:uid="{00000000-0005-0000-0000-000069090000}"/>
    <cellStyle name="Percent 3 6" xfId="2410" xr:uid="{00000000-0005-0000-0000-00006A090000}"/>
    <cellStyle name="Percent 3 7" xfId="2411" xr:uid="{00000000-0005-0000-0000-00006B090000}"/>
    <cellStyle name="Percent 3 8" xfId="2412" xr:uid="{00000000-0005-0000-0000-00006C090000}"/>
    <cellStyle name="Percent 3 9" xfId="2413" xr:uid="{00000000-0005-0000-0000-00006D090000}"/>
    <cellStyle name="Percent 4" xfId="2414" xr:uid="{00000000-0005-0000-0000-00006E090000}"/>
    <cellStyle name="Percent 4 2" xfId="2415" xr:uid="{00000000-0005-0000-0000-00006F090000}"/>
    <cellStyle name="Percent 4 2 2" xfId="2416" xr:uid="{00000000-0005-0000-0000-000070090000}"/>
    <cellStyle name="Percent 4 3" xfId="2417" xr:uid="{00000000-0005-0000-0000-000071090000}"/>
    <cellStyle name="Percent 4 4" xfId="2418" xr:uid="{00000000-0005-0000-0000-000072090000}"/>
    <cellStyle name="Percent 4 5" xfId="2419" xr:uid="{00000000-0005-0000-0000-000073090000}"/>
    <cellStyle name="Percent 5" xfId="2420" xr:uid="{00000000-0005-0000-0000-000074090000}"/>
    <cellStyle name="Percent 5 2" xfId="2421" xr:uid="{00000000-0005-0000-0000-000075090000}"/>
    <cellStyle name="Percent 5 2 2" xfId="2422" xr:uid="{00000000-0005-0000-0000-000076090000}"/>
    <cellStyle name="Percent 5 2 2 2" xfId="2423" xr:uid="{00000000-0005-0000-0000-000077090000}"/>
    <cellStyle name="Percent 5 2 3" xfId="2424" xr:uid="{00000000-0005-0000-0000-000078090000}"/>
    <cellStyle name="Percent 5 3" xfId="2425" xr:uid="{00000000-0005-0000-0000-000079090000}"/>
    <cellStyle name="Percent 5 3 2" xfId="2426" xr:uid="{00000000-0005-0000-0000-00007A090000}"/>
    <cellStyle name="Percent 5 4" xfId="2427" xr:uid="{00000000-0005-0000-0000-00007B090000}"/>
    <cellStyle name="Percent 6" xfId="2428" xr:uid="{00000000-0005-0000-0000-00007C090000}"/>
    <cellStyle name="Percent 6 2" xfId="2429" xr:uid="{00000000-0005-0000-0000-00007D090000}"/>
    <cellStyle name="Percent 6 2 2" xfId="2430" xr:uid="{00000000-0005-0000-0000-00007E090000}"/>
    <cellStyle name="Percent 6 3" xfId="2431" xr:uid="{00000000-0005-0000-0000-00007F090000}"/>
    <cellStyle name="Percent 7" xfId="2432" xr:uid="{00000000-0005-0000-0000-000080090000}"/>
    <cellStyle name="Percent 7 2" xfId="2433" xr:uid="{00000000-0005-0000-0000-000081090000}"/>
    <cellStyle name="Percent 8" xfId="2434" xr:uid="{00000000-0005-0000-0000-000082090000}"/>
    <cellStyle name="Percent 8 2" xfId="2435" xr:uid="{00000000-0005-0000-0000-000083090000}"/>
    <cellStyle name="Percent 9" xfId="2436" xr:uid="{00000000-0005-0000-0000-000084090000}"/>
    <cellStyle name="Percent 9 2" xfId="2437" xr:uid="{00000000-0005-0000-0000-000085090000}"/>
    <cellStyle name="Percent 9 3" xfId="2438" xr:uid="{00000000-0005-0000-0000-000086090000}"/>
    <cellStyle name="PrePop Currency (0)" xfId="2439" xr:uid="{00000000-0005-0000-0000-000087090000}"/>
    <cellStyle name="PrePop Currency (2)" xfId="2440" xr:uid="{00000000-0005-0000-0000-000088090000}"/>
    <cellStyle name="PrePop Units (0)" xfId="2441" xr:uid="{00000000-0005-0000-0000-000089090000}"/>
    <cellStyle name="PrePop Units (1)" xfId="2442" xr:uid="{00000000-0005-0000-0000-00008A090000}"/>
    <cellStyle name="PrePop Units (2)" xfId="2443" xr:uid="{00000000-0005-0000-0000-00008B090000}"/>
    <cellStyle name="RowLabel" xfId="2444" xr:uid="{00000000-0005-0000-0000-00008C090000}"/>
    <cellStyle name="Text Indent A" xfId="2445" xr:uid="{00000000-0005-0000-0000-00008D090000}"/>
    <cellStyle name="Text Indent B" xfId="2446" xr:uid="{00000000-0005-0000-0000-00008E090000}"/>
    <cellStyle name="Text Indent C" xfId="2447" xr:uid="{00000000-0005-0000-0000-00008F090000}"/>
    <cellStyle name="Title 2" xfId="2448" xr:uid="{00000000-0005-0000-0000-000090090000}"/>
    <cellStyle name="Title 3" xfId="2449" xr:uid="{00000000-0005-0000-0000-000091090000}"/>
    <cellStyle name="Total" xfId="2450" builtinId="25" customBuiltin="1"/>
    <cellStyle name="Total 2" xfId="2451" xr:uid="{00000000-0005-0000-0000-000093090000}"/>
    <cellStyle name="Total 2 2" xfId="2452" xr:uid="{00000000-0005-0000-0000-000094090000}"/>
    <cellStyle name="Unprot" xfId="2453" xr:uid="{00000000-0005-0000-0000-000095090000}"/>
    <cellStyle name="Unprot 2" xfId="2454" xr:uid="{00000000-0005-0000-0000-000096090000}"/>
    <cellStyle name="Unprot$" xfId="2455" xr:uid="{00000000-0005-0000-0000-000097090000}"/>
    <cellStyle name="Unprotect" xfId="2456" xr:uid="{00000000-0005-0000-0000-000098090000}"/>
    <cellStyle name="Warning Text" xfId="2457" builtinId="11" customBuiltin="1"/>
    <cellStyle name="Warning Text 2" xfId="2458" xr:uid="{00000000-0005-0000-0000-00009A090000}"/>
  </cellStyles>
  <dxfs count="1">
    <dxf>
      <fill>
        <patternFill>
          <bgColor rgb="FFFFFF00"/>
        </patternFill>
      </fill>
    </dxf>
  </dxfs>
  <tableStyles count="0" defaultTableStyle="TableStyleMedium2" defaultPivotStyle="PivotStyleLight16"/>
  <colors>
    <mruColors>
      <color rgb="FF005CB8"/>
      <color rgb="FFE8E8E8"/>
      <color rgb="FFB3B3B3"/>
      <color rgb="FFFFF2CC"/>
      <color rgb="FF73B149"/>
      <color rgb="FF0060AF"/>
      <color rgb="FF68A042"/>
      <color rgb="FF0037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123825</xdr:rowOff>
    </xdr:to>
    <xdr:sp macro="" textlink="">
      <xdr:nvSpPr>
        <xdr:cNvPr id="1037"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101A69DA-2CBC-4462-AF69-29DF75DBB427}"/>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76200</xdr:rowOff>
    </xdr:from>
    <xdr:to>
      <xdr:col>1</xdr:col>
      <xdr:colOff>1591865</xdr:colOff>
      <xdr:row>5</xdr:row>
      <xdr:rowOff>104775</xdr:rowOff>
    </xdr:to>
    <xdr:pic>
      <xdr:nvPicPr>
        <xdr:cNvPr id="3" name="Picture 2">
          <a:extLst>
            <a:ext uri="{FF2B5EF4-FFF2-40B4-BE49-F238E27FC236}">
              <a16:creationId xmlns:a16="http://schemas.microsoft.com/office/drawing/2014/main" id="{549E875E-A56B-4710-9971-B94F570D3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0"/>
          <a:ext cx="4420790"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66675</xdr:colOff>
      <xdr:row>5</xdr:row>
      <xdr:rowOff>38100</xdr:rowOff>
    </xdr:from>
    <xdr:ext cx="8682958" cy="139813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0CD9D54-8041-437F-B2E0-CACA755576E9}"/>
                </a:ext>
              </a:extLst>
            </xdr:cNvPr>
            <xdr:cNvSpPr txBox="1"/>
          </xdr:nvSpPr>
          <xdr:spPr>
            <a:xfrm>
              <a:off x="676275" y="1381125"/>
              <a:ext cx="7559505" cy="32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lang="en-US" sz="1400" b="0" i="1">
                      <a:latin typeface="Cambria Math" panose="02040503050406030204" pitchFamily="18" charset="0"/>
                    </a:rPr>
                    <m:t>𝐶h𝑎𝑛𝑔𝑒</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𝐶𝑜𝑛𝑛𝑒𝑐𝑡𝑒𝑑</m:t>
                  </m:r>
                  <m:r>
                    <a:rPr lang="en-US" sz="1400" b="0" i="1">
                      <a:latin typeface="Cambria Math" panose="02040503050406030204" pitchFamily="18" charset="0"/>
                    </a:rPr>
                    <m:t> </m:t>
                  </m:r>
                  <m:r>
                    <a:rPr lang="en-US" sz="1400" b="0" i="1">
                      <a:latin typeface="Cambria Math" panose="02040503050406030204" pitchFamily="18" charset="0"/>
                    </a:rPr>
                    <m:t>𝐿𝑜𝑎𝑑</m:t>
                  </m:r>
                  <m:d>
                    <m:dPr>
                      <m:ctrlPr>
                        <a:rPr lang="en-US" sz="1400" b="0" i="1">
                          <a:latin typeface="Cambria Math" panose="02040503050406030204" pitchFamily="18" charset="0"/>
                        </a:rPr>
                      </m:ctrlPr>
                    </m:dPr>
                    <m:e>
                      <m:r>
                        <a:rPr lang="en-US" sz="1400" b="0" i="1">
                          <a:latin typeface="Cambria Math" panose="02040503050406030204" pitchFamily="18" charset="0"/>
                        </a:rPr>
                        <m:t>𝑘𝑊</m:t>
                      </m:r>
                    </m:e>
                  </m:d>
                  <m:r>
                    <a:rPr lang="en-US" sz="1400" b="0" i="1">
                      <a:latin typeface="Cambria Math" panose="02040503050406030204" pitchFamily="18" charset="0"/>
                    </a:rPr>
                    <m:t>=</m:t>
                  </m:r>
                  <m:f>
                    <m:fPr>
                      <m:ctrlPr>
                        <a:rPr lang="en-US" sz="1400" b="0" i="1">
                          <a:latin typeface="Cambria Math" panose="02040503050406030204" pitchFamily="18" charset="0"/>
                        </a:rPr>
                      </m:ctrlPr>
                    </m:fPr>
                    <m:num>
                      <m:d>
                        <m:dPr>
                          <m:ctrlPr>
                            <a:rPr lang="en-US" sz="1400" b="0" i="1">
                              <a:latin typeface="Cambria Math" panose="02040503050406030204" pitchFamily="18" charset="0"/>
                            </a:rPr>
                          </m:ctrlPr>
                        </m:dPr>
                        <m:e>
                          <m:r>
                            <a:rPr lang="en-US" sz="1400" b="0" i="1">
                              <a:latin typeface="Cambria Math" panose="02040503050406030204" pitchFamily="18" charset="0"/>
                            </a:rPr>
                            <m:t>𝑃𝑟𝑒𝐹𝑖𝑥𝑡𝑢𝑟𝑒𝑄𝑡𝑦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𝑃𝑟𝑒𝐹𝑖𝑥𝑡𝑢𝑟𝑒𝑊𝑎𝑡𝑡𝑠</m:t>
                          </m:r>
                        </m:e>
                      </m:d>
                      <m:r>
                        <a:rPr lang="en-US" sz="1400" b="0" i="1">
                          <a:latin typeface="Cambria Math" panose="02040503050406030204" pitchFamily="18" charset="0"/>
                        </a:rPr>
                        <m:t>−</m:t>
                      </m:r>
                      <m:d>
                        <m:dPr>
                          <m:ctrlPr>
                            <a:rPr lang="en-US" sz="1400" b="0" i="1">
                              <a:latin typeface="Cambria Math" panose="02040503050406030204" pitchFamily="18" charset="0"/>
                            </a:rPr>
                          </m:ctrlPr>
                        </m:dPr>
                        <m:e>
                          <m:r>
                            <a:rPr lang="en-US" sz="1400" b="0" i="1">
                              <a:latin typeface="Cambria Math" panose="02040503050406030204" pitchFamily="18" charset="0"/>
                            </a:rPr>
                            <m:t>𝑃𝑜𝑠𝑡𝐹𝑖𝑥𝑡𝑢𝑟𝑒𝑄𝑡𝑦</m:t>
                          </m:r>
                          <m:r>
                            <a:rPr lang="en-US" sz="1400" b="0" i="1">
                              <a:latin typeface="Cambria Math" panose="02040503050406030204" pitchFamily="18" charset="0"/>
                            </a:rPr>
                            <m:t> ∗</m:t>
                          </m:r>
                          <m:r>
                            <a:rPr lang="en-US" sz="1400" b="0" i="1">
                              <a:latin typeface="Cambria Math" panose="02040503050406030204" pitchFamily="18" charset="0"/>
                            </a:rPr>
                            <m:t>𝑃𝑜𝑠𝑡𝐹𝑖𝑥𝑡𝑢𝑟𝑒𝑊𝑎𝑡𝑡𝑠</m:t>
                          </m:r>
                        </m:e>
                      </m:d>
                    </m:num>
                    <m:den>
                      <m:r>
                        <a:rPr lang="en-US" sz="1400" b="0" i="1">
                          <a:latin typeface="Cambria Math" panose="02040503050406030204" pitchFamily="18" charset="0"/>
                        </a:rPr>
                        <m:t>1000</m:t>
                      </m:r>
                    </m:den>
                  </m:f>
                </m:oMath>
              </a14:m>
              <a:r>
                <a:rPr lang="en-US" sz="1100"/>
                <a:t> </a:t>
              </a:r>
            </a:p>
          </xdr:txBody>
        </xdr:sp>
      </mc:Choice>
      <mc:Fallback xmlns="">
        <xdr:sp macro="" textlink="">
          <xdr:nvSpPr>
            <xdr:cNvPr id="2" name="TextBox 1">
              <a:extLst>
                <a:ext uri="{FF2B5EF4-FFF2-40B4-BE49-F238E27FC236}">
                  <a16:creationId xmlns:a16="http://schemas.microsoft.com/office/drawing/2014/main" id="{40CD9D54-8041-437F-B2E0-CACA755576E9}"/>
                </a:ext>
              </a:extLst>
            </xdr:cNvPr>
            <xdr:cNvSpPr txBox="1"/>
          </xdr:nvSpPr>
          <xdr:spPr>
            <a:xfrm>
              <a:off x="676275" y="1381125"/>
              <a:ext cx="7559505" cy="32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400" b="0" i="0">
                  <a:latin typeface="Cambria Math" panose="02040503050406030204" pitchFamily="18" charset="0"/>
                </a:rPr>
                <a:t>𝐶ℎ𝑎𝑛𝑔𝑒 𝑖𝑛 𝐶𝑜𝑛𝑛𝑒𝑐𝑡𝑒𝑑 𝐿𝑜𝑎𝑑(𝑘𝑊)=((𝑃𝑟𝑒𝐹𝑖𝑥𝑡𝑢𝑟𝑒𝑄𝑡𝑦 ∗𝑃𝑟𝑒𝐹𝑖𝑥𝑡𝑢𝑟𝑒𝑊𝑎𝑡𝑡𝑠)−(𝑃𝑜𝑠𝑡𝐹𝑖𝑥𝑡𝑢𝑟𝑒𝑄𝑡𝑦 ∗𝑃𝑜𝑠𝑡𝐹𝑖𝑥𝑡𝑢𝑟𝑒𝑊𝑎𝑡𝑡𝑠))/1000</a:t>
              </a:r>
              <a:r>
                <a:rPr lang="en-US" sz="1100"/>
                <a:t> </a:t>
              </a:r>
            </a:p>
          </xdr:txBody>
        </xdr:sp>
      </mc:Fallback>
    </mc:AlternateContent>
    <xdr:clientData/>
  </xdr:oneCellAnchor>
  <xdr:oneCellAnchor>
    <xdr:from>
      <xdr:col>1</xdr:col>
      <xdr:colOff>38100</xdr:colOff>
      <xdr:row>8</xdr:row>
      <xdr:rowOff>85725</xdr:rowOff>
    </xdr:from>
    <xdr:ext cx="6625147" cy="32855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14D43EB-300D-48E4-897A-5AB6D8151F11}"/>
                </a:ext>
              </a:extLst>
            </xdr:cNvPr>
            <xdr:cNvSpPr txBox="1"/>
          </xdr:nvSpPr>
          <xdr:spPr>
            <a:xfrm>
              <a:off x="647700" y="220027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3" name="TextBox 2">
              <a:extLst>
                <a:ext uri="{FF2B5EF4-FFF2-40B4-BE49-F238E27FC236}">
                  <a16:creationId xmlns:a16="http://schemas.microsoft.com/office/drawing/2014/main" id="{C14D43EB-300D-48E4-897A-5AB6D8151F11}"/>
                </a:ext>
              </a:extLst>
            </xdr:cNvPr>
            <xdr:cNvSpPr txBox="1"/>
          </xdr:nvSpPr>
          <xdr:spPr>
            <a:xfrm>
              <a:off x="647700" y="2200275"/>
              <a:ext cx="66251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𝑘𝑊=((𝑃𝑟𝑒𝐹𝑖𝑥𝑡𝑢𝑟𝑒𝑄𝑡𝑦 ∗𝑃𝑟𝑒𝐹𝑖𝑥𝑡𝑢𝑟𝑒𝑊𝑎𝑡𝑡𝑠)−(𝑃𝑜𝑠𝑡𝐹𝑖𝑥𝑡𝑢𝑟𝑒𝑄𝑡𝑦 ∗𝑃𝑜𝑠𝑡𝐹𝑖𝑥𝑡𝑢𝑟𝑒𝑊𝑎𝑡𝑡𝑠))/1000∗𝐼𝑆𝑅∗𝑊𝐻𝐹𝑑∗𝐶𝐹</a:t>
              </a:r>
              <a:endParaRPr lang="en-US" sz="1100"/>
            </a:p>
          </xdr:txBody>
        </xdr:sp>
      </mc:Fallback>
    </mc:AlternateContent>
    <xdr:clientData/>
  </xdr:oneCellAnchor>
  <xdr:oneCellAnchor>
    <xdr:from>
      <xdr:col>1</xdr:col>
      <xdr:colOff>28575</xdr:colOff>
      <xdr:row>16</xdr:row>
      <xdr:rowOff>76200</xdr:rowOff>
    </xdr:from>
    <xdr:ext cx="6911764" cy="328551"/>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DA4B5EEE-047C-497D-9C70-27F8A2556E70}"/>
                </a:ext>
              </a:extLst>
            </xdr:cNvPr>
            <xdr:cNvSpPr txBox="1"/>
          </xdr:nvSpPr>
          <xdr:spPr>
            <a:xfrm>
              <a:off x="638175" y="398145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𝑃𝑟𝑒𝐹𝑖𝑥𝑡𝑢𝑟𝑒𝑄𝑡𝑦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𝑃𝑟𝑒𝐹𝑖𝑥𝑡𝑢𝑟𝑒𝑊𝑎𝑡𝑡𝑠</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4" name="TextBox 3">
              <a:extLst>
                <a:ext uri="{FF2B5EF4-FFF2-40B4-BE49-F238E27FC236}">
                  <a16:creationId xmlns:a16="http://schemas.microsoft.com/office/drawing/2014/main" id="{DA4B5EEE-047C-497D-9C70-27F8A2556E70}"/>
                </a:ext>
              </a:extLst>
            </xdr:cNvPr>
            <xdr:cNvSpPr txBox="1"/>
          </xdr:nvSpPr>
          <xdr:spPr>
            <a:xfrm>
              <a:off x="638175" y="3981450"/>
              <a:ext cx="6911764"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𝑟𝑒𝐹𝑖𝑥𝑡𝑢𝑟𝑒𝑄𝑡𝑦∗𝑃𝑟𝑒𝐹𝑖𝑥𝑡𝑢𝑟𝑒𝑊𝑎𝑡𝑡𝑠)−(𝑃𝑜𝑠𝑡𝐹𝑖𝑥𝑡𝑢𝑟𝑒𝑄𝑡𝑦∗𝑃𝑜𝑠𝑡𝐹𝑖𝑥𝑡𝑢𝑟𝑒𝑊𝑎𝑡𝑡𝑠))/1000∗𝐻𝑂𝑈𝑅𝑆∗𝐼𝑆𝑅∗𝑊𝐻𝐹𝑒</a:t>
              </a:r>
              <a:endParaRPr lang="en-US" sz="1100"/>
            </a:p>
          </xdr:txBody>
        </xdr:sp>
      </mc:Fallback>
    </mc:AlternateContent>
    <xdr:clientData/>
  </xdr:oneCellAnchor>
  <xdr:oneCellAnchor>
    <xdr:from>
      <xdr:col>0</xdr:col>
      <xdr:colOff>600075</xdr:colOff>
      <xdr:row>26</xdr:row>
      <xdr:rowOff>95250</xdr:rowOff>
    </xdr:from>
    <xdr:ext cx="5745547" cy="32855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460262B-915F-45EA-86BB-E3B71716D2DA}"/>
                </a:ext>
              </a:extLst>
            </xdr:cNvPr>
            <xdr:cNvSpPr txBox="1"/>
          </xdr:nvSpPr>
          <xdr:spPr>
            <a:xfrm>
              <a:off x="600075" y="617220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𝑊𝐻𝐹𝑑</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𝐶𝐹</m:t>
                    </m:r>
                  </m:oMath>
                </m:oMathPara>
              </a14:m>
              <a:endParaRPr lang="en-US" sz="1100"/>
            </a:p>
          </xdr:txBody>
        </xdr:sp>
      </mc:Choice>
      <mc:Fallback xmlns="">
        <xdr:sp macro="" textlink="">
          <xdr:nvSpPr>
            <xdr:cNvPr id="6" name="TextBox 5">
              <a:extLst>
                <a:ext uri="{FF2B5EF4-FFF2-40B4-BE49-F238E27FC236}">
                  <a16:creationId xmlns:a16="http://schemas.microsoft.com/office/drawing/2014/main" id="{D460262B-915F-45EA-86BB-E3B71716D2DA}"/>
                </a:ext>
              </a:extLst>
            </xdr:cNvPr>
            <xdr:cNvSpPr txBox="1"/>
          </xdr:nvSpPr>
          <xdr:spPr>
            <a:xfrm>
              <a:off x="600075" y="6172200"/>
              <a:ext cx="5745547"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𝑘𝑊=((𝑃𝑜𝑠𝑡𝐹𝑖𝑥𝑡𝑢𝑟𝑒𝑄𝑡𝑦 ∗𝑃𝑜𝑠𝑡𝐹𝑖𝑥𝑡𝑢𝑟𝑒𝑊𝑎𝑡𝑡𝑠))/1000∗(𝑃𝑜𝑠𝑡𝑆𝑉𝐺𝑑−𝑃𝑟𝑒𝑆𝑉𝐺𝑑)∗𝐼𝑆𝑅∗𝑊𝐻𝐹𝑑∗𝐶𝐹</a:t>
              </a:r>
              <a:endParaRPr lang="en-US" sz="1100"/>
            </a:p>
          </xdr:txBody>
        </xdr:sp>
      </mc:Fallback>
    </mc:AlternateContent>
    <xdr:clientData/>
  </xdr:oneCellAnchor>
  <xdr:oneCellAnchor>
    <xdr:from>
      <xdr:col>1</xdr:col>
      <xdr:colOff>0</xdr:colOff>
      <xdr:row>36</xdr:row>
      <xdr:rowOff>123825</xdr:rowOff>
    </xdr:from>
    <xdr:ext cx="6036781" cy="328551"/>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154DC434-48F3-4EFA-AD62-DE53E84B1A4C}"/>
                </a:ext>
              </a:extLst>
            </xdr:cNvPr>
            <xdr:cNvSpPr txBox="1"/>
          </xdr:nvSpPr>
          <xdr:spPr>
            <a:xfrm>
              <a:off x="609600" y="8305800"/>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𝑘𝑊h</m:t>
                    </m:r>
                    <m:r>
                      <a:rPr lang="en-US" sz="1100" b="0" i="1">
                        <a:latin typeface="Cambria Math" panose="02040503050406030204" pitchFamily="18" charset="0"/>
                        <a:ea typeface="Cambria Math" panose="02040503050406030204" pitchFamily="18" charset="0"/>
                      </a:rPr>
                      <m:t>=</m:t>
                    </m:r>
                    <m:f>
                      <m:fPr>
                        <m:ctrlPr>
                          <a:rPr lang="en-US" sz="1100" b="0" i="1">
                            <a:latin typeface="Cambria Math" panose="02040503050406030204" pitchFamily="18" charset="0"/>
                            <a:ea typeface="Cambria Math" panose="02040503050406030204" pitchFamily="18" charset="0"/>
                          </a:rPr>
                        </m:ctrlPr>
                      </m:fPr>
                      <m:num>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𝑃𝑜𝑠𝑡𝐹𝑖𝑥𝑡𝑢𝑟𝑒𝑄𝑡𝑦</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𝑃𝑜𝑠𝑡𝐹𝑖𝑥𝑡𝑢𝑟𝑒𝑊𝑎𝑡𝑡𝑠</m:t>
                            </m:r>
                          </m:e>
                        </m:d>
                      </m:num>
                      <m:den>
                        <m:r>
                          <a:rPr lang="en-US" sz="1100" b="0" i="1">
                            <a:latin typeface="Cambria Math" panose="02040503050406030204" pitchFamily="18" charset="0"/>
                            <a:ea typeface="Cambria Math" panose="02040503050406030204" pitchFamily="18" charset="0"/>
                          </a:rPr>
                          <m:t>1000</m:t>
                        </m:r>
                      </m:den>
                    </m:f>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𝑃𝑜𝑠𝑡𝑆𝑉𝐺𝑒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𝑃𝑟𝑒𝑆𝑉𝐺𝑒</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𝐻𝑂𝑈𝑅𝑆</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𝐼𝑆𝑅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𝑊𝐻𝐹𝑒</m:t>
                    </m:r>
                  </m:oMath>
                </m:oMathPara>
              </a14:m>
              <a:endParaRPr lang="en-US" sz="1100"/>
            </a:p>
          </xdr:txBody>
        </xdr:sp>
      </mc:Choice>
      <mc:Fallback xmlns="">
        <xdr:sp macro="" textlink="">
          <xdr:nvSpPr>
            <xdr:cNvPr id="8" name="TextBox 7">
              <a:extLst>
                <a:ext uri="{FF2B5EF4-FFF2-40B4-BE49-F238E27FC236}">
                  <a16:creationId xmlns:a16="http://schemas.microsoft.com/office/drawing/2014/main" id="{154DC434-48F3-4EFA-AD62-DE53E84B1A4C}"/>
                </a:ext>
              </a:extLst>
            </xdr:cNvPr>
            <xdr:cNvSpPr txBox="1"/>
          </xdr:nvSpPr>
          <xdr:spPr>
            <a:xfrm>
              <a:off x="609600" y="8305800"/>
              <a:ext cx="6036781" cy="32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𝑘𝑊ℎ=((𝑃𝑜𝑠𝑡𝐹𝑖𝑥𝑡𝑢𝑟𝑒𝑄𝑡𝑦∗𝑃𝑜𝑠𝑡𝐹𝑖𝑥𝑡𝑢𝑟𝑒𝑊𝑎𝑡𝑡𝑠))/1000∗(𝑃𝑜𝑠𝑡𝑆𝑉𝐺𝑒−𝑃𝑟𝑒𝑆𝑉𝐺𝑒)∗𝐻𝑂𝑈𝑅𝑆∗𝐼𝑆𝑅∗𝑊𝐻𝐹𝑒</a:t>
              </a:r>
              <a:endParaRPr lang="en-US" sz="1100"/>
            </a:p>
          </xdr:txBody>
        </xdr:sp>
      </mc:Fallback>
    </mc:AlternateContent>
    <xdr:clientData/>
  </xdr:oneCellAnchor>
  <xdr:oneCellAnchor>
    <xdr:from>
      <xdr:col>1</xdr:col>
      <xdr:colOff>0</xdr:colOff>
      <xdr:row>48</xdr:row>
      <xdr:rowOff>0</xdr:rowOff>
    </xdr:from>
    <xdr:ext cx="3137590"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4749FFAE-A072-4F4F-ACA3-75A6DDA17065}"/>
                </a:ext>
              </a:extLst>
            </xdr:cNvPr>
            <xdr:cNvSpPr txBox="1"/>
          </xdr:nvSpPr>
          <xdr:spPr>
            <a:xfrm>
              <a:off x="609600" y="10668000"/>
              <a:ext cx="313759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𝑀𝑀𝐵𝑡𝑢</m:t>
                    </m:r>
                    <m:r>
                      <a:rPr lang="en-US" sz="1100" b="0" i="1">
                        <a:latin typeface="Cambria Math" panose="02040503050406030204" pitchFamily="18" charset="0"/>
                        <a:ea typeface="Cambria Math" panose="02040503050406030204" pitchFamily="18" charset="0"/>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f>
                          <m:fPr>
                            <m:type m:val="lin"/>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𝑊𝐻𝐹𝑒</m:t>
                            </m:r>
                          </m:den>
                        </m:f>
                      </m:e>
                    </m:d>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𝐴𝑅</m:t>
                    </m:r>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𝐶</m:t>
                    </m:r>
                    <m:r>
                      <a:rPr lang="en-US" sz="1100" b="0" i="1">
                        <a:latin typeface="Cambria Math" panose="02040503050406030204" pitchFamily="18" charset="0"/>
                        <a:ea typeface="Cambria Math" panose="02040503050406030204" pitchFamily="18" charset="0"/>
                      </a:rPr>
                      <m:t>∗ </m:t>
                    </m:r>
                    <m:f>
                      <m:fPr>
                        <m:type m:val="lin"/>
                        <m:ctrlPr>
                          <a:rPr lang="en-US" sz="1100" b="0" i="1">
                            <a:latin typeface="Cambria Math" panose="02040503050406030204" pitchFamily="18" charset="0"/>
                            <a:ea typeface="Cambria Math" panose="02040503050406030204" pitchFamily="18" charset="0"/>
                          </a:rPr>
                        </m:ctrlPr>
                      </m:fPr>
                      <m:num>
                        <m:r>
                          <a:rPr lang="en-US" sz="1100" b="0" i="1">
                            <a:latin typeface="Cambria Math" panose="02040503050406030204" pitchFamily="18" charset="0"/>
                            <a:ea typeface="Cambria Math" panose="02040503050406030204" pitchFamily="18" charset="0"/>
                          </a:rPr>
                          <m:t>𝐿𝐻𝐹</m:t>
                        </m:r>
                      </m:num>
                      <m:den>
                        <m:r>
                          <a:rPr lang="en-US" sz="1100" b="0" i="1">
                            <a:latin typeface="Cambria Math" panose="02040503050406030204" pitchFamily="18" charset="0"/>
                            <a:ea typeface="Cambria Math" panose="02040503050406030204" pitchFamily="18" charset="0"/>
                          </a:rPr>
                          <m:t>𝐸𝑓𝑓</m:t>
                        </m:r>
                      </m:den>
                    </m:f>
                  </m:oMath>
                </m:oMathPara>
              </a14:m>
              <a:endParaRPr lang="en-US" sz="1100"/>
            </a:p>
          </xdr:txBody>
        </xdr:sp>
      </mc:Choice>
      <mc:Fallback xmlns="">
        <xdr:sp macro="" textlink="">
          <xdr:nvSpPr>
            <xdr:cNvPr id="7" name="TextBox 6">
              <a:extLst>
                <a:ext uri="{FF2B5EF4-FFF2-40B4-BE49-F238E27FC236}">
                  <a16:creationId xmlns:a16="http://schemas.microsoft.com/office/drawing/2014/main" id="{4749FFAE-A072-4F4F-ACA3-75A6DDA17065}"/>
                </a:ext>
              </a:extLst>
            </xdr:cNvPr>
            <xdr:cNvSpPr txBox="1"/>
          </xdr:nvSpPr>
          <xdr:spPr>
            <a:xfrm>
              <a:off x="609600" y="10668000"/>
              <a:ext cx="313759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ea typeface="Cambria Math" panose="02040503050406030204" pitchFamily="18" charset="0"/>
                </a:rPr>
                <a:t>∆</a:t>
              </a:r>
              <a:r>
                <a:rPr lang="en-US" sz="1100" b="0" i="0">
                  <a:latin typeface="Cambria Math" panose="02040503050406030204" pitchFamily="18" charset="0"/>
                  <a:ea typeface="Cambria Math" panose="02040503050406030204" pitchFamily="18" charset="0"/>
                </a:rPr>
                <a:t>𝑀𝑀𝐵𝑡𝑢=</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mn-lt"/>
                  <a:ea typeface="+mn-ea"/>
                  <a:cs typeface="+mn-cs"/>
                </a:rPr>
                <a:t>〖−</a:t>
              </a:r>
              <a:r>
                <a:rPr lang="en-US" sz="1100" i="0">
                  <a:solidFill>
                    <a:schemeClr val="tx1"/>
                  </a:solidFill>
                  <a:effectLst/>
                  <a:latin typeface="+mn-lt"/>
                  <a:ea typeface="+mn-ea"/>
                  <a:cs typeface="+mn-cs"/>
                </a:rPr>
                <a:t>∆</a:t>
              </a:r>
              <a:r>
                <a:rPr lang="en-US" sz="1100" b="0" i="0">
                  <a:solidFill>
                    <a:schemeClr val="tx1"/>
                  </a:solidFill>
                  <a:effectLst/>
                  <a:latin typeface="+mn-lt"/>
                  <a:ea typeface="+mn-ea"/>
                  <a:cs typeface="+mn-cs"/>
                </a:rPr>
                <a:t>𝑘𝑊ℎ〗∕𝑊𝐻𝐹𝑒</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∗𝐴𝑅∗𝐶∗  𝐿𝐻𝐹∕𝐸𝑓𝑓</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120650</xdr:colOff>
      <xdr:row>1</xdr:row>
      <xdr:rowOff>123825</xdr:rowOff>
    </xdr:to>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C7443CD7-0C84-4A78-AEA2-D2A9643AC19B}"/>
            </a:ext>
          </a:extLst>
        </xdr:cNvPr>
        <xdr:cNvSpPr>
          <a:spLocks noChangeAspect="1" noChangeArrowheads="1"/>
        </xdr:cNvSpPr>
      </xdr:nvSpPr>
      <xdr:spPr bwMode="auto">
        <a:xfrm>
          <a:off x="0" y="0"/>
          <a:ext cx="299944" cy="303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35456</xdr:colOff>
      <xdr:row>0</xdr:row>
      <xdr:rowOff>154775</xdr:rowOff>
    </xdr:from>
    <xdr:to>
      <xdr:col>3</xdr:col>
      <xdr:colOff>669178</xdr:colOff>
      <xdr:row>5</xdr:row>
      <xdr:rowOff>44803</xdr:rowOff>
    </xdr:to>
    <xdr:pic>
      <xdr:nvPicPr>
        <xdr:cNvPr id="3" name="Picture 2">
          <a:extLst>
            <a:ext uri="{FF2B5EF4-FFF2-40B4-BE49-F238E27FC236}">
              <a16:creationId xmlns:a16="http://schemas.microsoft.com/office/drawing/2014/main" id="{61A83CFE-870C-45EF-8E18-80801ECA1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750" y="154775"/>
          <a:ext cx="4040310" cy="7896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nor McGrail" id="{6ECB5D00-6A13-4636-84AC-751D5AECDDE3}" userId="S::conor.mcgrail@clearesult.com::20bd58f3-5f56-47cc-9a8c-f3e5426e2ed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H3" dT="2024-03-22T21:15:53.15" personId="{6ECB5D00-6A13-4636-84AC-751D5AECDDE3}" id="{B6E7390F-BCF6-4101-AF56-BAA83E39B482}">
    <text>Remove</text>
  </threadedComment>
  <threadedComment ref="BN3" dT="2024-03-22T21:15:46.63" personId="{6ECB5D00-6A13-4636-84AC-751D5AECDDE3}" id="{F8C89F83-F8BC-43C5-BA20-8E860A750426}">
    <text>Remove</text>
  </threadedComment>
  <threadedComment ref="BT3" dT="2024-03-22T21:15:23.20" personId="{6ECB5D00-6A13-4636-84AC-751D5AECDDE3}" id="{BF086C26-5DD6-4BA1-9A8D-45A2C38B583D}">
    <text>remove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s://energysavemd-bizsolutions.com/custom-projects" TargetMode="External"/><Relationship Id="rId3" Type="http://schemas.openxmlformats.org/officeDocument/2006/relationships/hyperlink" Target="https://energysavemd-bizsolutions.com/heating-ventilation-and-air-conditioning" TargetMode="External"/><Relationship Id="rId7" Type="http://schemas.openxmlformats.org/officeDocument/2006/relationships/hyperlink" Target="https://energysavemd-bizsolutions.com/agricultural-incentive" TargetMode="External"/><Relationship Id="rId2" Type="http://schemas.openxmlformats.org/officeDocument/2006/relationships/hyperlink" Target="https://nrc-publications.canada.ca/eng/view/accepted/?id=9de16357-d013-41c3-a944-8e5d119f2170" TargetMode="External"/><Relationship Id="rId1" Type="http://schemas.openxmlformats.org/officeDocument/2006/relationships/hyperlink" Target="https://neea.org/resources/2020-luminaire-level-lighting-controls-incremental-cost-study" TargetMode="External"/><Relationship Id="rId6" Type="http://schemas.openxmlformats.org/officeDocument/2006/relationships/hyperlink" Target="https://energysavemd-bizsolutions.com/consumer-electronics" TargetMode="External"/><Relationship Id="rId11" Type="http://schemas.openxmlformats.org/officeDocument/2006/relationships/drawing" Target="../drawings/drawing3.xml"/><Relationship Id="rId5" Type="http://schemas.openxmlformats.org/officeDocument/2006/relationships/hyperlink" Target="https://energysavemd-bizsolutions.com/appliances" TargetMode="External"/><Relationship Id="rId10" Type="http://schemas.openxmlformats.org/officeDocument/2006/relationships/printerSettings" Target="../printerSettings/printerSettings5.bin"/><Relationship Id="rId4" Type="http://schemas.openxmlformats.org/officeDocument/2006/relationships/hyperlink" Target="https://energysavemd-bizsolutions.com/food-service-and-commercial-kitchens" TargetMode="External"/><Relationship Id="rId9" Type="http://schemas.openxmlformats.org/officeDocument/2006/relationships/hyperlink" Target="https://www.designlights.org/wp-content/uploads/2021/01/Energy-Savings-From-Networked-Lighting-Controls-with-and-without-LLLC_FINAL_0924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K167"/>
  <sheetViews>
    <sheetView showGridLines="0" zoomScale="85" zoomScaleNormal="85" workbookViewId="0">
      <selection activeCell="C102" sqref="C102"/>
    </sheetView>
  </sheetViews>
  <sheetFormatPr defaultColWidth="8.85546875" defaultRowHeight="14.25"/>
  <cols>
    <col min="1" max="1" width="42.42578125" style="33" customWidth="1"/>
    <col min="2" max="2" width="54.5703125" style="33" customWidth="1"/>
    <col min="3" max="3" width="77.42578125" style="33" customWidth="1"/>
    <col min="4" max="16384" width="8.85546875" style="33"/>
  </cols>
  <sheetData>
    <row r="1" spans="1:11" ht="14.45" customHeight="1">
      <c r="A1"/>
      <c r="B1" s="268" t="s">
        <v>0</v>
      </c>
      <c r="C1" s="268"/>
    </row>
    <row r="2" spans="1:11" ht="14.1" customHeight="1">
      <c r="B2" s="268"/>
      <c r="C2" s="268"/>
    </row>
    <row r="3" spans="1:11" ht="14.1" customHeight="1">
      <c r="B3" s="268"/>
      <c r="C3" s="268"/>
    </row>
    <row r="4" spans="1:11" ht="14.1" customHeight="1">
      <c r="B4" s="268"/>
      <c r="C4" s="268"/>
    </row>
    <row r="5" spans="1:11" ht="14.1" customHeight="1">
      <c r="B5" s="268"/>
      <c r="C5" s="268"/>
    </row>
    <row r="6" spans="1:11" ht="14.1" customHeight="1">
      <c r="B6" s="268"/>
      <c r="C6" s="268"/>
    </row>
    <row r="7" spans="1:11">
      <c r="A7" s="267"/>
      <c r="B7" s="267"/>
      <c r="C7" s="267"/>
    </row>
    <row r="8" spans="1:11">
      <c r="A8" s="264" t="s">
        <v>1</v>
      </c>
      <c r="B8" s="264"/>
      <c r="C8" s="264"/>
      <c r="D8" s="34"/>
      <c r="E8" s="34"/>
      <c r="F8" s="34"/>
      <c r="G8" s="34"/>
      <c r="H8" s="34"/>
      <c r="I8" s="34"/>
      <c r="J8" s="34"/>
      <c r="K8" s="34"/>
    </row>
    <row r="9" spans="1:11">
      <c r="A9" s="264"/>
      <c r="B9" s="264"/>
      <c r="C9" s="264"/>
      <c r="D9" s="34"/>
      <c r="E9" s="34"/>
      <c r="F9" s="34"/>
      <c r="G9" s="34"/>
      <c r="H9" s="34"/>
      <c r="I9" s="34"/>
      <c r="J9" s="34"/>
      <c r="K9" s="34"/>
    </row>
    <row r="10" spans="1:11">
      <c r="A10" s="34"/>
      <c r="B10" s="34"/>
      <c r="C10" s="34"/>
      <c r="D10" s="34"/>
      <c r="E10" s="34"/>
      <c r="F10" s="34"/>
      <c r="G10" s="34"/>
      <c r="H10" s="34"/>
      <c r="I10" s="34"/>
      <c r="J10" s="34"/>
      <c r="K10" s="34"/>
    </row>
    <row r="11" spans="1:11" ht="18">
      <c r="A11" s="169" t="s">
        <v>2</v>
      </c>
    </row>
    <row r="12" spans="1:11">
      <c r="A12" s="33" t="s">
        <v>3</v>
      </c>
    </row>
    <row r="14" spans="1:11" ht="18">
      <c r="A14" s="269" t="s">
        <v>4</v>
      </c>
      <c r="B14" s="270"/>
      <c r="C14" s="271"/>
    </row>
    <row r="15" spans="1:11" ht="15">
      <c r="A15" s="35" t="s">
        <v>5</v>
      </c>
      <c r="B15" s="266" t="s">
        <v>6</v>
      </c>
      <c r="C15" s="266"/>
    </row>
    <row r="16" spans="1:11" ht="14.25" customHeight="1">
      <c r="A16" s="36" t="s">
        <v>7</v>
      </c>
      <c r="B16" s="262" t="s">
        <v>8</v>
      </c>
      <c r="C16" s="263"/>
    </row>
    <row r="17" spans="1:3" ht="14.25" customHeight="1">
      <c r="A17" s="36" t="s">
        <v>7</v>
      </c>
      <c r="B17" s="262" t="s">
        <v>9</v>
      </c>
      <c r="C17" s="263"/>
    </row>
    <row r="18" spans="1:3">
      <c r="A18" s="36" t="s">
        <v>10</v>
      </c>
      <c r="B18" s="262" t="s">
        <v>11</v>
      </c>
      <c r="C18" s="263"/>
    </row>
    <row r="19" spans="1:3">
      <c r="A19" s="36" t="s">
        <v>10</v>
      </c>
      <c r="B19" s="262" t="s">
        <v>12</v>
      </c>
      <c r="C19" s="263"/>
    </row>
    <row r="20" spans="1:3">
      <c r="A20" s="36" t="s">
        <v>13</v>
      </c>
      <c r="B20" s="262" t="s">
        <v>14</v>
      </c>
      <c r="C20" s="263"/>
    </row>
    <row r="21" spans="1:3">
      <c r="A21" s="36" t="s">
        <v>13</v>
      </c>
      <c r="B21" s="262" t="s">
        <v>15</v>
      </c>
      <c r="C21" s="263"/>
    </row>
    <row r="22" spans="1:3">
      <c r="A22" s="36" t="s">
        <v>13</v>
      </c>
      <c r="B22" s="262" t="s">
        <v>16</v>
      </c>
      <c r="C22" s="263"/>
    </row>
    <row r="23" spans="1:3" ht="14.25" customHeight="1">
      <c r="A23" s="36" t="s">
        <v>17</v>
      </c>
      <c r="B23" s="262" t="s">
        <v>18</v>
      </c>
      <c r="C23" s="263"/>
    </row>
    <row r="24" spans="1:3" ht="14.25" customHeight="1">
      <c r="A24" s="36" t="s">
        <v>17</v>
      </c>
      <c r="B24" s="262" t="s">
        <v>19</v>
      </c>
      <c r="C24" s="263"/>
    </row>
    <row r="25" spans="1:3" ht="14.25" customHeight="1">
      <c r="A25" s="36" t="s">
        <v>20</v>
      </c>
      <c r="B25" s="262" t="s">
        <v>21</v>
      </c>
      <c r="C25" s="263"/>
    </row>
    <row r="26" spans="1:3" ht="14.25" customHeight="1">
      <c r="A26" s="36" t="s">
        <v>20</v>
      </c>
      <c r="B26" s="262" t="s">
        <v>22</v>
      </c>
      <c r="C26" s="263"/>
    </row>
    <row r="27" spans="1:3" ht="14.25" customHeight="1">
      <c r="A27" s="36" t="s">
        <v>23</v>
      </c>
      <c r="B27" s="262" t="s">
        <v>24</v>
      </c>
      <c r="C27" s="263"/>
    </row>
    <row r="28" spans="1:3" ht="14.25" customHeight="1">
      <c r="A28" s="36" t="s">
        <v>23</v>
      </c>
      <c r="B28" s="262" t="s">
        <v>25</v>
      </c>
      <c r="C28" s="263"/>
    </row>
    <row r="29" spans="1:3" ht="14.25" customHeight="1">
      <c r="A29" s="36" t="s">
        <v>23</v>
      </c>
      <c r="B29" s="262" t="s">
        <v>26</v>
      </c>
      <c r="C29" s="263"/>
    </row>
    <row r="30" spans="1:3" ht="14.25" customHeight="1">
      <c r="A30" s="36" t="s">
        <v>23</v>
      </c>
      <c r="B30" s="262" t="s">
        <v>27</v>
      </c>
      <c r="C30" s="263"/>
    </row>
    <row r="31" spans="1:3" ht="14.25" customHeight="1">
      <c r="A31" s="36" t="s">
        <v>23</v>
      </c>
      <c r="B31" s="262" t="s">
        <v>28</v>
      </c>
      <c r="C31" s="263"/>
    </row>
    <row r="32" spans="1:3" ht="14.25" customHeight="1">
      <c r="A32" s="36" t="s">
        <v>29</v>
      </c>
      <c r="B32" s="262" t="s">
        <v>30</v>
      </c>
      <c r="C32" s="263"/>
    </row>
    <row r="33" spans="1:3" ht="14.25" customHeight="1">
      <c r="A33" s="36" t="s">
        <v>29</v>
      </c>
      <c r="B33" s="262" t="s">
        <v>31</v>
      </c>
      <c r="C33" s="263"/>
    </row>
    <row r="34" spans="1:3" ht="14.25" customHeight="1">
      <c r="A34" s="36" t="s">
        <v>29</v>
      </c>
      <c r="B34" s="262" t="s">
        <v>32</v>
      </c>
      <c r="C34" s="263"/>
    </row>
    <row r="35" spans="1:3">
      <c r="A35" s="36" t="s">
        <v>29</v>
      </c>
      <c r="B35" s="262" t="s">
        <v>33</v>
      </c>
      <c r="C35" s="263"/>
    </row>
    <row r="36" spans="1:3">
      <c r="A36" s="36" t="s">
        <v>29</v>
      </c>
      <c r="B36" s="262" t="s">
        <v>34</v>
      </c>
      <c r="C36" s="263"/>
    </row>
    <row r="37" spans="1:3">
      <c r="A37" s="36" t="s">
        <v>29</v>
      </c>
      <c r="B37" s="262" t="s">
        <v>35</v>
      </c>
      <c r="C37" s="263"/>
    </row>
    <row r="38" spans="1:3">
      <c r="A38" s="36" t="s">
        <v>36</v>
      </c>
      <c r="B38" s="262" t="s">
        <v>37</v>
      </c>
      <c r="C38" s="263"/>
    </row>
    <row r="39" spans="1:3">
      <c r="A39" s="36" t="s">
        <v>36</v>
      </c>
      <c r="B39" s="262" t="s">
        <v>38</v>
      </c>
      <c r="C39" s="263"/>
    </row>
    <row r="40" spans="1:3">
      <c r="A40" s="36" t="s">
        <v>36</v>
      </c>
      <c r="B40" s="262" t="s">
        <v>39</v>
      </c>
      <c r="C40" s="263"/>
    </row>
    <row r="41" spans="1:3">
      <c r="A41" s="36" t="s">
        <v>36</v>
      </c>
      <c r="B41" s="262" t="s">
        <v>40</v>
      </c>
      <c r="C41" s="263"/>
    </row>
    <row r="42" spans="1:3">
      <c r="A42" s="36" t="s">
        <v>36</v>
      </c>
      <c r="B42" s="262" t="s">
        <v>41</v>
      </c>
      <c r="C42" s="263"/>
    </row>
    <row r="43" spans="1:3">
      <c r="A43" s="36" t="s">
        <v>36</v>
      </c>
      <c r="B43" s="262" t="s">
        <v>42</v>
      </c>
      <c r="C43" s="263"/>
    </row>
    <row r="44" spans="1:3" ht="14.25" customHeight="1">
      <c r="A44" s="36" t="s">
        <v>36</v>
      </c>
      <c r="B44" s="262" t="s">
        <v>43</v>
      </c>
      <c r="C44" s="263"/>
    </row>
    <row r="45" spans="1:3">
      <c r="A45" s="36" t="s">
        <v>36</v>
      </c>
      <c r="B45" s="262" t="s">
        <v>44</v>
      </c>
      <c r="C45" s="263"/>
    </row>
    <row r="46" spans="1:3" ht="14.25" customHeight="1">
      <c r="A46" s="36" t="s">
        <v>36</v>
      </c>
      <c r="B46" s="262" t="s">
        <v>45</v>
      </c>
      <c r="C46" s="263"/>
    </row>
    <row r="47" spans="1:3">
      <c r="A47" s="36" t="s">
        <v>46</v>
      </c>
      <c r="B47" s="262" t="s">
        <v>47</v>
      </c>
      <c r="C47" s="263"/>
    </row>
    <row r="48" spans="1:3">
      <c r="A48" s="36" t="s">
        <v>46</v>
      </c>
      <c r="B48" s="262" t="s">
        <v>48</v>
      </c>
      <c r="C48" s="263"/>
    </row>
    <row r="49" spans="1:3">
      <c r="A49" s="36" t="s">
        <v>46</v>
      </c>
      <c r="B49" s="262" t="s">
        <v>49</v>
      </c>
      <c r="C49" s="263"/>
    </row>
    <row r="50" spans="1:3">
      <c r="A50" s="36" t="s">
        <v>50</v>
      </c>
      <c r="B50" s="262" t="s">
        <v>51</v>
      </c>
      <c r="C50" s="263"/>
    </row>
    <row r="51" spans="1:3">
      <c r="A51" s="36" t="s">
        <v>50</v>
      </c>
      <c r="B51" s="262" t="s">
        <v>52</v>
      </c>
      <c r="C51" s="263"/>
    </row>
    <row r="52" spans="1:3">
      <c r="A52" s="36" t="s">
        <v>50</v>
      </c>
      <c r="B52" s="262" t="s">
        <v>53</v>
      </c>
      <c r="C52" s="263"/>
    </row>
    <row r="53" spans="1:3">
      <c r="A53" s="36" t="s">
        <v>50</v>
      </c>
      <c r="B53" s="262" t="s">
        <v>54</v>
      </c>
      <c r="C53" s="263"/>
    </row>
    <row r="54" spans="1:3">
      <c r="A54" s="36" t="s">
        <v>50</v>
      </c>
      <c r="B54" s="262" t="s">
        <v>55</v>
      </c>
      <c r="C54" s="263"/>
    </row>
    <row r="55" spans="1:3">
      <c r="A55" s="36" t="s">
        <v>50</v>
      </c>
      <c r="B55" s="262" t="s">
        <v>56</v>
      </c>
      <c r="C55" s="263"/>
    </row>
    <row r="56" spans="1:3">
      <c r="A56" s="36" t="s">
        <v>50</v>
      </c>
      <c r="B56" s="262" t="s">
        <v>57</v>
      </c>
      <c r="C56" s="263"/>
    </row>
    <row r="57" spans="1:3">
      <c r="A57" s="36" t="s">
        <v>50</v>
      </c>
      <c r="B57" s="262" t="s">
        <v>58</v>
      </c>
      <c r="C57" s="263"/>
    </row>
    <row r="58" spans="1:3">
      <c r="A58" s="36" t="s">
        <v>50</v>
      </c>
      <c r="B58" s="262" t="s">
        <v>59</v>
      </c>
      <c r="C58" s="263"/>
    </row>
    <row r="59" spans="1:3">
      <c r="A59" s="36" t="s">
        <v>60</v>
      </c>
      <c r="B59" s="262" t="s">
        <v>61</v>
      </c>
      <c r="C59" s="263"/>
    </row>
    <row r="60" spans="1:3">
      <c r="A60" s="36" t="s">
        <v>62</v>
      </c>
      <c r="B60" s="262" t="s">
        <v>63</v>
      </c>
      <c r="C60" s="263"/>
    </row>
    <row r="61" spans="1:3">
      <c r="A61" s="36" t="s">
        <v>64</v>
      </c>
      <c r="B61" s="262" t="s">
        <v>65</v>
      </c>
      <c r="C61" s="263"/>
    </row>
    <row r="62" spans="1:3">
      <c r="A62" s="36" t="s">
        <v>66</v>
      </c>
      <c r="B62" s="262" t="s">
        <v>67</v>
      </c>
      <c r="C62" s="263"/>
    </row>
    <row r="63" spans="1:3">
      <c r="A63" s="36" t="s">
        <v>68</v>
      </c>
      <c r="B63" s="262" t="s">
        <v>69</v>
      </c>
      <c r="C63" s="263"/>
    </row>
    <row r="64" spans="1:3" ht="18">
      <c r="A64" s="269" t="s">
        <v>70</v>
      </c>
      <c r="B64" s="270"/>
      <c r="C64" s="271"/>
    </row>
    <row r="65" spans="1:3" ht="15">
      <c r="A65" s="35" t="s">
        <v>5</v>
      </c>
      <c r="B65" s="266" t="s">
        <v>6</v>
      </c>
      <c r="C65" s="266"/>
    </row>
    <row r="66" spans="1:3" ht="14.25" customHeight="1">
      <c r="A66" s="36" t="s">
        <v>71</v>
      </c>
      <c r="B66" s="262" t="s">
        <v>72</v>
      </c>
      <c r="C66" s="263"/>
    </row>
    <row r="67" spans="1:3" ht="14.25" customHeight="1">
      <c r="A67" s="36" t="s">
        <v>71</v>
      </c>
      <c r="B67" s="262" t="s">
        <v>73</v>
      </c>
      <c r="C67" s="263"/>
    </row>
    <row r="68" spans="1:3" ht="14.25" customHeight="1">
      <c r="A68" s="36" t="s">
        <v>71</v>
      </c>
      <c r="B68" s="262" t="s">
        <v>74</v>
      </c>
      <c r="C68" s="263"/>
    </row>
    <row r="69" spans="1:3" ht="14.25" customHeight="1">
      <c r="A69" s="36" t="s">
        <v>71</v>
      </c>
      <c r="B69" s="262" t="s">
        <v>75</v>
      </c>
      <c r="C69" s="263"/>
    </row>
    <row r="70" spans="1:3" ht="14.25" customHeight="1">
      <c r="A70" s="36" t="s">
        <v>71</v>
      </c>
      <c r="B70" s="262" t="s">
        <v>76</v>
      </c>
      <c r="C70" s="263"/>
    </row>
    <row r="71" spans="1:3" ht="14.25" customHeight="1">
      <c r="A71" s="36" t="s">
        <v>77</v>
      </c>
      <c r="B71" s="262" t="s">
        <v>78</v>
      </c>
      <c r="C71" s="263"/>
    </row>
    <row r="72" spans="1:3" ht="14.25" customHeight="1">
      <c r="A72" s="36" t="s">
        <v>77</v>
      </c>
      <c r="B72" s="262" t="s">
        <v>79</v>
      </c>
      <c r="C72" s="263"/>
    </row>
    <row r="73" spans="1:3" ht="14.25" customHeight="1">
      <c r="A73" s="36" t="s">
        <v>80</v>
      </c>
      <c r="B73" s="262" t="s">
        <v>81</v>
      </c>
      <c r="C73" s="263"/>
    </row>
    <row r="74" spans="1:3" ht="14.25" customHeight="1">
      <c r="A74" s="36" t="s">
        <v>80</v>
      </c>
      <c r="B74" s="262" t="s">
        <v>82</v>
      </c>
      <c r="C74" s="263"/>
    </row>
    <row r="75" spans="1:3" ht="14.25" customHeight="1">
      <c r="A75" s="36" t="s">
        <v>83</v>
      </c>
      <c r="B75" s="262" t="s">
        <v>84</v>
      </c>
      <c r="C75" s="263"/>
    </row>
    <row r="76" spans="1:3" ht="14.25" customHeight="1">
      <c r="A76" s="36" t="s">
        <v>83</v>
      </c>
      <c r="B76" s="262" t="s">
        <v>85</v>
      </c>
      <c r="C76" s="263"/>
    </row>
    <row r="77" spans="1:3">
      <c r="A77" s="36" t="s">
        <v>83</v>
      </c>
      <c r="B77" s="262" t="s">
        <v>86</v>
      </c>
      <c r="C77" s="263"/>
    </row>
    <row r="78" spans="1:3" ht="14.25" customHeight="1">
      <c r="A78" s="36" t="s">
        <v>83</v>
      </c>
      <c r="B78" s="262" t="s">
        <v>87</v>
      </c>
      <c r="C78" s="263"/>
    </row>
    <row r="80" spans="1:3" ht="18">
      <c r="A80" s="169" t="s">
        <v>88</v>
      </c>
    </row>
    <row r="81" spans="1:3">
      <c r="A81" s="33" t="s">
        <v>2788</v>
      </c>
    </row>
    <row r="82" spans="1:3">
      <c r="A82" s="168"/>
      <c r="B82" s="33" t="s">
        <v>89</v>
      </c>
    </row>
    <row r="83" spans="1:3">
      <c r="A83" s="38"/>
      <c r="B83" s="33" t="s">
        <v>90</v>
      </c>
    </row>
    <row r="86" spans="1:3" ht="18">
      <c r="A86" s="169" t="s">
        <v>91</v>
      </c>
    </row>
    <row r="87" spans="1:3">
      <c r="A87" s="33" t="s">
        <v>92</v>
      </c>
    </row>
    <row r="89" spans="1:3">
      <c r="A89" s="33" t="s">
        <v>93</v>
      </c>
    </row>
    <row r="90" spans="1:3" ht="15">
      <c r="B90" s="213" t="s">
        <v>94</v>
      </c>
      <c r="C90" s="37" t="s">
        <v>95</v>
      </c>
    </row>
    <row r="91" spans="1:3" ht="15">
      <c r="B91" s="213" t="s">
        <v>96</v>
      </c>
      <c r="C91" s="37" t="s">
        <v>97</v>
      </c>
    </row>
    <row r="92" spans="1:3" ht="15">
      <c r="B92" s="213" t="s">
        <v>98</v>
      </c>
      <c r="C92" s="37" t="s">
        <v>99</v>
      </c>
    </row>
    <row r="93" spans="1:3" ht="15">
      <c r="B93" s="213" t="s">
        <v>100</v>
      </c>
      <c r="C93" s="37" t="s">
        <v>101</v>
      </c>
    </row>
    <row r="94" spans="1:3" ht="15">
      <c r="B94" s="213" t="s">
        <v>102</v>
      </c>
      <c r="C94" s="37" t="s">
        <v>103</v>
      </c>
    </row>
    <row r="95" spans="1:3" ht="15">
      <c r="B95" s="213" t="s">
        <v>104</v>
      </c>
      <c r="C95" s="37" t="s">
        <v>105</v>
      </c>
    </row>
    <row r="96" spans="1:3" ht="15">
      <c r="B96" s="213" t="s">
        <v>106</v>
      </c>
      <c r="C96" s="37" t="s">
        <v>107</v>
      </c>
    </row>
    <row r="97" spans="1:3" ht="15">
      <c r="B97" s="213" t="s">
        <v>108</v>
      </c>
      <c r="C97" s="37" t="s">
        <v>109</v>
      </c>
    </row>
    <row r="98" spans="1:3" ht="15">
      <c r="B98" s="213" t="s">
        <v>110</v>
      </c>
      <c r="C98" s="37" t="s">
        <v>111</v>
      </c>
    </row>
    <row r="99" spans="1:3" ht="15">
      <c r="B99" s="213" t="s">
        <v>112</v>
      </c>
      <c r="C99" s="37" t="s">
        <v>113</v>
      </c>
    </row>
    <row r="100" spans="1:3" ht="28.5">
      <c r="B100" s="213" t="s">
        <v>114</v>
      </c>
      <c r="C100" s="36" t="s">
        <v>115</v>
      </c>
    </row>
    <row r="101" spans="1:3" ht="28.5">
      <c r="B101" s="213" t="s">
        <v>116</v>
      </c>
      <c r="C101" s="36" t="s">
        <v>117</v>
      </c>
    </row>
    <row r="102" spans="1:3" ht="15">
      <c r="B102" s="213" t="s">
        <v>118</v>
      </c>
      <c r="C102" s="37" t="s">
        <v>119</v>
      </c>
    </row>
    <row r="103" spans="1:3" ht="15">
      <c r="B103" s="213" t="s">
        <v>120</v>
      </c>
      <c r="C103" s="37" t="s">
        <v>121</v>
      </c>
    </row>
    <row r="104" spans="1:3">
      <c r="A104" s="33" t="s">
        <v>122</v>
      </c>
    </row>
    <row r="105" spans="1:3" hidden="1">
      <c r="B105" s="37" t="s">
        <v>123</v>
      </c>
      <c r="C105" s="37"/>
    </row>
    <row r="106" spans="1:3" hidden="1">
      <c r="B106" s="39" t="s">
        <v>124</v>
      </c>
      <c r="C106" s="37" t="s">
        <v>125</v>
      </c>
    </row>
    <row r="107" spans="1:3" ht="18.75" hidden="1">
      <c r="B107" s="39" t="s">
        <v>126</v>
      </c>
      <c r="C107" s="37" t="s">
        <v>127</v>
      </c>
    </row>
    <row r="108" spans="1:3" ht="18.75" hidden="1">
      <c r="B108" s="39" t="s">
        <v>128</v>
      </c>
      <c r="C108" s="37" t="s">
        <v>129</v>
      </c>
    </row>
    <row r="109" spans="1:3" ht="18.75" hidden="1">
      <c r="B109" s="39" t="s">
        <v>130</v>
      </c>
      <c r="C109" s="37" t="s">
        <v>131</v>
      </c>
    </row>
    <row r="110" spans="1:3" hidden="1">
      <c r="B110" s="39" t="s">
        <v>132</v>
      </c>
      <c r="C110" s="37" t="s">
        <v>133</v>
      </c>
    </row>
    <row r="111" spans="1:3" hidden="1">
      <c r="B111" s="40" t="s">
        <v>134</v>
      </c>
    </row>
    <row r="112" spans="1:3" ht="18.75" hidden="1">
      <c r="B112" s="39" t="s">
        <v>126</v>
      </c>
      <c r="C112" s="37" t="s">
        <v>127</v>
      </c>
    </row>
    <row r="113" spans="2:3" ht="18.75" hidden="1">
      <c r="B113" s="39" t="s">
        <v>128</v>
      </c>
      <c r="C113" s="37" t="s">
        <v>129</v>
      </c>
    </row>
    <row r="114" spans="2:3" ht="18.75" hidden="1">
      <c r="B114" s="39" t="s">
        <v>130</v>
      </c>
      <c r="C114" s="37" t="s">
        <v>131</v>
      </c>
    </row>
    <row r="115" spans="2:3" hidden="1">
      <c r="B115" s="39" t="s">
        <v>132</v>
      </c>
      <c r="C115" s="37" t="s">
        <v>133</v>
      </c>
    </row>
    <row r="116" spans="2:3" hidden="1">
      <c r="B116" s="40" t="s">
        <v>135</v>
      </c>
    </row>
    <row r="117" spans="2:3" ht="23.1" customHeight="1">
      <c r="B117" s="210" t="s">
        <v>2800</v>
      </c>
      <c r="C117" s="37" t="s">
        <v>2802</v>
      </c>
    </row>
    <row r="118" spans="2:3" ht="16.5" hidden="1">
      <c r="B118" s="210" t="s">
        <v>2797</v>
      </c>
      <c r="C118" s="37" t="s">
        <v>129</v>
      </c>
    </row>
    <row r="119" spans="2:3" ht="16.5" hidden="1">
      <c r="B119" s="210" t="s">
        <v>2798</v>
      </c>
      <c r="C119" s="37" t="s">
        <v>131</v>
      </c>
    </row>
    <row r="120" spans="2:3" ht="22.5" customHeight="1">
      <c r="B120" s="210" t="s">
        <v>2801</v>
      </c>
      <c r="C120" s="37" t="s">
        <v>2803</v>
      </c>
    </row>
    <row r="121" spans="2:3" ht="29.1" customHeight="1">
      <c r="B121" s="210" t="s">
        <v>136</v>
      </c>
      <c r="C121" s="37" t="s">
        <v>133</v>
      </c>
    </row>
    <row r="122" spans="2:3" hidden="1">
      <c r="B122" s="210" t="s">
        <v>137</v>
      </c>
      <c r="C122" s="37" t="s">
        <v>138</v>
      </c>
    </row>
    <row r="123" spans="2:3" hidden="1">
      <c r="B123" s="210" t="s">
        <v>139</v>
      </c>
      <c r="C123" s="37" t="s">
        <v>140</v>
      </c>
    </row>
    <row r="124" spans="2:3" hidden="1">
      <c r="B124" s="210" t="s">
        <v>141</v>
      </c>
      <c r="C124" s="37" t="s">
        <v>142</v>
      </c>
    </row>
    <row r="125" spans="2:3" hidden="1">
      <c r="B125" s="210" t="s">
        <v>143</v>
      </c>
      <c r="C125" s="37" t="s">
        <v>144</v>
      </c>
    </row>
    <row r="126" spans="2:3" ht="24.6" customHeight="1">
      <c r="B126" s="210" t="s">
        <v>145</v>
      </c>
      <c r="C126" s="37" t="s">
        <v>146</v>
      </c>
    </row>
    <row r="127" spans="2:3" ht="24" customHeight="1">
      <c r="B127" s="210" t="s">
        <v>147</v>
      </c>
      <c r="C127" s="37" t="s">
        <v>148</v>
      </c>
    </row>
    <row r="128" spans="2:3" hidden="1">
      <c r="B128" s="210" t="s">
        <v>2711</v>
      </c>
      <c r="C128" s="37" t="s">
        <v>2713</v>
      </c>
    </row>
    <row r="129" spans="1:3" ht="18">
      <c r="A129" s="169" t="s">
        <v>149</v>
      </c>
    </row>
    <row r="130" spans="1:3">
      <c r="A130" s="33" t="s">
        <v>150</v>
      </c>
    </row>
    <row r="132" spans="1:3">
      <c r="B132" s="211" t="s">
        <v>151</v>
      </c>
      <c r="C132" s="41" t="s">
        <v>152</v>
      </c>
    </row>
    <row r="133" spans="1:3">
      <c r="B133" s="211" t="s">
        <v>153</v>
      </c>
      <c r="C133" s="41" t="s">
        <v>154</v>
      </c>
    </row>
    <row r="134" spans="1:3" ht="28.5">
      <c r="B134" s="211" t="s">
        <v>155</v>
      </c>
      <c r="C134" s="41" t="s">
        <v>156</v>
      </c>
    </row>
    <row r="135" spans="1:3" ht="42.75">
      <c r="B135" s="211" t="s">
        <v>157</v>
      </c>
      <c r="C135" s="41" t="s">
        <v>158</v>
      </c>
    </row>
    <row r="136" spans="1:3" ht="42.75">
      <c r="B136" s="211" t="s">
        <v>159</v>
      </c>
      <c r="C136" s="41" t="s">
        <v>160</v>
      </c>
    </row>
    <row r="137" spans="1:3">
      <c r="B137" s="211" t="s">
        <v>161</v>
      </c>
      <c r="C137" s="41" t="s">
        <v>162</v>
      </c>
    </row>
    <row r="138" spans="1:3">
      <c r="B138" s="211" t="s">
        <v>163</v>
      </c>
      <c r="C138" s="41" t="s">
        <v>164</v>
      </c>
    </row>
    <row r="139" spans="1:3">
      <c r="B139" s="212" t="s">
        <v>5</v>
      </c>
      <c r="C139" s="41" t="s">
        <v>165</v>
      </c>
    </row>
    <row r="140" spans="1:3">
      <c r="B140" s="212" t="s">
        <v>6</v>
      </c>
      <c r="C140" s="41" t="s">
        <v>166</v>
      </c>
    </row>
    <row r="141" spans="1:3" ht="28.5">
      <c r="A141" s="265" t="s">
        <v>167</v>
      </c>
      <c r="B141" s="211" t="s">
        <v>168</v>
      </c>
      <c r="C141" s="41" t="s">
        <v>169</v>
      </c>
    </row>
    <row r="142" spans="1:3">
      <c r="A142" s="265"/>
      <c r="B142" s="211" t="s">
        <v>170</v>
      </c>
      <c r="C142" s="41" t="s">
        <v>171</v>
      </c>
    </row>
    <row r="143" spans="1:3">
      <c r="A143" s="265"/>
      <c r="B143" s="211" t="s">
        <v>70</v>
      </c>
      <c r="C143" s="41" t="s">
        <v>172</v>
      </c>
    </row>
    <row r="144" spans="1:3" ht="28.5">
      <c r="A144" s="265" t="s">
        <v>173</v>
      </c>
      <c r="B144" s="211" t="s">
        <v>174</v>
      </c>
      <c r="C144" s="41" t="s">
        <v>175</v>
      </c>
    </row>
    <row r="145" spans="1:3" ht="42.75">
      <c r="A145" s="265"/>
      <c r="B145" s="211" t="s">
        <v>168</v>
      </c>
      <c r="C145" s="41" t="s">
        <v>176</v>
      </c>
    </row>
    <row r="146" spans="1:3">
      <c r="A146" s="265"/>
      <c r="B146" s="211" t="s">
        <v>170</v>
      </c>
      <c r="C146" s="41" t="s">
        <v>177</v>
      </c>
    </row>
    <row r="147" spans="1:3">
      <c r="A147" s="265"/>
      <c r="B147" s="211" t="s">
        <v>70</v>
      </c>
      <c r="C147" s="41" t="s">
        <v>178</v>
      </c>
    </row>
    <row r="148" spans="1:3">
      <c r="A148" s="265"/>
      <c r="B148" s="211" t="s">
        <v>179</v>
      </c>
      <c r="C148" s="41" t="s">
        <v>180</v>
      </c>
    </row>
    <row r="149" spans="1:3">
      <c r="A149" s="265" t="s">
        <v>4</v>
      </c>
      <c r="B149" s="211" t="s">
        <v>124</v>
      </c>
      <c r="C149" s="37" t="s">
        <v>125</v>
      </c>
    </row>
    <row r="150" spans="1:3">
      <c r="A150" s="265"/>
      <c r="B150" s="211" t="s">
        <v>2799</v>
      </c>
      <c r="C150" s="37" t="s">
        <v>127</v>
      </c>
    </row>
    <row r="151" spans="1:3">
      <c r="A151" s="265"/>
      <c r="B151" s="211" t="s">
        <v>181</v>
      </c>
      <c r="C151" s="37" t="s">
        <v>133</v>
      </c>
    </row>
    <row r="152" spans="1:3">
      <c r="A152" s="265" t="s">
        <v>70</v>
      </c>
      <c r="B152" s="211" t="s">
        <v>2799</v>
      </c>
      <c r="C152" s="37" t="s">
        <v>127</v>
      </c>
    </row>
    <row r="153" spans="1:3">
      <c r="A153" s="265"/>
      <c r="B153" s="211" t="s">
        <v>181</v>
      </c>
      <c r="C153" s="37" t="s">
        <v>133</v>
      </c>
    </row>
    <row r="154" spans="1:3">
      <c r="A154" s="265" t="s">
        <v>182</v>
      </c>
      <c r="B154" s="211" t="s">
        <v>2799</v>
      </c>
      <c r="C154" s="37" t="s">
        <v>127</v>
      </c>
    </row>
    <row r="155" spans="1:3">
      <c r="A155" s="265"/>
      <c r="B155" s="211" t="s">
        <v>181</v>
      </c>
      <c r="C155" s="37" t="s">
        <v>133</v>
      </c>
    </row>
    <row r="156" spans="1:3" hidden="1">
      <c r="A156" s="43"/>
      <c r="B156" s="59" t="s">
        <v>137</v>
      </c>
      <c r="C156" s="37" t="s">
        <v>138</v>
      </c>
    </row>
    <row r="157" spans="1:3" hidden="1">
      <c r="A157" s="43"/>
      <c r="B157" s="59" t="s">
        <v>139</v>
      </c>
      <c r="C157" s="37" t="s">
        <v>140</v>
      </c>
    </row>
    <row r="158" spans="1:3" hidden="1">
      <c r="A158" s="43"/>
      <c r="B158" s="42" t="s">
        <v>141</v>
      </c>
      <c r="C158" s="37" t="s">
        <v>142</v>
      </c>
    </row>
    <row r="159" spans="1:3" hidden="1">
      <c r="A159" s="43"/>
      <c r="B159" s="42" t="s">
        <v>143</v>
      </c>
      <c r="C159" s="37" t="s">
        <v>144</v>
      </c>
    </row>
    <row r="160" spans="1:3" hidden="1">
      <c r="A160" s="43"/>
      <c r="B160" s="42" t="s">
        <v>183</v>
      </c>
      <c r="C160" s="37" t="s">
        <v>148</v>
      </c>
    </row>
    <row r="162" spans="1:3" ht="15" hidden="1">
      <c r="A162" s="44" t="s">
        <v>184</v>
      </c>
      <c r="B162" s="33" t="s">
        <v>185</v>
      </c>
    </row>
    <row r="163" spans="1:3" ht="15" hidden="1">
      <c r="A163" s="45"/>
    </row>
    <row r="164" spans="1:3" ht="15" hidden="1">
      <c r="A164" s="44" t="s">
        <v>186</v>
      </c>
      <c r="B164" s="33" t="s">
        <v>187</v>
      </c>
    </row>
    <row r="165" spans="1:3" ht="28.5" hidden="1">
      <c r="A165" s="44"/>
      <c r="B165" s="59" t="s">
        <v>188</v>
      </c>
      <c r="C165" s="41" t="s">
        <v>189</v>
      </c>
    </row>
    <row r="166" spans="1:3" ht="15" hidden="1">
      <c r="A166" s="45"/>
    </row>
    <row r="167" spans="1:3" ht="15" hidden="1">
      <c r="A167" s="44" t="s">
        <v>190</v>
      </c>
      <c r="B167" s="33" t="s">
        <v>191</v>
      </c>
    </row>
  </sheetData>
  <sheetProtection algorithmName="SHA-512" hashValue="8o3Q7wzO8AIYh4GNNcSKvAOlh78UymIRU26+K8rcG8wiHEwy/hYZfyqTtbWOhxqOe8OzDc926DBw6Unss+4syg==" saltValue="gHPIRGdgFT0DHJHymkAg2Q==" spinCount="100000" sheet="1" objects="1" scenarios="1"/>
  <mergeCells count="73">
    <mergeCell ref="A7:C7"/>
    <mergeCell ref="B1:C6"/>
    <mergeCell ref="B15:C15"/>
    <mergeCell ref="A14:C14"/>
    <mergeCell ref="A64:C64"/>
    <mergeCell ref="B37:C37"/>
    <mergeCell ref="B62:C62"/>
    <mergeCell ref="B61:C61"/>
    <mergeCell ref="B42:C42"/>
    <mergeCell ref="B59:C59"/>
    <mergeCell ref="B58:C58"/>
    <mergeCell ref="B50:C50"/>
    <mergeCell ref="B49:C49"/>
    <mergeCell ref="B48:C48"/>
    <mergeCell ref="B47:C47"/>
    <mergeCell ref="B46:C46"/>
    <mergeCell ref="B45:C45"/>
    <mergeCell ref="B44:C44"/>
    <mergeCell ref="A149:A151"/>
    <mergeCell ref="A144:A148"/>
    <mergeCell ref="B76:C76"/>
    <mergeCell ref="B77:C77"/>
    <mergeCell ref="B78:C78"/>
    <mergeCell ref="B51:C51"/>
    <mergeCell ref="B52:C52"/>
    <mergeCell ref="B53:C53"/>
    <mergeCell ref="B54:C54"/>
    <mergeCell ref="B55:C55"/>
    <mergeCell ref="B56:C56"/>
    <mergeCell ref="B57:C57"/>
    <mergeCell ref="B63:C63"/>
    <mergeCell ref="A152:A153"/>
    <mergeCell ref="A154:A155"/>
    <mergeCell ref="B60:C60"/>
    <mergeCell ref="B75:C75"/>
    <mergeCell ref="B74:C74"/>
    <mergeCell ref="B73:C73"/>
    <mergeCell ref="B72:C72"/>
    <mergeCell ref="B71:C71"/>
    <mergeCell ref="B70:C70"/>
    <mergeCell ref="B69:C69"/>
    <mergeCell ref="B68:C68"/>
    <mergeCell ref="B67:C67"/>
    <mergeCell ref="B66:C66"/>
    <mergeCell ref="B65:C65"/>
    <mergeCell ref="A141:A143"/>
    <mergeCell ref="A8:C9"/>
    <mergeCell ref="B36:C36"/>
    <mergeCell ref="B35:C35"/>
    <mergeCell ref="B34:C34"/>
    <mergeCell ref="B33:C33"/>
    <mergeCell ref="B27:C27"/>
    <mergeCell ref="B22:C22"/>
    <mergeCell ref="B20:C20"/>
    <mergeCell ref="B24:C24"/>
    <mergeCell ref="B23:C23"/>
    <mergeCell ref="B21:C21"/>
    <mergeCell ref="B43:C43"/>
    <mergeCell ref="B26:C26"/>
    <mergeCell ref="B18:C18"/>
    <mergeCell ref="B17:C17"/>
    <mergeCell ref="B16:C16"/>
    <mergeCell ref="B41:C41"/>
    <mergeCell ref="B40:C40"/>
    <mergeCell ref="B39:C39"/>
    <mergeCell ref="B38:C38"/>
    <mergeCell ref="B25:C25"/>
    <mergeCell ref="B19:C19"/>
    <mergeCell ref="B32:C32"/>
    <mergeCell ref="B31:C31"/>
    <mergeCell ref="B30:C30"/>
    <mergeCell ref="B29:C29"/>
    <mergeCell ref="B28:C28"/>
  </mergeCell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55"/>
  <sheetViews>
    <sheetView showGridLines="0" topLeftCell="A12" workbookViewId="0">
      <selection activeCell="C56" sqref="C56"/>
    </sheetView>
  </sheetViews>
  <sheetFormatPr defaultRowHeight="15"/>
  <sheetData>
    <row r="2" spans="2:3" ht="35.25">
      <c r="B2" s="23" t="s">
        <v>192</v>
      </c>
    </row>
    <row r="4" spans="2:3" ht="20.25">
      <c r="B4" s="18" t="s">
        <v>193</v>
      </c>
      <c r="C4" s="18"/>
    </row>
    <row r="5" spans="2:3" ht="20.25">
      <c r="B5" s="20" t="s">
        <v>194</v>
      </c>
      <c r="C5" s="16"/>
    </row>
    <row r="6" spans="2:3" ht="20.25">
      <c r="B6" s="16"/>
      <c r="C6" s="16"/>
    </row>
    <row r="7" spans="2:3" ht="20.25">
      <c r="B7" s="16"/>
      <c r="C7" s="16"/>
    </row>
    <row r="8" spans="2:3" ht="20.25">
      <c r="B8" s="20" t="s">
        <v>195</v>
      </c>
      <c r="C8" s="16"/>
    </row>
    <row r="9" spans="2:3" ht="20.25">
      <c r="B9" s="16"/>
      <c r="C9" s="16"/>
    </row>
    <row r="10" spans="2:3" ht="20.25">
      <c r="B10" s="16"/>
      <c r="C10" s="16"/>
    </row>
    <row r="11" spans="2:3">
      <c r="B11" s="22" t="s">
        <v>196</v>
      </c>
      <c r="C11" s="22"/>
    </row>
    <row r="12" spans="2:3">
      <c r="B12" s="22"/>
      <c r="C12" s="22" t="s">
        <v>197</v>
      </c>
    </row>
    <row r="13" spans="2:3">
      <c r="B13" s="22"/>
      <c r="C13" s="22" t="s">
        <v>198</v>
      </c>
    </row>
    <row r="14" spans="2:3">
      <c r="B14" s="22"/>
      <c r="C14" s="22" t="s">
        <v>199</v>
      </c>
    </row>
    <row r="15" spans="2:3" ht="20.25">
      <c r="B15" s="16"/>
      <c r="C15" s="16"/>
    </row>
    <row r="16" spans="2:3" ht="20.25">
      <c r="B16" s="20" t="s">
        <v>200</v>
      </c>
      <c r="C16" s="16"/>
    </row>
    <row r="17" spans="2:3" ht="20.25">
      <c r="B17" s="16"/>
      <c r="C17" s="16"/>
    </row>
    <row r="18" spans="2:3" ht="20.25">
      <c r="B18" s="16"/>
      <c r="C18" s="16"/>
    </row>
    <row r="19" spans="2:3">
      <c r="B19" s="22" t="s">
        <v>196</v>
      </c>
      <c r="C19" s="22"/>
    </row>
    <row r="20" spans="2:3">
      <c r="B20" s="22"/>
      <c r="C20" s="22" t="s">
        <v>197</v>
      </c>
    </row>
    <row r="21" spans="2:3">
      <c r="B21" s="22"/>
      <c r="C21" s="22" t="s">
        <v>201</v>
      </c>
    </row>
    <row r="22" spans="2:3">
      <c r="B22" s="22"/>
      <c r="C22" s="22" t="s">
        <v>202</v>
      </c>
    </row>
    <row r="23" spans="2:3" ht="20.25">
      <c r="B23" s="16"/>
      <c r="C23" s="16"/>
    </row>
    <row r="25" spans="2:3" ht="20.25">
      <c r="B25" s="18" t="s">
        <v>203</v>
      </c>
      <c r="C25" s="18"/>
    </row>
    <row r="26" spans="2:3">
      <c r="B26" s="20" t="s">
        <v>195</v>
      </c>
    </row>
    <row r="27" spans="2:3" ht="20.25">
      <c r="B27" s="16"/>
    </row>
    <row r="28" spans="2:3" ht="20.25">
      <c r="B28" s="16"/>
    </row>
    <row r="29" spans="2:3">
      <c r="B29" s="22" t="s">
        <v>196</v>
      </c>
    </row>
    <row r="30" spans="2:3">
      <c r="B30" s="22"/>
      <c r="C30" s="22" t="s">
        <v>197</v>
      </c>
    </row>
    <row r="31" spans="2:3">
      <c r="B31" s="22"/>
      <c r="C31" s="22" t="s">
        <v>198</v>
      </c>
    </row>
    <row r="32" spans="2:3">
      <c r="B32" s="22"/>
      <c r="C32" s="22" t="s">
        <v>199</v>
      </c>
    </row>
    <row r="33" spans="2:3">
      <c r="B33" s="22"/>
      <c r="C33" s="22" t="s">
        <v>204</v>
      </c>
    </row>
    <row r="34" spans="2:3">
      <c r="B34" s="22"/>
      <c r="C34" s="22" t="s">
        <v>205</v>
      </c>
    </row>
    <row r="35" spans="2:3" ht="20.25">
      <c r="B35" s="16"/>
    </row>
    <row r="36" spans="2:3">
      <c r="B36" s="20" t="s">
        <v>200</v>
      </c>
    </row>
    <row r="37" spans="2:3" ht="20.25">
      <c r="B37" s="16"/>
    </row>
    <row r="38" spans="2:3" ht="20.25">
      <c r="B38" s="16"/>
    </row>
    <row r="39" spans="2:3">
      <c r="B39" s="22" t="s">
        <v>196</v>
      </c>
    </row>
    <row r="40" spans="2:3">
      <c r="B40" s="22"/>
      <c r="C40" s="22" t="s">
        <v>197</v>
      </c>
    </row>
    <row r="41" spans="2:3">
      <c r="B41" s="22"/>
      <c r="C41" s="22" t="s">
        <v>201</v>
      </c>
    </row>
    <row r="42" spans="2:3">
      <c r="B42" s="22"/>
      <c r="C42" s="22" t="s">
        <v>202</v>
      </c>
    </row>
    <row r="43" spans="2:3">
      <c r="C43" s="22" t="s">
        <v>206</v>
      </c>
    </row>
    <row r="44" spans="2:3">
      <c r="C44" s="22" t="s">
        <v>207</v>
      </c>
    </row>
    <row r="46" spans="2:3" ht="20.25">
      <c r="B46" s="18" t="s">
        <v>208</v>
      </c>
    </row>
    <row r="47" spans="2:3">
      <c r="B47" t="s">
        <v>209</v>
      </c>
    </row>
    <row r="51" spans="2:3">
      <c r="B51" s="22" t="s">
        <v>196</v>
      </c>
    </row>
    <row r="52" spans="2:3">
      <c r="C52" t="s">
        <v>210</v>
      </c>
    </row>
    <row r="53" spans="2:3">
      <c r="C53" t="s">
        <v>211</v>
      </c>
    </row>
    <row r="54" spans="2:3">
      <c r="C54" t="s">
        <v>212</v>
      </c>
    </row>
    <row r="55" spans="2:3">
      <c r="C55" t="s">
        <v>213</v>
      </c>
    </row>
  </sheetData>
  <sheetProtection algorithmName="SHA-512" hashValue="JCOiVA0CSA9v5tBLJFBr9ZIMu7uY3PeCSyY714pVZ0M8E+3fovVkntqIfs2ORnyfwTRL3RiwJP6Ulrd4hj8tOw==" saltValue="u70tXjs0qQbemoQCw+gpg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sheetPr>
  <dimension ref="B2:O69"/>
  <sheetViews>
    <sheetView showGridLines="0" zoomScale="130" zoomScaleNormal="130" workbookViewId="0">
      <selection activeCell="A52" sqref="A52:XFD65"/>
    </sheetView>
  </sheetViews>
  <sheetFormatPr defaultColWidth="9.140625" defaultRowHeight="12.75"/>
  <cols>
    <col min="1" max="1" width="8.140625" style="47" customWidth="1"/>
    <col min="2" max="2" width="30.85546875" style="47" bestFit="1" customWidth="1"/>
    <col min="3" max="3" width="90.5703125" style="47" bestFit="1" customWidth="1"/>
    <col min="4" max="4" width="21" style="47" customWidth="1"/>
    <col min="5" max="5" width="13" style="47" customWidth="1"/>
    <col min="6" max="6" width="24" style="47" hidden="1" customWidth="1"/>
    <col min="7" max="8" width="24.5703125" style="47" hidden="1" customWidth="1"/>
    <col min="9" max="10" width="19.5703125" style="64" hidden="1" customWidth="1"/>
    <col min="11" max="11" width="2.5703125" style="47" hidden="1" customWidth="1"/>
    <col min="12" max="12" width="32.5703125" style="47" hidden="1" customWidth="1"/>
    <col min="13" max="13" width="39.85546875" style="47" hidden="1" customWidth="1"/>
    <col min="14" max="16384" width="9.140625" style="47"/>
  </cols>
  <sheetData>
    <row r="2" spans="2:13">
      <c r="B2" s="52" t="s">
        <v>5</v>
      </c>
      <c r="C2" s="52" t="s">
        <v>6</v>
      </c>
      <c r="D2" s="52" t="s">
        <v>254</v>
      </c>
      <c r="E2" s="52" t="s">
        <v>273</v>
      </c>
      <c r="F2" s="46" t="s">
        <v>274</v>
      </c>
      <c r="G2" s="46" t="s">
        <v>275</v>
      </c>
      <c r="H2" s="46" t="s">
        <v>223</v>
      </c>
      <c r="I2" s="61" t="s">
        <v>224</v>
      </c>
      <c r="J2" s="52" t="s">
        <v>225</v>
      </c>
      <c r="L2" s="46" t="s">
        <v>5</v>
      </c>
      <c r="M2" s="46" t="s">
        <v>276</v>
      </c>
    </row>
    <row r="3" spans="2:13">
      <c r="B3" s="48" t="s">
        <v>7</v>
      </c>
      <c r="C3" s="49" t="s">
        <v>277</v>
      </c>
      <c r="D3" s="258">
        <v>55</v>
      </c>
      <c r="E3" s="50" t="s">
        <v>271</v>
      </c>
      <c r="F3" s="49" t="s">
        <v>278</v>
      </c>
      <c r="G3" s="49" t="s">
        <v>278</v>
      </c>
      <c r="H3" s="49" t="s">
        <v>279</v>
      </c>
      <c r="I3" s="62">
        <v>7</v>
      </c>
      <c r="J3" s="49" t="s">
        <v>280</v>
      </c>
      <c r="L3" s="70" t="s">
        <v>7</v>
      </c>
      <c r="M3" s="70" t="s">
        <v>265</v>
      </c>
    </row>
    <row r="4" spans="2:13">
      <c r="B4" s="48" t="s">
        <v>7</v>
      </c>
      <c r="C4" s="49" t="s">
        <v>266</v>
      </c>
      <c r="D4" s="258">
        <v>80</v>
      </c>
      <c r="E4" s="50" t="s">
        <v>271</v>
      </c>
      <c r="F4" s="49" t="s">
        <v>278</v>
      </c>
      <c r="G4" s="49" t="s">
        <v>278</v>
      </c>
      <c r="H4" s="49" t="s">
        <v>279</v>
      </c>
      <c r="I4" s="62">
        <v>7</v>
      </c>
      <c r="J4" s="49" t="s">
        <v>281</v>
      </c>
      <c r="L4" s="70" t="s">
        <v>10</v>
      </c>
      <c r="M4" s="70" t="s">
        <v>282</v>
      </c>
    </row>
    <row r="5" spans="2:13">
      <c r="B5" s="48" t="s">
        <v>10</v>
      </c>
      <c r="C5" s="49" t="s">
        <v>11</v>
      </c>
      <c r="D5" s="258">
        <v>20</v>
      </c>
      <c r="E5" s="50" t="s">
        <v>271</v>
      </c>
      <c r="F5" s="49" t="s">
        <v>278</v>
      </c>
      <c r="G5" s="49" t="s">
        <v>278</v>
      </c>
      <c r="H5" s="49" t="s">
        <v>279</v>
      </c>
      <c r="I5" s="62">
        <v>7</v>
      </c>
      <c r="J5" s="49" t="s">
        <v>283</v>
      </c>
      <c r="L5" s="70" t="s">
        <v>13</v>
      </c>
      <c r="M5" s="70" t="s">
        <v>284</v>
      </c>
    </row>
    <row r="6" spans="2:13">
      <c r="B6" s="48" t="s">
        <v>10</v>
      </c>
      <c r="C6" s="49" t="s">
        <v>12</v>
      </c>
      <c r="D6" s="258">
        <v>40</v>
      </c>
      <c r="E6" s="50" t="s">
        <v>271</v>
      </c>
      <c r="F6" s="49" t="s">
        <v>278</v>
      </c>
      <c r="G6" s="49" t="s">
        <v>278</v>
      </c>
      <c r="H6" s="49" t="s">
        <v>279</v>
      </c>
      <c r="I6" s="62">
        <v>7</v>
      </c>
      <c r="J6" s="49" t="s">
        <v>285</v>
      </c>
      <c r="L6" s="70" t="s">
        <v>17</v>
      </c>
      <c r="M6" s="70" t="s">
        <v>286</v>
      </c>
    </row>
    <row r="7" spans="2:13">
      <c r="B7" s="48" t="s">
        <v>13</v>
      </c>
      <c r="C7" s="49" t="s">
        <v>14</v>
      </c>
      <c r="D7" s="258">
        <v>15</v>
      </c>
      <c r="E7" s="50" t="s">
        <v>287</v>
      </c>
      <c r="F7" s="49" t="s">
        <v>278</v>
      </c>
      <c r="G7" s="49" t="s">
        <v>278</v>
      </c>
      <c r="H7" s="49" t="s">
        <v>279</v>
      </c>
      <c r="I7" s="62">
        <v>7</v>
      </c>
      <c r="J7" s="49" t="s">
        <v>288</v>
      </c>
      <c r="L7" s="70" t="s">
        <v>20</v>
      </c>
      <c r="M7" s="70" t="s">
        <v>289</v>
      </c>
    </row>
    <row r="8" spans="2:13">
      <c r="B8" s="48" t="s">
        <v>13</v>
      </c>
      <c r="C8" s="49" t="s">
        <v>15</v>
      </c>
      <c r="D8" s="258">
        <v>10</v>
      </c>
      <c r="E8" s="50" t="s">
        <v>287</v>
      </c>
      <c r="F8" s="49" t="s">
        <v>278</v>
      </c>
      <c r="G8" s="49" t="s">
        <v>278</v>
      </c>
      <c r="H8" s="49" t="s">
        <v>279</v>
      </c>
      <c r="I8" s="62">
        <v>7</v>
      </c>
      <c r="J8" s="49" t="s">
        <v>290</v>
      </c>
      <c r="L8" s="67" t="s">
        <v>23</v>
      </c>
      <c r="M8" s="70" t="s">
        <v>291</v>
      </c>
    </row>
    <row r="9" spans="2:13">
      <c r="B9" s="48" t="s">
        <v>13</v>
      </c>
      <c r="C9" s="49" t="s">
        <v>16</v>
      </c>
      <c r="D9" s="258">
        <v>85</v>
      </c>
      <c r="E9" s="50" t="s">
        <v>271</v>
      </c>
      <c r="F9" s="49" t="s">
        <v>278</v>
      </c>
      <c r="G9" s="49" t="s">
        <v>278</v>
      </c>
      <c r="H9" s="49" t="s">
        <v>279</v>
      </c>
      <c r="I9" s="62">
        <v>7</v>
      </c>
      <c r="J9" s="49" t="s">
        <v>292</v>
      </c>
      <c r="L9" s="67" t="s">
        <v>29</v>
      </c>
      <c r="M9" s="70" t="s">
        <v>293</v>
      </c>
    </row>
    <row r="10" spans="2:13">
      <c r="B10" s="48" t="s">
        <v>17</v>
      </c>
      <c r="C10" s="49" t="s">
        <v>18</v>
      </c>
      <c r="D10" s="258">
        <v>15</v>
      </c>
      <c r="E10" s="50" t="s">
        <v>287</v>
      </c>
      <c r="F10" s="49" t="s">
        <v>278</v>
      </c>
      <c r="G10" s="49" t="s">
        <v>278</v>
      </c>
      <c r="H10" s="49" t="s">
        <v>279</v>
      </c>
      <c r="I10" s="62">
        <v>7</v>
      </c>
      <c r="J10" s="49" t="s">
        <v>294</v>
      </c>
      <c r="L10" s="67" t="s">
        <v>36</v>
      </c>
      <c r="M10" s="70" t="s">
        <v>295</v>
      </c>
    </row>
    <row r="11" spans="2:13">
      <c r="B11" s="48" t="s">
        <v>17</v>
      </c>
      <c r="C11" s="49" t="s">
        <v>19</v>
      </c>
      <c r="D11" s="258">
        <v>30</v>
      </c>
      <c r="E11" s="50" t="s">
        <v>271</v>
      </c>
      <c r="F11" s="49" t="s">
        <v>278</v>
      </c>
      <c r="G11" s="49" t="s">
        <v>278</v>
      </c>
      <c r="H11" s="49" t="s">
        <v>279</v>
      </c>
      <c r="I11" s="62">
        <v>7</v>
      </c>
      <c r="J11" s="49" t="s">
        <v>296</v>
      </c>
      <c r="L11" s="67" t="s">
        <v>46</v>
      </c>
      <c r="M11" s="70" t="s">
        <v>297</v>
      </c>
    </row>
    <row r="12" spans="2:13">
      <c r="B12" s="48" t="s">
        <v>20</v>
      </c>
      <c r="C12" s="49" t="s">
        <v>21</v>
      </c>
      <c r="D12" s="258">
        <v>25</v>
      </c>
      <c r="E12" s="50" t="s">
        <v>271</v>
      </c>
      <c r="F12" s="49" t="s">
        <v>278</v>
      </c>
      <c r="G12" s="49" t="s">
        <v>278</v>
      </c>
      <c r="H12" s="49" t="s">
        <v>279</v>
      </c>
      <c r="I12" s="62">
        <v>7</v>
      </c>
      <c r="J12" s="49" t="s">
        <v>298</v>
      </c>
      <c r="L12" s="67" t="s">
        <v>60</v>
      </c>
      <c r="M12" s="70" t="s">
        <v>301</v>
      </c>
    </row>
    <row r="13" spans="2:13">
      <c r="B13" s="51" t="s">
        <v>20</v>
      </c>
      <c r="C13" s="49" t="s">
        <v>22</v>
      </c>
      <c r="D13" s="258">
        <v>30</v>
      </c>
      <c r="E13" s="50" t="s">
        <v>271</v>
      </c>
      <c r="F13" s="49" t="s">
        <v>278</v>
      </c>
      <c r="G13" s="49" t="s">
        <v>278</v>
      </c>
      <c r="H13" s="48" t="s">
        <v>299</v>
      </c>
      <c r="I13" s="63">
        <v>8</v>
      </c>
      <c r="J13" s="49" t="s">
        <v>300</v>
      </c>
      <c r="L13" s="67" t="s">
        <v>62</v>
      </c>
      <c r="M13" s="70" t="s">
        <v>303</v>
      </c>
    </row>
    <row r="14" spans="2:13">
      <c r="B14" s="49" t="s">
        <v>23</v>
      </c>
      <c r="C14" s="49" t="s">
        <v>24</v>
      </c>
      <c r="D14" s="258">
        <v>100</v>
      </c>
      <c r="E14" s="50" t="s">
        <v>271</v>
      </c>
      <c r="F14" s="49" t="s">
        <v>278</v>
      </c>
      <c r="G14" s="49" t="s">
        <v>278</v>
      </c>
      <c r="H14" s="49" t="s">
        <v>279</v>
      </c>
      <c r="I14" s="62">
        <v>7</v>
      </c>
      <c r="J14" s="49" t="s">
        <v>302</v>
      </c>
      <c r="L14" s="67" t="s">
        <v>64</v>
      </c>
      <c r="M14" s="70" t="s">
        <v>305</v>
      </c>
    </row>
    <row r="15" spans="2:13">
      <c r="B15" s="49" t="s">
        <v>23</v>
      </c>
      <c r="C15" s="49" t="s">
        <v>25</v>
      </c>
      <c r="D15" s="258">
        <v>150</v>
      </c>
      <c r="E15" s="50" t="s">
        <v>271</v>
      </c>
      <c r="F15" s="49" t="s">
        <v>278</v>
      </c>
      <c r="G15" s="49" t="s">
        <v>278</v>
      </c>
      <c r="H15" s="49" t="s">
        <v>279</v>
      </c>
      <c r="I15" s="62">
        <v>7</v>
      </c>
      <c r="J15" s="49" t="s">
        <v>304</v>
      </c>
      <c r="L15" s="67" t="s">
        <v>66</v>
      </c>
      <c r="M15" s="70" t="s">
        <v>307</v>
      </c>
    </row>
    <row r="16" spans="2:13">
      <c r="B16" s="49" t="s">
        <v>23</v>
      </c>
      <c r="C16" s="49" t="s">
        <v>26</v>
      </c>
      <c r="D16" s="258">
        <v>225</v>
      </c>
      <c r="E16" s="50" t="s">
        <v>271</v>
      </c>
      <c r="F16" s="49" t="s">
        <v>278</v>
      </c>
      <c r="G16" s="49" t="s">
        <v>278</v>
      </c>
      <c r="H16" s="49" t="s">
        <v>279</v>
      </c>
      <c r="I16" s="62">
        <v>7</v>
      </c>
      <c r="J16" s="49" t="s">
        <v>306</v>
      </c>
      <c r="L16" s="82" t="s">
        <v>68</v>
      </c>
      <c r="M16" s="82" t="s">
        <v>309</v>
      </c>
    </row>
    <row r="17" spans="2:13">
      <c r="B17" s="49" t="s">
        <v>23</v>
      </c>
      <c r="C17" s="49" t="s">
        <v>27</v>
      </c>
      <c r="D17" s="258">
        <v>300</v>
      </c>
      <c r="E17" s="50" t="s">
        <v>271</v>
      </c>
      <c r="F17" s="49" t="s">
        <v>278</v>
      </c>
      <c r="G17" s="49" t="s">
        <v>278</v>
      </c>
      <c r="H17" s="49" t="s">
        <v>279</v>
      </c>
      <c r="I17" s="62">
        <v>7</v>
      </c>
      <c r="J17" s="49" t="s">
        <v>308</v>
      </c>
      <c r="L17" s="70" t="s">
        <v>71</v>
      </c>
      <c r="M17" s="70" t="s">
        <v>311</v>
      </c>
    </row>
    <row r="18" spans="2:13">
      <c r="B18" s="49" t="s">
        <v>23</v>
      </c>
      <c r="C18" s="49" t="s">
        <v>28</v>
      </c>
      <c r="D18" s="258">
        <v>400</v>
      </c>
      <c r="E18" s="50" t="s">
        <v>271</v>
      </c>
      <c r="F18" s="49" t="s">
        <v>278</v>
      </c>
      <c r="G18" s="49" t="s">
        <v>278</v>
      </c>
      <c r="H18" s="49" t="s">
        <v>279</v>
      </c>
      <c r="I18" s="62">
        <v>7</v>
      </c>
      <c r="J18" s="49" t="s">
        <v>310</v>
      </c>
      <c r="L18" s="70" t="s">
        <v>77</v>
      </c>
      <c r="M18" s="70" t="s">
        <v>314</v>
      </c>
    </row>
    <row r="19" spans="2:13">
      <c r="B19" s="49" t="s">
        <v>29</v>
      </c>
      <c r="C19" s="49" t="s">
        <v>30</v>
      </c>
      <c r="D19" s="258">
        <v>75</v>
      </c>
      <c r="E19" s="50" t="s">
        <v>271</v>
      </c>
      <c r="F19" s="49" t="s">
        <v>278</v>
      </c>
      <c r="G19" s="49" t="s">
        <v>278</v>
      </c>
      <c r="H19" s="49" t="s">
        <v>312</v>
      </c>
      <c r="I19" s="62">
        <v>21</v>
      </c>
      <c r="J19" s="49" t="s">
        <v>313</v>
      </c>
      <c r="L19" s="70" t="s">
        <v>80</v>
      </c>
      <c r="M19" s="70" t="s">
        <v>316</v>
      </c>
    </row>
    <row r="20" spans="2:13">
      <c r="B20" s="49" t="s">
        <v>29</v>
      </c>
      <c r="C20" s="49" t="s">
        <v>31</v>
      </c>
      <c r="D20" s="258">
        <v>125</v>
      </c>
      <c r="E20" s="50" t="s">
        <v>271</v>
      </c>
      <c r="F20" s="49" t="s">
        <v>278</v>
      </c>
      <c r="G20" s="49" t="s">
        <v>278</v>
      </c>
      <c r="H20" s="49" t="s">
        <v>312</v>
      </c>
      <c r="I20" s="62">
        <v>21</v>
      </c>
      <c r="J20" s="49" t="s">
        <v>315</v>
      </c>
      <c r="L20" s="70" t="s">
        <v>83</v>
      </c>
      <c r="M20" s="70" t="s">
        <v>318</v>
      </c>
    </row>
    <row r="21" spans="2:13">
      <c r="B21" s="49" t="s">
        <v>29</v>
      </c>
      <c r="C21" s="49" t="s">
        <v>32</v>
      </c>
      <c r="D21" s="258">
        <v>150</v>
      </c>
      <c r="E21" s="50" t="s">
        <v>271</v>
      </c>
      <c r="F21" s="49" t="s">
        <v>278</v>
      </c>
      <c r="G21" s="49" t="s">
        <v>278</v>
      </c>
      <c r="H21" s="49" t="s">
        <v>312</v>
      </c>
      <c r="I21" s="62">
        <v>21</v>
      </c>
      <c r="J21" s="49" t="s">
        <v>317</v>
      </c>
      <c r="L21" s="48" t="s">
        <v>2821</v>
      </c>
      <c r="M21" s="48" t="s">
        <v>2831</v>
      </c>
    </row>
    <row r="22" spans="2:13">
      <c r="B22" s="49" t="s">
        <v>29</v>
      </c>
      <c r="C22" s="49" t="s">
        <v>33</v>
      </c>
      <c r="D22" s="258">
        <v>200</v>
      </c>
      <c r="E22" s="50" t="s">
        <v>271</v>
      </c>
      <c r="F22" s="49" t="s">
        <v>278</v>
      </c>
      <c r="G22" s="49" t="s">
        <v>278</v>
      </c>
      <c r="H22" s="49" t="s">
        <v>312</v>
      </c>
      <c r="I22" s="62">
        <v>21</v>
      </c>
      <c r="J22" s="49" t="s">
        <v>319</v>
      </c>
      <c r="L22" s="48" t="s">
        <v>2829</v>
      </c>
      <c r="M22" s="48" t="s">
        <v>2832</v>
      </c>
    </row>
    <row r="23" spans="2:13">
      <c r="B23" s="49" t="s">
        <v>29</v>
      </c>
      <c r="C23" s="49" t="s">
        <v>34</v>
      </c>
      <c r="D23" s="258">
        <v>250</v>
      </c>
      <c r="E23" s="50" t="s">
        <v>271</v>
      </c>
      <c r="F23" s="49" t="s">
        <v>278</v>
      </c>
      <c r="G23" s="49" t="s">
        <v>278</v>
      </c>
      <c r="H23" s="49" t="s">
        <v>312</v>
      </c>
      <c r="I23" s="62">
        <v>21</v>
      </c>
      <c r="J23" s="49" t="s">
        <v>320</v>
      </c>
      <c r="L23" s="48" t="s">
        <v>2828</v>
      </c>
      <c r="M23" s="48" t="s">
        <v>2833</v>
      </c>
    </row>
    <row r="24" spans="2:13">
      <c r="B24" s="49" t="s">
        <v>29</v>
      </c>
      <c r="C24" s="49" t="s">
        <v>35</v>
      </c>
      <c r="D24" s="258">
        <v>325</v>
      </c>
      <c r="E24" s="50" t="s">
        <v>271</v>
      </c>
      <c r="F24" s="49" t="s">
        <v>278</v>
      </c>
      <c r="G24" s="49" t="s">
        <v>278</v>
      </c>
      <c r="H24" s="49" t="s">
        <v>312</v>
      </c>
      <c r="I24" s="62">
        <v>21</v>
      </c>
      <c r="J24" s="49" t="s">
        <v>321</v>
      </c>
    </row>
    <row r="25" spans="2:13">
      <c r="B25" s="49" t="s">
        <v>36</v>
      </c>
      <c r="C25" s="49" t="s">
        <v>37</v>
      </c>
      <c r="D25" s="258">
        <v>5</v>
      </c>
      <c r="E25" s="50" t="s">
        <v>271</v>
      </c>
      <c r="F25" s="49" t="s">
        <v>278</v>
      </c>
      <c r="G25" s="49" t="s">
        <v>278</v>
      </c>
      <c r="H25" s="49" t="s">
        <v>279</v>
      </c>
      <c r="I25" s="62">
        <v>7</v>
      </c>
      <c r="J25" s="49" t="s">
        <v>322</v>
      </c>
    </row>
    <row r="26" spans="2:13">
      <c r="B26" s="49" t="s">
        <v>36</v>
      </c>
      <c r="C26" s="49" t="s">
        <v>38</v>
      </c>
      <c r="D26" s="258">
        <v>10</v>
      </c>
      <c r="E26" s="50" t="s">
        <v>271</v>
      </c>
      <c r="F26" s="49" t="s">
        <v>278</v>
      </c>
      <c r="G26" s="49" t="s">
        <v>278</v>
      </c>
      <c r="H26" s="49" t="s">
        <v>279</v>
      </c>
      <c r="I26" s="62">
        <v>7</v>
      </c>
      <c r="J26" s="49" t="s">
        <v>323</v>
      </c>
    </row>
    <row r="27" spans="2:13">
      <c r="B27" s="49" t="s">
        <v>36</v>
      </c>
      <c r="C27" s="49" t="s">
        <v>39</v>
      </c>
      <c r="D27" s="258">
        <v>45</v>
      </c>
      <c r="E27" s="50" t="s">
        <v>271</v>
      </c>
      <c r="F27" s="49" t="s">
        <v>278</v>
      </c>
      <c r="G27" s="49" t="s">
        <v>278</v>
      </c>
      <c r="H27" s="49" t="s">
        <v>279</v>
      </c>
      <c r="I27" s="62">
        <v>7</v>
      </c>
      <c r="J27" s="49" t="s">
        <v>324</v>
      </c>
    </row>
    <row r="28" spans="2:13">
      <c r="B28" s="49" t="s">
        <v>36</v>
      </c>
      <c r="C28" s="49" t="s">
        <v>40</v>
      </c>
      <c r="D28" s="258">
        <v>70</v>
      </c>
      <c r="E28" s="50" t="s">
        <v>271</v>
      </c>
      <c r="F28" s="49" t="s">
        <v>278</v>
      </c>
      <c r="G28" s="49" t="s">
        <v>278</v>
      </c>
      <c r="H28" s="49" t="s">
        <v>279</v>
      </c>
      <c r="I28" s="62">
        <v>7</v>
      </c>
      <c r="J28" s="49" t="s">
        <v>325</v>
      </c>
    </row>
    <row r="29" spans="2:13">
      <c r="B29" s="49" t="s">
        <v>36</v>
      </c>
      <c r="C29" s="49" t="s">
        <v>41</v>
      </c>
      <c r="D29" s="258">
        <v>10</v>
      </c>
      <c r="E29" s="50" t="s">
        <v>271</v>
      </c>
      <c r="F29" s="49" t="s">
        <v>278</v>
      </c>
      <c r="G29" s="49" t="s">
        <v>278</v>
      </c>
      <c r="H29" s="49" t="s">
        <v>279</v>
      </c>
      <c r="I29" s="62">
        <v>7</v>
      </c>
      <c r="J29" s="49" t="s">
        <v>326</v>
      </c>
    </row>
    <row r="30" spans="2:13">
      <c r="B30" s="49" t="s">
        <v>36</v>
      </c>
      <c r="C30" s="49" t="s">
        <v>42</v>
      </c>
      <c r="D30" s="258">
        <v>20</v>
      </c>
      <c r="E30" s="50" t="s">
        <v>271</v>
      </c>
      <c r="F30" s="49" t="s">
        <v>278</v>
      </c>
      <c r="G30" s="49" t="s">
        <v>278</v>
      </c>
      <c r="H30" s="49" t="s">
        <v>279</v>
      </c>
      <c r="I30" s="62">
        <v>7</v>
      </c>
      <c r="J30" s="49" t="s">
        <v>327</v>
      </c>
    </row>
    <row r="31" spans="2:13">
      <c r="B31" s="49" t="s">
        <v>36</v>
      </c>
      <c r="C31" s="49" t="s">
        <v>43</v>
      </c>
      <c r="D31" s="258">
        <v>5</v>
      </c>
      <c r="E31" s="50" t="s">
        <v>287</v>
      </c>
      <c r="F31" s="49" t="s">
        <v>278</v>
      </c>
      <c r="G31" s="49" t="s">
        <v>278</v>
      </c>
      <c r="H31" s="49" t="s">
        <v>279</v>
      </c>
      <c r="I31" s="62">
        <v>7</v>
      </c>
      <c r="J31" s="49" t="s">
        <v>328</v>
      </c>
    </row>
    <row r="32" spans="2:13">
      <c r="B32" s="49" t="s">
        <v>36</v>
      </c>
      <c r="C32" s="49" t="s">
        <v>44</v>
      </c>
      <c r="D32" s="258">
        <v>30</v>
      </c>
      <c r="E32" s="50" t="s">
        <v>271</v>
      </c>
      <c r="F32" s="49" t="s">
        <v>278</v>
      </c>
      <c r="G32" s="49" t="s">
        <v>278</v>
      </c>
      <c r="H32" s="49" t="s">
        <v>279</v>
      </c>
      <c r="I32" s="62">
        <v>7</v>
      </c>
      <c r="J32" s="49" t="s">
        <v>329</v>
      </c>
    </row>
    <row r="33" spans="2:15">
      <c r="B33" s="49" t="s">
        <v>36</v>
      </c>
      <c r="C33" s="49" t="s">
        <v>45</v>
      </c>
      <c r="D33" s="258">
        <v>30</v>
      </c>
      <c r="E33" s="50" t="s">
        <v>271</v>
      </c>
      <c r="F33" s="49" t="s">
        <v>278</v>
      </c>
      <c r="G33" s="49" t="s">
        <v>278</v>
      </c>
      <c r="H33" s="49" t="s">
        <v>312</v>
      </c>
      <c r="I33" s="62">
        <v>21</v>
      </c>
      <c r="J33" s="49" t="s">
        <v>330</v>
      </c>
    </row>
    <row r="34" spans="2:15">
      <c r="B34" s="49" t="s">
        <v>46</v>
      </c>
      <c r="C34" s="49" t="s">
        <v>47</v>
      </c>
      <c r="D34" s="258">
        <v>25</v>
      </c>
      <c r="E34" s="50" t="s">
        <v>271</v>
      </c>
      <c r="F34" s="49" t="s">
        <v>278</v>
      </c>
      <c r="G34" s="49" t="s">
        <v>278</v>
      </c>
      <c r="H34" s="49" t="s">
        <v>279</v>
      </c>
      <c r="I34" s="62">
        <v>7</v>
      </c>
      <c r="J34" s="49" t="s">
        <v>331</v>
      </c>
    </row>
    <row r="35" spans="2:15">
      <c r="B35" s="49" t="s">
        <v>46</v>
      </c>
      <c r="C35" s="49" t="s">
        <v>48</v>
      </c>
      <c r="D35" s="258">
        <v>40</v>
      </c>
      <c r="E35" s="50" t="s">
        <v>271</v>
      </c>
      <c r="F35" s="49" t="s">
        <v>278</v>
      </c>
      <c r="G35" s="49" t="s">
        <v>278</v>
      </c>
      <c r="H35" s="49" t="s">
        <v>279</v>
      </c>
      <c r="I35" s="62">
        <v>7</v>
      </c>
      <c r="J35" s="49" t="s">
        <v>332</v>
      </c>
    </row>
    <row r="36" spans="2:15">
      <c r="B36" s="49" t="s">
        <v>46</v>
      </c>
      <c r="C36" s="49" t="s">
        <v>49</v>
      </c>
      <c r="D36" s="258">
        <v>80</v>
      </c>
      <c r="E36" s="50" t="s">
        <v>271</v>
      </c>
      <c r="F36" s="49" t="s">
        <v>278</v>
      </c>
      <c r="G36" s="49" t="s">
        <v>278</v>
      </c>
      <c r="H36" s="49" t="s">
        <v>279</v>
      </c>
      <c r="I36" s="62">
        <v>7</v>
      </c>
      <c r="J36" s="49" t="s">
        <v>333</v>
      </c>
    </row>
    <row r="37" spans="2:15" hidden="1">
      <c r="B37" s="67" t="s">
        <v>50</v>
      </c>
      <c r="C37" s="230" t="s">
        <v>51</v>
      </c>
      <c r="D37" s="259">
        <v>10.199999999999999</v>
      </c>
      <c r="E37" s="231" t="s">
        <v>334</v>
      </c>
      <c r="F37" s="49" t="s">
        <v>278</v>
      </c>
      <c r="G37" s="49" t="s">
        <v>278</v>
      </c>
      <c r="H37" s="49" t="s">
        <v>335</v>
      </c>
      <c r="I37" s="62">
        <v>14</v>
      </c>
      <c r="J37" s="49" t="s">
        <v>336</v>
      </c>
    </row>
    <row r="38" spans="2:15" hidden="1">
      <c r="B38" s="67" t="s">
        <v>50</v>
      </c>
      <c r="C38" s="230" t="s">
        <v>337</v>
      </c>
      <c r="D38" s="259">
        <v>6.8</v>
      </c>
      <c r="E38" s="231" t="s">
        <v>334</v>
      </c>
      <c r="F38" s="49" t="s">
        <v>278</v>
      </c>
      <c r="G38" s="49" t="s">
        <v>278</v>
      </c>
      <c r="H38" s="49" t="s">
        <v>335</v>
      </c>
      <c r="I38" s="62">
        <v>14</v>
      </c>
      <c r="J38" s="49" t="s">
        <v>338</v>
      </c>
    </row>
    <row r="39" spans="2:15" hidden="1">
      <c r="B39" s="67" t="s">
        <v>50</v>
      </c>
      <c r="C39" s="232" t="s">
        <v>52</v>
      </c>
      <c r="D39" s="259">
        <v>8.5</v>
      </c>
      <c r="E39" s="233" t="s">
        <v>334</v>
      </c>
      <c r="F39" s="49" t="s">
        <v>278</v>
      </c>
      <c r="G39" s="49" t="s">
        <v>278</v>
      </c>
      <c r="H39" s="49" t="s">
        <v>339</v>
      </c>
      <c r="I39" s="62">
        <v>1</v>
      </c>
      <c r="J39" s="49" t="s">
        <v>340</v>
      </c>
    </row>
    <row r="40" spans="2:15" hidden="1">
      <c r="B40" s="67" t="s">
        <v>50</v>
      </c>
      <c r="C40" s="230" t="s">
        <v>53</v>
      </c>
      <c r="D40" s="259">
        <v>4</v>
      </c>
      <c r="E40" s="231" t="s">
        <v>334</v>
      </c>
      <c r="F40" s="49" t="s">
        <v>278</v>
      </c>
      <c r="G40" s="49" t="s">
        <v>278</v>
      </c>
      <c r="H40" s="49" t="s">
        <v>339</v>
      </c>
      <c r="I40" s="62">
        <v>1</v>
      </c>
      <c r="J40" s="49" t="s">
        <v>341</v>
      </c>
    </row>
    <row r="41" spans="2:15" hidden="1">
      <c r="B41" s="67" t="s">
        <v>50</v>
      </c>
      <c r="C41" s="230" t="s">
        <v>54</v>
      </c>
      <c r="D41" s="259">
        <v>5</v>
      </c>
      <c r="E41" s="231" t="s">
        <v>334</v>
      </c>
      <c r="F41" s="49" t="s">
        <v>278</v>
      </c>
      <c r="G41" s="49" t="s">
        <v>278</v>
      </c>
      <c r="H41" s="49" t="s">
        <v>339</v>
      </c>
      <c r="I41" s="62">
        <v>1</v>
      </c>
      <c r="J41" s="49" t="s">
        <v>342</v>
      </c>
    </row>
    <row r="42" spans="2:15" hidden="1">
      <c r="B42" s="67" t="s">
        <v>50</v>
      </c>
      <c r="C42" s="230" t="s">
        <v>55</v>
      </c>
      <c r="D42" s="259">
        <v>5</v>
      </c>
      <c r="E42" s="231" t="s">
        <v>334</v>
      </c>
      <c r="F42" s="49" t="s">
        <v>278</v>
      </c>
      <c r="G42" s="49" t="s">
        <v>278</v>
      </c>
      <c r="H42" s="49" t="s">
        <v>339</v>
      </c>
      <c r="I42" s="62">
        <v>1</v>
      </c>
      <c r="J42" s="49" t="s">
        <v>343</v>
      </c>
    </row>
    <row r="43" spans="2:15" hidden="1">
      <c r="B43" s="67" t="s">
        <v>50</v>
      </c>
      <c r="C43" s="230" t="s">
        <v>56</v>
      </c>
      <c r="D43" s="259">
        <v>5</v>
      </c>
      <c r="E43" s="231" t="s">
        <v>334</v>
      </c>
      <c r="F43" s="49" t="s">
        <v>278</v>
      </c>
      <c r="G43" s="49" t="s">
        <v>278</v>
      </c>
      <c r="H43" s="49" t="s">
        <v>339</v>
      </c>
      <c r="I43" s="62">
        <v>1</v>
      </c>
      <c r="J43" s="49" t="s">
        <v>344</v>
      </c>
    </row>
    <row r="44" spans="2:15" hidden="1">
      <c r="B44" s="67" t="s">
        <v>50</v>
      </c>
      <c r="C44" s="230" t="s">
        <v>57</v>
      </c>
      <c r="D44" s="259">
        <v>5</v>
      </c>
      <c r="E44" s="231" t="s">
        <v>334</v>
      </c>
      <c r="F44" s="49" t="s">
        <v>278</v>
      </c>
      <c r="G44" s="49" t="s">
        <v>278</v>
      </c>
      <c r="H44" s="49" t="s">
        <v>339</v>
      </c>
      <c r="I44" s="62">
        <v>1</v>
      </c>
      <c r="J44" s="49" t="s">
        <v>345</v>
      </c>
      <c r="L44" s="66"/>
    </row>
    <row r="45" spans="2:15" hidden="1">
      <c r="B45" s="67" t="s">
        <v>50</v>
      </c>
      <c r="C45" s="230" t="s">
        <v>58</v>
      </c>
      <c r="D45" s="259">
        <v>10</v>
      </c>
      <c r="E45" s="231" t="s">
        <v>334</v>
      </c>
      <c r="F45" s="49" t="s">
        <v>278</v>
      </c>
      <c r="G45" s="49" t="s">
        <v>278</v>
      </c>
      <c r="H45" s="49" t="s">
        <v>339</v>
      </c>
      <c r="I45" s="62">
        <v>1</v>
      </c>
      <c r="J45" s="49" t="s">
        <v>346</v>
      </c>
      <c r="L45" s="66"/>
    </row>
    <row r="46" spans="2:15" hidden="1">
      <c r="B46" s="49" t="s">
        <v>50</v>
      </c>
      <c r="C46" s="49" t="s">
        <v>59</v>
      </c>
      <c r="D46" s="258">
        <v>80</v>
      </c>
      <c r="E46" s="50" t="s">
        <v>334</v>
      </c>
      <c r="F46" s="49" t="s">
        <v>278</v>
      </c>
      <c r="G46" s="49" t="s">
        <v>278</v>
      </c>
      <c r="H46" s="67" t="s">
        <v>335</v>
      </c>
      <c r="I46" s="69">
        <v>14</v>
      </c>
      <c r="J46" s="49" t="s">
        <v>347</v>
      </c>
      <c r="L46" s="71"/>
      <c r="M46" s="66"/>
    </row>
    <row r="47" spans="2:15" s="66" customFormat="1">
      <c r="B47" s="67" t="s">
        <v>60</v>
      </c>
      <c r="C47" s="67" t="s">
        <v>61</v>
      </c>
      <c r="D47" s="260">
        <v>23</v>
      </c>
      <c r="E47" s="68" t="s">
        <v>271</v>
      </c>
      <c r="F47" s="67" t="s">
        <v>278</v>
      </c>
      <c r="G47" s="67" t="s">
        <v>278</v>
      </c>
      <c r="H47" s="67" t="s">
        <v>60</v>
      </c>
      <c r="I47" s="69">
        <v>16</v>
      </c>
      <c r="J47" s="67" t="s">
        <v>348</v>
      </c>
      <c r="L47" s="71"/>
      <c r="O47" s="47"/>
    </row>
    <row r="48" spans="2:15" s="66" customFormat="1">
      <c r="B48" s="67" t="s">
        <v>62</v>
      </c>
      <c r="C48" s="67" t="s">
        <v>63</v>
      </c>
      <c r="D48" s="260">
        <v>15</v>
      </c>
      <c r="E48" s="68" t="s">
        <v>271</v>
      </c>
      <c r="F48" s="67" t="s">
        <v>278</v>
      </c>
      <c r="G48" s="67" t="s">
        <v>278</v>
      </c>
      <c r="H48" s="67" t="s">
        <v>349</v>
      </c>
      <c r="I48" s="69">
        <v>15</v>
      </c>
      <c r="J48" s="67" t="s">
        <v>350</v>
      </c>
      <c r="L48" s="71"/>
      <c r="M48" s="71"/>
      <c r="O48" s="47"/>
    </row>
    <row r="49" spans="2:15" s="71" customFormat="1" ht="14.25" customHeight="1">
      <c r="B49" s="67" t="s">
        <v>64</v>
      </c>
      <c r="C49" s="67" t="s">
        <v>65</v>
      </c>
      <c r="D49" s="260">
        <v>200</v>
      </c>
      <c r="E49" s="68" t="s">
        <v>271</v>
      </c>
      <c r="F49" s="67" t="s">
        <v>278</v>
      </c>
      <c r="G49" s="67" t="s">
        <v>278</v>
      </c>
      <c r="H49" s="67" t="s">
        <v>351</v>
      </c>
      <c r="I49" s="69">
        <v>18</v>
      </c>
      <c r="J49" s="67" t="s">
        <v>352</v>
      </c>
      <c r="O49" s="47"/>
    </row>
    <row r="50" spans="2:15" s="71" customFormat="1" ht="12.75" customHeight="1">
      <c r="B50" s="67" t="s">
        <v>66</v>
      </c>
      <c r="C50" s="70" t="s">
        <v>67</v>
      </c>
      <c r="D50" s="260">
        <v>0.05</v>
      </c>
      <c r="E50" s="68" t="s">
        <v>353</v>
      </c>
      <c r="F50" s="67" t="s">
        <v>278</v>
      </c>
      <c r="G50" s="67" t="s">
        <v>278</v>
      </c>
      <c r="H50" s="67" t="s">
        <v>67</v>
      </c>
      <c r="I50" s="69">
        <v>7</v>
      </c>
      <c r="J50" s="70" t="s">
        <v>354</v>
      </c>
      <c r="O50" s="47"/>
    </row>
    <row r="51" spans="2:15" s="71" customFormat="1" ht="12.75" customHeight="1">
      <c r="B51" s="67" t="s">
        <v>68</v>
      </c>
      <c r="C51" s="67" t="s">
        <v>69</v>
      </c>
      <c r="D51" s="260">
        <v>0.05</v>
      </c>
      <c r="E51" s="68" t="s">
        <v>353</v>
      </c>
      <c r="F51" s="67" t="s">
        <v>278</v>
      </c>
      <c r="G51" s="67" t="s">
        <v>278</v>
      </c>
      <c r="H51" s="67" t="s">
        <v>69</v>
      </c>
      <c r="I51" s="69">
        <v>7</v>
      </c>
      <c r="J51" s="70" t="s">
        <v>355</v>
      </c>
      <c r="O51" s="47"/>
    </row>
    <row r="52" spans="2:15" s="71" customFormat="1" ht="12.75" hidden="1" customHeight="1">
      <c r="B52" s="70" t="s">
        <v>71</v>
      </c>
      <c r="C52" s="70" t="s">
        <v>72</v>
      </c>
      <c r="D52" s="259">
        <v>0.6</v>
      </c>
      <c r="E52" s="231" t="s">
        <v>356</v>
      </c>
      <c r="F52" s="67" t="s">
        <v>278</v>
      </c>
      <c r="G52" s="67" t="s">
        <v>278</v>
      </c>
      <c r="H52" s="70" t="s">
        <v>357</v>
      </c>
      <c r="I52" s="72">
        <v>10</v>
      </c>
      <c r="J52" s="70" t="s">
        <v>358</v>
      </c>
      <c r="O52" s="47"/>
    </row>
    <row r="53" spans="2:15" s="71" customFormat="1" ht="12.75" hidden="1" customHeight="1">
      <c r="B53" s="70" t="s">
        <v>71</v>
      </c>
      <c r="C53" s="70" t="s">
        <v>73</v>
      </c>
      <c r="D53" s="259">
        <v>60</v>
      </c>
      <c r="E53" s="231" t="s">
        <v>271</v>
      </c>
      <c r="F53" s="67" t="s">
        <v>278</v>
      </c>
      <c r="G53" s="67" t="s">
        <v>278</v>
      </c>
      <c r="H53" s="70" t="s">
        <v>357</v>
      </c>
      <c r="I53" s="72">
        <v>10</v>
      </c>
      <c r="J53" s="70" t="s">
        <v>359</v>
      </c>
      <c r="O53" s="47"/>
    </row>
    <row r="54" spans="2:15" s="71" customFormat="1" ht="12.75" hidden="1" customHeight="1">
      <c r="B54" s="70" t="s">
        <v>71</v>
      </c>
      <c r="C54" s="70" t="s">
        <v>74</v>
      </c>
      <c r="D54" s="259">
        <v>30</v>
      </c>
      <c r="E54" s="231" t="s">
        <v>271</v>
      </c>
      <c r="F54" s="67" t="s">
        <v>278</v>
      </c>
      <c r="G54" s="67" t="s">
        <v>278</v>
      </c>
      <c r="H54" s="70" t="s">
        <v>357</v>
      </c>
      <c r="I54" s="72">
        <v>10</v>
      </c>
      <c r="J54" s="70" t="s">
        <v>360</v>
      </c>
      <c r="O54" s="47"/>
    </row>
    <row r="55" spans="2:15" s="71" customFormat="1" ht="12.75" hidden="1" customHeight="1">
      <c r="B55" s="70" t="s">
        <v>71</v>
      </c>
      <c r="C55" s="70" t="s">
        <v>75</v>
      </c>
      <c r="D55" s="259">
        <v>50</v>
      </c>
      <c r="E55" s="231" t="s">
        <v>271</v>
      </c>
      <c r="F55" s="67" t="s">
        <v>278</v>
      </c>
      <c r="G55" s="67" t="s">
        <v>278</v>
      </c>
      <c r="H55" s="70" t="s">
        <v>357</v>
      </c>
      <c r="I55" s="72">
        <v>10</v>
      </c>
      <c r="J55" s="70" t="s">
        <v>361</v>
      </c>
      <c r="O55" s="47"/>
    </row>
    <row r="56" spans="2:15" s="71" customFormat="1" ht="12.75" hidden="1" customHeight="1">
      <c r="B56" s="70" t="s">
        <v>71</v>
      </c>
      <c r="C56" s="70" t="s">
        <v>76</v>
      </c>
      <c r="D56" s="259">
        <v>10</v>
      </c>
      <c r="E56" s="231" t="s">
        <v>271</v>
      </c>
      <c r="F56" s="67" t="s">
        <v>278</v>
      </c>
      <c r="G56" s="67" t="s">
        <v>278</v>
      </c>
      <c r="H56" s="70" t="s">
        <v>357</v>
      </c>
      <c r="I56" s="72">
        <v>10</v>
      </c>
      <c r="J56" s="70" t="s">
        <v>362</v>
      </c>
      <c r="O56" s="47"/>
    </row>
    <row r="57" spans="2:15" s="71" customFormat="1" hidden="1">
      <c r="B57" s="70" t="s">
        <v>77</v>
      </c>
      <c r="C57" s="70" t="s">
        <v>78</v>
      </c>
      <c r="D57" s="259">
        <v>50</v>
      </c>
      <c r="E57" s="231" t="s">
        <v>272</v>
      </c>
      <c r="F57" s="67" t="s">
        <v>278</v>
      </c>
      <c r="G57" s="67" t="s">
        <v>278</v>
      </c>
      <c r="H57" s="70" t="s">
        <v>363</v>
      </c>
      <c r="I57" s="72">
        <v>10</v>
      </c>
      <c r="J57" s="70" t="s">
        <v>364</v>
      </c>
      <c r="O57" s="47"/>
    </row>
    <row r="58" spans="2:15" s="71" customFormat="1" hidden="1">
      <c r="B58" s="70" t="s">
        <v>77</v>
      </c>
      <c r="C58" s="70" t="s">
        <v>79</v>
      </c>
      <c r="D58" s="259">
        <v>30</v>
      </c>
      <c r="E58" s="231" t="s">
        <v>271</v>
      </c>
      <c r="F58" s="67" t="s">
        <v>278</v>
      </c>
      <c r="G58" s="67" t="s">
        <v>278</v>
      </c>
      <c r="H58" s="70" t="s">
        <v>363</v>
      </c>
      <c r="I58" s="72">
        <v>10</v>
      </c>
      <c r="J58" s="70" t="s">
        <v>365</v>
      </c>
      <c r="O58" s="47"/>
    </row>
    <row r="59" spans="2:15" s="71" customFormat="1" hidden="1">
      <c r="B59" s="70" t="s">
        <v>80</v>
      </c>
      <c r="C59" s="70" t="s">
        <v>81</v>
      </c>
      <c r="D59" s="259">
        <v>40</v>
      </c>
      <c r="E59" s="231" t="s">
        <v>272</v>
      </c>
      <c r="F59" s="67" t="s">
        <v>278</v>
      </c>
      <c r="G59" s="67" t="s">
        <v>278</v>
      </c>
      <c r="H59" s="70" t="s">
        <v>363</v>
      </c>
      <c r="I59" s="72">
        <v>10</v>
      </c>
      <c r="J59" s="70" t="s">
        <v>366</v>
      </c>
      <c r="O59" s="47"/>
    </row>
    <row r="60" spans="2:15" s="71" customFormat="1" hidden="1">
      <c r="B60" s="70" t="s">
        <v>80</v>
      </c>
      <c r="C60" s="70" t="s">
        <v>82</v>
      </c>
      <c r="D60" s="259">
        <v>20</v>
      </c>
      <c r="E60" s="231" t="s">
        <v>271</v>
      </c>
      <c r="F60" s="67" t="s">
        <v>278</v>
      </c>
      <c r="G60" s="67" t="s">
        <v>278</v>
      </c>
      <c r="H60" s="70" t="s">
        <v>363</v>
      </c>
      <c r="I60" s="72">
        <v>10</v>
      </c>
      <c r="J60" s="70" t="s">
        <v>367</v>
      </c>
      <c r="O60" s="47"/>
    </row>
    <row r="61" spans="2:15" s="71" customFormat="1" hidden="1">
      <c r="B61" s="70" t="s">
        <v>83</v>
      </c>
      <c r="C61" s="70" t="s">
        <v>84</v>
      </c>
      <c r="D61" s="259">
        <v>40</v>
      </c>
      <c r="E61" s="231" t="s">
        <v>272</v>
      </c>
      <c r="F61" s="67" t="s">
        <v>278</v>
      </c>
      <c r="G61" s="67" t="s">
        <v>278</v>
      </c>
      <c r="H61" s="70" t="s">
        <v>363</v>
      </c>
      <c r="I61" s="72">
        <v>10</v>
      </c>
      <c r="J61" s="70" t="s">
        <v>368</v>
      </c>
      <c r="O61" s="47"/>
    </row>
    <row r="62" spans="2:15" s="71" customFormat="1" hidden="1">
      <c r="B62" s="70" t="s">
        <v>83</v>
      </c>
      <c r="C62" s="70" t="s">
        <v>85</v>
      </c>
      <c r="D62" s="259">
        <v>20</v>
      </c>
      <c r="E62" s="231" t="s">
        <v>271</v>
      </c>
      <c r="F62" s="67" t="s">
        <v>278</v>
      </c>
      <c r="G62" s="67" t="s">
        <v>278</v>
      </c>
      <c r="H62" s="70" t="s">
        <v>363</v>
      </c>
      <c r="I62" s="72">
        <v>10</v>
      </c>
      <c r="J62" s="70" t="s">
        <v>369</v>
      </c>
      <c r="L62" s="47"/>
      <c r="O62" s="47"/>
    </row>
    <row r="63" spans="2:15" s="71" customFormat="1" hidden="1">
      <c r="B63" s="70" t="s">
        <v>83</v>
      </c>
      <c r="C63" s="70" t="s">
        <v>86</v>
      </c>
      <c r="D63" s="259">
        <v>40</v>
      </c>
      <c r="E63" s="231" t="s">
        <v>272</v>
      </c>
      <c r="F63" s="67" t="s">
        <v>278</v>
      </c>
      <c r="G63" s="67" t="s">
        <v>278</v>
      </c>
      <c r="H63" s="70" t="s">
        <v>363</v>
      </c>
      <c r="I63" s="72">
        <v>10</v>
      </c>
      <c r="J63" s="70" t="s">
        <v>370</v>
      </c>
      <c r="L63" s="47"/>
      <c r="O63" s="47"/>
    </row>
    <row r="64" spans="2:15" s="71" customFormat="1" hidden="1">
      <c r="B64" s="70" t="s">
        <v>83</v>
      </c>
      <c r="C64" s="70" t="s">
        <v>87</v>
      </c>
      <c r="D64" s="259">
        <v>20</v>
      </c>
      <c r="E64" s="231" t="s">
        <v>271</v>
      </c>
      <c r="F64" s="67" t="s">
        <v>278</v>
      </c>
      <c r="G64" s="67" t="s">
        <v>278</v>
      </c>
      <c r="H64" s="70" t="s">
        <v>363</v>
      </c>
      <c r="I64" s="72">
        <v>10</v>
      </c>
      <c r="J64" s="70" t="s">
        <v>371</v>
      </c>
      <c r="L64" s="47"/>
      <c r="M64" s="47"/>
      <c r="O64" s="47"/>
    </row>
    <row r="65" spans="2:10" hidden="1"/>
    <row r="66" spans="2:10" ht="13.5" customHeight="1">
      <c r="B66" s="48" t="s">
        <v>2829</v>
      </c>
      <c r="C66" s="234" t="s">
        <v>2834</v>
      </c>
      <c r="D66" s="261">
        <v>0.05</v>
      </c>
      <c r="E66" s="235" t="s">
        <v>2815</v>
      </c>
      <c r="F66" s="67" t="s">
        <v>278</v>
      </c>
      <c r="G66" s="67" t="s">
        <v>278</v>
      </c>
      <c r="H66" s="70" t="s">
        <v>363</v>
      </c>
      <c r="I66" s="72">
        <v>10</v>
      </c>
      <c r="J66" s="70" t="s">
        <v>2824</v>
      </c>
    </row>
    <row r="67" spans="2:10" ht="13.5" customHeight="1">
      <c r="B67" s="48" t="s">
        <v>2828</v>
      </c>
      <c r="C67" s="234" t="s">
        <v>2835</v>
      </c>
      <c r="D67" s="261">
        <v>0.08</v>
      </c>
      <c r="E67" s="235" t="s">
        <v>2815</v>
      </c>
      <c r="F67" s="67" t="s">
        <v>278</v>
      </c>
      <c r="G67" s="67" t="s">
        <v>278</v>
      </c>
      <c r="H67" s="70" t="s">
        <v>363</v>
      </c>
      <c r="I67" s="72">
        <v>10</v>
      </c>
      <c r="J67" s="70" t="s">
        <v>2824</v>
      </c>
    </row>
    <row r="68" spans="2:10" ht="13.5" customHeight="1">
      <c r="B68" s="70" t="s">
        <v>71</v>
      </c>
      <c r="C68" s="234" t="s">
        <v>2830</v>
      </c>
      <c r="D68" s="261">
        <v>0.1</v>
      </c>
      <c r="E68" s="235" t="s">
        <v>2815</v>
      </c>
      <c r="F68" s="67" t="s">
        <v>278</v>
      </c>
      <c r="G68" s="67" t="s">
        <v>278</v>
      </c>
      <c r="H68" s="70" t="s">
        <v>357</v>
      </c>
      <c r="I68" s="72">
        <v>10</v>
      </c>
      <c r="J68" s="70" t="s">
        <v>358</v>
      </c>
    </row>
    <row r="69" spans="2:10" ht="13.5" customHeight="1">
      <c r="B69" s="48" t="s">
        <v>2821</v>
      </c>
      <c r="C69" s="234" t="s">
        <v>2836</v>
      </c>
      <c r="D69" s="261">
        <v>0.28000000000000003</v>
      </c>
      <c r="E69" s="235" t="s">
        <v>2815</v>
      </c>
      <c r="F69" s="67" t="s">
        <v>278</v>
      </c>
      <c r="G69" s="67" t="s">
        <v>278</v>
      </c>
      <c r="H69" s="70" t="s">
        <v>357</v>
      </c>
      <c r="I69" s="72">
        <v>10</v>
      </c>
      <c r="J69" s="70" t="s">
        <v>358</v>
      </c>
    </row>
  </sheetData>
  <sheetProtection algorithmName="SHA-512" hashValue="WIKAnMipFvV+7+NI9RF7Uf86H2PMcyCyRgY85bSHm9xzT2/YV/i45fuC4PkLkGDjvUe6+BbsJQohDp4isk5Rhw==" saltValue="upjQyaQMVdPmG0yXgX77sg==" spinCount="100000" sheet="1" objects="1" scenarios="1"/>
  <autoFilter ref="B2:M65" xr:uid="{5F655F12-15C9-422A-8F28-314236075BD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CB8"/>
  </sheetPr>
  <dimension ref="B2:R23"/>
  <sheetViews>
    <sheetView showGridLines="0" showZeros="0" tabSelected="1" zoomScaleNormal="100" workbookViewId="0">
      <selection activeCell="C6" sqref="C6:D6"/>
    </sheetView>
  </sheetViews>
  <sheetFormatPr defaultColWidth="9.140625" defaultRowHeight="14.25"/>
  <cols>
    <col min="1" max="1" width="5.42578125" style="151" customWidth="1"/>
    <col min="2" max="2" width="40" style="151" bestFit="1" customWidth="1"/>
    <col min="3" max="4" width="20.5703125" style="151" customWidth="1"/>
    <col min="5" max="5" width="9.140625" style="151" customWidth="1"/>
    <col min="6" max="11" width="22.140625" style="151" customWidth="1"/>
    <col min="12" max="14" width="13.5703125" style="151" hidden="1" customWidth="1"/>
    <col min="15" max="15" width="4.140625" style="151" customWidth="1"/>
    <col min="16" max="16" width="3.5703125" style="151" customWidth="1"/>
    <col min="17" max="17" width="13.5703125" style="151" customWidth="1"/>
    <col min="18" max="18" width="9.42578125" style="151" hidden="1" customWidth="1"/>
    <col min="19" max="20" width="9.42578125" style="151" customWidth="1"/>
    <col min="21" max="21" width="13.5703125" style="151" customWidth="1"/>
    <col min="22" max="22" width="9.140625" style="151" customWidth="1"/>
    <col min="23" max="23" width="13.5703125" style="151" customWidth="1"/>
    <col min="24" max="24" width="9.140625" style="151" customWidth="1"/>
    <col min="25" max="25" width="13.5703125" style="151" customWidth="1"/>
    <col min="26" max="16384" width="9.140625" style="151"/>
  </cols>
  <sheetData>
    <row r="2" spans="2:18">
      <c r="J2" s="204" t="s">
        <v>2795</v>
      </c>
      <c r="K2" s="205">
        <f>'Version Log'!J4</f>
        <v>6.03</v>
      </c>
    </row>
    <row r="3" spans="2:18">
      <c r="J3" s="204" t="s">
        <v>2796</v>
      </c>
      <c r="K3" s="206">
        <f>'Version Log'!J5</f>
        <v>45464</v>
      </c>
    </row>
    <row r="5" spans="2:18" ht="27.6" customHeight="1" thickBot="1"/>
    <row r="6" spans="2:18" ht="27.6" customHeight="1">
      <c r="B6" s="222" t="s">
        <v>94</v>
      </c>
      <c r="C6" s="272"/>
      <c r="D6" s="273"/>
      <c r="F6" s="278" t="s">
        <v>2810</v>
      </c>
      <c r="G6" s="274" t="s">
        <v>2811</v>
      </c>
      <c r="H6" s="274" t="s">
        <v>145</v>
      </c>
      <c r="I6" s="274" t="s">
        <v>2792</v>
      </c>
      <c r="J6" s="274" t="s">
        <v>2793</v>
      </c>
      <c r="K6" s="276" t="s">
        <v>2794</v>
      </c>
      <c r="L6" s="215" t="s">
        <v>2711</v>
      </c>
      <c r="M6" s="143" t="s">
        <v>137</v>
      </c>
      <c r="N6" s="143" t="s">
        <v>139</v>
      </c>
    </row>
    <row r="7" spans="2:18" ht="27.6" customHeight="1">
      <c r="B7" s="223" t="s">
        <v>96</v>
      </c>
      <c r="C7" s="282"/>
      <c r="D7" s="283"/>
      <c r="F7" s="279"/>
      <c r="G7" s="275"/>
      <c r="H7" s="275"/>
      <c r="I7" s="275"/>
      <c r="J7" s="275"/>
      <c r="K7" s="277"/>
      <c r="L7" s="215"/>
      <c r="M7" s="143"/>
      <c r="N7" s="143"/>
    </row>
    <row r="8" spans="2:18" ht="27.6" customHeight="1" thickBot="1">
      <c r="B8" s="223" t="s">
        <v>98</v>
      </c>
      <c r="C8" s="282"/>
      <c r="D8" s="283"/>
      <c r="F8" s="225">
        <f>IFERROR(SUM(G8,C23),"")</f>
        <v>0</v>
      </c>
      <c r="G8" s="226" t="str">
        <f>IF(C18="","",MIN(SUM(Calculator!CH5:CH254),$C$18*0.5))</f>
        <v/>
      </c>
      <c r="H8" s="226">
        <f>M10+N10</f>
        <v>0</v>
      </c>
      <c r="I8" s="227">
        <f>SUM(Calculator!BW5:BW254)</f>
        <v>0</v>
      </c>
      <c r="J8" s="228">
        <f>SUM(Calculator!BU5:BU254)</f>
        <v>0</v>
      </c>
      <c r="K8" s="229">
        <f>SUM(Calculator!BV5:BV254)</f>
        <v>0</v>
      </c>
      <c r="L8" s="215"/>
      <c r="M8" s="143"/>
      <c r="N8" s="143"/>
    </row>
    <row r="9" spans="2:18" ht="27.6" customHeight="1">
      <c r="B9" s="223" t="s">
        <v>100</v>
      </c>
      <c r="C9" s="282"/>
      <c r="D9" s="283"/>
      <c r="L9" s="143"/>
      <c r="M9" s="143"/>
      <c r="N9" s="143"/>
      <c r="R9" s="218" t="s">
        <v>2805</v>
      </c>
    </row>
    <row r="10" spans="2:18" ht="27.6" customHeight="1">
      <c r="B10" s="223" t="s">
        <v>102</v>
      </c>
      <c r="C10" s="282"/>
      <c r="D10" s="283"/>
      <c r="I10" s="167"/>
      <c r="K10" s="167"/>
      <c r="L10" s="166">
        <f>IFERROR(IF(Q10="Yes",MIN(I8*0.1,F8),0),0)</f>
        <v>0</v>
      </c>
      <c r="M10" s="166">
        <f>SUM(Calculator!CD5:CD254)</f>
        <v>0</v>
      </c>
      <c r="N10" s="166">
        <f>SUM(Calculator!CE5:CE254)</f>
        <v>0</v>
      </c>
      <c r="R10" s="218" t="s">
        <v>2806</v>
      </c>
    </row>
    <row r="11" spans="2:18" ht="27.6" customHeight="1">
      <c r="B11" s="223" t="s">
        <v>104</v>
      </c>
      <c r="C11" s="282"/>
      <c r="D11" s="283"/>
      <c r="L11" s="33"/>
      <c r="R11" s="218" t="s">
        <v>2807</v>
      </c>
    </row>
    <row r="12" spans="2:18" ht="27.6" customHeight="1">
      <c r="B12" s="223" t="s">
        <v>106</v>
      </c>
      <c r="C12" s="282"/>
      <c r="D12" s="283"/>
      <c r="L12" s="33"/>
      <c r="R12" s="218" t="s">
        <v>269</v>
      </c>
    </row>
    <row r="13" spans="2:18" ht="27.6" customHeight="1">
      <c r="B13" s="223" t="s">
        <v>108</v>
      </c>
      <c r="C13" s="282"/>
      <c r="D13" s="283"/>
      <c r="L13" s="33"/>
    </row>
    <row r="14" spans="2:18" ht="27.6" customHeight="1">
      <c r="B14" s="223" t="s">
        <v>110</v>
      </c>
      <c r="C14" s="282"/>
      <c r="D14" s="283"/>
      <c r="L14" s="33"/>
      <c r="P14" s="152"/>
    </row>
    <row r="15" spans="2:18" ht="27.6" customHeight="1">
      <c r="B15" s="223" t="s">
        <v>112</v>
      </c>
      <c r="C15" s="288"/>
      <c r="D15" s="289"/>
      <c r="L15" s="33"/>
      <c r="P15" s="152"/>
    </row>
    <row r="16" spans="2:18" ht="27.6" customHeight="1">
      <c r="B16" s="223" t="s">
        <v>214</v>
      </c>
      <c r="C16" s="282"/>
      <c r="D16" s="283"/>
      <c r="L16" s="33"/>
      <c r="P16" s="152"/>
    </row>
    <row r="17" spans="2:4" ht="27.6" customHeight="1">
      <c r="B17" s="223" t="s">
        <v>215</v>
      </c>
      <c r="C17" s="282"/>
      <c r="D17" s="283"/>
    </row>
    <row r="18" spans="2:4" ht="27.6" customHeight="1">
      <c r="B18" s="223" t="s">
        <v>118</v>
      </c>
      <c r="C18" s="284"/>
      <c r="D18" s="285"/>
    </row>
    <row r="19" spans="2:4" ht="27.6" customHeight="1" thickBot="1">
      <c r="B19" s="224" t="s">
        <v>120</v>
      </c>
      <c r="C19" s="286"/>
      <c r="D19" s="287"/>
    </row>
    <row r="20" spans="2:4" ht="27.6" hidden="1" customHeight="1">
      <c r="B20" s="221" t="s">
        <v>2772</v>
      </c>
      <c r="C20" s="280"/>
      <c r="D20" s="281"/>
    </row>
    <row r="21" spans="2:4" ht="27.6" customHeight="1" thickBot="1">
      <c r="B21" s="209" t="s">
        <v>216</v>
      </c>
    </row>
    <row r="22" spans="2:4" ht="26.25" customHeight="1">
      <c r="B22" s="219" t="s">
        <v>2808</v>
      </c>
      <c r="C22" s="272"/>
      <c r="D22" s="273"/>
    </row>
    <row r="23" spans="2:4" ht="26.25" customHeight="1" thickBot="1">
      <c r="B23" s="220" t="s">
        <v>2809</v>
      </c>
      <c r="C23" s="377">
        <f>IFERROR(IF(COUNTIF(R9:R11,C22)&gt;0,G8*0.1,0),"")</f>
        <v>0</v>
      </c>
      <c r="D23" s="378"/>
    </row>
  </sheetData>
  <sheetProtection algorithmName="SHA-512" hashValue="3hf3kPjQGnYm1jakV1RzH8kVGjnYXS2vAp82Njy6dNAbVJxyc1NtAhiTOdscxlqGVx4H4Qmr4VdDo2QFBFTqOg==" saltValue="5jo2rBjlXWsgCnAJXf1h3w==" spinCount="100000" sheet="1" objects="1" scenarios="1"/>
  <mergeCells count="23">
    <mergeCell ref="C16:D16"/>
    <mergeCell ref="C17:D17"/>
    <mergeCell ref="C10:D10"/>
    <mergeCell ref="C11:D11"/>
    <mergeCell ref="C12:D12"/>
    <mergeCell ref="C13:D13"/>
    <mergeCell ref="C15:D15"/>
    <mergeCell ref="C22:D22"/>
    <mergeCell ref="C23:D23"/>
    <mergeCell ref="G6:G7"/>
    <mergeCell ref="K6:K7"/>
    <mergeCell ref="I6:I7"/>
    <mergeCell ref="H6:H7"/>
    <mergeCell ref="F6:F7"/>
    <mergeCell ref="J6:J7"/>
    <mergeCell ref="C20:D20"/>
    <mergeCell ref="C14:D14"/>
    <mergeCell ref="C6:D6"/>
    <mergeCell ref="C7:D7"/>
    <mergeCell ref="C8:D8"/>
    <mergeCell ref="C9:D9"/>
    <mergeCell ref="C18:D18"/>
    <mergeCell ref="C19:D19"/>
  </mergeCells>
  <dataValidations count="3">
    <dataValidation type="list" allowBlank="1" showInputMessage="1" showErrorMessage="1" sqref="C19" xr:uid="{00000000-0002-0000-0200-000000000000}">
      <formula1>BuildingTypefromApp</formula1>
    </dataValidation>
    <dataValidation type="list" allowBlank="1" showInputMessage="1" showErrorMessage="1" sqref="Q10" xr:uid="{9804DCB8-548D-4FDB-8B4A-B832EC280176}">
      <formula1>"No, Yes"</formula1>
    </dataValidation>
    <dataValidation type="list" allowBlank="1" showInputMessage="1" showErrorMessage="1" sqref="C22:D22" xr:uid="{4575517F-7AD1-4D72-AF69-34B374A02DBC}">
      <formula1>$R$8:$R$12</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F3BFD10-6FFC-43B0-A02D-624C6AECEA28}">
          <x14:formula1>
            <xm:f>Lookups!$A$112:$A$148</xm:f>
          </x14:formula1>
          <xm:sqref>C20:D20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5CB8"/>
  </sheetPr>
  <dimension ref="A1:DD254"/>
  <sheetViews>
    <sheetView showGridLines="0" zoomScaleNormal="100" workbookViewId="0">
      <pane xSplit="1" ySplit="3" topLeftCell="D4" activePane="bottomRight" state="frozenSplit"/>
      <selection activeCell="F7" sqref="F7"/>
      <selection pane="topRight" activeCell="F7" sqref="F7"/>
      <selection pane="bottomLeft" activeCell="F7" sqref="F7"/>
      <selection pane="bottomRight" activeCell="D5" sqref="D5"/>
    </sheetView>
  </sheetViews>
  <sheetFormatPr defaultColWidth="9" defaultRowHeight="15" zeroHeight="1"/>
  <cols>
    <col min="1" max="1" width="9.140625" style="152" customWidth="1"/>
    <col min="2" max="2" width="35.5703125" style="152" hidden="1" customWidth="1"/>
    <col min="3" max="3" width="27.85546875" style="152" hidden="1" customWidth="1"/>
    <col min="4" max="5" width="9.140625" style="152" customWidth="1"/>
    <col min="6" max="7" width="25.42578125" style="152" customWidth="1"/>
    <col min="8" max="9" width="31.5703125" style="152" customWidth="1"/>
    <col min="10" max="10" width="31.5703125" style="152" hidden="1" customWidth="1"/>
    <col min="11" max="11" width="31.5703125" style="152" customWidth="1"/>
    <col min="12" max="12" width="21" style="152" hidden="1" customWidth="1"/>
    <col min="13" max="13" width="35.140625" style="152" customWidth="1"/>
    <col min="14" max="14" width="24.42578125" style="152" hidden="1" customWidth="1"/>
    <col min="15" max="15" width="56.42578125" style="152" customWidth="1"/>
    <col min="16" max="16" width="23.85546875" style="152" hidden="1" customWidth="1"/>
    <col min="17" max="18" width="12.5703125" style="152" hidden="1" customWidth="1"/>
    <col min="19" max="19" width="15.5703125" style="152" customWidth="1"/>
    <col min="20" max="20" width="9.140625" style="152" customWidth="1"/>
    <col min="21" max="21" width="9.140625" style="152" hidden="1" customWidth="1"/>
    <col min="22" max="22" width="9.140625" style="152" customWidth="1"/>
    <col min="23" max="23" width="12.42578125" style="152" customWidth="1"/>
    <col min="24" max="24" width="25.42578125" style="152" customWidth="1"/>
    <col min="25" max="25" width="11.42578125" style="152" customWidth="1"/>
    <col min="26" max="26" width="11.42578125" style="152" hidden="1" customWidth="1"/>
    <col min="27" max="28" width="9.140625" style="152" hidden="1" customWidth="1"/>
    <col min="29" max="30" width="15.5703125" style="152" customWidth="1"/>
    <col min="31" max="31" width="15.5703125" style="152" hidden="1" customWidth="1"/>
    <col min="32" max="33" width="9.140625" style="152" customWidth="1"/>
    <col min="34" max="34" width="29.140625" style="152" customWidth="1"/>
    <col min="35" max="35" width="9.140625" style="152" customWidth="1"/>
    <col min="36" max="43" width="9.140625" style="152" hidden="1" customWidth="1"/>
    <col min="44" max="44" width="9.5703125" style="152" hidden="1" customWidth="1"/>
    <col min="45" max="46" width="9.140625" style="152" hidden="1" customWidth="1"/>
    <col min="47" max="47" width="9.5703125" style="152" hidden="1" customWidth="1"/>
    <col min="48" max="49" width="9.140625" style="152" hidden="1" customWidth="1"/>
    <col min="50" max="50" width="8.5703125" style="152" hidden="1" customWidth="1"/>
    <col min="51" max="51" width="9.140625" style="152" hidden="1" customWidth="1"/>
    <col min="52" max="52" width="10.5703125" style="152" hidden="1" customWidth="1"/>
    <col min="53" max="53" width="9.140625" style="152" hidden="1" customWidth="1"/>
    <col min="54" max="56" width="10.5703125" style="152" hidden="1" customWidth="1"/>
    <col min="57" max="58" width="15" style="152" customWidth="1"/>
    <col min="59" max="59" width="10.42578125" style="152" customWidth="1"/>
    <col min="60" max="60" width="10.42578125" style="152" hidden="1" customWidth="1"/>
    <col min="61" max="62" width="10.42578125" style="152" customWidth="1"/>
    <col min="63" max="63" width="11.5703125" style="152" customWidth="1"/>
    <col min="64" max="65" width="10.42578125" style="152" customWidth="1"/>
    <col min="66" max="66" width="10.42578125" style="152" hidden="1" customWidth="1"/>
    <col min="67" max="71" width="10.42578125" style="152" customWidth="1"/>
    <col min="72" max="72" width="10.42578125" style="152" hidden="1" customWidth="1"/>
    <col min="73" max="74" width="10.42578125" style="152" customWidth="1"/>
    <col min="75" max="75" width="12.28515625" style="152" customWidth="1"/>
    <col min="76" max="77" width="10.42578125" style="152" customWidth="1"/>
    <col min="78" max="80" width="9.5703125" style="152" customWidth="1"/>
    <col min="81" max="81" width="9.5703125" style="242" customWidth="1"/>
    <col min="82" max="85" width="12.5703125" style="152" customWidth="1"/>
    <col min="86" max="86" width="13.140625" style="152" bestFit="1" customWidth="1"/>
    <col min="87" max="87" width="4.42578125" style="152" customWidth="1"/>
    <col min="88" max="88" width="36.85546875" style="152" hidden="1" customWidth="1"/>
    <col min="89" max="90" width="18.85546875" style="239" hidden="1" customWidth="1"/>
    <col min="91" max="93" width="4.42578125" style="152" customWidth="1"/>
    <col min="94" max="94" width="36.85546875" style="152" hidden="1" customWidth="1"/>
    <col min="95" max="95" width="18.85546875" style="152" hidden="1" customWidth="1"/>
    <col min="96" max="96" width="3.85546875" style="152" hidden="1" customWidth="1"/>
    <col min="97" max="97" width="16.85546875" style="152" hidden="1" customWidth="1"/>
    <col min="98" max="98" width="13.5703125" style="152" hidden="1" customWidth="1"/>
    <col min="99" max="99" width="9.140625" style="152" hidden="1" customWidth="1"/>
    <col min="100" max="100" width="18.85546875" style="152" hidden="1" customWidth="1"/>
    <col min="101" max="101" width="3.85546875" style="152" hidden="1" customWidth="1"/>
    <col min="102" max="102" width="16.85546875" style="152" hidden="1" customWidth="1"/>
    <col min="103" max="103" width="13.5703125" style="152" hidden="1" customWidth="1"/>
    <col min="104" max="104" width="9.140625" style="152" hidden="1" customWidth="1"/>
    <col min="105" max="105" width="18.85546875" style="152" hidden="1" customWidth="1"/>
    <col min="106" max="106" width="3.85546875" style="152" hidden="1" customWidth="1"/>
    <col min="107" max="108" width="9" style="152" hidden="1" customWidth="1"/>
    <col min="109" max="16384" width="9" style="152"/>
  </cols>
  <sheetData>
    <row r="1" spans="1:108" s="151" customFormat="1">
      <c r="Z1" s="151" t="s">
        <v>2671</v>
      </c>
      <c r="AA1" s="151" t="s">
        <v>2671</v>
      </c>
      <c r="AB1" s="151" t="s">
        <v>2671</v>
      </c>
      <c r="AE1" s="151" t="s">
        <v>2671</v>
      </c>
      <c r="AJ1" s="151" t="s">
        <v>2671</v>
      </c>
      <c r="AK1" s="151" t="s">
        <v>2671</v>
      </c>
      <c r="AL1" s="151" t="s">
        <v>2671</v>
      </c>
      <c r="AM1" s="151" t="s">
        <v>2671</v>
      </c>
      <c r="AN1" s="151" t="s">
        <v>2671</v>
      </c>
      <c r="AO1" s="151" t="s">
        <v>2671</v>
      </c>
      <c r="AP1" s="151" t="s">
        <v>2671</v>
      </c>
      <c r="AQ1" s="151" t="s">
        <v>2671</v>
      </c>
      <c r="AR1" s="151" t="s">
        <v>2671</v>
      </c>
      <c r="AS1" s="151" t="s">
        <v>2671</v>
      </c>
      <c r="AT1" s="151" t="s">
        <v>2671</v>
      </c>
      <c r="AU1" s="151" t="s">
        <v>2671</v>
      </c>
      <c r="AV1" s="151" t="s">
        <v>2671</v>
      </c>
      <c r="AW1" s="151" t="s">
        <v>2671</v>
      </c>
      <c r="AX1" s="151" t="s">
        <v>2671</v>
      </c>
      <c r="AY1" s="151" t="s">
        <v>2671</v>
      </c>
      <c r="AZ1" s="151" t="s">
        <v>2671</v>
      </c>
      <c r="BA1" s="151" t="s">
        <v>2671</v>
      </c>
      <c r="BB1" s="151" t="s">
        <v>2671</v>
      </c>
      <c r="BC1" s="151" t="s">
        <v>2671</v>
      </c>
      <c r="BD1" s="151" t="s">
        <v>2671</v>
      </c>
      <c r="BH1" s="151" t="s">
        <v>2671</v>
      </c>
      <c r="BN1" s="151" t="s">
        <v>2671</v>
      </c>
      <c r="BT1" s="151" t="s">
        <v>2671</v>
      </c>
      <c r="CC1" s="196"/>
      <c r="CI1" s="152"/>
      <c r="CJ1" s="152"/>
      <c r="CK1" s="239"/>
      <c r="CL1" s="239"/>
      <c r="CM1" s="152"/>
      <c r="CN1" s="152"/>
      <c r="CO1" s="152"/>
      <c r="CP1" s="301" t="s">
        <v>2644</v>
      </c>
      <c r="CQ1" s="301"/>
      <c r="CR1" s="301"/>
      <c r="CS1" s="301"/>
      <c r="CT1" s="301"/>
      <c r="CV1" s="301" t="s">
        <v>2645</v>
      </c>
      <c r="CW1" s="301"/>
      <c r="CX1" s="301"/>
      <c r="CY1" s="301"/>
      <c r="DA1" s="301" t="s">
        <v>2646</v>
      </c>
      <c r="DB1" s="301"/>
      <c r="DC1" s="301"/>
      <c r="DD1" s="301"/>
    </row>
    <row r="2" spans="1:108" s="151" customFormat="1" ht="15" customHeight="1">
      <c r="A2" s="300" t="s">
        <v>217</v>
      </c>
      <c r="B2" s="300" t="s">
        <v>218</v>
      </c>
      <c r="C2" s="300" t="s">
        <v>219</v>
      </c>
      <c r="D2" s="300" t="s">
        <v>151</v>
      </c>
      <c r="E2" s="298" t="s">
        <v>153</v>
      </c>
      <c r="F2" s="300" t="s">
        <v>155</v>
      </c>
      <c r="G2" s="300" t="s">
        <v>157</v>
      </c>
      <c r="H2" s="300" t="s">
        <v>159</v>
      </c>
      <c r="I2" s="300" t="s">
        <v>161</v>
      </c>
      <c r="J2" s="300" t="s">
        <v>220</v>
      </c>
      <c r="K2" s="300" t="s">
        <v>163</v>
      </c>
      <c r="L2" s="300" t="s">
        <v>221</v>
      </c>
      <c r="M2" s="298" t="s">
        <v>5</v>
      </c>
      <c r="N2" s="298" t="s">
        <v>222</v>
      </c>
      <c r="O2" s="298" t="s">
        <v>6</v>
      </c>
      <c r="P2" s="298" t="s">
        <v>223</v>
      </c>
      <c r="Q2" s="298" t="s">
        <v>224</v>
      </c>
      <c r="R2" s="298" t="s">
        <v>225</v>
      </c>
      <c r="S2" s="295" t="s">
        <v>167</v>
      </c>
      <c r="T2" s="297"/>
      <c r="U2" s="297"/>
      <c r="V2" s="297"/>
      <c r="W2" s="297"/>
      <c r="X2" s="297"/>
      <c r="Y2" s="297"/>
      <c r="Z2" s="297"/>
      <c r="AA2" s="297"/>
      <c r="AB2" s="296"/>
      <c r="AC2" s="295" t="s">
        <v>173</v>
      </c>
      <c r="AD2" s="297"/>
      <c r="AE2" s="297"/>
      <c r="AF2" s="297"/>
      <c r="AG2" s="297"/>
      <c r="AH2" s="297"/>
      <c r="AI2" s="297"/>
      <c r="AJ2" s="207"/>
      <c r="AK2" s="207"/>
      <c r="AL2" s="208"/>
      <c r="AM2" s="300" t="s">
        <v>226</v>
      </c>
      <c r="AN2" s="300" t="s">
        <v>227</v>
      </c>
      <c r="AO2" s="300" t="s">
        <v>228</v>
      </c>
      <c r="AP2" s="298" t="s">
        <v>2784</v>
      </c>
      <c r="AQ2" s="300" t="s">
        <v>229</v>
      </c>
      <c r="AR2" s="300"/>
      <c r="AS2" s="300"/>
      <c r="AT2" s="300" t="s">
        <v>230</v>
      </c>
      <c r="AU2" s="300"/>
      <c r="AV2" s="300"/>
      <c r="AW2" s="298" t="s">
        <v>231</v>
      </c>
      <c r="AX2" s="290" t="s">
        <v>4</v>
      </c>
      <c r="AY2" s="291"/>
      <c r="AZ2" s="291"/>
      <c r="BA2" s="292"/>
      <c r="BB2" s="300" t="s">
        <v>70</v>
      </c>
      <c r="BC2" s="300"/>
      <c r="BD2" s="300"/>
      <c r="BE2" s="298" t="s">
        <v>232</v>
      </c>
      <c r="BF2" s="298" t="s">
        <v>233</v>
      </c>
      <c r="BG2" s="295" t="s">
        <v>4</v>
      </c>
      <c r="BH2" s="297"/>
      <c r="BI2" s="297"/>
      <c r="BJ2" s="297"/>
      <c r="BK2" s="297"/>
      <c r="BL2" s="297"/>
      <c r="BM2" s="296"/>
      <c r="BN2" s="295" t="s">
        <v>70</v>
      </c>
      <c r="BO2" s="297"/>
      <c r="BP2" s="297"/>
      <c r="BQ2" s="297"/>
      <c r="BR2" s="297"/>
      <c r="BS2" s="296"/>
      <c r="BT2" s="295" t="s">
        <v>182</v>
      </c>
      <c r="BU2" s="297"/>
      <c r="BV2" s="297"/>
      <c r="BW2" s="297"/>
      <c r="BX2" s="297"/>
      <c r="BY2" s="296"/>
      <c r="BZ2" s="295" t="s">
        <v>4</v>
      </c>
      <c r="CA2" s="296"/>
      <c r="CB2" s="295" t="s">
        <v>70</v>
      </c>
      <c r="CC2" s="296"/>
      <c r="CD2" s="295" t="s">
        <v>2812</v>
      </c>
      <c r="CE2" s="296"/>
      <c r="CF2" s="295" t="s">
        <v>2813</v>
      </c>
      <c r="CG2" s="297"/>
      <c r="CH2" s="297"/>
      <c r="CI2" s="152"/>
      <c r="CJ2" s="298" t="s">
        <v>2814</v>
      </c>
      <c r="CK2" s="293" t="s">
        <v>2823</v>
      </c>
      <c r="CL2" s="293" t="s">
        <v>2821</v>
      </c>
      <c r="CM2" s="152"/>
      <c r="CN2" s="152"/>
      <c r="CO2" s="152"/>
      <c r="CP2" s="298" t="s">
        <v>2658</v>
      </c>
      <c r="CQ2" s="298" t="s">
        <v>2659</v>
      </c>
      <c r="CR2" s="298" t="s">
        <v>2657</v>
      </c>
      <c r="CS2" s="298" t="s">
        <v>2655</v>
      </c>
      <c r="CT2" s="298" t="s">
        <v>2656</v>
      </c>
      <c r="CV2" s="298" t="s">
        <v>2659</v>
      </c>
      <c r="CW2" s="298" t="s">
        <v>2657</v>
      </c>
      <c r="CX2" s="298" t="s">
        <v>2655</v>
      </c>
      <c r="CY2" s="298" t="s">
        <v>2656</v>
      </c>
      <c r="DA2" s="298" t="s">
        <v>2659</v>
      </c>
      <c r="DB2" s="298" t="s">
        <v>2657</v>
      </c>
      <c r="DC2" s="298" t="s">
        <v>2655</v>
      </c>
      <c r="DD2" s="298" t="s">
        <v>2656</v>
      </c>
    </row>
    <row r="3" spans="1:108" s="151" customFormat="1" ht="51">
      <c r="A3" s="300"/>
      <c r="B3" s="300"/>
      <c r="C3" s="300"/>
      <c r="D3" s="300"/>
      <c r="E3" s="299"/>
      <c r="F3" s="300"/>
      <c r="G3" s="300"/>
      <c r="H3" s="300"/>
      <c r="I3" s="300"/>
      <c r="J3" s="300"/>
      <c r="K3" s="300"/>
      <c r="L3" s="300"/>
      <c r="M3" s="299"/>
      <c r="N3" s="299"/>
      <c r="O3" s="299"/>
      <c r="P3" s="299"/>
      <c r="Q3" s="299"/>
      <c r="R3" s="299"/>
      <c r="S3" s="143" t="s">
        <v>168</v>
      </c>
      <c r="T3" s="143" t="s">
        <v>236</v>
      </c>
      <c r="U3" s="143" t="s">
        <v>237</v>
      </c>
      <c r="V3" s="143" t="s">
        <v>170</v>
      </c>
      <c r="W3" s="143" t="s">
        <v>238</v>
      </c>
      <c r="X3" s="143" t="s">
        <v>70</v>
      </c>
      <c r="Y3" s="143" t="s">
        <v>239</v>
      </c>
      <c r="Z3" s="143" t="s">
        <v>240</v>
      </c>
      <c r="AA3" s="143" t="s">
        <v>241</v>
      </c>
      <c r="AB3" s="143" t="s">
        <v>242</v>
      </c>
      <c r="AC3" s="143" t="s">
        <v>174</v>
      </c>
      <c r="AD3" s="143" t="s">
        <v>168</v>
      </c>
      <c r="AE3" s="143" t="s">
        <v>243</v>
      </c>
      <c r="AF3" s="143" t="s">
        <v>170</v>
      </c>
      <c r="AG3" s="143" t="s">
        <v>244</v>
      </c>
      <c r="AH3" s="143" t="s">
        <v>70</v>
      </c>
      <c r="AI3" s="143" t="s">
        <v>179</v>
      </c>
      <c r="AJ3" s="143" t="s">
        <v>240</v>
      </c>
      <c r="AK3" s="143" t="s">
        <v>241</v>
      </c>
      <c r="AL3" s="143" t="s">
        <v>242</v>
      </c>
      <c r="AM3" s="300"/>
      <c r="AN3" s="300"/>
      <c r="AO3" s="300"/>
      <c r="AP3" s="299"/>
      <c r="AQ3" s="143" t="s">
        <v>245</v>
      </c>
      <c r="AR3" s="143" t="s">
        <v>2790</v>
      </c>
      <c r="AS3" s="143" t="s">
        <v>2791</v>
      </c>
      <c r="AT3" s="143" t="s">
        <v>245</v>
      </c>
      <c r="AU3" s="143" t="s">
        <v>2790</v>
      </c>
      <c r="AV3" s="143" t="s">
        <v>2791</v>
      </c>
      <c r="AW3" s="299"/>
      <c r="AX3" s="144" t="s">
        <v>246</v>
      </c>
      <c r="AY3" s="144" t="s">
        <v>247</v>
      </c>
      <c r="AZ3" s="144" t="s">
        <v>248</v>
      </c>
      <c r="BA3" s="144" t="s">
        <v>249</v>
      </c>
      <c r="BB3" s="144" t="s">
        <v>246</v>
      </c>
      <c r="BC3" s="144" t="s">
        <v>247</v>
      </c>
      <c r="BD3" s="144" t="s">
        <v>250</v>
      </c>
      <c r="BE3" s="299"/>
      <c r="BF3" s="299"/>
      <c r="BG3" s="143" t="s">
        <v>124</v>
      </c>
      <c r="BH3" s="170" t="s">
        <v>251</v>
      </c>
      <c r="BI3" s="143" t="s">
        <v>2789</v>
      </c>
      <c r="BJ3" s="143" t="s">
        <v>2837</v>
      </c>
      <c r="BK3" s="143" t="s">
        <v>181</v>
      </c>
      <c r="BL3" s="143" t="s">
        <v>252</v>
      </c>
      <c r="BM3" s="143" t="s">
        <v>253</v>
      </c>
      <c r="BN3" s="170" t="s">
        <v>251</v>
      </c>
      <c r="BO3" s="143" t="s">
        <v>2789</v>
      </c>
      <c r="BP3" s="143" t="s">
        <v>2837</v>
      </c>
      <c r="BQ3" s="143" t="s">
        <v>181</v>
      </c>
      <c r="BR3" s="143" t="s">
        <v>252</v>
      </c>
      <c r="BS3" s="143" t="s">
        <v>253</v>
      </c>
      <c r="BT3" s="170" t="s">
        <v>251</v>
      </c>
      <c r="BU3" s="143" t="s">
        <v>2789</v>
      </c>
      <c r="BV3" s="143" t="s">
        <v>2838</v>
      </c>
      <c r="BW3" s="143" t="s">
        <v>181</v>
      </c>
      <c r="BX3" s="143" t="s">
        <v>252</v>
      </c>
      <c r="BY3" s="143" t="s">
        <v>253</v>
      </c>
      <c r="BZ3" s="143" t="s">
        <v>254</v>
      </c>
      <c r="CA3" s="143" t="s">
        <v>255</v>
      </c>
      <c r="CB3" s="143" t="s">
        <v>254</v>
      </c>
      <c r="CC3" s="143" t="s">
        <v>255</v>
      </c>
      <c r="CD3" s="216" t="s">
        <v>234</v>
      </c>
      <c r="CE3" s="216" t="s">
        <v>235</v>
      </c>
      <c r="CF3" s="216" t="s">
        <v>141</v>
      </c>
      <c r="CG3" s="216" t="s">
        <v>143</v>
      </c>
      <c r="CH3" s="216" t="s">
        <v>183</v>
      </c>
      <c r="CI3" s="152"/>
      <c r="CJ3" s="299" t="s">
        <v>2814</v>
      </c>
      <c r="CK3" s="294"/>
      <c r="CL3" s="294"/>
      <c r="CM3" s="152"/>
      <c r="CN3" s="152"/>
      <c r="CO3" s="152"/>
      <c r="CP3" s="299"/>
      <c r="CQ3" s="299"/>
      <c r="CR3" s="299"/>
      <c r="CS3" s="299"/>
      <c r="CT3" s="299"/>
      <c r="CV3" s="299"/>
      <c r="CW3" s="299"/>
      <c r="CX3" s="299"/>
      <c r="CY3" s="299"/>
      <c r="DA3" s="299"/>
      <c r="DB3" s="299"/>
      <c r="DC3" s="299"/>
      <c r="DD3" s="299"/>
    </row>
    <row r="4" spans="1:108" s="256" customFormat="1" ht="28.5" customHeight="1">
      <c r="A4" s="243" t="s">
        <v>256</v>
      </c>
      <c r="B4" s="244" t="s">
        <v>257</v>
      </c>
      <c r="C4" s="244" t="s">
        <v>257</v>
      </c>
      <c r="D4" s="244" t="s">
        <v>258</v>
      </c>
      <c r="E4" s="243">
        <v>1</v>
      </c>
      <c r="F4" s="245" t="s">
        <v>259</v>
      </c>
      <c r="G4" s="245"/>
      <c r="H4" s="246" t="s">
        <v>260</v>
      </c>
      <c r="I4" s="246" t="s">
        <v>261</v>
      </c>
      <c r="J4" s="246" t="s">
        <v>262</v>
      </c>
      <c r="K4" s="246" t="s">
        <v>263</v>
      </c>
      <c r="L4" s="243" t="s">
        <v>264</v>
      </c>
      <c r="M4" s="246" t="s">
        <v>7</v>
      </c>
      <c r="N4" s="244" t="s">
        <v>265</v>
      </c>
      <c r="O4" s="246" t="s">
        <v>266</v>
      </c>
      <c r="P4" s="246" t="str">
        <f>IFERROR(INDEX('Prescriptive Rebate Table'!$B$2:$H$64, MATCH(O4,'Prescriptive Rebate Table'!$C$2:$C$64,0),7),"")</f>
        <v>LED Fixture Internal</v>
      </c>
      <c r="Q4" s="247">
        <f>IFERROR(INDEX('Prescriptive Rebate Table'!$B$2:$I$64, MATCH(O4,'Prescriptive Rebate Table'!$C$2:$C$64,0),8),"")</f>
        <v>7</v>
      </c>
      <c r="R4" s="247" t="str">
        <f>IFERROR(INDEX('Prescriptive Rebate Table'!$B$2:$J$64, MATCH(O4,'Prescriptive Rebate Table'!$C$2:$C$64,0),9),"")</f>
        <v>LEDLT24</v>
      </c>
      <c r="S4" s="243" t="s">
        <v>267</v>
      </c>
      <c r="T4" s="243" t="s">
        <v>268</v>
      </c>
      <c r="U4" s="243" t="str">
        <f>IFERROR(INDEX('Fixture Codes'!$B$7:$M$976,MATCH(T4,'Fixture Codes'!$B$7:$B$976,0),5),"")</f>
        <v>Fluorescent, (4) 48", T-8 lamp, Instant Start Ballast, NLO (BF: .85-.95)</v>
      </c>
      <c r="V4" s="243">
        <v>4</v>
      </c>
      <c r="W4" s="243">
        <v>112</v>
      </c>
      <c r="X4" s="246" t="s">
        <v>269</v>
      </c>
      <c r="Y4" s="247">
        <v>0</v>
      </c>
      <c r="Z4" s="248" t="str">
        <f>IFERROR(INDEX(Lookups!B$68:B$78,MATCH($X4,Lookups!$A$68:$A$78,0)),"")</f>
        <v>NONE</v>
      </c>
      <c r="AA4" s="243">
        <v>0</v>
      </c>
      <c r="AB4" s="243">
        <v>0</v>
      </c>
      <c r="AC4" s="243" t="s">
        <v>270</v>
      </c>
      <c r="AD4" s="243" t="s">
        <v>270</v>
      </c>
      <c r="AE4" s="243" t="str">
        <f>IFERROR(INDEX('Fixture Codes'!$B$7:$M$976,MATCH(AD4,'Fixture Codes'!$B$7:$B$976,0),5),"")</f>
        <v/>
      </c>
      <c r="AF4" s="243">
        <v>4</v>
      </c>
      <c r="AG4" s="243">
        <v>44</v>
      </c>
      <c r="AH4" s="246" t="s">
        <v>86</v>
      </c>
      <c r="AI4" s="243">
        <v>1</v>
      </c>
      <c r="AJ4" s="249" t="str">
        <f>IFERROR(INDEX(Lookups!B$68:B$81,MATCH($AH4,Lookups!$A$68:$A$81,0)),"")</f>
        <v>OCCUPANCY150</v>
      </c>
      <c r="AK4" s="243">
        <v>0.28000000000000003</v>
      </c>
      <c r="AL4" s="243">
        <v>0.14000000000000001</v>
      </c>
      <c r="AM4" s="243">
        <v>3009</v>
      </c>
      <c r="AN4" s="244">
        <v>1</v>
      </c>
      <c r="AO4" s="243">
        <v>1</v>
      </c>
      <c r="AP4" s="243"/>
      <c r="AQ4" s="243">
        <v>1.34</v>
      </c>
      <c r="AR4" s="243">
        <v>1.31</v>
      </c>
      <c r="AS4" s="243">
        <v>1</v>
      </c>
      <c r="AT4" s="243">
        <v>0.7</v>
      </c>
      <c r="AU4" s="243">
        <v>0.7</v>
      </c>
      <c r="AV4" s="243">
        <v>0.48</v>
      </c>
      <c r="AW4" s="243">
        <v>3.3999999999999998E-3</v>
      </c>
      <c r="AX4" s="243">
        <v>0.7</v>
      </c>
      <c r="AY4" s="243">
        <v>0.23</v>
      </c>
      <c r="AZ4" s="243">
        <v>0.75</v>
      </c>
      <c r="BA4" s="243">
        <v>1</v>
      </c>
      <c r="BB4" s="243">
        <v>0.7</v>
      </c>
      <c r="BC4" s="243">
        <v>0.23</v>
      </c>
      <c r="BD4" s="243">
        <v>0.75</v>
      </c>
      <c r="BE4" s="250">
        <f>CD4/AF4</f>
        <v>112.5</v>
      </c>
      <c r="BF4" s="250">
        <f>CE4/AI4</f>
        <v>100</v>
      </c>
      <c r="BG4" s="251">
        <v>0.27200000000000002</v>
      </c>
      <c r="BH4" s="251">
        <v>0.25513600000000003</v>
      </c>
      <c r="BI4" s="251">
        <v>0.24942400000000001</v>
      </c>
      <c r="BJ4" s="251">
        <v>0.13056000000000001</v>
      </c>
      <c r="BK4" s="252">
        <v>818.44800000000009</v>
      </c>
      <c r="BL4" s="251">
        <v>-0.02</v>
      </c>
      <c r="BM4" s="252">
        <v>-0.2</v>
      </c>
      <c r="BN4" s="251">
        <v>2.3112320000000006E-2</v>
      </c>
      <c r="BO4" s="251">
        <v>2.2594880000000001E-2</v>
      </c>
      <c r="BP4" s="251">
        <v>1.1827200000000001E-2</v>
      </c>
      <c r="BQ4" s="252">
        <v>148.28352000000001</v>
      </c>
      <c r="BR4" s="252">
        <v>-0.4</v>
      </c>
      <c r="BS4" s="252">
        <v>-3.8</v>
      </c>
      <c r="BT4" s="252">
        <v>0.27824832000000005</v>
      </c>
      <c r="BU4" s="252">
        <v>0.27201888000000002</v>
      </c>
      <c r="BV4" s="252">
        <v>0.14238720000000002</v>
      </c>
      <c r="BW4" s="252">
        <v>966.73152000000005</v>
      </c>
      <c r="BX4" s="252">
        <v>-0.4</v>
      </c>
      <c r="BY4" s="252">
        <v>-4.0999999999999996</v>
      </c>
      <c r="BZ4" s="253">
        <v>100</v>
      </c>
      <c r="CA4" s="243" t="s">
        <v>271</v>
      </c>
      <c r="CB4" s="250">
        <v>0.05</v>
      </c>
      <c r="CC4" s="253" t="s">
        <v>2822</v>
      </c>
      <c r="CD4" s="250">
        <v>450</v>
      </c>
      <c r="CE4" s="250">
        <v>100</v>
      </c>
      <c r="CF4" s="250">
        <v>360</v>
      </c>
      <c r="CG4" s="250">
        <v>51</v>
      </c>
      <c r="CH4" s="250">
        <v>411</v>
      </c>
      <c r="CI4" s="254"/>
      <c r="CJ4" s="248">
        <v>0</v>
      </c>
      <c r="CK4" s="255">
        <v>0</v>
      </c>
      <c r="CL4" s="255" t="s">
        <v>2712</v>
      </c>
      <c r="CM4" s="254"/>
      <c r="CN4" s="254"/>
      <c r="CO4" s="254"/>
      <c r="CP4" s="250"/>
      <c r="CQ4" s="244"/>
      <c r="CR4" s="244"/>
      <c r="CS4" s="244"/>
      <c r="CT4" s="244"/>
      <c r="CV4" s="244"/>
      <c r="CW4" s="244"/>
      <c r="CX4" s="244"/>
      <c r="CY4" s="244"/>
      <c r="DA4" s="244"/>
      <c r="DB4" s="244"/>
      <c r="DC4" s="244"/>
      <c r="DD4" s="244"/>
    </row>
    <row r="5" spans="1:108" s="164" customFormat="1" ht="13.5" customHeight="1">
      <c r="A5" s="150">
        <v>1</v>
      </c>
      <c r="B5" s="153" t="str">
        <f>IFERROR(INDEX(Lookups!$B$2:$B$38,MATCH('Project Info &amp; Summary'!$C$19,Lookups!$A$2:$A$38,0)),"")</f>
        <v/>
      </c>
      <c r="C5" s="153" t="str">
        <f>IFERROR(INDEX(Lookups!$C$2:$C$38,MATCH('Project Info &amp; Summary'!$C$19,Lookups!$A$2:$A$38,0)),"")</f>
        <v/>
      </c>
      <c r="D5" s="163"/>
      <c r="E5" s="160"/>
      <c r="F5" s="158"/>
      <c r="G5" s="158"/>
      <c r="H5" s="158"/>
      <c r="I5" s="158"/>
      <c r="J5" s="154" t="str">
        <f>IFERROR(INDEX(Lookups!$W$21:$W$26,MATCH(I5,Lookups!$V$21:$V$26,0)),"")</f>
        <v/>
      </c>
      <c r="K5" s="158"/>
      <c r="L5" s="162" t="str">
        <f>IFERROR(INDEX(Lookups!$Y$2:$Y$19,MATCH(_xlfn.CONCAT(I5,K5),Lookups!$X$2:$X$19,0)),"")</f>
        <v/>
      </c>
      <c r="M5" s="158"/>
      <c r="N5" s="153" t="str">
        <f>IFERROR(INDEX('Prescriptive Rebate Table'!$M$3:$M$20,MATCH(M5,'Prescriptive Rebate Table'!$L$3:$L$20,0)),"")</f>
        <v/>
      </c>
      <c r="O5" s="158"/>
      <c r="P5" s="154" t="str">
        <f>IFERROR(INDEX('Prescriptive Rebate Table'!$B$2:$H$64, MATCH(O5,'Prescriptive Rebate Table'!$C$2:$C$64,0),7),"")</f>
        <v/>
      </c>
      <c r="Q5" s="155" t="str">
        <f>IFERROR(INDEX('Prescriptive Rebate Table'!$B$2:$I$64, MATCH(O5,'Prescriptive Rebate Table'!$C$2:$C$64,0),8),"")</f>
        <v/>
      </c>
      <c r="R5" s="155" t="str">
        <f>IFERROR(INDEX('Prescriptive Rebate Table'!$B$2:$J$64, MATCH(O5,'Prescriptive Rebate Table'!$C$2:$C$64,0),9),"")</f>
        <v/>
      </c>
      <c r="S5" s="160"/>
      <c r="T5" s="145" t="str">
        <f>IFERROR(INDEX('Fixture Codes'!$M$8:$M$976,MATCH(S5,'Fixture Codes'!$B$8:$B$976,0)),"")</f>
        <v/>
      </c>
      <c r="U5" s="145" t="str">
        <f>IFERROR(INDEX('Fixture Codes'!$B$7:$M$976,MATCH(T5,'Fixture Codes'!$B$7:$B$976,0),5),"")</f>
        <v/>
      </c>
      <c r="V5" s="160"/>
      <c r="W5" s="145" t="str">
        <f>IFERROR(INDEX('Fixture Codes'!$L$8:$L$976,MATCH(T5,'Fixture Codes'!$B$8:$B$976,0)),"")</f>
        <v/>
      </c>
      <c r="X5" s="158"/>
      <c r="Y5" s="159"/>
      <c r="Z5" s="155" t="str">
        <f>IFERROR(INDEX(Lookups!B$68:B$87,MATCH($X5,Lookups!$A$68:$A$87,0)),"")</f>
        <v/>
      </c>
      <c r="AA5" s="150" t="str">
        <f>IFERROR(INDEX(Lookups!B$42:B$62,MATCH($X5,Lookups!$A$42:$A$62,0)),"")</f>
        <v/>
      </c>
      <c r="AB5" s="150" t="str">
        <f>IFERROR(INDEX(Lookups!C$42:C$62,MATCH($X5,Lookups!$A$42:$A$62,0)),"")</f>
        <v/>
      </c>
      <c r="AC5" s="161"/>
      <c r="AD5" s="160"/>
      <c r="AE5" s="150" t="str">
        <f>IFERROR(INDEX('Fixture Codes'!$B$7:$M$976,MATCH(AD5,'Fixture Codes'!$B$7:$B$976,0),5),"")</f>
        <v/>
      </c>
      <c r="AF5" s="160"/>
      <c r="AG5" s="145" t="str">
        <f>IFERROR(INDEX('Fixture Codes'!$L$8:$L$976,MATCH(AD5,'Fixture Codes'!$B$8:$B$976,0)),"")</f>
        <v/>
      </c>
      <c r="AH5" s="158"/>
      <c r="AI5" s="159"/>
      <c r="AJ5" s="150" t="str">
        <f>IFERROR(INDEX(Lookups!B$68:B$87,MATCH($AH5,Lookups!$A$68:$A$87,0)),"")</f>
        <v/>
      </c>
      <c r="AK5" s="150" t="str">
        <f>IFERROR(INDEX(Lookups!B$42:B$62,MATCH($AH5,Lookups!$A$42:$A$62,0)),"")</f>
        <v/>
      </c>
      <c r="AL5" s="150" t="str">
        <f>IFERROR(INDEX(Lookups!C$42:C$62,MATCH($AH5,Lookups!$A$42:$A$62,0)),"")</f>
        <v/>
      </c>
      <c r="AM5" s="150" t="str">
        <f>IFERROR(IF(M5="Exit Signs",8760,IF(INDEX('Fixture Codes'!$C$8:$C$976,MATCH(AD5,'Fixture Codes'!$B$8:$B$976,0))="Exit Sign",8760,INDEX(Lookups!$I$2:$I$428,MATCH(_xlfn.CONCAT(B5,H5),Lookups!$H$2:$H$428,0)))),"")</f>
        <v/>
      </c>
      <c r="AN5" s="153">
        <v>1</v>
      </c>
      <c r="AO5" s="150" t="str">
        <f>IF($D5="Interior",INDEX(Lookups!Q$2:Q$86,MATCH(_xlfn.CONCAT($C5,$L5),Lookups!$P$2:$P$86,0)),IF($D5="Exterior",1,""))</f>
        <v/>
      </c>
      <c r="AP5" s="150">
        <f>IF(OR(O5="LED A lamp",O5="LED BR/R lamp",O5= "LED MR lamp",O5= "LED PAR lamp - PAR20",O5= "LED PAR lamp - PAR30 &amp; PAR38"),0.2,IF(O5="LED Decorative or Globe lamp",0.1,1))</f>
        <v>1</v>
      </c>
      <c r="AQ5" s="150" t="str">
        <f>IF($D5="Interior",INDEX(Lookups!R$2:R$86,MATCH(_xlfn.CONCAT($C5,$L5),Lookups!$P$2:$P$86,0)),IF($D5="Exterior",1,""))</f>
        <v/>
      </c>
      <c r="AR5" s="150" t="str">
        <f>IF($D5="Interior",INDEX(Lookups!S$2:S$86,MATCH(_xlfn.CONCAT($C5,$L5),Lookups!$P$2:$P$86,0)),IF($D5="Exterior",1,""))</f>
        <v/>
      </c>
      <c r="AS5" s="150" t="str">
        <f>IF($D5="Interior",INDEX(Lookups!T$2:T$86,MATCH(_xlfn.CONCAT($C5,$L5),Lookups!$P$2:$P$86,0)),IF($D5="Exterior",1,""))</f>
        <v/>
      </c>
      <c r="AT5" s="150" t="str">
        <f>IFERROR(IF(M5="Exit Signs",1,IF(INDEX('Fixture Codes'!$C$8:$C$976,MATCH($AD5,'Fixture Codes'!$B$8:$B$976,0))="Exit Sign",1,INDEX(Lookups!J$2:J$428,MATCH(_xlfn.CONCAT($B5,$H5),Lookups!$H$2:$H$428,0)))),"")</f>
        <v/>
      </c>
      <c r="AU5" s="150" t="str">
        <f>IFERROR(IF(M5="Exit Signs",1,IF(INDEX('Fixture Codes'!$C$8:$C$976,MATCH($AD5,'Fixture Codes'!$B$8:$B$976,0))="Exit Sign",1,INDEX(Lookups!K$2:K$428,MATCH(_xlfn.CONCAT($B5,$H5),Lookups!$H$2:$H$428,0)))),"")</f>
        <v/>
      </c>
      <c r="AV5" s="150" t="str">
        <f>IFERROR(IF(M5="Exit Signs",1,IF(INDEX('Fixture Codes'!$C$8:$C$976,MATCH($AD5,'Fixture Codes'!$B$8:$B$976,0))="Exit Sign",1,INDEX(Lookups!L$2:L$428,MATCH(_xlfn.CONCAT($B5,$H5),Lookups!$H$2:$H$428,0)))),"")</f>
        <v/>
      </c>
      <c r="AW5" s="150" t="str">
        <f>IF(ISBLANK(K5),"",IF(K5="Gas",INDEX(Lookups!$AG$2:$AG$63,MATCH(O5,Lookups!$AD$2:$AD$63,0),0),0))</f>
        <v/>
      </c>
      <c r="AX5" s="150" t="str">
        <f>IF(ISBLANK(K5),"",IF(K5="Gas",INDEX(Lookups!$AF$2:$AF$63,MATCH(O5,Lookups!$AD$2:$AD$63,0),0),0))</f>
        <v/>
      </c>
      <c r="AY5" s="150" t="str">
        <f>IF(ISBLANK(K5),"",IF(K5="Gas",INDEX(Lookups!$AH$2:$AH$63,MATCH(O5,Lookups!$AD$2:$AD$63,0),0),0))</f>
        <v/>
      </c>
      <c r="AZ5" s="150" t="str">
        <f>IF(ISBLANK(K5),"",IF(K5="Gas",INDEX(Lookups!$AI$2:$AI$63,MATCH(O5,Lookups!$AD$2:$AD$63,0),0),0))</f>
        <v/>
      </c>
      <c r="BA5" s="150" t="str">
        <f t="shared" ref="BA5:BA68" si="0">(IF(ISBLANK(M5),"",IF(D5="Interior",IF(K5="Gas",IF(M5="Linear Fluorescents",0.224,1),0))))</f>
        <v/>
      </c>
      <c r="BB5" s="156" t="str">
        <f>IF(ISBLANK(AH5),"",IF(AH5="None",0,IF(K5="Gas",INDEX(Lookups!$AF$51:$AF$69,MATCH(AH5,Lookups!$AD$51:$AD$69,0),0),0)))</f>
        <v/>
      </c>
      <c r="BC5" s="156" t="str">
        <f>IF(ISBLANK(AH5),"",IF(AH5="None",0,IF(K5="Gas",INDEX(Lookups!$AH$51:$AH$69,MATCH(AH5,Lookups!$AD$51:$AD$69,0),0),0)))</f>
        <v/>
      </c>
      <c r="BD5" s="156" t="str">
        <f>IF(ISBLANK(AH5),"",IF(AH5="None",0,IF(K5="Gas",INDEX(Lookups!$AI$51:$AI$69,MATCH(AH5,Lookups!$AD$51:$AD$69,0),0),0)))</f>
        <v/>
      </c>
      <c r="BE5" s="157"/>
      <c r="BF5" s="157"/>
      <c r="BG5" s="147" t="str">
        <f>IFERROR(ROUND(-(AF5*AG5-V5*W5)/1000,6),"")</f>
        <v/>
      </c>
      <c r="BH5" s="147" t="str">
        <f>IFERROR(AP5*($W5*$V5-$AG5*$AF5)/1000*$AN5*AQ5*AT5,"")</f>
        <v/>
      </c>
      <c r="BI5" s="147" t="str">
        <f t="shared" ref="BI5:BI68" si="1">IFERROR(ROUND(($W5*$V5-$AG5*$AF5)/1000*$AN5*AR5*AU5,6),"")</f>
        <v/>
      </c>
      <c r="BJ5" s="147" t="str">
        <f t="shared" ref="BJ5:BJ68" si="2">IFERROR(ROUND(($W5*$V5-$AG5*$AF5)/1000*$AN5*AS5*AV5,6),"")</f>
        <v/>
      </c>
      <c r="BK5" s="148" t="str">
        <f>IFERROR(ROUND(AP5*(W5*V5-AG5*AF5)/1000*AN5*AM5*AO5,3),"")</f>
        <v/>
      </c>
      <c r="BL5" s="147" t="str">
        <f t="shared" ref="BL5:BL68" si="3">IF(BK5="","",IFERROR(IF(K5="Gas",(-BK5/AO5)*AX5*AW5*BA5*AY5/AZ5,0),0))</f>
        <v/>
      </c>
      <c r="BM5" s="148" t="str">
        <f>IF(BL5="","",BL5*10)</f>
        <v/>
      </c>
      <c r="BN5" s="147" t="str">
        <f t="shared" ref="BN5:BO20" si="4">IFERROR(IF($AA5=$AK5,"",ROUND(($AG5*$AF5)/1000*($AL5-$AB5)*$AN5*AQ5*AT5,6)),"")</f>
        <v/>
      </c>
      <c r="BO5" s="147" t="str">
        <f t="shared" si="4"/>
        <v/>
      </c>
      <c r="BP5" s="147" t="str">
        <f>IFERROR(IF($AA5=$AK5,"",ROUND(($AG5*$AF5)/1000*($AL5-$AB5)*$AN5*AS5*AV5,6)),"")</f>
        <v/>
      </c>
      <c r="BQ5" s="148" t="str">
        <f t="shared" ref="BQ5" si="5">IFERROR(IF(AA5=AK5,"",ROUND((AG5*AF5)/1000*AM5*(AK5-AA5)*AN5*AO5,3)),"")</f>
        <v/>
      </c>
      <c r="BR5" s="148" t="str">
        <f t="shared" ref="BR5" si="6">IF(BQ5="","",IF(K5="Gas",(-BQ5/AO5)*BB5*AW5*BC5/BD5,0))</f>
        <v/>
      </c>
      <c r="BS5" s="148" t="str">
        <f>IF(BR5="","",BR5*10)</f>
        <v/>
      </c>
      <c r="BT5" s="148" t="str">
        <f t="shared" ref="BT5:BT68" si="7">IF(SUM(BH5,BN5)=0,"",SUM(BH5,BN5))</f>
        <v/>
      </c>
      <c r="BU5" s="148" t="str">
        <f t="shared" ref="BU5:BU68" si="8">IF(SUM(BI5,BO5)=0,"",SUM(BI5,BO5))</f>
        <v/>
      </c>
      <c r="BV5" s="148" t="str">
        <f t="shared" ref="BV5:BV68" si="9">IF(SUM(BJ5,BP5)=0,"",SUM(BJ5,BP5))</f>
        <v/>
      </c>
      <c r="BW5" s="148" t="str">
        <f>IF(SUM(BK5,BQ5)=0,"",SUM(BK5,BQ5))</f>
        <v/>
      </c>
      <c r="BX5" s="148" t="str">
        <f t="shared" ref="BX5:BX68" si="10">IF(ISBLANK(D5),"",IF(SUM(BL5,BR5)=0,0,SUM(BL5,BR5)))</f>
        <v/>
      </c>
      <c r="BY5" s="148" t="str">
        <f t="shared" ref="BY5:BY68" si="11">IF(ISBLANK(D5),"",IF(SUM(BM5,BS5)=0,0,SUM(BM5,BS5)))</f>
        <v/>
      </c>
      <c r="BZ5" s="149" t="str">
        <f>IFERROR(INDEX('Prescriptive Rebate Table'!$B$2:$E$64,MATCH(O5,'Prescriptive Rebate Table'!$C$2:$C$64,0),3),"")</f>
        <v/>
      </c>
      <c r="CA5" s="145" t="str">
        <f>IFERROR(INDEX('Prescriptive Rebate Table'!$B$2:$E$64,MATCH(O5,'Prescriptive Rebate Table'!$C$2:$C$64,0),4),"")</f>
        <v/>
      </c>
      <c r="CB5" s="149" t="str">
        <f>IFERROR(IF(OR(AI5="",AH5=X5),"",CK5),"")</f>
        <v/>
      </c>
      <c r="CC5" s="145" t="str">
        <f>IF(CB5="","","/kWh")</f>
        <v/>
      </c>
      <c r="CD5" s="149" t="str">
        <f t="shared" ref="CD5:CD68" si="12">IFERROR(IF(AF5="","",AF5*BE5),"")</f>
        <v/>
      </c>
      <c r="CE5" s="149" t="str">
        <f t="shared" ref="CE5:CE68" si="13">IFERROR(IF(AI5="","",AI5*BF5),"")</f>
        <v/>
      </c>
      <c r="CF5" s="149" t="str">
        <f>IF(BK5&lt;=0,0,IFERROR(IF(OR(ISBLANK(AC5),ISBLANK(CD5))=TRUE,"",IF(CA5="Per Foot",INDEX('Fixture Codes'!$I$8:$I$976,MATCH(AD5,'Fixture Codes'!$B$8:$B$976,0))/12*AF5*BZ5,IF(CA5="Lamp",INDEX('Fixture Codes'!$J$8:$J$976,MATCH(AD5,'Fixture Codes'!$B$8:$B$976,0))*AF5*BZ5,IF(CA5="Fixture",AF5*BZ5,IF(CA5="kWh",BK5*BZ5,0))))),""))</f>
        <v/>
      </c>
      <c r="CG5" s="149" t="str">
        <f>IF(BQ5&lt;=0,0,IFERROR(IF(OR(ISBLANK(AC5),ISBLANK(CE5))=TRUE,"",IF(CC5="Control",AI5*CB5,IF(CC5="/kWh",CB5*BQ5,IF(CC5="Fixture",AF5*CB5,IF(CC5="Per Watt",AG5*AF5*CB5,0))))),""))</f>
        <v/>
      </c>
      <c r="CH5" s="149" t="str">
        <f>IF(SUM(CF5,CG5)=0,"",SUM(CF5,CG5))</f>
        <v/>
      </c>
      <c r="CI5" s="152"/>
      <c r="CJ5" s="146" t="str">
        <f>IF(OR(ISBLANK(AI5),AI5=Lookups!$A$42,AH5=X5),"",IF(ISBLANK(AF5),"",IF(AI5="",AF5,AI5)))</f>
        <v/>
      </c>
      <c r="CK5" s="241">
        <f>IFERROR(IF(CL5="Yes",'Prescriptive Rebate Table'!$D$69,IF(ISBLANK(AI5),0,IF(AND(AH5=Lookups!$A$62,BK5&gt;0),'Prescriptive Rebate Table'!$D$68,IF(AND(BK5&gt;0,CJ5=AF5),'Prescriptive Rebate Table'!$D$67,IF(AND(BK5&gt;0,CJ5&lt;&gt;AF5),'Prescriptive Rebate Table'!D64,0))))),"")</f>
        <v>0</v>
      </c>
      <c r="CL5" s="240" t="s">
        <v>2712</v>
      </c>
      <c r="CM5" s="152"/>
      <c r="CN5" s="152"/>
      <c r="CO5" s="152"/>
      <c r="CP5" s="146">
        <f t="shared" ref="CP5:CP68" si="14">IF(D5="Interior",ROUNDUP($AF5/2,0),0)</f>
        <v>0</v>
      </c>
      <c r="CQ5" s="153">
        <f>IF(D5="Interior",ROUND(($AG5*AF5)/1000*$AM5*(Lookups!$B$54-$AA5)*$AN5*$AO5,3),0)</f>
        <v>0</v>
      </c>
      <c r="CR5" s="153">
        <f>IFERROR(IF(D5="Interior",ROUND(($AG5*$AF5)/1000*(Lookups!$C$54-$AB5)*$AN5*AQ5*AT5,6),0),"")</f>
        <v>0</v>
      </c>
      <c r="CS5" s="165">
        <f>$CP5*30</f>
        <v>0</v>
      </c>
      <c r="CT5" s="165">
        <f>$AF5*36</f>
        <v>0</v>
      </c>
      <c r="CV5" s="153">
        <f>IF(D5="Interior",ROUND(($AG5*AF5)/1000*$AM5*(Lookups!$B$43-$AA5)*$AN5*$AO5,3),0)</f>
        <v>0</v>
      </c>
      <c r="CW5" s="153">
        <f>IFERROR(IF(D5="Interior",ROUND(($AG5*$AF5)/1000*(Lookups!$C$43-$AB5)*$AN5*AQ5*AT5,6),0),"")</f>
        <v>0</v>
      </c>
      <c r="CX5" s="165">
        <f t="shared" ref="CX5:CX36" si="15">IFERROR(IF(D5="Interior",IF(AF5*AG5&gt;200,AF5*AG5*0.6,AF5*50),0),0)</f>
        <v>0</v>
      </c>
      <c r="CY5" s="165">
        <f t="shared" ref="CY5:CY36" si="16">IF(D5="Interior",AF5*49,0)</f>
        <v>0</v>
      </c>
      <c r="DA5" s="153">
        <f>IF(D5="Interior",ROUND(($AG5*AF5*(1-0.15))/1000*$AM5*(Lookups!$B$43+0.097-$AA5)*$AN5*$AO5+((W5*V5)/1000*AN5*AM5*AO5*0.15),3),0)</f>
        <v>0</v>
      </c>
      <c r="DB5" s="153">
        <f>IFERROR(IF(D5="Interior",ROUND(($AG5*$AF5)/1000*(Lookups!$C$43+0.097-$AB5)*$AN5*AQ5*AT5+(($AG5*$AF5)/1000*$AN5*AQ5*AT5*0.15),6),0),"")</f>
        <v>0</v>
      </c>
      <c r="DC5" s="165">
        <f t="shared" ref="DC5:DC36" si="17">IFERROR(IF(D5="Interior",IF(AF5*AG5&gt;200,AF5*AG5*0.6,AF5*50),0),0)</f>
        <v>0</v>
      </c>
      <c r="DD5" s="165">
        <f t="shared" ref="DD5:DD36" si="18">IF(D5="Interior",AF5*49,0)</f>
        <v>0</v>
      </c>
    </row>
    <row r="6" spans="1:108" s="164" customFormat="1">
      <c r="A6" s="150">
        <v>2</v>
      </c>
      <c r="B6" s="153" t="str">
        <f>IFERROR(INDEX(Lookups!$B$2:$B$38,MATCH('Project Info &amp; Summary'!$C$19,Lookups!$A$2:$A$38,0)),"")</f>
        <v/>
      </c>
      <c r="C6" s="153" t="str">
        <f>IFERROR(INDEX(Lookups!$C$2:$C$38,MATCH('Project Info &amp; Summary'!$C$19,Lookups!$A$2:$A$38,0)),"")</f>
        <v/>
      </c>
      <c r="D6" s="163"/>
      <c r="E6" s="160"/>
      <c r="F6" s="158"/>
      <c r="G6" s="158"/>
      <c r="H6" s="158"/>
      <c r="I6" s="158"/>
      <c r="J6" s="154" t="str">
        <f>IFERROR(INDEX(Lookups!$W$21:$W$26,MATCH(I6,Lookups!$V$21:$V$26,0)),"")</f>
        <v/>
      </c>
      <c r="K6" s="158"/>
      <c r="L6" s="162" t="str">
        <f>IFERROR(INDEX(Lookups!$Y$2:$Y$19,MATCH(_xlfn.CONCAT(I6,K6),Lookups!$X$2:$X$19,0)),"")</f>
        <v/>
      </c>
      <c r="M6" s="158"/>
      <c r="N6" s="153" t="str">
        <f>IFERROR(INDEX('Prescriptive Rebate Table'!$M$3:$M$20,MATCH(M6,'Prescriptive Rebate Table'!$L$3:$L$20,0)),"")</f>
        <v/>
      </c>
      <c r="O6" s="158"/>
      <c r="P6" s="154" t="str">
        <f>IFERROR(INDEX('Prescriptive Rebate Table'!$B$2:$H$64, MATCH(O6,'Prescriptive Rebate Table'!$C$2:$C$64,0),7),"")</f>
        <v/>
      </c>
      <c r="Q6" s="155" t="str">
        <f>IFERROR(INDEX('Prescriptive Rebate Table'!$B$2:$I$64, MATCH(O6,'Prescriptive Rebate Table'!$C$2:$C$64,0),8),"")</f>
        <v/>
      </c>
      <c r="R6" s="155" t="str">
        <f>IFERROR(INDEX('Prescriptive Rebate Table'!$B$2:$J$64, MATCH(O6,'Prescriptive Rebate Table'!$C$2:$C$64,0),9),"")</f>
        <v/>
      </c>
      <c r="S6" s="160"/>
      <c r="T6" s="145" t="str">
        <f>IFERROR(INDEX('Fixture Codes'!$M$8:$M$976,MATCH(S6,'Fixture Codes'!$B$8:$B$976,0)),"")</f>
        <v/>
      </c>
      <c r="U6" s="145" t="str">
        <f>IFERROR(INDEX('Fixture Codes'!$B$7:$M$976,MATCH(T6,'Fixture Codes'!$B$7:$B$976,0),5),"")</f>
        <v/>
      </c>
      <c r="V6" s="160"/>
      <c r="W6" s="145" t="str">
        <f>IFERROR(INDEX('Fixture Codes'!$L$8:$L$976,MATCH(T6,'Fixture Codes'!$B$8:$B$976,0)),"")</f>
        <v/>
      </c>
      <c r="X6" s="158"/>
      <c r="Y6" s="159"/>
      <c r="Z6" s="155" t="str">
        <f>IFERROR(INDEX(Lookups!B$68:B$87,MATCH($X6,Lookups!$A$68:$A$87,0)),"")</f>
        <v/>
      </c>
      <c r="AA6" s="150" t="str">
        <f>IFERROR(INDEX(Lookups!B$42:B$62,MATCH($X6,Lookups!$A$42:$A$62,0)),"")</f>
        <v/>
      </c>
      <c r="AB6" s="150" t="str">
        <f>IFERROR(INDEX(Lookups!C$42:C$62,MATCH($X6,Lookups!$A$42:$A$62,0)),"")</f>
        <v/>
      </c>
      <c r="AC6" s="161"/>
      <c r="AD6" s="160"/>
      <c r="AE6" s="150" t="str">
        <f>IFERROR(INDEX('Fixture Codes'!$B$7:$M$976,MATCH(AD6,'Fixture Codes'!$B$7:$B$976,0),5),"")</f>
        <v/>
      </c>
      <c r="AF6" s="160"/>
      <c r="AG6" s="145" t="str">
        <f>IFERROR(INDEX('Fixture Codes'!$L$8:$L$976,MATCH(AD6,'Fixture Codes'!$B$8:$B$976,0)),"")</f>
        <v/>
      </c>
      <c r="AH6" s="158"/>
      <c r="AI6" s="159"/>
      <c r="AJ6" s="150" t="str">
        <f>IFERROR(INDEX(Lookups!B$68:B$87,MATCH($AH6,Lookups!$A$68:$A$87,0)),"")</f>
        <v/>
      </c>
      <c r="AK6" s="150" t="str">
        <f>IFERROR(INDEX(Lookups!B$42:B$62,MATCH($AH6,Lookups!$A$42:$A$62,0)),"")</f>
        <v/>
      </c>
      <c r="AL6" s="150" t="str">
        <f>IFERROR(INDEX(Lookups!C$42:C$62,MATCH($AH6,Lookups!$A$42:$A$62,0)),"")</f>
        <v/>
      </c>
      <c r="AM6" s="150" t="str">
        <f>IFERROR(IF(M6="Exit Signs",8760,IF(INDEX('Fixture Codes'!$C$8:$C$976,MATCH(AD6,'Fixture Codes'!$B$8:$B$976,0))="Exit Sign",8760,INDEX(Lookups!$I$2:$I$428,MATCH(_xlfn.CONCAT(B6,H6),Lookups!$H$2:$H$428,0)))),"")</f>
        <v/>
      </c>
      <c r="AN6" s="153">
        <v>1</v>
      </c>
      <c r="AO6" s="150" t="str">
        <f>IF($D6="Interior",INDEX(Lookups!Q$2:Q$86,MATCH(_xlfn.CONCAT($C6,$L6),Lookups!$P$2:$P$86,0)),IF($D6="Exterior",1,""))</f>
        <v/>
      </c>
      <c r="AP6" s="150">
        <f t="shared" ref="AP6:AP69" si="19">IF(OR(O6="LED A lamp",O6="LED BR/R lamp",O6= "LED MR lamp",O6= "LED PAR lamp - PAR20",O6= "LED PAR lamp - PAR30 &amp; PAR38"),0.2,IF(O6="LED Decorative or Globe lamp",0.1,1))</f>
        <v>1</v>
      </c>
      <c r="AQ6" s="150" t="str">
        <f>IF($D6="Interior",INDEX(Lookups!R$2:R$86,MATCH(_xlfn.CONCAT($C6,$L6),Lookups!$P$2:$P$86,0)),IF($D6="Exterior",1,""))</f>
        <v/>
      </c>
      <c r="AR6" s="150" t="str">
        <f>IF($D6="Interior",INDEX(Lookups!S$2:S$86,MATCH(_xlfn.CONCAT($C6,$L6),Lookups!$P$2:$P$86,0)),IF($D6="Exterior",1,""))</f>
        <v/>
      </c>
      <c r="AS6" s="150" t="str">
        <f>IF($D6="Interior",INDEX(Lookups!T$2:T$86,MATCH(_xlfn.CONCAT($C6,$L6),Lookups!$P$2:$P$86,0)),IF($D6="Exterior",1,""))</f>
        <v/>
      </c>
      <c r="AT6" s="150" t="str">
        <f>IFERROR(IF(M6="Exit Signs",1,IF(INDEX('Fixture Codes'!$C$8:$C$976,MATCH($AD6,'Fixture Codes'!$B$8:$B$976,0))="Exit Sign",1,INDEX(Lookups!J$2:J$428,MATCH(_xlfn.CONCAT($B6,$H6),Lookups!$H$2:$H$428,0)))),"")</f>
        <v/>
      </c>
      <c r="AU6" s="150" t="str">
        <f>IFERROR(IF(M6="Exit Signs",1,IF(INDEX('Fixture Codes'!$C$8:$C$976,MATCH($AD6,'Fixture Codes'!$B$8:$B$976,0))="Exit Sign",1,INDEX(Lookups!K$2:K$428,MATCH(_xlfn.CONCAT($B6,$H6),Lookups!$H$2:$H$428,0)))),"")</f>
        <v/>
      </c>
      <c r="AV6" s="150" t="str">
        <f>IFERROR(IF(M6="Exit Signs",1,IF(INDEX('Fixture Codes'!$C$8:$C$976,MATCH($AD6,'Fixture Codes'!$B$8:$B$976,0))="Exit Sign",1,INDEX(Lookups!L$2:L$428,MATCH(_xlfn.CONCAT($B6,$H6),Lookups!$H$2:$H$428,0)))),"")</f>
        <v/>
      </c>
      <c r="AW6" s="150" t="str">
        <f>IF(ISBLANK(K6),"",IF(K6="Gas",INDEX(Lookups!$AG$2:$AG$63,MATCH(O6,Lookups!$AD$2:$AD$63,0),0),0))</f>
        <v/>
      </c>
      <c r="AX6" s="150" t="str">
        <f>IF(ISBLANK(K6),"",IF(K6="Gas",INDEX(Lookups!$AF$2:$AF$63,MATCH(O6,Lookups!$AD$2:$AD$63,0),0),0))</f>
        <v/>
      </c>
      <c r="AY6" s="150" t="str">
        <f>IF(ISBLANK(K6),"",IF(K6="Gas",INDEX(Lookups!$AH$2:$AH$63,MATCH(O6,Lookups!$AD$2:$AD$63,0),0),0))</f>
        <v/>
      </c>
      <c r="AZ6" s="150" t="str">
        <f>IF(ISBLANK(K6),"",IF(K6="Gas",INDEX(Lookups!$AI$2:$AI$63,MATCH(O6,Lookups!$AD$2:$AD$63,0),0),0))</f>
        <v/>
      </c>
      <c r="BA6" s="150" t="str">
        <f t="shared" si="0"/>
        <v/>
      </c>
      <c r="BB6" s="156" t="str">
        <f>IF(ISBLANK(AH6),"",IF(AH6="None",0,IF(K6="Gas",INDEX(Lookups!$AF$51:$AF$69,MATCH(AH6,Lookups!$AD$51:$AD$69,0),0),0)))</f>
        <v/>
      </c>
      <c r="BC6" s="156" t="str">
        <f>IF(ISBLANK(AH6),"",IF(AH6="None",0,IF(K6="Gas",INDEX(Lookups!$AH$51:$AH$69,MATCH(AH6,Lookups!$AD$51:$AD$69,0),0),0)))</f>
        <v/>
      </c>
      <c r="BD6" s="156" t="str">
        <f>IF(ISBLANK(AH6),"",IF(AH6="None",0,IF(K6="Gas",INDEX(Lookups!$AI$51:$AI$69,MATCH(AH6,Lookups!$AD$51:$AD$69,0),0),0)))</f>
        <v/>
      </c>
      <c r="BE6" s="157"/>
      <c r="BF6" s="157"/>
      <c r="BG6" s="147" t="str">
        <f t="shared" ref="BG6:BG69" si="20">IFERROR(-(AF6*AG6-V6*W6)/1000,"")</f>
        <v/>
      </c>
      <c r="BH6" s="147" t="str">
        <f t="shared" ref="BH6:BH69" si="21">IFERROR(AP6*($W6*$V6-$AG6*$AF6)/1000*$AN6*AQ6*AT6,"")</f>
        <v/>
      </c>
      <c r="BI6" s="147" t="str">
        <f t="shared" si="1"/>
        <v/>
      </c>
      <c r="BJ6" s="147" t="str">
        <f t="shared" si="2"/>
        <v/>
      </c>
      <c r="BK6" s="148" t="str">
        <f t="shared" ref="BK6:BK69" si="22">IFERROR(ROUND(AP6*(W6*V6-AG6*AF6)/1000*AN6*AM6*AO6,3),"")</f>
        <v/>
      </c>
      <c r="BL6" s="147" t="str">
        <f t="shared" si="3"/>
        <v/>
      </c>
      <c r="BM6" s="148" t="str">
        <f t="shared" ref="BM6:BM69" si="23">IF(BL6="","",BL6*10)</f>
        <v/>
      </c>
      <c r="BN6" s="147" t="str">
        <f t="shared" ref="BN6:BO69" si="24">IFERROR(IF($AA6=$AK6,"",ROUND(($AG6*$AF6)/1000*($AL6-$AB6)*$AN6*AQ6*AT6,6)),"")</f>
        <v/>
      </c>
      <c r="BO6" s="147" t="str">
        <f t="shared" si="4"/>
        <v/>
      </c>
      <c r="BP6" s="147" t="str">
        <f t="shared" ref="BP6:BP69" si="25">IFERROR(IF($AA6=$AK6,"",ROUND(($AG6*$AF6)/1000*($AL6-$AB6)*$AN6*AS6*AV6,6)),"")</f>
        <v/>
      </c>
      <c r="BQ6" s="148" t="str">
        <f t="shared" ref="BQ6:BQ69" si="26">IFERROR(IF(AA6=AK6,"",ROUND((AG6*AF6)/1000*AM6*(AK6-AA6)*AN6*AO6,3)),"")</f>
        <v/>
      </c>
      <c r="BR6" s="148" t="str">
        <f t="shared" ref="BR6:BR69" si="27">IF(BQ6="","",IF(K6="Gas",(-BQ6/AO6)*BB6*AW6*BC6/BD6,0))</f>
        <v/>
      </c>
      <c r="BS6" s="148" t="str">
        <f t="shared" ref="BS6:BS69" si="28">IF(BR6="","",BR6*10)</f>
        <v/>
      </c>
      <c r="BT6" s="148" t="str">
        <f t="shared" si="7"/>
        <v/>
      </c>
      <c r="BU6" s="148" t="str">
        <f t="shared" si="8"/>
        <v/>
      </c>
      <c r="BV6" s="148" t="str">
        <f t="shared" si="9"/>
        <v/>
      </c>
      <c r="BW6" s="148" t="str">
        <f t="shared" ref="BW6:BW68" si="29">IF(SUM(BK6,BQ6)=0,"",SUM(BK6,BQ6))</f>
        <v/>
      </c>
      <c r="BX6" s="148" t="str">
        <f t="shared" si="10"/>
        <v/>
      </c>
      <c r="BY6" s="148" t="str">
        <f t="shared" si="11"/>
        <v/>
      </c>
      <c r="BZ6" s="149" t="str">
        <f>IFERROR(INDEX('Prescriptive Rebate Table'!$B$2:$E$64,MATCH(O6,'Prescriptive Rebate Table'!$C$2:$C$64,0),3),"")</f>
        <v/>
      </c>
      <c r="CA6" s="145" t="str">
        <f>IFERROR(INDEX('Prescriptive Rebate Table'!$B$2:$E$64,MATCH(O6,'Prescriptive Rebate Table'!$C$2:$C$64,0),4),"")</f>
        <v/>
      </c>
      <c r="CB6" s="149" t="str">
        <f t="shared" ref="CB6:CB69" si="30">IFERROR(IF(OR(AI6="",AH6=X6),"",CK6),"")</f>
        <v/>
      </c>
      <c r="CC6" s="145" t="str">
        <f t="shared" ref="CC6:CC69" si="31">IF(CB6="","","/kWh")</f>
        <v/>
      </c>
      <c r="CD6" s="149" t="str">
        <f t="shared" si="12"/>
        <v/>
      </c>
      <c r="CE6" s="149" t="str">
        <f t="shared" si="13"/>
        <v/>
      </c>
      <c r="CF6" s="149" t="str">
        <f>IF(BK6&lt;=0,0,IFERROR(IF(OR(ISBLANK(AC6),ISBLANK(CD6))=TRUE,"",IF(CA6="Per Foot",INDEX('Fixture Codes'!$I$8:$I$976,MATCH(AD6,'Fixture Codes'!$B$8:$B$976,0))/12*AF6*BZ6,IF(CA6="Lamp",INDEX('Fixture Codes'!$J$8:$J$976,MATCH(AD6,'Fixture Codes'!$B$8:$B$976,0))*AF6*BZ6,IF(CA6="Fixture",AF6*BZ6,IF(CA6="kWh",BK6*BZ6,0))))),""))</f>
        <v/>
      </c>
      <c r="CG6" s="149" t="str">
        <f t="shared" ref="CG6:CG69" si="32">IF(BQ6&lt;=0,0,IFERROR(IF(OR(ISBLANK(AC6),ISBLANK(CE6))=TRUE,"",IF(CC6="Control",AI6*CB6,IF(CC6="/kWh",CB6*BQ6,IF(CC6="Fixture",AF6*CB6,IF(CC6="Per Watt",AG6*AF6*CB6,0))))),""))</f>
        <v/>
      </c>
      <c r="CH6" s="149" t="str">
        <f t="shared" ref="CH6:CH69" si="33">IF(SUM(CF6,CG6)=0,"",SUM(CF6,CG6))</f>
        <v/>
      </c>
      <c r="CI6" s="152"/>
      <c r="CJ6" s="146" t="str">
        <f>IF(OR(ISBLANK(AI6),AI6=Lookups!$A$42,AH6=X6),"",IF(ISBLANK(AF6),"",IF(AI6="",AF6,AI6)))</f>
        <v/>
      </c>
      <c r="CK6" s="241">
        <f>IFERROR(IF(CL6="Yes",'Prescriptive Rebate Table'!$D$69,IF(ISBLANK(AI6),0,IF(AND(AH6=Lookups!$A$62,BK6&gt;0),'Prescriptive Rebate Table'!$D$68,IF(AND(BK6&gt;0,CJ6=AF6),'Prescriptive Rebate Table'!$D$67,IF(AND(BK6&gt;0,CJ6&lt;&gt;AF6),'Prescriptive Rebate Table'!D65,0))))),"")</f>
        <v>0</v>
      </c>
      <c r="CL6" s="240" t="s">
        <v>2712</v>
      </c>
      <c r="CM6" s="152"/>
      <c r="CN6" s="152"/>
      <c r="CO6" s="152"/>
      <c r="CP6" s="146">
        <f t="shared" si="14"/>
        <v>0</v>
      </c>
      <c r="CQ6" s="153">
        <f>IF(D6="Interior",ROUND(($AG6*AF6)/1000*$AM6*(Lookups!$B$54-$AA6)*$AN6*$AO6,3),0)</f>
        <v>0</v>
      </c>
      <c r="CR6" s="153">
        <f>IFERROR(IF(D6="Interior",ROUND(($AG6*$AF6)/1000*(Lookups!$C$54-$AB6)*$AN6*AQ6*AT6,6),0),"")</f>
        <v>0</v>
      </c>
      <c r="CS6" s="165">
        <f t="shared" ref="CS6:CS69" si="34">$CP6*30</f>
        <v>0</v>
      </c>
      <c r="CT6" s="165">
        <f t="shared" ref="CT6:CT69" si="35">$CP6*36</f>
        <v>0</v>
      </c>
      <c r="CV6" s="153">
        <f>IF(D6="Interior",ROUND(($AG6*AF6)/1000*$AM6*(Lookups!$B$43-$AA6)*$AN6*$AO6,3),0)</f>
        <v>0</v>
      </c>
      <c r="CW6" s="153">
        <f>IFERROR(IF(D6="Interior",ROUND(($AG6*$AF6)/1000*(Lookups!$C$43-$AB6)*$AN6*AQ6*AT6,6),0),"")</f>
        <v>0</v>
      </c>
      <c r="CX6" s="165">
        <f t="shared" si="15"/>
        <v>0</v>
      </c>
      <c r="CY6" s="165">
        <f t="shared" si="16"/>
        <v>0</v>
      </c>
      <c r="DA6" s="153">
        <f>IF(D6="Interior",ROUND(($AG6*AF6*(1-0.15))/1000*$AM6*(Lookups!$B$43+0.097-$AA6)*$AN6*$AO6+((W6*V6)/1000*AN6*AM6*AO6*0.15),3),0)</f>
        <v>0</v>
      </c>
      <c r="DB6" s="153">
        <f>IFERROR(IF(D6="Interior",ROUND(($AG6*$AF6)/1000*(Lookups!$C$43+0.097-$AB6)*$AN6*AQ6*AT6+(($AG6*$AF6)/1000*$AN6*AQ6*AT6*0.15),6),0),"")</f>
        <v>0</v>
      </c>
      <c r="DC6" s="165">
        <f t="shared" si="17"/>
        <v>0</v>
      </c>
      <c r="DD6" s="165">
        <f t="shared" si="18"/>
        <v>0</v>
      </c>
    </row>
    <row r="7" spans="1:108" s="164" customFormat="1">
      <c r="A7" s="150">
        <v>3</v>
      </c>
      <c r="B7" s="153" t="str">
        <f>IFERROR(INDEX(Lookups!$B$2:$B$38,MATCH('Project Info &amp; Summary'!$C$19,Lookups!$A$2:$A$38,0)),"")</f>
        <v/>
      </c>
      <c r="C7" s="153" t="str">
        <f>IFERROR(INDEX(Lookups!$C$2:$C$38,MATCH('Project Info &amp; Summary'!$C$19,Lookups!$A$2:$A$38,0)),"")</f>
        <v/>
      </c>
      <c r="D7" s="163"/>
      <c r="E7" s="160"/>
      <c r="F7" s="158"/>
      <c r="G7" s="158"/>
      <c r="H7" s="158"/>
      <c r="I7" s="158"/>
      <c r="J7" s="154" t="str">
        <f>IFERROR(INDEX(Lookups!$W$21:$W$26,MATCH(I7,Lookups!$V$21:$V$26,0)),"")</f>
        <v/>
      </c>
      <c r="K7" s="158"/>
      <c r="L7" s="162" t="str">
        <f>IFERROR(INDEX(Lookups!$Y$2:$Y$19,MATCH(_xlfn.CONCAT(I7,K7),Lookups!$X$2:$X$19,0)),"")</f>
        <v/>
      </c>
      <c r="M7" s="158"/>
      <c r="N7" s="153" t="str">
        <f>IFERROR(INDEX('Prescriptive Rebate Table'!$M$3:$M$20,MATCH(M7,'Prescriptive Rebate Table'!$L$3:$L$20,0)),"")</f>
        <v/>
      </c>
      <c r="O7" s="158"/>
      <c r="P7" s="154" t="str">
        <f>IFERROR(INDEX('Prescriptive Rebate Table'!$B$2:$H$64, MATCH(O7,'Prescriptive Rebate Table'!$C$2:$C$64,0),7),"")</f>
        <v/>
      </c>
      <c r="Q7" s="155" t="str">
        <f>IFERROR(INDEX('Prescriptive Rebate Table'!$B$2:$I$64, MATCH(O7,'Prescriptive Rebate Table'!$C$2:$C$64,0),8),"")</f>
        <v/>
      </c>
      <c r="R7" s="155" t="str">
        <f>IFERROR(INDEX('Prescriptive Rebate Table'!$B$2:$J$64, MATCH(O7,'Prescriptive Rebate Table'!$C$2:$C$64,0),9),"")</f>
        <v/>
      </c>
      <c r="S7" s="160"/>
      <c r="T7" s="145" t="str">
        <f>IFERROR(INDEX('Fixture Codes'!$M$8:$M$976,MATCH(S7,'Fixture Codes'!$B$8:$B$976,0)),"")</f>
        <v/>
      </c>
      <c r="U7" s="145" t="str">
        <f>IFERROR(INDEX('Fixture Codes'!$B$7:$M$976,MATCH(T7,'Fixture Codes'!$B$7:$B$976,0),5),"")</f>
        <v/>
      </c>
      <c r="V7" s="160"/>
      <c r="W7" s="145" t="str">
        <f>IFERROR(INDEX('Fixture Codes'!$L$8:$L$976,MATCH(T7,'Fixture Codes'!$B$8:$B$976,0)),"")</f>
        <v/>
      </c>
      <c r="X7" s="158"/>
      <c r="Y7" s="159"/>
      <c r="Z7" s="155" t="str">
        <f>IFERROR(INDEX(Lookups!B$68:B$87,MATCH($X7,Lookups!$A$68:$A$87,0)),"")</f>
        <v/>
      </c>
      <c r="AA7" s="150" t="str">
        <f>IFERROR(INDEX(Lookups!B$42:B$62,MATCH($X7,Lookups!$A$42:$A$62,0)),"")</f>
        <v/>
      </c>
      <c r="AB7" s="150" t="str">
        <f>IFERROR(INDEX(Lookups!C$42:C$62,MATCH($X7,Lookups!$A$42:$A$62,0)),"")</f>
        <v/>
      </c>
      <c r="AC7" s="161"/>
      <c r="AD7" s="160"/>
      <c r="AE7" s="150" t="str">
        <f>IFERROR(INDEX('Fixture Codes'!$B$7:$M$976,MATCH(AD7,'Fixture Codes'!$B$7:$B$976,0),5),"")</f>
        <v/>
      </c>
      <c r="AF7" s="160"/>
      <c r="AG7" s="145" t="str">
        <f>IFERROR(INDEX('Fixture Codes'!$L$8:$L$976,MATCH(AD7,'Fixture Codes'!$B$8:$B$976,0)),"")</f>
        <v/>
      </c>
      <c r="AH7" s="158"/>
      <c r="AI7" s="159"/>
      <c r="AJ7" s="150" t="str">
        <f>IFERROR(INDEX(Lookups!B$68:B$87,MATCH($AH7,Lookups!$A$68:$A$87,0)),"")</f>
        <v/>
      </c>
      <c r="AK7" s="150" t="str">
        <f>IFERROR(INDEX(Lookups!B$42:B$62,MATCH($AH7,Lookups!$A$42:$A$62,0)),"")</f>
        <v/>
      </c>
      <c r="AL7" s="150" t="str">
        <f>IFERROR(INDEX(Lookups!C$42:C$62,MATCH($AH7,Lookups!$A$42:$A$62,0)),"")</f>
        <v/>
      </c>
      <c r="AM7" s="150" t="str">
        <f>IFERROR(IF(M7="Exit Signs",8760,IF(INDEX('Fixture Codes'!$C$8:$C$976,MATCH(AD7,'Fixture Codes'!$B$8:$B$976,0))="Exit Sign",8760,INDEX(Lookups!$I$2:$I$428,MATCH(_xlfn.CONCAT(B7,H7),Lookups!$H$2:$H$428,0)))),"")</f>
        <v/>
      </c>
      <c r="AN7" s="153">
        <v>1</v>
      </c>
      <c r="AO7" s="150" t="str">
        <f>IF($D7="Interior",INDEX(Lookups!Q$2:Q$86,MATCH(_xlfn.CONCAT($C7,$L7),Lookups!$P$2:$P$86,0)),IF($D7="Exterior",1,""))</f>
        <v/>
      </c>
      <c r="AP7" s="150">
        <f t="shared" si="19"/>
        <v>1</v>
      </c>
      <c r="AQ7" s="150" t="str">
        <f>IF($D7="Interior",INDEX(Lookups!R$2:R$86,MATCH(_xlfn.CONCAT($C7,$L7),Lookups!$P$2:$P$86,0)),IF($D7="Exterior",1,""))</f>
        <v/>
      </c>
      <c r="AR7" s="150" t="str">
        <f>IF($D7="Interior",INDEX(Lookups!S$2:S$86,MATCH(_xlfn.CONCAT($C7,$L7),Lookups!$P$2:$P$86,0)),IF($D7="Exterior",1,""))</f>
        <v/>
      </c>
      <c r="AS7" s="150" t="str">
        <f>IF($D7="Interior",INDEX(Lookups!T$2:T$86,MATCH(_xlfn.CONCAT($C7,$L7),Lookups!$P$2:$P$86,0)),IF($D7="Exterior",1,""))</f>
        <v/>
      </c>
      <c r="AT7" s="150" t="str">
        <f>IFERROR(IF(M7="Exit Signs",1,IF(INDEX('Fixture Codes'!$C$8:$C$976,MATCH($AD7,'Fixture Codes'!$B$8:$B$976,0))="Exit Sign",1,INDEX(Lookups!J$2:J$428,MATCH(_xlfn.CONCAT($B7,$H7),Lookups!$H$2:$H$428,0)))),"")</f>
        <v/>
      </c>
      <c r="AU7" s="150" t="str">
        <f>IFERROR(IF(M7="Exit Signs",1,IF(INDEX('Fixture Codes'!$C$8:$C$976,MATCH($AD7,'Fixture Codes'!$B$8:$B$976,0))="Exit Sign",1,INDEX(Lookups!K$2:K$428,MATCH(_xlfn.CONCAT($B7,$H7),Lookups!$H$2:$H$428,0)))),"")</f>
        <v/>
      </c>
      <c r="AV7" s="150" t="str">
        <f>IFERROR(IF(M7="Exit Signs",1,IF(INDEX('Fixture Codes'!$C$8:$C$976,MATCH($AD7,'Fixture Codes'!$B$8:$B$976,0))="Exit Sign",1,INDEX(Lookups!L$2:L$428,MATCH(_xlfn.CONCAT($B7,$H7),Lookups!$H$2:$H$428,0)))),"")</f>
        <v/>
      </c>
      <c r="AW7" s="150" t="str">
        <f>IF(ISBLANK(K7),"",IF(K7="Gas",INDEX(Lookups!$AG$2:$AG$63,MATCH(O7,Lookups!$AD$2:$AD$63,0),0),0))</f>
        <v/>
      </c>
      <c r="AX7" s="150" t="str">
        <f>IF(ISBLANK(K7),"",IF(K7="Gas",INDEX(Lookups!$AF$2:$AF$63,MATCH(O7,Lookups!$AD$2:$AD$63,0),0),0))</f>
        <v/>
      </c>
      <c r="AY7" s="150" t="str">
        <f>IF(ISBLANK(K7),"",IF(K7="Gas",INDEX(Lookups!$AH$2:$AH$63,MATCH(O7,Lookups!$AD$2:$AD$63,0),0),0))</f>
        <v/>
      </c>
      <c r="AZ7" s="150" t="str">
        <f>IF(ISBLANK(K7),"",IF(K7="Gas",INDEX(Lookups!$AI$2:$AI$63,MATCH(O7,Lookups!$AD$2:$AD$63,0),0),0))</f>
        <v/>
      </c>
      <c r="BA7" s="150" t="str">
        <f t="shared" si="0"/>
        <v/>
      </c>
      <c r="BB7" s="156" t="str">
        <f>IF(ISBLANK(AH7),"",IF(AH7="None",0,IF(K7="Gas",INDEX(Lookups!$AF$51:$AF$69,MATCH(AH7,Lookups!$AD$51:$AD$69,0),0),0)))</f>
        <v/>
      </c>
      <c r="BC7" s="156" t="str">
        <f>IF(ISBLANK(AH7),"",IF(AH7="None",0,IF(K7="Gas",INDEX(Lookups!$AH$51:$AH$69,MATCH(AH7,Lookups!$AD$51:$AD$69,0),0),0)))</f>
        <v/>
      </c>
      <c r="BD7" s="156" t="str">
        <f>IF(ISBLANK(AH7),"",IF(AH7="None",0,IF(K7="Gas",INDEX(Lookups!$AI$51:$AI$69,MATCH(AH7,Lookups!$AD$51:$AD$69,0),0),0)))</f>
        <v/>
      </c>
      <c r="BE7" s="157"/>
      <c r="BF7" s="157"/>
      <c r="BG7" s="147" t="str">
        <f t="shared" si="20"/>
        <v/>
      </c>
      <c r="BH7" s="147" t="str">
        <f t="shared" si="21"/>
        <v/>
      </c>
      <c r="BI7" s="147" t="str">
        <f t="shared" si="1"/>
        <v/>
      </c>
      <c r="BJ7" s="147" t="str">
        <f t="shared" si="2"/>
        <v/>
      </c>
      <c r="BK7" s="148" t="str">
        <f t="shared" si="22"/>
        <v/>
      </c>
      <c r="BL7" s="147" t="str">
        <f t="shared" si="3"/>
        <v/>
      </c>
      <c r="BM7" s="148" t="str">
        <f t="shared" si="23"/>
        <v/>
      </c>
      <c r="BN7" s="147" t="str">
        <f t="shared" si="24"/>
        <v/>
      </c>
      <c r="BO7" s="147" t="str">
        <f t="shared" si="4"/>
        <v/>
      </c>
      <c r="BP7" s="147" t="str">
        <f t="shared" si="25"/>
        <v/>
      </c>
      <c r="BQ7" s="148" t="str">
        <f>IFERROR(IF(AA7=AK7,"",ROUND((AG7*AF7)/1000*AM7*(AK7-AA7)*AN7*AO7,3)),"")</f>
        <v/>
      </c>
      <c r="BR7" s="148" t="str">
        <f t="shared" si="27"/>
        <v/>
      </c>
      <c r="BS7" s="148" t="str">
        <f t="shared" si="28"/>
        <v/>
      </c>
      <c r="BT7" s="148" t="str">
        <f t="shared" si="7"/>
        <v/>
      </c>
      <c r="BU7" s="148" t="str">
        <f t="shared" si="8"/>
        <v/>
      </c>
      <c r="BV7" s="148" t="str">
        <f t="shared" si="9"/>
        <v/>
      </c>
      <c r="BW7" s="148" t="str">
        <f t="shared" si="29"/>
        <v/>
      </c>
      <c r="BX7" s="148" t="str">
        <f t="shared" si="10"/>
        <v/>
      </c>
      <c r="BY7" s="148" t="str">
        <f t="shared" si="11"/>
        <v/>
      </c>
      <c r="BZ7" s="149" t="str">
        <f>IFERROR(INDEX('Prescriptive Rebate Table'!$B$2:$E$64,MATCH(O7,'Prescriptive Rebate Table'!$C$2:$C$64,0),3),"")</f>
        <v/>
      </c>
      <c r="CA7" s="145" t="str">
        <f>IFERROR(INDEX('Prescriptive Rebate Table'!$B$2:$E$64,MATCH(O7,'Prescriptive Rebate Table'!$C$2:$C$64,0),4),"")</f>
        <v/>
      </c>
      <c r="CB7" s="149" t="str">
        <f t="shared" si="30"/>
        <v/>
      </c>
      <c r="CC7" s="145" t="str">
        <f t="shared" si="31"/>
        <v/>
      </c>
      <c r="CD7" s="149" t="str">
        <f t="shared" si="12"/>
        <v/>
      </c>
      <c r="CE7" s="149" t="str">
        <f t="shared" si="13"/>
        <v/>
      </c>
      <c r="CF7" s="149" t="str">
        <f>IF(BK7&lt;=0,0,IFERROR(IF(OR(ISBLANK(AC7),ISBLANK(CD7))=TRUE,"",IF(CA7="Per Foot",INDEX('Fixture Codes'!$I$8:$I$976,MATCH(AD7,'Fixture Codes'!$B$8:$B$976,0))/12*AF7*BZ7,IF(CA7="Lamp",INDEX('Fixture Codes'!$J$8:$J$976,MATCH(AD7,'Fixture Codes'!$B$8:$B$976,0))*AF7*BZ7,IF(CA7="Fixture",AF7*BZ7,IF(CA7="kWh",BK7*BZ7,0))))),""))</f>
        <v/>
      </c>
      <c r="CG7" s="149" t="str">
        <f t="shared" si="32"/>
        <v/>
      </c>
      <c r="CH7" s="149" t="str">
        <f t="shared" si="33"/>
        <v/>
      </c>
      <c r="CI7" s="152"/>
      <c r="CJ7" s="146" t="str">
        <f>IF(OR(ISBLANK(AI7),AI7=Lookups!$A$42,AH7=X7),"",IF(ISBLANK(AF7),"",IF(AI7="",AF7,AI7)))</f>
        <v/>
      </c>
      <c r="CK7" s="241">
        <f>IFERROR(IF(CL7="Yes",'Prescriptive Rebate Table'!$D$69,IF(ISBLANK(AI7),0,IF(AND(AH7=Lookups!$A$62,BK7&gt;0),'Prescriptive Rebate Table'!$D$68,IF(AND(BK7&gt;0,CJ7=AF7),'Prescriptive Rebate Table'!$D$67,IF(AND(BK7&gt;0,CJ7&lt;&gt;AF7),'Prescriptive Rebate Table'!D66,0))))),"")</f>
        <v>0</v>
      </c>
      <c r="CL7" s="240" t="s">
        <v>2712</v>
      </c>
      <c r="CM7" s="152"/>
      <c r="CN7" s="152"/>
      <c r="CO7" s="152"/>
      <c r="CP7" s="146">
        <f t="shared" si="14"/>
        <v>0</v>
      </c>
      <c r="CQ7" s="153">
        <f>IF(D7="Interior",ROUND(($AG7*AF7)/1000*$AM7*(Lookups!$B$54-$AA7)*$AN7*$AO7,3),0)</f>
        <v>0</v>
      </c>
      <c r="CR7" s="153">
        <f>IFERROR(IF(D7="Interior",ROUND(($AG7*$AF7)/1000*(Lookups!$C$54-$AB7)*$AN7*AQ7*AT7,6),0),"")</f>
        <v>0</v>
      </c>
      <c r="CS7" s="165">
        <f t="shared" si="34"/>
        <v>0</v>
      </c>
      <c r="CT7" s="165">
        <f t="shared" si="35"/>
        <v>0</v>
      </c>
      <c r="CV7" s="153">
        <f>IF(D7="Interior",ROUND(($AG7*AF7)/1000*$AM7*(Lookups!$B$43-$AA7)*$AN7*$AO7,3),0)</f>
        <v>0</v>
      </c>
      <c r="CW7" s="153">
        <f>IFERROR(IF(D7="Interior",ROUND(($AG7*$AF7)/1000*(Lookups!$C$43-$AB7)*$AN7*AQ7*AT7,6),0),"")</f>
        <v>0</v>
      </c>
      <c r="CX7" s="165">
        <f t="shared" si="15"/>
        <v>0</v>
      </c>
      <c r="CY7" s="165">
        <f t="shared" si="16"/>
        <v>0</v>
      </c>
      <c r="DA7" s="153">
        <f>IF(D7="Interior",ROUND(($AG7*AF7*(1-0.15))/1000*$AM7*(Lookups!$B$43+0.097-$AA7)*$AN7*$AO7+((W7*V7)/1000*AN7*AM7*AO7*0.15),3),0)</f>
        <v>0</v>
      </c>
      <c r="DB7" s="153">
        <f>IFERROR(IF(D7="Interior",ROUND(($AG7*$AF7)/1000*(Lookups!$C$43+0.097-$AB7)*$AN7*AQ7*AT7+(($AG7*$AF7)/1000*$AN7*AQ7*AT7*0.15),6),0),"")</f>
        <v>0</v>
      </c>
      <c r="DC7" s="165">
        <f t="shared" si="17"/>
        <v>0</v>
      </c>
      <c r="DD7" s="165">
        <f t="shared" si="18"/>
        <v>0</v>
      </c>
    </row>
    <row r="8" spans="1:108" s="164" customFormat="1">
      <c r="A8" s="150">
        <v>4</v>
      </c>
      <c r="B8" s="153" t="str">
        <f>IFERROR(INDEX(Lookups!$B$2:$B$38,MATCH('Project Info &amp; Summary'!$C$19,Lookups!$A$2:$A$38,0)),"")</f>
        <v/>
      </c>
      <c r="C8" s="153" t="str">
        <f>IFERROR(INDEX(Lookups!$C$2:$C$38,MATCH('Project Info &amp; Summary'!$C$19,Lookups!$A$2:$A$38,0)),"")</f>
        <v/>
      </c>
      <c r="D8" s="163"/>
      <c r="E8" s="160"/>
      <c r="F8" s="158"/>
      <c r="G8" s="158"/>
      <c r="H8" s="158"/>
      <c r="I8" s="158"/>
      <c r="J8" s="154" t="str">
        <f>IFERROR(INDEX(Lookups!$W$21:$W$26,MATCH(I8,Lookups!$V$21:$V$26,0)),"")</f>
        <v/>
      </c>
      <c r="K8" s="158"/>
      <c r="L8" s="162" t="str">
        <f>IFERROR(INDEX(Lookups!$Y$2:$Y$19,MATCH(_xlfn.CONCAT(I8,K8),Lookups!$X$2:$X$19,0)),"")</f>
        <v/>
      </c>
      <c r="M8" s="158"/>
      <c r="N8" s="153" t="str">
        <f>IFERROR(INDEX('Prescriptive Rebate Table'!$M$3:$M$20,MATCH(M8,'Prescriptive Rebate Table'!$L$3:$L$20,0)),"")</f>
        <v/>
      </c>
      <c r="O8" s="158"/>
      <c r="P8" s="154" t="str">
        <f>IFERROR(INDEX('Prescriptive Rebate Table'!$B$2:$H$64, MATCH(O8,'Prescriptive Rebate Table'!$C$2:$C$64,0),7),"")</f>
        <v/>
      </c>
      <c r="Q8" s="155" t="str">
        <f>IFERROR(INDEX('Prescriptive Rebate Table'!$B$2:$I$64, MATCH(O8,'Prescriptive Rebate Table'!$C$2:$C$64,0),8),"")</f>
        <v/>
      </c>
      <c r="R8" s="155" t="str">
        <f>IFERROR(INDEX('Prescriptive Rebate Table'!$B$2:$J$64, MATCH(O8,'Prescriptive Rebate Table'!$C$2:$C$64,0),9),"")</f>
        <v/>
      </c>
      <c r="S8" s="160"/>
      <c r="T8" s="145" t="str">
        <f>IFERROR(INDEX('Fixture Codes'!$M$8:$M$976,MATCH(S8,'Fixture Codes'!$B$8:$B$976,0)),"")</f>
        <v/>
      </c>
      <c r="U8" s="145" t="str">
        <f>IFERROR(INDEX('Fixture Codes'!$B$7:$M$976,MATCH(T8,'Fixture Codes'!$B$7:$B$976,0),5),"")</f>
        <v/>
      </c>
      <c r="V8" s="160"/>
      <c r="W8" s="145" t="str">
        <f>IFERROR(INDEX('Fixture Codes'!$L$8:$L$976,MATCH(T8,'Fixture Codes'!$B$8:$B$976,0)),"")</f>
        <v/>
      </c>
      <c r="X8" s="158"/>
      <c r="Y8" s="159"/>
      <c r="Z8" s="155" t="str">
        <f>IFERROR(INDEX(Lookups!B$68:B$87,MATCH($X8,Lookups!$A$68:$A$87,0)),"")</f>
        <v/>
      </c>
      <c r="AA8" s="150" t="str">
        <f>IFERROR(INDEX(Lookups!B$42:B$62,MATCH($X8,Lookups!$A$42:$A$62,0)),"")</f>
        <v/>
      </c>
      <c r="AB8" s="150" t="str">
        <f>IFERROR(INDEX(Lookups!C$42:C$62,MATCH($X8,Lookups!$A$42:$A$62,0)),"")</f>
        <v/>
      </c>
      <c r="AC8" s="161"/>
      <c r="AD8" s="160"/>
      <c r="AE8" s="150" t="str">
        <f>IFERROR(INDEX('Fixture Codes'!$B$7:$M$976,MATCH(AD8,'Fixture Codes'!$B$7:$B$976,0),5),"")</f>
        <v/>
      </c>
      <c r="AF8" s="160"/>
      <c r="AG8" s="145" t="str">
        <f>IFERROR(INDEX('Fixture Codes'!$L$8:$L$976,MATCH(AD8,'Fixture Codes'!$B$8:$B$976,0)),"")</f>
        <v/>
      </c>
      <c r="AH8" s="158"/>
      <c r="AI8" s="159"/>
      <c r="AJ8" s="150" t="str">
        <f>IFERROR(INDEX(Lookups!B$68:B$87,MATCH($AH8,Lookups!$A$68:$A$87,0)),"")</f>
        <v/>
      </c>
      <c r="AK8" s="150" t="str">
        <f>IFERROR(INDEX(Lookups!B$42:B$62,MATCH($AH8,Lookups!$A$42:$A$62,0)),"")</f>
        <v/>
      </c>
      <c r="AL8" s="150" t="str">
        <f>IFERROR(INDEX(Lookups!C$42:C$62,MATCH($AH8,Lookups!$A$42:$A$62,0)),"")</f>
        <v/>
      </c>
      <c r="AM8" s="150" t="str">
        <f>IFERROR(IF(M8="Exit Signs",8760,IF(INDEX('Fixture Codes'!$C$8:$C$976,MATCH(AD8,'Fixture Codes'!$B$8:$B$976,0))="Exit Sign",8760,INDEX(Lookups!$I$2:$I$428,MATCH(_xlfn.CONCAT(B8,H8),Lookups!$H$2:$H$428,0)))),"")</f>
        <v/>
      </c>
      <c r="AN8" s="153">
        <v>1</v>
      </c>
      <c r="AO8" s="150" t="str">
        <f>IF($D8="Interior",INDEX(Lookups!Q$2:Q$86,MATCH(_xlfn.CONCAT($C8,$L8),Lookups!$P$2:$P$86,0)),IF($D8="Exterior",1,""))</f>
        <v/>
      </c>
      <c r="AP8" s="150">
        <f t="shared" si="19"/>
        <v>1</v>
      </c>
      <c r="AQ8" s="150" t="str">
        <f>IF($D8="Interior",INDEX(Lookups!R$2:R$86,MATCH(_xlfn.CONCAT($C8,$L8),Lookups!$P$2:$P$86,0)),IF($D8="Exterior",1,""))</f>
        <v/>
      </c>
      <c r="AR8" s="150" t="str">
        <f>IF($D8="Interior",INDEX(Lookups!S$2:S$86,MATCH(_xlfn.CONCAT($C8,$L8),Lookups!$P$2:$P$86,0)),IF($D8="Exterior",1,""))</f>
        <v/>
      </c>
      <c r="AS8" s="150" t="str">
        <f>IF($D8="Interior",INDEX(Lookups!T$2:T$86,MATCH(_xlfn.CONCAT($C8,$L8),Lookups!$P$2:$P$86,0)),IF($D8="Exterior",1,""))</f>
        <v/>
      </c>
      <c r="AT8" s="150" t="str">
        <f>IFERROR(IF(M8="Exit Signs",1,IF(INDEX('Fixture Codes'!$C$8:$C$976,MATCH($AD8,'Fixture Codes'!$B$8:$B$976,0))="Exit Sign",1,INDEX(Lookups!J$2:J$428,MATCH(_xlfn.CONCAT($B8,$H8),Lookups!$H$2:$H$428,0)))),"")</f>
        <v/>
      </c>
      <c r="AU8" s="150" t="str">
        <f>IFERROR(IF(M8="Exit Signs",1,IF(INDEX('Fixture Codes'!$C$8:$C$976,MATCH($AD8,'Fixture Codes'!$B$8:$B$976,0))="Exit Sign",1,INDEX(Lookups!K$2:K$428,MATCH(_xlfn.CONCAT($B8,$H8),Lookups!$H$2:$H$428,0)))),"")</f>
        <v/>
      </c>
      <c r="AV8" s="150" t="str">
        <f>IFERROR(IF(M8="Exit Signs",1,IF(INDEX('Fixture Codes'!$C$8:$C$976,MATCH($AD8,'Fixture Codes'!$B$8:$B$976,0))="Exit Sign",1,INDEX(Lookups!L$2:L$428,MATCH(_xlfn.CONCAT($B8,$H8),Lookups!$H$2:$H$428,0)))),"")</f>
        <v/>
      </c>
      <c r="AW8" s="150" t="str">
        <f>IF(ISBLANK(K8),"",IF(K8="Gas",INDEX(Lookups!$AG$2:$AG$63,MATCH(O8,Lookups!$AD$2:$AD$63,0),0),0))</f>
        <v/>
      </c>
      <c r="AX8" s="150" t="str">
        <f>IF(ISBLANK(K8),"",IF(K8="Gas",INDEX(Lookups!$AF$2:$AF$63,MATCH(O8,Lookups!$AD$2:$AD$63,0),0),0))</f>
        <v/>
      </c>
      <c r="AY8" s="150" t="str">
        <f>IF(ISBLANK(K8),"",IF(K8="Gas",INDEX(Lookups!$AH$2:$AH$63,MATCH(O8,Lookups!$AD$2:$AD$63,0),0),0))</f>
        <v/>
      </c>
      <c r="AZ8" s="150" t="str">
        <f>IF(ISBLANK(K8),"",IF(K8="Gas",INDEX(Lookups!$AI$2:$AI$63,MATCH(O8,Lookups!$AD$2:$AD$63,0),0),0))</f>
        <v/>
      </c>
      <c r="BA8" s="150" t="str">
        <f t="shared" si="0"/>
        <v/>
      </c>
      <c r="BB8" s="156" t="str">
        <f>IF(ISBLANK(AH8),"",IF(AH8="None",0,IF(K8="Gas",INDEX(Lookups!$AF$51:$AF$69,MATCH(AH8,Lookups!$AD$51:$AD$69,0),0),0)))</f>
        <v/>
      </c>
      <c r="BC8" s="156" t="str">
        <f>IF(ISBLANK(AH8),"",IF(AH8="None",0,IF(K8="Gas",INDEX(Lookups!$AH$51:$AH$69,MATCH(AH8,Lookups!$AD$51:$AD$69,0),0),0)))</f>
        <v/>
      </c>
      <c r="BD8" s="156" t="str">
        <f>IF(ISBLANK(AH8),"",IF(AH8="None",0,IF(K8="Gas",INDEX(Lookups!$AI$51:$AI$69,MATCH(AH8,Lookups!$AD$51:$AD$69,0),0),0)))</f>
        <v/>
      </c>
      <c r="BE8" s="157"/>
      <c r="BF8" s="157"/>
      <c r="BG8" s="147" t="str">
        <f t="shared" si="20"/>
        <v/>
      </c>
      <c r="BH8" s="147" t="str">
        <f t="shared" si="21"/>
        <v/>
      </c>
      <c r="BI8" s="147" t="str">
        <f t="shared" si="1"/>
        <v/>
      </c>
      <c r="BJ8" s="147" t="str">
        <f t="shared" si="2"/>
        <v/>
      </c>
      <c r="BK8" s="148" t="str">
        <f t="shared" si="22"/>
        <v/>
      </c>
      <c r="BL8" s="147" t="str">
        <f t="shared" si="3"/>
        <v/>
      </c>
      <c r="BM8" s="148" t="str">
        <f t="shared" si="23"/>
        <v/>
      </c>
      <c r="BN8" s="147" t="str">
        <f t="shared" si="24"/>
        <v/>
      </c>
      <c r="BO8" s="147" t="str">
        <f t="shared" si="4"/>
        <v/>
      </c>
      <c r="BP8" s="147" t="str">
        <f t="shared" si="25"/>
        <v/>
      </c>
      <c r="BQ8" s="148" t="str">
        <f t="shared" si="26"/>
        <v/>
      </c>
      <c r="BR8" s="148" t="str">
        <f t="shared" si="27"/>
        <v/>
      </c>
      <c r="BS8" s="148" t="str">
        <f t="shared" si="28"/>
        <v/>
      </c>
      <c r="BT8" s="148" t="str">
        <f t="shared" si="7"/>
        <v/>
      </c>
      <c r="BU8" s="148" t="str">
        <f t="shared" si="8"/>
        <v/>
      </c>
      <c r="BV8" s="148" t="str">
        <f t="shared" si="9"/>
        <v/>
      </c>
      <c r="BW8" s="148" t="str">
        <f t="shared" si="29"/>
        <v/>
      </c>
      <c r="BX8" s="148" t="str">
        <f t="shared" si="10"/>
        <v/>
      </c>
      <c r="BY8" s="148" t="str">
        <f t="shared" si="11"/>
        <v/>
      </c>
      <c r="BZ8" s="149" t="str">
        <f>IFERROR(INDEX('Prescriptive Rebate Table'!$B$2:$E$64,MATCH(O8,'Prescriptive Rebate Table'!$C$2:$C$64,0),3),"")</f>
        <v/>
      </c>
      <c r="CA8" s="145" t="str">
        <f>IFERROR(INDEX('Prescriptive Rebate Table'!$B$2:$E$64,MATCH(O8,'Prescriptive Rebate Table'!$C$2:$C$64,0),4),"")</f>
        <v/>
      </c>
      <c r="CB8" s="149" t="str">
        <f t="shared" si="30"/>
        <v/>
      </c>
      <c r="CC8" s="145" t="str">
        <f t="shared" si="31"/>
        <v/>
      </c>
      <c r="CD8" s="149" t="str">
        <f t="shared" si="12"/>
        <v/>
      </c>
      <c r="CE8" s="149" t="str">
        <f t="shared" si="13"/>
        <v/>
      </c>
      <c r="CF8" s="149" t="str">
        <f>IF(BK8&lt;=0,0,IFERROR(IF(OR(ISBLANK(AC8),ISBLANK(CD8))=TRUE,"",IF(CA8="Per Foot",INDEX('Fixture Codes'!$I$8:$I$976,MATCH(AD8,'Fixture Codes'!$B$8:$B$976,0))/12*AF8*BZ8,IF(CA8="Lamp",INDEX('Fixture Codes'!$J$8:$J$976,MATCH(AD8,'Fixture Codes'!$B$8:$B$976,0))*AF8*BZ8,IF(CA8="Fixture",AF8*BZ8,IF(CA8="kWh",BK8*BZ8,0))))),""))</f>
        <v/>
      </c>
      <c r="CG8" s="149" t="str">
        <f t="shared" si="32"/>
        <v/>
      </c>
      <c r="CH8" s="149" t="str">
        <f t="shared" si="33"/>
        <v/>
      </c>
      <c r="CI8" s="152"/>
      <c r="CJ8" s="146" t="str">
        <f>IF(OR(ISBLANK(AI8),AI8=Lookups!$A$42,AH8=X8),"",IF(ISBLANK(AF8),"",IF(AI8="",AF8,AI8)))</f>
        <v/>
      </c>
      <c r="CK8" s="241">
        <f>IFERROR(IF(CL8="Yes",'Prescriptive Rebate Table'!$D$69,IF(ISBLANK(AI8),0,IF(AND(AH8=Lookups!$A$62,BK8&gt;0),'Prescriptive Rebate Table'!$D$68,IF(AND(BK8&gt;0,CJ8=AF8),'Prescriptive Rebate Table'!$D$67,IF(AND(BK8&gt;0,CJ8&lt;&gt;AF8),'Prescriptive Rebate Table'!D67,0))))),"")</f>
        <v>0</v>
      </c>
      <c r="CL8" s="240" t="s">
        <v>2712</v>
      </c>
      <c r="CM8" s="152"/>
      <c r="CN8" s="152"/>
      <c r="CO8" s="152"/>
      <c r="CP8" s="146">
        <f t="shared" si="14"/>
        <v>0</v>
      </c>
      <c r="CQ8" s="153">
        <f>IF(D8="Interior",ROUND(($AG8*AF8)/1000*$AM8*(Lookups!$B$54-$AA8)*$AN8*$AO8,3),0)</f>
        <v>0</v>
      </c>
      <c r="CR8" s="153">
        <f>IFERROR(IF(D8="Interior",ROUND(($AG8*$AF8)/1000*(Lookups!$C$54-$AB8)*$AN8*AQ8*AT8,6),0),"")</f>
        <v>0</v>
      </c>
      <c r="CS8" s="165">
        <f t="shared" si="34"/>
        <v>0</v>
      </c>
      <c r="CT8" s="165">
        <f t="shared" si="35"/>
        <v>0</v>
      </c>
      <c r="CV8" s="153">
        <f>IF(D8="Interior",ROUND(($AG8*AF8)/1000*$AM8*(Lookups!$B$43-$AA8)*$AN8*$AO8,3),0)</f>
        <v>0</v>
      </c>
      <c r="CW8" s="153">
        <f>IFERROR(IF(D8="Interior",ROUND(($AG8*$AF8)/1000*(Lookups!$C$43-$AB8)*$AN8*AQ8*AT8,6),0),"")</f>
        <v>0</v>
      </c>
      <c r="CX8" s="165">
        <f t="shared" si="15"/>
        <v>0</v>
      </c>
      <c r="CY8" s="165">
        <f t="shared" si="16"/>
        <v>0</v>
      </c>
      <c r="DA8" s="153">
        <f>IF(D8="Interior",ROUND(($AG8*AF8*(1-0.15))/1000*$AM8*(Lookups!$B$43+0.097-$AA8)*$AN8*$AO8+((W8*V8)/1000*AN8*AM8*AO8*0.15),3),0)</f>
        <v>0</v>
      </c>
      <c r="DB8" s="153">
        <f>IFERROR(IF(D8="Interior",ROUND(($AG8*$AF8)/1000*(Lookups!$C$43+0.097-$AB8)*$AN8*AQ8*AT8+(($AG8*$AF8)/1000*$AN8*AQ8*AT8*0.15),6),0),"")</f>
        <v>0</v>
      </c>
      <c r="DC8" s="165">
        <f t="shared" si="17"/>
        <v>0</v>
      </c>
      <c r="DD8" s="165">
        <f t="shared" si="18"/>
        <v>0</v>
      </c>
    </row>
    <row r="9" spans="1:108" s="164" customFormat="1">
      <c r="A9" s="150">
        <v>5</v>
      </c>
      <c r="B9" s="153" t="str">
        <f>IFERROR(INDEX(Lookups!$B$2:$B$38,MATCH('Project Info &amp; Summary'!$C$19,Lookups!$A$2:$A$38,0)),"")</f>
        <v/>
      </c>
      <c r="C9" s="153" t="str">
        <f>IFERROR(INDEX(Lookups!$C$2:$C$38,MATCH('Project Info &amp; Summary'!$C$19,Lookups!$A$2:$A$38,0)),"")</f>
        <v/>
      </c>
      <c r="D9" s="163"/>
      <c r="E9" s="160"/>
      <c r="F9" s="158"/>
      <c r="G9" s="158"/>
      <c r="H9" s="158"/>
      <c r="I9" s="158"/>
      <c r="J9" s="154" t="str">
        <f>IFERROR(INDEX(Lookups!$W$21:$W$26,MATCH(I9,Lookups!$V$21:$V$26,0)),"")</f>
        <v/>
      </c>
      <c r="K9" s="158"/>
      <c r="L9" s="162" t="str">
        <f>IFERROR(INDEX(Lookups!$Y$2:$Y$19,MATCH(_xlfn.CONCAT(I9,K9),Lookups!$X$2:$X$19,0)),"")</f>
        <v/>
      </c>
      <c r="M9" s="158"/>
      <c r="N9" s="153" t="str">
        <f>IFERROR(INDEX('Prescriptive Rebate Table'!$M$3:$M$20,MATCH(M9,'Prescriptive Rebate Table'!$L$3:$L$20,0)),"")</f>
        <v/>
      </c>
      <c r="O9" s="158"/>
      <c r="P9" s="154" t="str">
        <f>IFERROR(INDEX('Prescriptive Rebate Table'!$B$2:$H$64, MATCH(O9,'Prescriptive Rebate Table'!$C$2:$C$64,0),7),"")</f>
        <v/>
      </c>
      <c r="Q9" s="155" t="str">
        <f>IFERROR(INDEX('Prescriptive Rebate Table'!$B$2:$I$64, MATCH(O9,'Prescriptive Rebate Table'!$C$2:$C$64,0),8),"")</f>
        <v/>
      </c>
      <c r="R9" s="155" t="str">
        <f>IFERROR(INDEX('Prescriptive Rebate Table'!$B$2:$J$64, MATCH(O9,'Prescriptive Rebate Table'!$C$2:$C$64,0),9),"")</f>
        <v/>
      </c>
      <c r="S9" s="160"/>
      <c r="T9" s="145" t="str">
        <f>IFERROR(INDEX('Fixture Codes'!$M$8:$M$976,MATCH(S9,'Fixture Codes'!$B$8:$B$976,0)),"")</f>
        <v/>
      </c>
      <c r="U9" s="145" t="str">
        <f>IFERROR(INDEX('Fixture Codes'!$B$7:$M$976,MATCH(T9,'Fixture Codes'!$B$7:$B$976,0),5),"")</f>
        <v/>
      </c>
      <c r="V9" s="160"/>
      <c r="W9" s="145" t="str">
        <f>IFERROR(INDEX('Fixture Codes'!$L$8:$L$976,MATCH(T9,'Fixture Codes'!$B$8:$B$976,0)),"")</f>
        <v/>
      </c>
      <c r="X9" s="158"/>
      <c r="Y9" s="159"/>
      <c r="Z9" s="155" t="str">
        <f>IFERROR(INDEX(Lookups!B$68:B$87,MATCH($X9,Lookups!$A$68:$A$87,0)),"")</f>
        <v/>
      </c>
      <c r="AA9" s="150" t="str">
        <f>IFERROR(INDEX(Lookups!B$42:B$62,MATCH($X9,Lookups!$A$42:$A$62,0)),"")</f>
        <v/>
      </c>
      <c r="AB9" s="150" t="str">
        <f>IFERROR(INDEX(Lookups!C$42:C$62,MATCH($X9,Lookups!$A$42:$A$62,0)),"")</f>
        <v/>
      </c>
      <c r="AC9" s="161"/>
      <c r="AD9" s="160"/>
      <c r="AE9" s="150" t="str">
        <f>IFERROR(INDEX('Fixture Codes'!$B$7:$M$976,MATCH(AD9,'Fixture Codes'!$B$7:$B$976,0),5),"")</f>
        <v/>
      </c>
      <c r="AF9" s="160"/>
      <c r="AG9" s="145" t="str">
        <f>IFERROR(INDEX('Fixture Codes'!$L$8:$L$976,MATCH(AD9,'Fixture Codes'!$B$8:$B$976,0)),"")</f>
        <v/>
      </c>
      <c r="AH9" s="158"/>
      <c r="AI9" s="159"/>
      <c r="AJ9" s="150" t="str">
        <f>IFERROR(INDEX(Lookups!B$68:B$87,MATCH($AH9,Lookups!$A$68:$A$87,0)),"")</f>
        <v/>
      </c>
      <c r="AK9" s="150" t="str">
        <f>IFERROR(INDEX(Lookups!B$42:B$62,MATCH($AH9,Lookups!$A$42:$A$62,0)),"")</f>
        <v/>
      </c>
      <c r="AL9" s="150" t="str">
        <f>IFERROR(INDEX(Lookups!C$42:C$62,MATCH($AH9,Lookups!$A$42:$A$62,0)),"")</f>
        <v/>
      </c>
      <c r="AM9" s="150" t="str">
        <f>IFERROR(IF(M9="Exit Signs",8760,IF(INDEX('Fixture Codes'!$C$8:$C$976,MATCH(AD9,'Fixture Codes'!$B$8:$B$976,0))="Exit Sign",8760,INDEX(Lookups!$I$2:$I$428,MATCH(_xlfn.CONCAT(B9,H9),Lookups!$H$2:$H$428,0)))),"")</f>
        <v/>
      </c>
      <c r="AN9" s="153">
        <v>1</v>
      </c>
      <c r="AO9" s="150" t="str">
        <f>IF($D9="Interior",INDEX(Lookups!Q$2:Q$86,MATCH(_xlfn.CONCAT($C9,$L9),Lookups!$P$2:$P$86,0)),IF($D9="Exterior",1,""))</f>
        <v/>
      </c>
      <c r="AP9" s="150">
        <f t="shared" si="19"/>
        <v>1</v>
      </c>
      <c r="AQ9" s="150" t="str">
        <f>IF($D9="Interior",INDEX(Lookups!R$2:R$86,MATCH(_xlfn.CONCAT($C9,$L9),Lookups!$P$2:$P$86,0)),IF($D9="Exterior",1,""))</f>
        <v/>
      </c>
      <c r="AR9" s="150" t="str">
        <f>IF($D9="Interior",INDEX(Lookups!S$2:S$86,MATCH(_xlfn.CONCAT($C9,$L9),Lookups!$P$2:$P$86,0)),IF($D9="Exterior",1,""))</f>
        <v/>
      </c>
      <c r="AS9" s="150" t="str">
        <f>IF($D9="Interior",INDEX(Lookups!T$2:T$86,MATCH(_xlfn.CONCAT($C9,$L9),Lookups!$P$2:$P$86,0)),IF($D9="Exterior",1,""))</f>
        <v/>
      </c>
      <c r="AT9" s="150" t="str">
        <f>IFERROR(IF(M9="Exit Signs",1,IF(INDEX('Fixture Codes'!$C$8:$C$976,MATCH($AD9,'Fixture Codes'!$B$8:$B$976,0))="Exit Sign",1,INDEX(Lookups!J$2:J$428,MATCH(_xlfn.CONCAT($B9,$H9),Lookups!$H$2:$H$428,0)))),"")</f>
        <v/>
      </c>
      <c r="AU9" s="150" t="str">
        <f>IFERROR(IF(M9="Exit Signs",1,IF(INDEX('Fixture Codes'!$C$8:$C$976,MATCH($AD9,'Fixture Codes'!$B$8:$B$976,0))="Exit Sign",1,INDEX(Lookups!K$2:K$428,MATCH(_xlfn.CONCAT($B9,$H9),Lookups!$H$2:$H$428,0)))),"")</f>
        <v/>
      </c>
      <c r="AV9" s="150" t="str">
        <f>IFERROR(IF(M9="Exit Signs",1,IF(INDEX('Fixture Codes'!$C$8:$C$976,MATCH($AD9,'Fixture Codes'!$B$8:$B$976,0))="Exit Sign",1,INDEX(Lookups!L$2:L$428,MATCH(_xlfn.CONCAT($B9,$H9),Lookups!$H$2:$H$428,0)))),"")</f>
        <v/>
      </c>
      <c r="AW9" s="150" t="str">
        <f>IF(ISBLANK(K9),"",IF(K9="Gas",INDEX(Lookups!$AG$2:$AG$63,MATCH(O9,Lookups!$AD$2:$AD$63,0),0),0))</f>
        <v/>
      </c>
      <c r="AX9" s="150" t="str">
        <f>IF(ISBLANK(K9),"",IF(K9="Gas",INDEX(Lookups!$AF$2:$AF$63,MATCH(O9,Lookups!$AD$2:$AD$63,0),0),0))</f>
        <v/>
      </c>
      <c r="AY9" s="150" t="str">
        <f>IF(ISBLANK(K9),"",IF(K9="Gas",INDEX(Lookups!$AH$2:$AH$63,MATCH(O9,Lookups!$AD$2:$AD$63,0),0),0))</f>
        <v/>
      </c>
      <c r="AZ9" s="150" t="str">
        <f>IF(ISBLANK(K9),"",IF(K9="Gas",INDEX(Lookups!$AI$2:$AI$63,MATCH(O9,Lookups!$AD$2:$AD$63,0),0),0))</f>
        <v/>
      </c>
      <c r="BA9" s="150" t="str">
        <f t="shared" si="0"/>
        <v/>
      </c>
      <c r="BB9" s="156" t="str">
        <f>IF(ISBLANK(AH9),"",IF(AH9="None",0,IF(K9="Gas",INDEX(Lookups!$AF$51:$AF$69,MATCH(AH9,Lookups!$AD$51:$AD$69,0),0),0)))</f>
        <v/>
      </c>
      <c r="BC9" s="156" t="str">
        <f>IF(ISBLANK(AH9),"",IF(AH9="None",0,IF(K9="Gas",INDEX(Lookups!$AH$51:$AH$69,MATCH(AH9,Lookups!$AD$51:$AD$69,0),0),0)))</f>
        <v/>
      </c>
      <c r="BD9" s="156" t="str">
        <f>IF(ISBLANK(AH9),"",IF(AH9="None",0,IF(K9="Gas",INDEX(Lookups!$AI$51:$AI$69,MATCH(AH9,Lookups!$AD$51:$AD$69,0),0),0)))</f>
        <v/>
      </c>
      <c r="BE9" s="157"/>
      <c r="BF9" s="157"/>
      <c r="BG9" s="147" t="str">
        <f t="shared" si="20"/>
        <v/>
      </c>
      <c r="BH9" s="147" t="str">
        <f t="shared" si="21"/>
        <v/>
      </c>
      <c r="BI9" s="147" t="str">
        <f t="shared" si="1"/>
        <v/>
      </c>
      <c r="BJ9" s="147" t="str">
        <f t="shared" si="2"/>
        <v/>
      </c>
      <c r="BK9" s="148" t="str">
        <f t="shared" si="22"/>
        <v/>
      </c>
      <c r="BL9" s="147" t="str">
        <f t="shared" si="3"/>
        <v/>
      </c>
      <c r="BM9" s="148" t="str">
        <f t="shared" si="23"/>
        <v/>
      </c>
      <c r="BN9" s="147" t="str">
        <f t="shared" si="24"/>
        <v/>
      </c>
      <c r="BO9" s="147" t="str">
        <f t="shared" si="4"/>
        <v/>
      </c>
      <c r="BP9" s="147" t="str">
        <f t="shared" si="25"/>
        <v/>
      </c>
      <c r="BQ9" s="148" t="str">
        <f t="shared" si="26"/>
        <v/>
      </c>
      <c r="BR9" s="148" t="str">
        <f t="shared" si="27"/>
        <v/>
      </c>
      <c r="BS9" s="148" t="str">
        <f t="shared" si="28"/>
        <v/>
      </c>
      <c r="BT9" s="148" t="str">
        <f t="shared" si="7"/>
        <v/>
      </c>
      <c r="BU9" s="148" t="str">
        <f t="shared" si="8"/>
        <v/>
      </c>
      <c r="BV9" s="148" t="str">
        <f t="shared" si="9"/>
        <v/>
      </c>
      <c r="BW9" s="148" t="str">
        <f t="shared" si="29"/>
        <v/>
      </c>
      <c r="BX9" s="148" t="str">
        <f t="shared" si="10"/>
        <v/>
      </c>
      <c r="BY9" s="148" t="str">
        <f t="shared" si="11"/>
        <v/>
      </c>
      <c r="BZ9" s="149" t="str">
        <f>IFERROR(INDEX('Prescriptive Rebate Table'!$B$2:$E$64,MATCH(O9,'Prescriptive Rebate Table'!$C$2:$C$64,0),3),"")</f>
        <v/>
      </c>
      <c r="CA9" s="145" t="str">
        <f>IFERROR(INDEX('Prescriptive Rebate Table'!$B$2:$E$64,MATCH(O9,'Prescriptive Rebate Table'!$C$2:$C$64,0),4),"")</f>
        <v/>
      </c>
      <c r="CB9" s="149" t="str">
        <f t="shared" si="30"/>
        <v/>
      </c>
      <c r="CC9" s="145" t="str">
        <f t="shared" si="31"/>
        <v/>
      </c>
      <c r="CD9" s="149" t="str">
        <f t="shared" si="12"/>
        <v/>
      </c>
      <c r="CE9" s="149" t="str">
        <f t="shared" si="13"/>
        <v/>
      </c>
      <c r="CF9" s="149" t="str">
        <f>IF(BK9&lt;=0,0,IFERROR(IF(OR(ISBLANK(AC9),ISBLANK(CD9))=TRUE,"",IF(CA9="Per Foot",INDEX('Fixture Codes'!$I$8:$I$976,MATCH(AD9,'Fixture Codes'!$B$8:$B$976,0))/12*AF9*BZ9,IF(CA9="Lamp",INDEX('Fixture Codes'!$J$8:$J$976,MATCH(AD9,'Fixture Codes'!$B$8:$B$976,0))*AF9*BZ9,IF(CA9="Fixture",AF9*BZ9,IF(CA9="kWh",BK9*BZ9,0))))),""))</f>
        <v/>
      </c>
      <c r="CG9" s="149" t="str">
        <f t="shared" si="32"/>
        <v/>
      </c>
      <c r="CH9" s="149" t="str">
        <f t="shared" si="33"/>
        <v/>
      </c>
      <c r="CI9" s="152"/>
      <c r="CJ9" s="146" t="str">
        <f>IF(OR(ISBLANK(AI9),AI9=Lookups!$A$42,AH9=X9),"",IF(ISBLANK(AF9),"",IF(AI9="",AF9,AI9)))</f>
        <v/>
      </c>
      <c r="CK9" s="241">
        <f>IFERROR(IF(CL9="Yes",'Prescriptive Rebate Table'!$D$69,IF(ISBLANK(AI9),0,IF(AND(AH9=Lookups!$A$62,BK9&gt;0),'Prescriptive Rebate Table'!$D$68,IF(AND(BK9&gt;0,CJ9=AF9),'Prescriptive Rebate Table'!$D$67,IF(AND(BK9&gt;0,CJ9&lt;&gt;AF9),'Prescriptive Rebate Table'!D68,0))))),"")</f>
        <v>0</v>
      </c>
      <c r="CL9" s="240" t="s">
        <v>2712</v>
      </c>
      <c r="CM9" s="152"/>
      <c r="CN9" s="152"/>
      <c r="CO9" s="152"/>
      <c r="CP9" s="146">
        <f t="shared" si="14"/>
        <v>0</v>
      </c>
      <c r="CQ9" s="153">
        <f>IF(D9="Interior",ROUND(($AG9*AF9)/1000*$AM9*(Lookups!$B$54-$AA9)*$AN9*$AO9,3),0)</f>
        <v>0</v>
      </c>
      <c r="CR9" s="153">
        <f>IFERROR(IF(D9="Interior",ROUND(($AG9*$AF9)/1000*(Lookups!$C$54-$AB9)*$AN9*AQ9*AT9,6),0),"")</f>
        <v>0</v>
      </c>
      <c r="CS9" s="165">
        <f t="shared" si="34"/>
        <v>0</v>
      </c>
      <c r="CT9" s="165">
        <f t="shared" si="35"/>
        <v>0</v>
      </c>
      <c r="CV9" s="153">
        <f>IF(D9="Interior",ROUND(($AG9*AF9)/1000*$AM9*(Lookups!$B$43-$AA9)*$AN9*$AO9,3),0)</f>
        <v>0</v>
      </c>
      <c r="CW9" s="153">
        <f>IFERROR(IF(D9="Interior",ROUND(($AG9*$AF9)/1000*(Lookups!$C$43-$AB9)*$AN9*AQ9*AT9,6),0),"")</f>
        <v>0</v>
      </c>
      <c r="CX9" s="165">
        <f t="shared" si="15"/>
        <v>0</v>
      </c>
      <c r="CY9" s="165">
        <f t="shared" si="16"/>
        <v>0</v>
      </c>
      <c r="DA9" s="153">
        <f>IF(D9="Interior",ROUND(($AG9*AF9*(1-0.15))/1000*$AM9*(Lookups!$B$43+0.097-$AA9)*$AN9*$AO9+((W9*V9)/1000*AN9*AM9*AO9*0.15),3),0)</f>
        <v>0</v>
      </c>
      <c r="DB9" s="153">
        <f>IFERROR(IF(D9="Interior",ROUND(($AG9*$AF9)/1000*(Lookups!$C$43+0.097-$AB9)*$AN9*AQ9*AT9+(($AG9*$AF9)/1000*$AN9*AQ9*AT9*0.15),6),0),"")</f>
        <v>0</v>
      </c>
      <c r="DC9" s="165">
        <f t="shared" si="17"/>
        <v>0</v>
      </c>
      <c r="DD9" s="165">
        <f t="shared" si="18"/>
        <v>0</v>
      </c>
    </row>
    <row r="10" spans="1:108" s="164" customFormat="1">
      <c r="A10" s="150">
        <v>6</v>
      </c>
      <c r="B10" s="153" t="str">
        <f>IFERROR(INDEX(Lookups!$B$2:$B$38,MATCH('Project Info &amp; Summary'!$C$19,Lookups!$A$2:$A$38,0)),"")</f>
        <v/>
      </c>
      <c r="C10" s="153" t="str">
        <f>IFERROR(INDEX(Lookups!$C$2:$C$38,MATCH('Project Info &amp; Summary'!$C$19,Lookups!$A$2:$A$38,0)),"")</f>
        <v/>
      </c>
      <c r="D10" s="163"/>
      <c r="E10" s="160"/>
      <c r="F10" s="158"/>
      <c r="G10" s="158"/>
      <c r="H10" s="158"/>
      <c r="I10" s="158"/>
      <c r="J10" s="154" t="str">
        <f>IFERROR(INDEX(Lookups!$W$21:$W$26,MATCH(I10,Lookups!$V$21:$V$26,0)),"")</f>
        <v/>
      </c>
      <c r="K10" s="158"/>
      <c r="L10" s="162" t="str">
        <f>IFERROR(INDEX(Lookups!$Y$2:$Y$19,MATCH(_xlfn.CONCAT(I10,K10),Lookups!$X$2:$X$19,0)),"")</f>
        <v/>
      </c>
      <c r="M10" s="158"/>
      <c r="N10" s="153" t="str">
        <f>IFERROR(INDEX('Prescriptive Rebate Table'!$M$3:$M$20,MATCH(M10,'Prescriptive Rebate Table'!$L$3:$L$20,0)),"")</f>
        <v/>
      </c>
      <c r="O10" s="158"/>
      <c r="P10" s="154" t="str">
        <f>IFERROR(INDEX('Prescriptive Rebate Table'!$B$2:$H$64, MATCH(O10,'Prescriptive Rebate Table'!$C$2:$C$64,0),7),"")</f>
        <v/>
      </c>
      <c r="Q10" s="155" t="str">
        <f>IFERROR(INDEX('Prescriptive Rebate Table'!$B$2:$I$64, MATCH(O10,'Prescriptive Rebate Table'!$C$2:$C$64,0),8),"")</f>
        <v/>
      </c>
      <c r="R10" s="155" t="str">
        <f>IFERROR(INDEX('Prescriptive Rebate Table'!$B$2:$J$64, MATCH(O10,'Prescriptive Rebate Table'!$C$2:$C$64,0),9),"")</f>
        <v/>
      </c>
      <c r="S10" s="160"/>
      <c r="T10" s="145" t="str">
        <f>IFERROR(INDEX('Fixture Codes'!$M$8:$M$976,MATCH(S10,'Fixture Codes'!$B$8:$B$976,0)),"")</f>
        <v/>
      </c>
      <c r="U10" s="145" t="str">
        <f>IFERROR(INDEX('Fixture Codes'!$B$7:$M$976,MATCH(T10,'Fixture Codes'!$B$7:$B$976,0),5),"")</f>
        <v/>
      </c>
      <c r="V10" s="160"/>
      <c r="W10" s="145" t="str">
        <f>IFERROR(INDEX('Fixture Codes'!$L$8:$L$976,MATCH(T10,'Fixture Codes'!$B$8:$B$976,0)),"")</f>
        <v/>
      </c>
      <c r="X10" s="158"/>
      <c r="Y10" s="159"/>
      <c r="Z10" s="155" t="str">
        <f>IFERROR(INDEX(Lookups!B$68:B$87,MATCH($X10,Lookups!$A$68:$A$87,0)),"")</f>
        <v/>
      </c>
      <c r="AA10" s="150" t="str">
        <f>IFERROR(INDEX(Lookups!B$42:B$62,MATCH($X10,Lookups!$A$42:$A$62,0)),"")</f>
        <v/>
      </c>
      <c r="AB10" s="150" t="str">
        <f>IFERROR(INDEX(Lookups!C$42:C$62,MATCH($X10,Lookups!$A$42:$A$62,0)),"")</f>
        <v/>
      </c>
      <c r="AC10" s="161"/>
      <c r="AD10" s="160"/>
      <c r="AE10" s="150" t="str">
        <f>IFERROR(INDEX('Fixture Codes'!$B$7:$M$976,MATCH(AD10,'Fixture Codes'!$B$7:$B$976,0),5),"")</f>
        <v/>
      </c>
      <c r="AF10" s="160"/>
      <c r="AG10" s="145" t="str">
        <f>IFERROR(INDEX('Fixture Codes'!$L$8:$L$976,MATCH(AD10,'Fixture Codes'!$B$8:$B$976,0)),"")</f>
        <v/>
      </c>
      <c r="AH10" s="158"/>
      <c r="AI10" s="159"/>
      <c r="AJ10" s="150" t="str">
        <f>IFERROR(INDEX(Lookups!B$68:B$87,MATCH($AH10,Lookups!$A$68:$A$87,0)),"")</f>
        <v/>
      </c>
      <c r="AK10" s="150" t="str">
        <f>IFERROR(INDEX(Lookups!B$42:B$62,MATCH($AH10,Lookups!$A$42:$A$62,0)),"")</f>
        <v/>
      </c>
      <c r="AL10" s="150" t="str">
        <f>IFERROR(INDEX(Lookups!C$42:C$62,MATCH($AH10,Lookups!$A$42:$A$62,0)),"")</f>
        <v/>
      </c>
      <c r="AM10" s="150" t="str">
        <f>IFERROR(IF(M10="Exit Signs",8760,IF(INDEX('Fixture Codes'!$C$8:$C$976,MATCH(AD10,'Fixture Codes'!$B$8:$B$976,0))="Exit Sign",8760,INDEX(Lookups!$I$2:$I$428,MATCH(_xlfn.CONCAT(B10,H10),Lookups!$H$2:$H$428,0)))),"")</f>
        <v/>
      </c>
      <c r="AN10" s="153">
        <v>1</v>
      </c>
      <c r="AO10" s="150" t="str">
        <f>IF($D10="Interior",INDEX(Lookups!Q$2:Q$86,MATCH(_xlfn.CONCAT($C10,$L10),Lookups!$P$2:$P$86,0)),IF($D10="Exterior",1,""))</f>
        <v/>
      </c>
      <c r="AP10" s="150">
        <f t="shared" si="19"/>
        <v>1</v>
      </c>
      <c r="AQ10" s="150" t="str">
        <f>IF($D10="Interior",INDEX(Lookups!R$2:R$86,MATCH(_xlfn.CONCAT($C10,$L10),Lookups!$P$2:$P$86,0)),IF($D10="Exterior",1,""))</f>
        <v/>
      </c>
      <c r="AR10" s="150" t="str">
        <f>IF($D10="Interior",INDEX(Lookups!S$2:S$86,MATCH(_xlfn.CONCAT($C10,$L10),Lookups!$P$2:$P$86,0)),IF($D10="Exterior",1,""))</f>
        <v/>
      </c>
      <c r="AS10" s="150" t="str">
        <f>IF($D10="Interior",INDEX(Lookups!T$2:T$86,MATCH(_xlfn.CONCAT($C10,$L10),Lookups!$P$2:$P$86,0)),IF($D10="Exterior",1,""))</f>
        <v/>
      </c>
      <c r="AT10" s="150" t="str">
        <f>IFERROR(IF(M10="Exit Signs",1,IF(INDEX('Fixture Codes'!$C$8:$C$976,MATCH($AD10,'Fixture Codes'!$B$8:$B$976,0))="Exit Sign",1,INDEX(Lookups!J$2:J$428,MATCH(_xlfn.CONCAT($B10,$H10),Lookups!$H$2:$H$428,0)))),"")</f>
        <v/>
      </c>
      <c r="AU10" s="150" t="str">
        <f>IFERROR(IF(M10="Exit Signs",1,IF(INDEX('Fixture Codes'!$C$8:$C$976,MATCH($AD10,'Fixture Codes'!$B$8:$B$976,0))="Exit Sign",1,INDEX(Lookups!K$2:K$428,MATCH(_xlfn.CONCAT($B10,$H10),Lookups!$H$2:$H$428,0)))),"")</f>
        <v/>
      </c>
      <c r="AV10" s="150" t="str">
        <f>IFERROR(IF(M10="Exit Signs",1,IF(INDEX('Fixture Codes'!$C$8:$C$976,MATCH($AD10,'Fixture Codes'!$B$8:$B$976,0))="Exit Sign",1,INDEX(Lookups!L$2:L$428,MATCH(_xlfn.CONCAT($B10,$H10),Lookups!$H$2:$H$428,0)))),"")</f>
        <v/>
      </c>
      <c r="AW10" s="150" t="str">
        <f>IF(ISBLANK(K10),"",IF(K10="Gas",INDEX(Lookups!$AG$2:$AG$63,MATCH(O10,Lookups!$AD$2:$AD$63,0),0),0))</f>
        <v/>
      </c>
      <c r="AX10" s="150" t="str">
        <f>IF(ISBLANK(K10),"",IF(K10="Gas",INDEX(Lookups!$AF$2:$AF$63,MATCH(O10,Lookups!$AD$2:$AD$63,0),0),0))</f>
        <v/>
      </c>
      <c r="AY10" s="150" t="str">
        <f>IF(ISBLANK(K10),"",IF(K10="Gas",INDEX(Lookups!$AH$2:$AH$63,MATCH(O10,Lookups!$AD$2:$AD$63,0),0),0))</f>
        <v/>
      </c>
      <c r="AZ10" s="150" t="str">
        <f>IF(ISBLANK(K10),"",IF(K10="Gas",INDEX(Lookups!$AI$2:$AI$63,MATCH(O10,Lookups!$AD$2:$AD$63,0),0),0))</f>
        <v/>
      </c>
      <c r="BA10" s="150" t="str">
        <f t="shared" si="0"/>
        <v/>
      </c>
      <c r="BB10" s="156" t="str">
        <f>IF(ISBLANK(AH10),"",IF(AH10="None",0,IF(K10="Gas",INDEX(Lookups!$AF$51:$AF$69,MATCH(AH10,Lookups!$AD$51:$AD$69,0),0),0)))</f>
        <v/>
      </c>
      <c r="BC10" s="156" t="str">
        <f>IF(ISBLANK(AH10),"",IF(AH10="None",0,IF(K10="Gas",INDEX(Lookups!$AH$51:$AH$69,MATCH(AH10,Lookups!$AD$51:$AD$69,0),0),0)))</f>
        <v/>
      </c>
      <c r="BD10" s="156" t="str">
        <f>IF(ISBLANK(AH10),"",IF(AH10="None",0,IF(K10="Gas",INDEX(Lookups!$AI$51:$AI$69,MATCH(AH10,Lookups!$AD$51:$AD$69,0),0),0)))</f>
        <v/>
      </c>
      <c r="BE10" s="157"/>
      <c r="BF10" s="157"/>
      <c r="BG10" s="147" t="str">
        <f t="shared" si="20"/>
        <v/>
      </c>
      <c r="BH10" s="147" t="str">
        <f t="shared" si="21"/>
        <v/>
      </c>
      <c r="BI10" s="147" t="str">
        <f t="shared" si="1"/>
        <v/>
      </c>
      <c r="BJ10" s="147" t="str">
        <f t="shared" si="2"/>
        <v/>
      </c>
      <c r="BK10" s="148" t="str">
        <f t="shared" si="22"/>
        <v/>
      </c>
      <c r="BL10" s="147" t="str">
        <f t="shared" si="3"/>
        <v/>
      </c>
      <c r="BM10" s="148" t="str">
        <f t="shared" si="23"/>
        <v/>
      </c>
      <c r="BN10" s="147" t="str">
        <f t="shared" si="24"/>
        <v/>
      </c>
      <c r="BO10" s="147" t="str">
        <f t="shared" si="4"/>
        <v/>
      </c>
      <c r="BP10" s="147" t="str">
        <f t="shared" si="25"/>
        <v/>
      </c>
      <c r="BQ10" s="148" t="str">
        <f t="shared" si="26"/>
        <v/>
      </c>
      <c r="BR10" s="148" t="str">
        <f t="shared" si="27"/>
        <v/>
      </c>
      <c r="BS10" s="148" t="str">
        <f t="shared" si="28"/>
        <v/>
      </c>
      <c r="BT10" s="148" t="str">
        <f t="shared" si="7"/>
        <v/>
      </c>
      <c r="BU10" s="148" t="str">
        <f t="shared" si="8"/>
        <v/>
      </c>
      <c r="BV10" s="148" t="str">
        <f t="shared" si="9"/>
        <v/>
      </c>
      <c r="BW10" s="148" t="str">
        <f t="shared" si="29"/>
        <v/>
      </c>
      <c r="BX10" s="148" t="str">
        <f t="shared" si="10"/>
        <v/>
      </c>
      <c r="BY10" s="148" t="str">
        <f t="shared" si="11"/>
        <v/>
      </c>
      <c r="BZ10" s="149" t="str">
        <f>IFERROR(INDEX('Prescriptive Rebate Table'!$B$2:$E$64,MATCH(O10,'Prescriptive Rebate Table'!$C$2:$C$64,0),3),"")</f>
        <v/>
      </c>
      <c r="CA10" s="145" t="str">
        <f>IFERROR(INDEX('Prescriptive Rebate Table'!$B$2:$E$64,MATCH(O10,'Prescriptive Rebate Table'!$C$2:$C$64,0),4),"")</f>
        <v/>
      </c>
      <c r="CB10" s="149" t="str">
        <f t="shared" si="30"/>
        <v/>
      </c>
      <c r="CC10" s="145" t="str">
        <f t="shared" si="31"/>
        <v/>
      </c>
      <c r="CD10" s="149" t="str">
        <f t="shared" si="12"/>
        <v/>
      </c>
      <c r="CE10" s="149" t="str">
        <f t="shared" si="13"/>
        <v/>
      </c>
      <c r="CF10" s="149" t="str">
        <f>IF(BK10&lt;=0,0,IFERROR(IF(OR(ISBLANK(AC10),ISBLANK(CD10))=TRUE,"",IF(CA10="Per Foot",INDEX('Fixture Codes'!$I$8:$I$976,MATCH(AD10,'Fixture Codes'!$B$8:$B$976,0))/12*AF10*BZ10,IF(CA10="Lamp",INDEX('Fixture Codes'!$J$8:$J$976,MATCH(AD10,'Fixture Codes'!$B$8:$B$976,0))*AF10*BZ10,IF(CA10="Fixture",AF10*BZ10,IF(CA10="kWh",BK10*BZ10,0))))),""))</f>
        <v/>
      </c>
      <c r="CG10" s="149" t="str">
        <f t="shared" si="32"/>
        <v/>
      </c>
      <c r="CH10" s="149" t="str">
        <f t="shared" si="33"/>
        <v/>
      </c>
      <c r="CI10" s="152"/>
      <c r="CJ10" s="146" t="str">
        <f>IF(OR(ISBLANK(AI10),AI10=Lookups!$A$42,AH10=X10),"",IF(ISBLANK(AF10),"",IF(AI10="",AF10,AI10)))</f>
        <v/>
      </c>
      <c r="CK10" s="241">
        <f>IFERROR(IF(CL10="Yes",'Prescriptive Rebate Table'!$D$69,IF(ISBLANK(AI10),0,IF(AND(AH10=Lookups!$A$62,BK10&gt;0),'Prescriptive Rebate Table'!$D$68,IF(AND(BK10&gt;0,CJ10=AF10),'Prescriptive Rebate Table'!$D$67,IF(AND(BK10&gt;0,CJ10&lt;&gt;AF10),'Prescriptive Rebate Table'!D69,0))))),"")</f>
        <v>0.28000000000000003</v>
      </c>
      <c r="CL10" s="240" t="s">
        <v>2773</v>
      </c>
      <c r="CM10" s="152"/>
      <c r="CN10" s="152"/>
      <c r="CO10" s="152"/>
      <c r="CP10" s="146">
        <f t="shared" si="14"/>
        <v>0</v>
      </c>
      <c r="CQ10" s="153">
        <f>IF(D10="Interior",ROUND(($AG10*AF10)/1000*$AM10*(Lookups!$B$54-$AA10)*$AN10*$AO10,3),0)</f>
        <v>0</v>
      </c>
      <c r="CR10" s="153">
        <f>IFERROR(IF(D10="Interior",ROUND(($AG10*$AF10)/1000*(Lookups!$C$54-$AB10)*$AN10*AQ10*AT10,6),0),"")</f>
        <v>0</v>
      </c>
      <c r="CS10" s="165">
        <f t="shared" si="34"/>
        <v>0</v>
      </c>
      <c r="CT10" s="165">
        <f t="shared" si="35"/>
        <v>0</v>
      </c>
      <c r="CV10" s="153">
        <f>IF(D10="Interior",ROUND(($AG10*AF10)/1000*$AM10*(Lookups!$B$43-$AA10)*$AN10*$AO10,3),0)</f>
        <v>0</v>
      </c>
      <c r="CW10" s="153">
        <f>IFERROR(IF(D10="Interior",ROUND(($AG10*$AF10)/1000*(Lookups!$C$43-$AB10)*$AN10*AQ10*AT10,6),0),"")</f>
        <v>0</v>
      </c>
      <c r="CX10" s="165">
        <f t="shared" si="15"/>
        <v>0</v>
      </c>
      <c r="CY10" s="165">
        <f t="shared" si="16"/>
        <v>0</v>
      </c>
      <c r="DA10" s="153">
        <f>IF(D10="Interior",ROUND(($AG10*AF10*(1-0.15))/1000*$AM10*(Lookups!$B$43+0.097-$AA10)*$AN10*$AO10+((W10*V10)/1000*AN10*AM10*AO10*0.15),3),0)</f>
        <v>0</v>
      </c>
      <c r="DB10" s="153">
        <f>IFERROR(IF(D10="Interior",ROUND(($AG10*$AF10)/1000*(Lookups!$C$43+0.097-$AB10)*$AN10*AQ10*AT10+(($AG10*$AF10)/1000*$AN10*AQ10*AT10*0.15),6),0),"")</f>
        <v>0</v>
      </c>
      <c r="DC10" s="165">
        <f t="shared" si="17"/>
        <v>0</v>
      </c>
      <c r="DD10" s="165">
        <f t="shared" si="18"/>
        <v>0</v>
      </c>
    </row>
    <row r="11" spans="1:108" s="164" customFormat="1">
      <c r="A11" s="150">
        <v>7</v>
      </c>
      <c r="B11" s="153" t="str">
        <f>IFERROR(INDEX(Lookups!$B$2:$B$38,MATCH('Project Info &amp; Summary'!$C$19,Lookups!$A$2:$A$38,0)),"")</f>
        <v/>
      </c>
      <c r="C11" s="153" t="str">
        <f>IFERROR(INDEX(Lookups!$C$2:$C$38,MATCH('Project Info &amp; Summary'!$C$19,Lookups!$A$2:$A$38,0)),"")</f>
        <v/>
      </c>
      <c r="D11" s="163"/>
      <c r="E11" s="160"/>
      <c r="F11" s="158"/>
      <c r="G11" s="158"/>
      <c r="H11" s="158"/>
      <c r="I11" s="158"/>
      <c r="J11" s="154" t="str">
        <f>IFERROR(INDEX(Lookups!$W$21:$W$26,MATCH(I11,Lookups!$V$21:$V$26,0)),"")</f>
        <v/>
      </c>
      <c r="K11" s="158"/>
      <c r="L11" s="162" t="str">
        <f>IFERROR(INDEX(Lookups!$Y$2:$Y$19,MATCH(_xlfn.CONCAT(I11,K11),Lookups!$X$2:$X$19,0)),"")</f>
        <v/>
      </c>
      <c r="M11" s="158"/>
      <c r="N11" s="153" t="str">
        <f>IFERROR(INDEX('Prescriptive Rebate Table'!$M$3:$M$20,MATCH(M11,'Prescriptive Rebate Table'!$L$3:$L$20,0)),"")</f>
        <v/>
      </c>
      <c r="O11" s="158"/>
      <c r="P11" s="154" t="str">
        <f>IFERROR(INDEX('Prescriptive Rebate Table'!$B$2:$H$64, MATCH(O11,'Prescriptive Rebate Table'!$C$2:$C$64,0),7),"")</f>
        <v/>
      </c>
      <c r="Q11" s="155" t="str">
        <f>IFERROR(INDEX('Prescriptive Rebate Table'!$B$2:$I$64, MATCH(O11,'Prescriptive Rebate Table'!$C$2:$C$64,0),8),"")</f>
        <v/>
      </c>
      <c r="R11" s="155" t="str">
        <f>IFERROR(INDEX('Prescriptive Rebate Table'!$B$2:$J$64, MATCH(O11,'Prescriptive Rebate Table'!$C$2:$C$64,0),9),"")</f>
        <v/>
      </c>
      <c r="S11" s="160"/>
      <c r="T11" s="145" t="str">
        <f>IFERROR(INDEX('Fixture Codes'!$M$8:$M$976,MATCH(S11,'Fixture Codes'!$B$8:$B$976,0)),"")</f>
        <v/>
      </c>
      <c r="U11" s="145" t="str">
        <f>IFERROR(INDEX('Fixture Codes'!$B$7:$M$976,MATCH(T11,'Fixture Codes'!$B$7:$B$976,0),5),"")</f>
        <v/>
      </c>
      <c r="V11" s="160"/>
      <c r="W11" s="145" t="str">
        <f>IFERROR(INDEX('Fixture Codes'!$L$8:$L$976,MATCH(T11,'Fixture Codes'!$B$8:$B$976,0)),"")</f>
        <v/>
      </c>
      <c r="X11" s="158"/>
      <c r="Y11" s="159"/>
      <c r="Z11" s="155" t="str">
        <f>IFERROR(INDEX(Lookups!B$68:B$87,MATCH($X11,Lookups!$A$68:$A$87,0)),"")</f>
        <v/>
      </c>
      <c r="AA11" s="150" t="str">
        <f>IFERROR(INDEX(Lookups!B$42:B$62,MATCH($X11,Lookups!$A$42:$A$62,0)),"")</f>
        <v/>
      </c>
      <c r="AB11" s="150" t="str">
        <f>IFERROR(INDEX(Lookups!C$42:C$62,MATCH($X11,Lookups!$A$42:$A$62,0)),"")</f>
        <v/>
      </c>
      <c r="AC11" s="161"/>
      <c r="AD11" s="160"/>
      <c r="AE11" s="150" t="str">
        <f>IFERROR(INDEX('Fixture Codes'!$B$7:$M$976,MATCH(AD11,'Fixture Codes'!$B$7:$B$976,0),5),"")</f>
        <v/>
      </c>
      <c r="AF11" s="160"/>
      <c r="AG11" s="145" t="str">
        <f>IFERROR(INDEX('Fixture Codes'!$L$8:$L$976,MATCH(AD11,'Fixture Codes'!$B$8:$B$976,0)),"")</f>
        <v/>
      </c>
      <c r="AH11" s="158"/>
      <c r="AI11" s="159"/>
      <c r="AJ11" s="150" t="str">
        <f>IFERROR(INDEX(Lookups!B$68:B$87,MATCH($AH11,Lookups!$A$68:$A$87,0)),"")</f>
        <v/>
      </c>
      <c r="AK11" s="150" t="str">
        <f>IFERROR(INDEX(Lookups!B$42:B$62,MATCH($AH11,Lookups!$A$42:$A$62,0)),"")</f>
        <v/>
      </c>
      <c r="AL11" s="150" t="str">
        <f>IFERROR(INDEX(Lookups!C$42:C$62,MATCH($AH11,Lookups!$A$42:$A$62,0)),"")</f>
        <v/>
      </c>
      <c r="AM11" s="150" t="str">
        <f>IFERROR(IF(M11="Exit Signs",8760,IF(INDEX('Fixture Codes'!$C$8:$C$976,MATCH(AD11,'Fixture Codes'!$B$8:$B$976,0))="Exit Sign",8760,INDEX(Lookups!$I$2:$I$428,MATCH(_xlfn.CONCAT(B11,H11),Lookups!$H$2:$H$428,0)))),"")</f>
        <v/>
      </c>
      <c r="AN11" s="153">
        <v>1</v>
      </c>
      <c r="AO11" s="150" t="str">
        <f>IF($D11="Interior",INDEX(Lookups!Q$2:Q$86,MATCH(_xlfn.CONCAT($C11,$L11),Lookups!$P$2:$P$86,0)),IF($D11="Exterior",1,""))</f>
        <v/>
      </c>
      <c r="AP11" s="150">
        <f t="shared" si="19"/>
        <v>1</v>
      </c>
      <c r="AQ11" s="150" t="str">
        <f>IF($D11="Interior",INDEX(Lookups!R$2:R$86,MATCH(_xlfn.CONCAT($C11,$L11),Lookups!$P$2:$P$86,0)),IF($D11="Exterior",1,""))</f>
        <v/>
      </c>
      <c r="AR11" s="150" t="str">
        <f>IF($D11="Interior",INDEX(Lookups!S$2:S$86,MATCH(_xlfn.CONCAT($C11,$L11),Lookups!$P$2:$P$86,0)),IF($D11="Exterior",1,""))</f>
        <v/>
      </c>
      <c r="AS11" s="150" t="str">
        <f>IF($D11="Interior",INDEX(Lookups!T$2:T$86,MATCH(_xlfn.CONCAT($C11,$L11),Lookups!$P$2:$P$86,0)),IF($D11="Exterior",1,""))</f>
        <v/>
      </c>
      <c r="AT11" s="150" t="str">
        <f>IFERROR(IF(M11="Exit Signs",1,IF(INDEX('Fixture Codes'!$C$8:$C$976,MATCH($AD11,'Fixture Codes'!$B$8:$B$976,0))="Exit Sign",1,INDEX(Lookups!J$2:J$428,MATCH(_xlfn.CONCAT($B11,$H11),Lookups!$H$2:$H$428,0)))),"")</f>
        <v/>
      </c>
      <c r="AU11" s="150" t="str">
        <f>IFERROR(IF(M11="Exit Signs",1,IF(INDEX('Fixture Codes'!$C$8:$C$976,MATCH($AD11,'Fixture Codes'!$B$8:$B$976,0))="Exit Sign",1,INDEX(Lookups!K$2:K$428,MATCH(_xlfn.CONCAT($B11,$H11),Lookups!$H$2:$H$428,0)))),"")</f>
        <v/>
      </c>
      <c r="AV11" s="150" t="str">
        <f>IFERROR(IF(M11="Exit Signs",1,IF(INDEX('Fixture Codes'!$C$8:$C$976,MATCH($AD11,'Fixture Codes'!$B$8:$B$976,0))="Exit Sign",1,INDEX(Lookups!L$2:L$428,MATCH(_xlfn.CONCAT($B11,$H11),Lookups!$H$2:$H$428,0)))),"")</f>
        <v/>
      </c>
      <c r="AW11" s="150" t="str">
        <f>IF(ISBLANK(K11),"",IF(K11="Gas",INDEX(Lookups!$AG$2:$AG$63,MATCH(O11,Lookups!$AD$2:$AD$63,0),0),0))</f>
        <v/>
      </c>
      <c r="AX11" s="150" t="str">
        <f>IF(ISBLANK(K11),"",IF(K11="Gas",INDEX(Lookups!$AF$2:$AF$63,MATCH(O11,Lookups!$AD$2:$AD$63,0),0),0))</f>
        <v/>
      </c>
      <c r="AY11" s="150" t="str">
        <f>IF(ISBLANK(K11),"",IF(K11="Gas",INDEX(Lookups!$AH$2:$AH$63,MATCH(O11,Lookups!$AD$2:$AD$63,0),0),0))</f>
        <v/>
      </c>
      <c r="AZ11" s="150" t="str">
        <f>IF(ISBLANK(K11),"",IF(K11="Gas",INDEX(Lookups!$AI$2:$AI$63,MATCH(O11,Lookups!$AD$2:$AD$63,0),0),0))</f>
        <v/>
      </c>
      <c r="BA11" s="150" t="str">
        <f t="shared" si="0"/>
        <v/>
      </c>
      <c r="BB11" s="156" t="str">
        <f>IF(ISBLANK(AH11),"",IF(AH11="None",0,IF(K11="Gas",INDEX(Lookups!$AF$51:$AF$69,MATCH(AH11,Lookups!$AD$51:$AD$69,0),0),0)))</f>
        <v/>
      </c>
      <c r="BC11" s="156" t="str">
        <f>IF(ISBLANK(AH11),"",IF(AH11="None",0,IF(K11="Gas",INDEX(Lookups!$AH$51:$AH$69,MATCH(AH11,Lookups!$AD$51:$AD$69,0),0),0)))</f>
        <v/>
      </c>
      <c r="BD11" s="156" t="str">
        <f>IF(ISBLANK(AH11),"",IF(AH11="None",0,IF(K11="Gas",INDEX(Lookups!$AI$51:$AI$69,MATCH(AH11,Lookups!$AD$51:$AD$69,0),0),0)))</f>
        <v/>
      </c>
      <c r="BE11" s="157"/>
      <c r="BF11" s="157"/>
      <c r="BG11" s="147" t="str">
        <f t="shared" si="20"/>
        <v/>
      </c>
      <c r="BH11" s="147" t="str">
        <f t="shared" si="21"/>
        <v/>
      </c>
      <c r="BI11" s="147" t="str">
        <f t="shared" si="1"/>
        <v/>
      </c>
      <c r="BJ11" s="147" t="str">
        <f t="shared" si="2"/>
        <v/>
      </c>
      <c r="BK11" s="148" t="str">
        <f t="shared" si="22"/>
        <v/>
      </c>
      <c r="BL11" s="147" t="str">
        <f t="shared" si="3"/>
        <v/>
      </c>
      <c r="BM11" s="148" t="str">
        <f t="shared" si="23"/>
        <v/>
      </c>
      <c r="BN11" s="147" t="str">
        <f t="shared" si="24"/>
        <v/>
      </c>
      <c r="BO11" s="147" t="str">
        <f t="shared" si="4"/>
        <v/>
      </c>
      <c r="BP11" s="147" t="str">
        <f t="shared" si="25"/>
        <v/>
      </c>
      <c r="BQ11" s="148" t="str">
        <f t="shared" si="26"/>
        <v/>
      </c>
      <c r="BR11" s="148" t="str">
        <f t="shared" si="27"/>
        <v/>
      </c>
      <c r="BS11" s="148" t="str">
        <f t="shared" si="28"/>
        <v/>
      </c>
      <c r="BT11" s="148" t="str">
        <f t="shared" si="7"/>
        <v/>
      </c>
      <c r="BU11" s="148" t="str">
        <f t="shared" si="8"/>
        <v/>
      </c>
      <c r="BV11" s="148" t="str">
        <f t="shared" si="9"/>
        <v/>
      </c>
      <c r="BW11" s="148" t="str">
        <f t="shared" si="29"/>
        <v/>
      </c>
      <c r="BX11" s="148" t="str">
        <f t="shared" si="10"/>
        <v/>
      </c>
      <c r="BY11" s="148" t="str">
        <f t="shared" si="11"/>
        <v/>
      </c>
      <c r="BZ11" s="149" t="str">
        <f>IFERROR(INDEX('Prescriptive Rebate Table'!$B$2:$E$64,MATCH(O11,'Prescriptive Rebate Table'!$C$2:$C$64,0),3),"")</f>
        <v/>
      </c>
      <c r="CA11" s="145" t="str">
        <f>IFERROR(INDEX('Prescriptive Rebate Table'!$B$2:$E$64,MATCH(O11,'Prescriptive Rebate Table'!$C$2:$C$64,0),4),"")</f>
        <v/>
      </c>
      <c r="CB11" s="149" t="str">
        <f t="shared" si="30"/>
        <v/>
      </c>
      <c r="CC11" s="145" t="str">
        <f t="shared" si="31"/>
        <v/>
      </c>
      <c r="CD11" s="149" t="str">
        <f t="shared" si="12"/>
        <v/>
      </c>
      <c r="CE11" s="149" t="str">
        <f t="shared" si="13"/>
        <v/>
      </c>
      <c r="CF11" s="149" t="str">
        <f>IF(BK11&lt;=0,0,IFERROR(IF(OR(ISBLANK(AC11),ISBLANK(CD11))=TRUE,"",IF(CA11="Per Foot",INDEX('Fixture Codes'!$I$8:$I$976,MATCH(AD11,'Fixture Codes'!$B$8:$B$976,0))/12*AF11*BZ11,IF(CA11="Lamp",INDEX('Fixture Codes'!$J$8:$J$976,MATCH(AD11,'Fixture Codes'!$B$8:$B$976,0))*AF11*BZ11,IF(CA11="Fixture",AF11*BZ11,IF(CA11="kWh",BK11*BZ11,0))))),""))</f>
        <v/>
      </c>
      <c r="CG11" s="149" t="str">
        <f t="shared" si="32"/>
        <v/>
      </c>
      <c r="CH11" s="149" t="str">
        <f t="shared" si="33"/>
        <v/>
      </c>
      <c r="CI11" s="152"/>
      <c r="CJ11" s="146"/>
      <c r="CK11" s="241">
        <f>IFERROR(IF(CL11="Yes",'Prescriptive Rebate Table'!$D$69,IF(ISBLANK(AI11),0,IF(AND(AH11=Lookups!$A$62,BK11&gt;0),'Prescriptive Rebate Table'!$D$68,IF(AND(BK11&gt;0,CJ11=AF11),'Prescriptive Rebate Table'!$D$67,IF(AND(BK11&gt;0,CJ11&lt;&gt;AF11),'Prescriptive Rebate Table'!D70,0))))),"")</f>
        <v>0</v>
      </c>
      <c r="CL11" s="240" t="s">
        <v>2712</v>
      </c>
      <c r="CM11" s="152"/>
      <c r="CN11" s="152"/>
      <c r="CO11" s="152"/>
      <c r="CP11" s="146">
        <f t="shared" si="14"/>
        <v>0</v>
      </c>
      <c r="CQ11" s="153">
        <f>IF(D11="Interior",ROUND(($AG11*AF11)/1000*$AM11*(Lookups!$B$54-$AA11)*$AN11*$AO11,3),0)</f>
        <v>0</v>
      </c>
      <c r="CR11" s="153">
        <f>IFERROR(IF(D11="Interior",ROUND(($AG11*$AF11)/1000*(Lookups!$C$54-$AB11)*$AN11*AQ11*AT11,6),0),"")</f>
        <v>0</v>
      </c>
      <c r="CS11" s="165">
        <f t="shared" si="34"/>
        <v>0</v>
      </c>
      <c r="CT11" s="165">
        <f t="shared" si="35"/>
        <v>0</v>
      </c>
      <c r="CV11" s="153">
        <f>IF(D11="Interior",ROUND(($AG11*AF11)/1000*$AM11*(Lookups!$B$43-$AA11)*$AN11*$AO11,3),0)</f>
        <v>0</v>
      </c>
      <c r="CW11" s="153">
        <f>IFERROR(IF(D11="Interior",ROUND(($AG11*$AF11)/1000*(Lookups!$C$43-$AB11)*$AN11*AQ11*AT11,6),0),"")</f>
        <v>0</v>
      </c>
      <c r="CX11" s="165">
        <f t="shared" si="15"/>
        <v>0</v>
      </c>
      <c r="CY11" s="165">
        <f t="shared" si="16"/>
        <v>0</v>
      </c>
      <c r="DA11" s="153">
        <f>IF(D11="Interior",ROUND(($AG11*AF11*(1-0.15))/1000*$AM11*(Lookups!$B$43+0.097-$AA11)*$AN11*$AO11+((W11*V11)/1000*AN11*AM11*AO11*0.15),3),0)</f>
        <v>0</v>
      </c>
      <c r="DB11" s="153">
        <f>IFERROR(IF(D11="Interior",ROUND(($AG11*$AF11)/1000*(Lookups!$C$43+0.097-$AB11)*$AN11*AQ11*AT11+(($AG11*$AF11)/1000*$AN11*AQ11*AT11*0.15),6),0),"")</f>
        <v>0</v>
      </c>
      <c r="DC11" s="165">
        <f t="shared" si="17"/>
        <v>0</v>
      </c>
      <c r="DD11" s="165">
        <f t="shared" si="18"/>
        <v>0</v>
      </c>
    </row>
    <row r="12" spans="1:108" s="164" customFormat="1">
      <c r="A12" s="150">
        <v>8</v>
      </c>
      <c r="B12" s="153" t="str">
        <f>IFERROR(INDEX(Lookups!$B$2:$B$38,MATCH('Project Info &amp; Summary'!$C$19,Lookups!$A$2:$A$38,0)),"")</f>
        <v/>
      </c>
      <c r="C12" s="153" t="str">
        <f>IFERROR(INDEX(Lookups!$C$2:$C$38,MATCH('Project Info &amp; Summary'!$C$19,Lookups!$A$2:$A$38,0)),"")</f>
        <v/>
      </c>
      <c r="D12" s="163"/>
      <c r="E12" s="160"/>
      <c r="F12" s="158"/>
      <c r="G12" s="158"/>
      <c r="H12" s="158"/>
      <c r="I12" s="158"/>
      <c r="J12" s="154" t="str">
        <f>IFERROR(INDEX(Lookups!$W$21:$W$26,MATCH(I12,Lookups!$V$21:$V$26,0)),"")</f>
        <v/>
      </c>
      <c r="K12" s="158"/>
      <c r="L12" s="162" t="str">
        <f>IFERROR(INDEX(Lookups!$Y$2:$Y$19,MATCH(_xlfn.CONCAT(I12,K12),Lookups!$X$2:$X$19,0)),"")</f>
        <v/>
      </c>
      <c r="M12" s="158"/>
      <c r="N12" s="153" t="str">
        <f>IFERROR(INDEX('Prescriptive Rebate Table'!$M$3:$M$20,MATCH(M12,'Prescriptive Rebate Table'!$L$3:$L$20,0)),"")</f>
        <v/>
      </c>
      <c r="O12" s="158"/>
      <c r="P12" s="154" t="str">
        <f>IFERROR(INDEX('Prescriptive Rebate Table'!$B$2:$H$64, MATCH(O12,'Prescriptive Rebate Table'!$C$2:$C$64,0),7),"")</f>
        <v/>
      </c>
      <c r="Q12" s="155" t="str">
        <f>IFERROR(INDEX('Prescriptive Rebate Table'!$B$2:$I$64, MATCH(O12,'Prescriptive Rebate Table'!$C$2:$C$64,0),8),"")</f>
        <v/>
      </c>
      <c r="R12" s="155" t="str">
        <f>IFERROR(INDEX('Prescriptive Rebate Table'!$B$2:$J$64, MATCH(O12,'Prescriptive Rebate Table'!$C$2:$C$64,0),9),"")</f>
        <v/>
      </c>
      <c r="S12" s="160"/>
      <c r="T12" s="145" t="str">
        <f>IFERROR(INDEX('Fixture Codes'!$M$8:$M$976,MATCH(S12,'Fixture Codes'!$B$8:$B$976,0)),"")</f>
        <v/>
      </c>
      <c r="U12" s="145" t="str">
        <f>IFERROR(INDEX('Fixture Codes'!$B$7:$M$976,MATCH(T12,'Fixture Codes'!$B$7:$B$976,0),5),"")</f>
        <v/>
      </c>
      <c r="V12" s="160"/>
      <c r="W12" s="145" t="str">
        <f>IFERROR(INDEX('Fixture Codes'!$L$8:$L$976,MATCH(T12,'Fixture Codes'!$B$8:$B$976,0)),"")</f>
        <v/>
      </c>
      <c r="X12" s="158"/>
      <c r="Y12" s="159"/>
      <c r="Z12" s="155" t="str">
        <f>IFERROR(INDEX(Lookups!B$68:B$87,MATCH($X12,Lookups!$A$68:$A$87,0)),"")</f>
        <v/>
      </c>
      <c r="AA12" s="150" t="str">
        <f>IFERROR(INDEX(Lookups!B$42:B$62,MATCH($X12,Lookups!$A$42:$A$62,0)),"")</f>
        <v/>
      </c>
      <c r="AB12" s="150" t="str">
        <f>IFERROR(INDEX(Lookups!C$42:C$62,MATCH($X12,Lookups!$A$42:$A$62,0)),"")</f>
        <v/>
      </c>
      <c r="AC12" s="161"/>
      <c r="AD12" s="160"/>
      <c r="AE12" s="150" t="str">
        <f>IFERROR(INDEX('Fixture Codes'!$B$7:$M$976,MATCH(AD12,'Fixture Codes'!$B$7:$B$976,0),5),"")</f>
        <v/>
      </c>
      <c r="AF12" s="160"/>
      <c r="AG12" s="145" t="str">
        <f>IFERROR(INDEX('Fixture Codes'!$L$8:$L$976,MATCH(AD12,'Fixture Codes'!$B$8:$B$976,0)),"")</f>
        <v/>
      </c>
      <c r="AH12" s="158"/>
      <c r="AI12" s="159"/>
      <c r="AJ12" s="150" t="str">
        <f>IFERROR(INDEX(Lookups!B$68:B$87,MATCH($AH12,Lookups!$A$68:$A$87,0)),"")</f>
        <v/>
      </c>
      <c r="AK12" s="150" t="str">
        <f>IFERROR(INDEX(Lookups!B$42:B$62,MATCH($AH12,Lookups!$A$42:$A$62,0)),"")</f>
        <v/>
      </c>
      <c r="AL12" s="150" t="str">
        <f>IFERROR(INDEX(Lookups!C$42:C$62,MATCH($AH12,Lookups!$A$42:$A$62,0)),"")</f>
        <v/>
      </c>
      <c r="AM12" s="150" t="str">
        <f>IFERROR(IF(M12="Exit Signs",8760,IF(INDEX('Fixture Codes'!$C$8:$C$976,MATCH(AD12,'Fixture Codes'!$B$8:$B$976,0))="Exit Sign",8760,INDEX(Lookups!$I$2:$I$428,MATCH(_xlfn.CONCAT(B12,H12),Lookups!$H$2:$H$428,0)))),"")</f>
        <v/>
      </c>
      <c r="AN12" s="153">
        <v>1</v>
      </c>
      <c r="AO12" s="150" t="str">
        <f>IF($D12="Interior",INDEX(Lookups!Q$2:Q$86,MATCH(_xlfn.CONCAT($C12,$L12),Lookups!$P$2:$P$86,0)),IF($D12="Exterior",1,""))</f>
        <v/>
      </c>
      <c r="AP12" s="150">
        <f t="shared" si="19"/>
        <v>1</v>
      </c>
      <c r="AQ12" s="150" t="str">
        <f>IF($D12="Interior",INDEX(Lookups!R$2:R$86,MATCH(_xlfn.CONCAT($C12,$L12),Lookups!$P$2:$P$86,0)),IF($D12="Exterior",1,""))</f>
        <v/>
      </c>
      <c r="AR12" s="150" t="str">
        <f>IF($D12="Interior",INDEX(Lookups!S$2:S$86,MATCH(_xlfn.CONCAT($C12,$L12),Lookups!$P$2:$P$86,0)),IF($D12="Exterior",1,""))</f>
        <v/>
      </c>
      <c r="AS12" s="150" t="str">
        <f>IF($D12="Interior",INDEX(Lookups!T$2:T$86,MATCH(_xlfn.CONCAT($C12,$L12),Lookups!$P$2:$P$86,0)),IF($D12="Exterior",1,""))</f>
        <v/>
      </c>
      <c r="AT12" s="150" t="str">
        <f>IFERROR(IF(M12="Exit Signs",1,IF(INDEX('Fixture Codes'!$C$8:$C$976,MATCH($AD12,'Fixture Codes'!$B$8:$B$976,0))="Exit Sign",1,INDEX(Lookups!J$2:J$428,MATCH(_xlfn.CONCAT($B12,$H12),Lookups!$H$2:$H$428,0)))),"")</f>
        <v/>
      </c>
      <c r="AU12" s="150" t="str">
        <f>IFERROR(IF(M12="Exit Signs",1,IF(INDEX('Fixture Codes'!$C$8:$C$976,MATCH($AD12,'Fixture Codes'!$B$8:$B$976,0))="Exit Sign",1,INDEX(Lookups!K$2:K$428,MATCH(_xlfn.CONCAT($B12,$H12),Lookups!$H$2:$H$428,0)))),"")</f>
        <v/>
      </c>
      <c r="AV12" s="150" t="str">
        <f>IFERROR(IF(M12="Exit Signs",1,IF(INDEX('Fixture Codes'!$C$8:$C$976,MATCH($AD12,'Fixture Codes'!$B$8:$B$976,0))="Exit Sign",1,INDEX(Lookups!L$2:L$428,MATCH(_xlfn.CONCAT($B12,$H12),Lookups!$H$2:$H$428,0)))),"")</f>
        <v/>
      </c>
      <c r="AW12" s="150" t="str">
        <f>IF(ISBLANK(K12),"",IF(K12="Gas",INDEX(Lookups!$AG$2:$AG$63,MATCH(O12,Lookups!$AD$2:$AD$63,0),0),0))</f>
        <v/>
      </c>
      <c r="AX12" s="150" t="str">
        <f>IF(ISBLANK(K12),"",IF(K12="Gas",INDEX(Lookups!$AF$2:$AF$63,MATCH(O12,Lookups!$AD$2:$AD$63,0),0),0))</f>
        <v/>
      </c>
      <c r="AY12" s="150" t="str">
        <f>IF(ISBLANK(K12),"",IF(K12="Gas",INDEX(Lookups!$AH$2:$AH$63,MATCH(O12,Lookups!$AD$2:$AD$63,0),0),0))</f>
        <v/>
      </c>
      <c r="AZ12" s="150" t="str">
        <f>IF(ISBLANK(K12),"",IF(K12="Gas",INDEX(Lookups!$AI$2:$AI$63,MATCH(O12,Lookups!$AD$2:$AD$63,0),0),0))</f>
        <v/>
      </c>
      <c r="BA12" s="150" t="str">
        <f t="shared" si="0"/>
        <v/>
      </c>
      <c r="BB12" s="156" t="str">
        <f>IF(ISBLANK(AH12),"",IF(AH12="None",0,IF(K12="Gas",INDEX(Lookups!$AF$51:$AF$69,MATCH(AH12,Lookups!$AD$51:$AD$69,0),0),0)))</f>
        <v/>
      </c>
      <c r="BC12" s="156" t="str">
        <f>IF(ISBLANK(AH12),"",IF(AH12="None",0,IF(K12="Gas",INDEX(Lookups!$AH$51:$AH$69,MATCH(AH12,Lookups!$AD$51:$AD$69,0),0),0)))</f>
        <v/>
      </c>
      <c r="BD12" s="156" t="str">
        <f>IF(ISBLANK(AH12),"",IF(AH12="None",0,IF(K12="Gas",INDEX(Lookups!$AI$51:$AI$69,MATCH(AH12,Lookups!$AD$51:$AD$69,0),0),0)))</f>
        <v/>
      </c>
      <c r="BE12" s="157"/>
      <c r="BF12" s="157"/>
      <c r="BG12" s="147" t="str">
        <f t="shared" si="20"/>
        <v/>
      </c>
      <c r="BH12" s="147" t="str">
        <f t="shared" si="21"/>
        <v/>
      </c>
      <c r="BI12" s="147" t="str">
        <f t="shared" si="1"/>
        <v/>
      </c>
      <c r="BJ12" s="147" t="str">
        <f t="shared" si="2"/>
        <v/>
      </c>
      <c r="BK12" s="148" t="str">
        <f t="shared" si="22"/>
        <v/>
      </c>
      <c r="BL12" s="147" t="str">
        <f t="shared" si="3"/>
        <v/>
      </c>
      <c r="BM12" s="148" t="str">
        <f t="shared" si="23"/>
        <v/>
      </c>
      <c r="BN12" s="147" t="str">
        <f t="shared" si="24"/>
        <v/>
      </c>
      <c r="BO12" s="147" t="str">
        <f t="shared" si="4"/>
        <v/>
      </c>
      <c r="BP12" s="147" t="str">
        <f t="shared" si="25"/>
        <v/>
      </c>
      <c r="BQ12" s="148" t="str">
        <f t="shared" si="26"/>
        <v/>
      </c>
      <c r="BR12" s="148" t="str">
        <f t="shared" si="27"/>
        <v/>
      </c>
      <c r="BS12" s="148" t="str">
        <f t="shared" si="28"/>
        <v/>
      </c>
      <c r="BT12" s="148" t="str">
        <f t="shared" si="7"/>
        <v/>
      </c>
      <c r="BU12" s="148" t="str">
        <f t="shared" si="8"/>
        <v/>
      </c>
      <c r="BV12" s="148" t="str">
        <f t="shared" si="9"/>
        <v/>
      </c>
      <c r="BW12" s="148" t="str">
        <f t="shared" si="29"/>
        <v/>
      </c>
      <c r="BX12" s="148" t="str">
        <f t="shared" si="10"/>
        <v/>
      </c>
      <c r="BY12" s="148" t="str">
        <f t="shared" si="11"/>
        <v/>
      </c>
      <c r="BZ12" s="149" t="str">
        <f>IFERROR(INDEX('Prescriptive Rebate Table'!$B$2:$E$64,MATCH(O12,'Prescriptive Rebate Table'!$C$2:$C$64,0),3),"")</f>
        <v/>
      </c>
      <c r="CA12" s="145" t="str">
        <f>IFERROR(INDEX('Prescriptive Rebate Table'!$B$2:$E$64,MATCH(O12,'Prescriptive Rebate Table'!$C$2:$C$64,0),4),"")</f>
        <v/>
      </c>
      <c r="CB12" s="149" t="str">
        <f t="shared" si="30"/>
        <v/>
      </c>
      <c r="CC12" s="145" t="str">
        <f t="shared" si="31"/>
        <v/>
      </c>
      <c r="CD12" s="149" t="str">
        <f t="shared" si="12"/>
        <v/>
      </c>
      <c r="CE12" s="149" t="str">
        <f t="shared" si="13"/>
        <v/>
      </c>
      <c r="CF12" s="149" t="str">
        <f>IF(BK12&lt;=0,0,IFERROR(IF(OR(ISBLANK(AC12),ISBLANK(CD12))=TRUE,"",IF(CA12="Per Foot",INDEX('Fixture Codes'!$I$8:$I$976,MATCH(AD12,'Fixture Codes'!$B$8:$B$976,0))/12*AF12*BZ12,IF(CA12="Lamp",INDEX('Fixture Codes'!$J$8:$J$976,MATCH(AD12,'Fixture Codes'!$B$8:$B$976,0))*AF12*BZ12,IF(CA12="Fixture",AF12*BZ12,IF(CA12="kWh",BK12*BZ12,0))))),""))</f>
        <v/>
      </c>
      <c r="CG12" s="149" t="str">
        <f t="shared" si="32"/>
        <v/>
      </c>
      <c r="CH12" s="149" t="str">
        <f t="shared" si="33"/>
        <v/>
      </c>
      <c r="CI12" s="152"/>
      <c r="CJ12" s="146"/>
      <c r="CK12" s="241">
        <f>IFERROR(IF(CL12="Yes",'Prescriptive Rebate Table'!$D$69,IF(ISBLANK(AI12),0,IF(AND(AH12=Lookups!$A$62,BK12&gt;0),'Prescriptive Rebate Table'!$D$68,IF(AND(BK12&gt;0,CJ12=AF12),'Prescriptive Rebate Table'!$D$67,IF(AND(BK12&gt;0,CJ12&lt;&gt;AF12),'Prescriptive Rebate Table'!D71,0))))),"")</f>
        <v>0</v>
      </c>
      <c r="CL12" s="240" t="s">
        <v>2712</v>
      </c>
      <c r="CM12" s="152"/>
      <c r="CN12" s="152"/>
      <c r="CO12" s="152"/>
      <c r="CP12" s="146">
        <f t="shared" si="14"/>
        <v>0</v>
      </c>
      <c r="CQ12" s="153">
        <f>IF(D12="Interior",ROUND(($AG12*AF12)/1000*$AM12*(Lookups!$B$54-$AA12)*$AN12*$AO12,3),0)</f>
        <v>0</v>
      </c>
      <c r="CR12" s="153">
        <f>IFERROR(IF(D12="Interior",ROUND(($AG12*$AF12)/1000*(Lookups!$C$54-$AB12)*$AN12*AQ12*AT12,6),0),"")</f>
        <v>0</v>
      </c>
      <c r="CS12" s="165">
        <f t="shared" si="34"/>
        <v>0</v>
      </c>
      <c r="CT12" s="165">
        <f t="shared" si="35"/>
        <v>0</v>
      </c>
      <c r="CV12" s="153">
        <f>IF(D12="Interior",ROUND(($AG12*AF12)/1000*$AM12*(Lookups!$B$43-$AA12)*$AN12*$AO12,3),0)</f>
        <v>0</v>
      </c>
      <c r="CW12" s="153">
        <f>IFERROR(IF(D12="Interior",ROUND(($AG12*$AF12)/1000*(Lookups!$C$43-$AB12)*$AN12*AQ12*AT12,6),0),"")</f>
        <v>0</v>
      </c>
      <c r="CX12" s="165">
        <f t="shared" si="15"/>
        <v>0</v>
      </c>
      <c r="CY12" s="165">
        <f t="shared" si="16"/>
        <v>0</v>
      </c>
      <c r="DA12" s="153">
        <f>IF(D12="Interior",ROUND(($AG12*AF12*(1-0.15))/1000*$AM12*(Lookups!$B$43+0.097-$AA12)*$AN12*$AO12+((W12*V12)/1000*AN12*AM12*AO12*0.15),3),0)</f>
        <v>0</v>
      </c>
      <c r="DB12" s="153">
        <f>IFERROR(IF(D12="Interior",ROUND(($AG12*$AF12)/1000*(Lookups!$C$43+0.097-$AB12)*$AN12*AQ12*AT12+(($AG12*$AF12)/1000*$AN12*AQ12*AT12*0.15),6),0),"")</f>
        <v>0</v>
      </c>
      <c r="DC12" s="165">
        <f t="shared" si="17"/>
        <v>0</v>
      </c>
      <c r="DD12" s="165">
        <f t="shared" si="18"/>
        <v>0</v>
      </c>
    </row>
    <row r="13" spans="1:108" s="164" customFormat="1">
      <c r="A13" s="150">
        <v>9</v>
      </c>
      <c r="B13" s="153" t="str">
        <f>IFERROR(INDEX(Lookups!$B$2:$B$38,MATCH('Project Info &amp; Summary'!$C$19,Lookups!$A$2:$A$38,0)),"")</f>
        <v/>
      </c>
      <c r="C13" s="153" t="str">
        <f>IFERROR(INDEX(Lookups!$C$2:$C$38,MATCH('Project Info &amp; Summary'!$C$19,Lookups!$A$2:$A$38,0)),"")</f>
        <v/>
      </c>
      <c r="D13" s="163"/>
      <c r="E13" s="160"/>
      <c r="F13" s="158"/>
      <c r="G13" s="158"/>
      <c r="H13" s="158"/>
      <c r="I13" s="158"/>
      <c r="J13" s="154" t="str">
        <f>IFERROR(INDEX(Lookups!$W$21:$W$26,MATCH(I13,Lookups!$V$21:$V$26,0)),"")</f>
        <v/>
      </c>
      <c r="K13" s="158"/>
      <c r="L13" s="162" t="str">
        <f>IFERROR(INDEX(Lookups!$Y$2:$Y$19,MATCH(_xlfn.CONCAT(I13,K13),Lookups!$X$2:$X$19,0)),"")</f>
        <v/>
      </c>
      <c r="M13" s="158"/>
      <c r="N13" s="153" t="str">
        <f>IFERROR(INDEX('Prescriptive Rebate Table'!$M$3:$M$20,MATCH(M13,'Prescriptive Rebate Table'!$L$3:$L$20,0)),"")</f>
        <v/>
      </c>
      <c r="O13" s="158"/>
      <c r="P13" s="154" t="str">
        <f>IFERROR(INDEX('Prescriptive Rebate Table'!$B$2:$H$64, MATCH(O13,'Prescriptive Rebate Table'!$C$2:$C$64,0),7),"")</f>
        <v/>
      </c>
      <c r="Q13" s="155" t="str">
        <f>IFERROR(INDEX('Prescriptive Rebate Table'!$B$2:$I$64, MATCH(O13,'Prescriptive Rebate Table'!$C$2:$C$64,0),8),"")</f>
        <v/>
      </c>
      <c r="R13" s="155" t="str">
        <f>IFERROR(INDEX('Prescriptive Rebate Table'!$B$2:$J$64, MATCH(O13,'Prescriptive Rebate Table'!$C$2:$C$64,0),9),"")</f>
        <v/>
      </c>
      <c r="S13" s="160"/>
      <c r="T13" s="145" t="str">
        <f>IFERROR(INDEX('Fixture Codes'!$M$8:$M$976,MATCH(S13,'Fixture Codes'!$B$8:$B$976,0)),"")</f>
        <v/>
      </c>
      <c r="U13" s="145" t="str">
        <f>IFERROR(INDEX('Fixture Codes'!$B$7:$M$976,MATCH(T13,'Fixture Codes'!$B$7:$B$976,0),5),"")</f>
        <v/>
      </c>
      <c r="V13" s="160"/>
      <c r="W13" s="145" t="str">
        <f>IFERROR(INDEX('Fixture Codes'!$L$8:$L$976,MATCH(T13,'Fixture Codes'!$B$8:$B$976,0)),"")</f>
        <v/>
      </c>
      <c r="X13" s="158"/>
      <c r="Y13" s="159"/>
      <c r="Z13" s="155" t="str">
        <f>IFERROR(INDEX(Lookups!B$68:B$87,MATCH($X13,Lookups!$A$68:$A$87,0)),"")</f>
        <v/>
      </c>
      <c r="AA13" s="150" t="str">
        <f>IFERROR(INDEX(Lookups!B$42:B$62,MATCH($X13,Lookups!$A$42:$A$62,0)),"")</f>
        <v/>
      </c>
      <c r="AB13" s="150" t="str">
        <f>IFERROR(INDEX(Lookups!C$42:C$62,MATCH($X13,Lookups!$A$42:$A$62,0)),"")</f>
        <v/>
      </c>
      <c r="AC13" s="161"/>
      <c r="AD13" s="160"/>
      <c r="AE13" s="150" t="str">
        <f>IFERROR(INDEX('Fixture Codes'!$B$7:$M$976,MATCH(AD13,'Fixture Codes'!$B$7:$B$976,0),5),"")</f>
        <v/>
      </c>
      <c r="AF13" s="160"/>
      <c r="AG13" s="145" t="str">
        <f>IFERROR(INDEX('Fixture Codes'!$L$8:$L$976,MATCH(AD13,'Fixture Codes'!$B$8:$B$976,0)),"")</f>
        <v/>
      </c>
      <c r="AH13" s="158"/>
      <c r="AI13" s="160"/>
      <c r="AJ13" s="150" t="str">
        <f>IFERROR(INDEX(Lookups!B$68:B$87,MATCH($AH13,Lookups!$A$68:$A$87,0)),"")</f>
        <v/>
      </c>
      <c r="AK13" s="150" t="str">
        <f>IFERROR(INDEX(Lookups!B$42:B$62,MATCH($AH13,Lookups!$A$42:$A$62,0)),"")</f>
        <v/>
      </c>
      <c r="AL13" s="150" t="str">
        <f>IFERROR(INDEX(Lookups!C$42:C$62,MATCH($AH13,Lookups!$A$42:$A$62,0)),"")</f>
        <v/>
      </c>
      <c r="AM13" s="150" t="str">
        <f>IFERROR(IF(M13="Exit Signs",8760,IF(INDEX('Fixture Codes'!$C$8:$C$976,MATCH(AD13,'Fixture Codes'!$B$8:$B$976,0))="Exit Sign",8760,INDEX(Lookups!$I$2:$I$428,MATCH(_xlfn.CONCAT(B13,H13),Lookups!$H$2:$H$428,0)))),"")</f>
        <v/>
      </c>
      <c r="AN13" s="153">
        <v>1</v>
      </c>
      <c r="AO13" s="150" t="str">
        <f>IF($D13="Interior",INDEX(Lookups!Q$2:Q$86,MATCH(_xlfn.CONCAT($C13,$L13),Lookups!$P$2:$P$86,0)),IF($D13="Exterior",1,""))</f>
        <v/>
      </c>
      <c r="AP13" s="150">
        <f t="shared" si="19"/>
        <v>1</v>
      </c>
      <c r="AQ13" s="150" t="str">
        <f>IF($D13="Interior",INDEX(Lookups!R$2:R$86,MATCH(_xlfn.CONCAT($C13,$L13),Lookups!$P$2:$P$86,0)),IF($D13="Exterior",1,""))</f>
        <v/>
      </c>
      <c r="AR13" s="150" t="str">
        <f>IF($D13="Interior",INDEX(Lookups!S$2:S$86,MATCH(_xlfn.CONCAT($C13,$L13),Lookups!$P$2:$P$86,0)),IF($D13="Exterior",1,""))</f>
        <v/>
      </c>
      <c r="AS13" s="150" t="str">
        <f>IF($D13="Interior",INDEX(Lookups!T$2:T$86,MATCH(_xlfn.CONCAT($C13,$L13),Lookups!$P$2:$P$86,0)),IF($D13="Exterior",1,""))</f>
        <v/>
      </c>
      <c r="AT13" s="150" t="str">
        <f>IFERROR(IF(M13="Exit Signs",1,IF(INDEX('Fixture Codes'!$C$8:$C$976,MATCH($AD13,'Fixture Codes'!$B$8:$B$976,0))="Exit Sign",1,INDEX(Lookups!J$2:J$428,MATCH(_xlfn.CONCAT($B13,$H13),Lookups!$H$2:$H$428,0)))),"")</f>
        <v/>
      </c>
      <c r="AU13" s="150" t="str">
        <f>IFERROR(IF(M13="Exit Signs",1,IF(INDEX('Fixture Codes'!$C$8:$C$976,MATCH($AD13,'Fixture Codes'!$B$8:$B$976,0))="Exit Sign",1,INDEX(Lookups!K$2:K$428,MATCH(_xlfn.CONCAT($B13,$H13),Lookups!$H$2:$H$428,0)))),"")</f>
        <v/>
      </c>
      <c r="AV13" s="150" t="str">
        <f>IFERROR(IF(M13="Exit Signs",1,IF(INDEX('Fixture Codes'!$C$8:$C$976,MATCH($AD13,'Fixture Codes'!$B$8:$B$976,0))="Exit Sign",1,INDEX(Lookups!L$2:L$428,MATCH(_xlfn.CONCAT($B13,$H13),Lookups!$H$2:$H$428,0)))),"")</f>
        <v/>
      </c>
      <c r="AW13" s="150" t="str">
        <f>IF(ISBLANK(K13),"",IF(K13="Gas",INDEX(Lookups!$AG$2:$AG$63,MATCH(O13,Lookups!$AD$2:$AD$63,0),0),0))</f>
        <v/>
      </c>
      <c r="AX13" s="150" t="str">
        <f>IF(ISBLANK(K13),"",IF(K13="Gas",INDEX(Lookups!$AF$2:$AF$63,MATCH(O13,Lookups!$AD$2:$AD$63,0),0),0))</f>
        <v/>
      </c>
      <c r="AY13" s="150" t="str">
        <f>IF(ISBLANK(K13),"",IF(K13="Gas",INDEX(Lookups!$AH$2:$AH$63,MATCH(O13,Lookups!$AD$2:$AD$63,0),0),0))</f>
        <v/>
      </c>
      <c r="AZ13" s="150" t="str">
        <f>IF(ISBLANK(K13),"",IF(K13="Gas",INDEX(Lookups!$AI$2:$AI$63,MATCH(O13,Lookups!$AD$2:$AD$63,0),0),0))</f>
        <v/>
      </c>
      <c r="BA13" s="150" t="str">
        <f t="shared" si="0"/>
        <v/>
      </c>
      <c r="BB13" s="156" t="str">
        <f>IF(ISBLANK(AH13),"",IF(AH13="None",0,IF(K13="Gas",INDEX(Lookups!$AF$51:$AF$69,MATCH(AH13,Lookups!$AD$51:$AD$69,0),0),0)))</f>
        <v/>
      </c>
      <c r="BC13" s="156" t="str">
        <f>IF(ISBLANK(AH13),"",IF(AH13="None",0,IF(K13="Gas",INDEX(Lookups!$AH$51:$AH$69,MATCH(AH13,Lookups!$AD$51:$AD$69,0),0),0)))</f>
        <v/>
      </c>
      <c r="BD13" s="156" t="str">
        <f>IF(ISBLANK(AH13),"",IF(AH13="None",0,IF(K13="Gas",INDEX(Lookups!$AI$51:$AI$69,MATCH(AH13,Lookups!$AD$51:$AD$69,0),0),0)))</f>
        <v/>
      </c>
      <c r="BE13" s="157"/>
      <c r="BF13" s="157"/>
      <c r="BG13" s="147" t="str">
        <f t="shared" si="20"/>
        <v/>
      </c>
      <c r="BH13" s="147" t="str">
        <f t="shared" si="21"/>
        <v/>
      </c>
      <c r="BI13" s="147" t="str">
        <f t="shared" si="1"/>
        <v/>
      </c>
      <c r="BJ13" s="147" t="str">
        <f t="shared" si="2"/>
        <v/>
      </c>
      <c r="BK13" s="148" t="str">
        <f t="shared" si="22"/>
        <v/>
      </c>
      <c r="BL13" s="147" t="str">
        <f t="shared" si="3"/>
        <v/>
      </c>
      <c r="BM13" s="148" t="str">
        <f t="shared" si="23"/>
        <v/>
      </c>
      <c r="BN13" s="147" t="str">
        <f t="shared" si="24"/>
        <v/>
      </c>
      <c r="BO13" s="147" t="str">
        <f t="shared" si="4"/>
        <v/>
      </c>
      <c r="BP13" s="147" t="str">
        <f t="shared" si="25"/>
        <v/>
      </c>
      <c r="BQ13" s="148" t="str">
        <f t="shared" si="26"/>
        <v/>
      </c>
      <c r="BR13" s="148" t="str">
        <f t="shared" si="27"/>
        <v/>
      </c>
      <c r="BS13" s="148" t="str">
        <f t="shared" si="28"/>
        <v/>
      </c>
      <c r="BT13" s="148" t="str">
        <f t="shared" si="7"/>
        <v/>
      </c>
      <c r="BU13" s="148" t="str">
        <f t="shared" si="8"/>
        <v/>
      </c>
      <c r="BV13" s="148" t="str">
        <f t="shared" si="9"/>
        <v/>
      </c>
      <c r="BW13" s="148" t="str">
        <f t="shared" si="29"/>
        <v/>
      </c>
      <c r="BX13" s="148" t="str">
        <f t="shared" si="10"/>
        <v/>
      </c>
      <c r="BY13" s="148" t="str">
        <f t="shared" si="11"/>
        <v/>
      </c>
      <c r="BZ13" s="149" t="str">
        <f>IFERROR(INDEX('Prescriptive Rebate Table'!$B$2:$E$64,MATCH(O13,'Prescriptive Rebate Table'!$C$2:$C$64,0),3),"")</f>
        <v/>
      </c>
      <c r="CA13" s="145" t="str">
        <f>IFERROR(INDEX('Prescriptive Rebate Table'!$B$2:$E$64,MATCH(O13,'Prescriptive Rebate Table'!$C$2:$C$64,0),4),"")</f>
        <v/>
      </c>
      <c r="CB13" s="149" t="str">
        <f t="shared" si="30"/>
        <v/>
      </c>
      <c r="CC13" s="145" t="str">
        <f t="shared" si="31"/>
        <v/>
      </c>
      <c r="CD13" s="149" t="str">
        <f t="shared" si="12"/>
        <v/>
      </c>
      <c r="CE13" s="149" t="str">
        <f t="shared" si="13"/>
        <v/>
      </c>
      <c r="CF13" s="149" t="str">
        <f>IF(BK13&lt;=0,0,IFERROR(IF(OR(ISBLANK(AC13),ISBLANK(CD13))=TRUE,"",IF(CA13="Per Foot",INDEX('Fixture Codes'!$I$8:$I$976,MATCH(AD13,'Fixture Codes'!$B$8:$B$976,0))/12*AF13*BZ13,IF(CA13="Lamp",INDEX('Fixture Codes'!$J$8:$J$976,MATCH(AD13,'Fixture Codes'!$B$8:$B$976,0))*AF13*BZ13,IF(CA13="Fixture",AF13*BZ13,IF(CA13="kWh",BK13*BZ13,0))))),""))</f>
        <v/>
      </c>
      <c r="CG13" s="149" t="str">
        <f t="shared" si="32"/>
        <v/>
      </c>
      <c r="CH13" s="149" t="str">
        <f t="shared" si="33"/>
        <v/>
      </c>
      <c r="CI13" s="152"/>
      <c r="CJ13" s="146"/>
      <c r="CK13" s="241">
        <f>IFERROR(IF(CL13="Yes",'Prescriptive Rebate Table'!$D$69,IF(ISBLANK(AI13),0,IF(AND(AH13=Lookups!$A$62,BK13&gt;0),'Prescriptive Rebate Table'!$D$68,IF(AND(BK13&gt;0,CJ13=AF13),'Prescriptive Rebate Table'!$D$67,IF(AND(BK13&gt;0,CJ13&lt;&gt;AF13),'Prescriptive Rebate Table'!D72,0))))),"")</f>
        <v>0</v>
      </c>
      <c r="CL13" s="240" t="s">
        <v>2712</v>
      </c>
      <c r="CM13" s="152"/>
      <c r="CN13" s="152"/>
      <c r="CO13" s="152"/>
      <c r="CP13" s="146">
        <f t="shared" si="14"/>
        <v>0</v>
      </c>
      <c r="CQ13" s="153">
        <f>IF(D13="Interior",ROUND(($AG13*AF13)/1000*$AM13*(Lookups!$B$54-$AA13)*$AN13*$AO13,3),0)</f>
        <v>0</v>
      </c>
      <c r="CR13" s="153">
        <f>IFERROR(IF(D13="Interior",ROUND(($AG13*$AF13)/1000*(Lookups!$C$54-$AB13)*$AN13*AQ13*AT13,6),0),"")</f>
        <v>0</v>
      </c>
      <c r="CS13" s="165">
        <f t="shared" si="34"/>
        <v>0</v>
      </c>
      <c r="CT13" s="165">
        <f t="shared" si="35"/>
        <v>0</v>
      </c>
      <c r="CV13" s="153">
        <f>IF(D13="Interior",ROUND(($AG13*AF13)/1000*$AM13*(Lookups!$B$43-$AA13)*$AN13*$AO13,3),0)</f>
        <v>0</v>
      </c>
      <c r="CW13" s="153">
        <f>IFERROR(IF(D13="Interior",ROUND(($AG13*$AF13)/1000*(Lookups!$C$43-$AB13)*$AN13*AQ13*AT13,6),0),"")</f>
        <v>0</v>
      </c>
      <c r="CX13" s="165">
        <f t="shared" si="15"/>
        <v>0</v>
      </c>
      <c r="CY13" s="165">
        <f t="shared" si="16"/>
        <v>0</v>
      </c>
      <c r="DA13" s="153">
        <f>IF(D13="Interior",ROUND(($AG13*AF13*(1-0.15))/1000*$AM13*(Lookups!$B$43+0.097-$AA13)*$AN13*$AO13+((W13*V13)/1000*AN13*AM13*AO13*0.15),3),0)</f>
        <v>0</v>
      </c>
      <c r="DB13" s="153">
        <f>IFERROR(IF(D13="Interior",ROUND(($AG13*$AF13)/1000*(Lookups!$C$43+0.097-$AB13)*$AN13*AQ13*AT13+(($AG13*$AF13)/1000*$AN13*AQ13*AT13*0.15),6),0),"")</f>
        <v>0</v>
      </c>
      <c r="DC13" s="165">
        <f t="shared" si="17"/>
        <v>0</v>
      </c>
      <c r="DD13" s="165">
        <f t="shared" si="18"/>
        <v>0</v>
      </c>
    </row>
    <row r="14" spans="1:108" s="164" customFormat="1">
      <c r="A14" s="150">
        <v>10</v>
      </c>
      <c r="B14" s="153" t="str">
        <f>IFERROR(INDEX(Lookups!$B$2:$B$38,MATCH('Project Info &amp; Summary'!$C$19,Lookups!$A$2:$A$38,0)),"")</f>
        <v/>
      </c>
      <c r="C14" s="153" t="str">
        <f>IFERROR(INDEX(Lookups!$C$2:$C$38,MATCH('Project Info &amp; Summary'!$C$19,Lookups!$A$2:$A$38,0)),"")</f>
        <v/>
      </c>
      <c r="D14" s="163"/>
      <c r="E14" s="160"/>
      <c r="F14" s="158"/>
      <c r="G14" s="158"/>
      <c r="H14" s="158"/>
      <c r="I14" s="158"/>
      <c r="J14" s="154" t="str">
        <f>IFERROR(INDEX(Lookups!$W$21:$W$26,MATCH(I14,Lookups!$V$21:$V$26,0)),"")</f>
        <v/>
      </c>
      <c r="K14" s="158"/>
      <c r="L14" s="162" t="str">
        <f>IFERROR(INDEX(Lookups!$Y$2:$Y$19,MATCH(_xlfn.CONCAT(I14,K14),Lookups!$X$2:$X$19,0)),"")</f>
        <v/>
      </c>
      <c r="M14" s="158"/>
      <c r="N14" s="153" t="str">
        <f>IFERROR(INDEX('Prescriptive Rebate Table'!$M$3:$M$20,MATCH(M14,'Prescriptive Rebate Table'!$L$3:$L$20,0)),"")</f>
        <v/>
      </c>
      <c r="O14" s="158"/>
      <c r="P14" s="154" t="str">
        <f>IFERROR(INDEX('Prescriptive Rebate Table'!$B$2:$H$64, MATCH(O14,'Prescriptive Rebate Table'!$C$2:$C$64,0),7),"")</f>
        <v/>
      </c>
      <c r="Q14" s="155" t="str">
        <f>IFERROR(INDEX('Prescriptive Rebate Table'!$B$2:$I$64, MATCH(O14,'Prescriptive Rebate Table'!$C$2:$C$64,0),8),"")</f>
        <v/>
      </c>
      <c r="R14" s="155" t="str">
        <f>IFERROR(INDEX('Prescriptive Rebate Table'!$B$2:$J$64, MATCH(O14,'Prescriptive Rebate Table'!$C$2:$C$64,0),9),"")</f>
        <v/>
      </c>
      <c r="S14" s="160"/>
      <c r="T14" s="145" t="str">
        <f>IFERROR(INDEX('Fixture Codes'!$M$8:$M$976,MATCH(S14,'Fixture Codes'!$B$8:$B$976,0)),"")</f>
        <v/>
      </c>
      <c r="U14" s="145" t="str">
        <f>IFERROR(INDEX('Fixture Codes'!$B$7:$M$976,MATCH(T14,'Fixture Codes'!$B$7:$B$976,0),5),"")</f>
        <v/>
      </c>
      <c r="V14" s="160"/>
      <c r="W14" s="145" t="str">
        <f>IFERROR(INDEX('Fixture Codes'!$L$8:$L$976,MATCH(T14,'Fixture Codes'!$B$8:$B$976,0)),"")</f>
        <v/>
      </c>
      <c r="X14" s="158"/>
      <c r="Y14" s="159"/>
      <c r="Z14" s="155" t="str">
        <f>IFERROR(INDEX(Lookups!B$68:B$87,MATCH($X14,Lookups!$A$68:$A$87,0)),"")</f>
        <v/>
      </c>
      <c r="AA14" s="150" t="str">
        <f>IFERROR(INDEX(Lookups!B$42:B$62,MATCH($X14,Lookups!$A$42:$A$62,0)),"")</f>
        <v/>
      </c>
      <c r="AB14" s="150" t="str">
        <f>IFERROR(INDEX(Lookups!C$42:C$62,MATCH($X14,Lookups!$A$42:$A$62,0)),"")</f>
        <v/>
      </c>
      <c r="AC14" s="161"/>
      <c r="AD14" s="160"/>
      <c r="AE14" s="150" t="str">
        <f>IFERROR(INDEX('Fixture Codes'!$B$7:$M$976,MATCH(AD14,'Fixture Codes'!$B$7:$B$976,0),5),"")</f>
        <v/>
      </c>
      <c r="AF14" s="160"/>
      <c r="AG14" s="145" t="str">
        <f>IFERROR(INDEX('Fixture Codes'!$L$8:$L$976,MATCH(AD14,'Fixture Codes'!$B$8:$B$976,0)),"")</f>
        <v/>
      </c>
      <c r="AH14" s="158"/>
      <c r="AI14" s="160"/>
      <c r="AJ14" s="150" t="str">
        <f>IFERROR(INDEX(Lookups!B$68:B$87,MATCH($AH14,Lookups!$A$68:$A$87,0)),"")</f>
        <v/>
      </c>
      <c r="AK14" s="150" t="str">
        <f>IFERROR(INDEX(Lookups!B$42:B$62,MATCH($AH14,Lookups!$A$42:$A$62,0)),"")</f>
        <v/>
      </c>
      <c r="AL14" s="150" t="str">
        <f>IFERROR(INDEX(Lookups!C$42:C$62,MATCH($AH14,Lookups!$A$42:$A$62,0)),"")</f>
        <v/>
      </c>
      <c r="AM14" s="150" t="str">
        <f>IFERROR(IF(M14="Exit Signs",8760,IF(INDEX('Fixture Codes'!$C$8:$C$976,MATCH(AD14,'Fixture Codes'!$B$8:$B$976,0))="Exit Sign",8760,INDEX(Lookups!$I$2:$I$428,MATCH(_xlfn.CONCAT(B14,H14),Lookups!$H$2:$H$428,0)))),"")</f>
        <v/>
      </c>
      <c r="AN14" s="153">
        <v>1</v>
      </c>
      <c r="AO14" s="150" t="str">
        <f>IF($D14="Interior",INDEX(Lookups!Q$2:Q$86,MATCH(_xlfn.CONCAT($C14,$L14),Lookups!$P$2:$P$86,0)),IF($D14="Exterior",1,""))</f>
        <v/>
      </c>
      <c r="AP14" s="150">
        <f t="shared" si="19"/>
        <v>1</v>
      </c>
      <c r="AQ14" s="150" t="str">
        <f>IF($D14="Interior",INDEX(Lookups!R$2:R$86,MATCH(_xlfn.CONCAT($C14,$L14),Lookups!$P$2:$P$86,0)),IF($D14="Exterior",1,""))</f>
        <v/>
      </c>
      <c r="AR14" s="150" t="str">
        <f>IF($D14="Interior",INDEX(Lookups!S$2:S$86,MATCH(_xlfn.CONCAT($C14,$L14),Lookups!$P$2:$P$86,0)),IF($D14="Exterior",1,""))</f>
        <v/>
      </c>
      <c r="AS14" s="150" t="str">
        <f>IF($D14="Interior",INDEX(Lookups!T$2:T$86,MATCH(_xlfn.CONCAT($C14,$L14),Lookups!$P$2:$P$86,0)),IF($D14="Exterior",1,""))</f>
        <v/>
      </c>
      <c r="AT14" s="150" t="str">
        <f>IFERROR(IF(M14="Exit Signs",1,IF(INDEX('Fixture Codes'!$C$8:$C$976,MATCH($AD14,'Fixture Codes'!$B$8:$B$976,0))="Exit Sign",1,INDEX(Lookups!J$2:J$428,MATCH(_xlfn.CONCAT($B14,$H14),Lookups!$H$2:$H$428,0)))),"")</f>
        <v/>
      </c>
      <c r="AU14" s="150" t="str">
        <f>IFERROR(IF(M14="Exit Signs",1,IF(INDEX('Fixture Codes'!$C$8:$C$976,MATCH($AD14,'Fixture Codes'!$B$8:$B$976,0))="Exit Sign",1,INDEX(Lookups!K$2:K$428,MATCH(_xlfn.CONCAT($B14,$H14),Lookups!$H$2:$H$428,0)))),"")</f>
        <v/>
      </c>
      <c r="AV14" s="150" t="str">
        <f>IFERROR(IF(M14="Exit Signs",1,IF(INDEX('Fixture Codes'!$C$8:$C$976,MATCH($AD14,'Fixture Codes'!$B$8:$B$976,0))="Exit Sign",1,INDEX(Lookups!L$2:L$428,MATCH(_xlfn.CONCAT($B14,$H14),Lookups!$H$2:$H$428,0)))),"")</f>
        <v/>
      </c>
      <c r="AW14" s="150" t="str">
        <f>IF(ISBLANK(K14),"",IF(K14="Gas",INDEX(Lookups!$AG$2:$AG$63,MATCH(O14,Lookups!$AD$2:$AD$63,0),0),0))</f>
        <v/>
      </c>
      <c r="AX14" s="150" t="str">
        <f>IF(ISBLANK(K14),"",IF(K14="Gas",INDEX(Lookups!$AF$2:$AF$63,MATCH(O14,Lookups!$AD$2:$AD$63,0),0),0))</f>
        <v/>
      </c>
      <c r="AY14" s="150" t="str">
        <f>IF(ISBLANK(K14),"",IF(K14="Gas",INDEX(Lookups!$AH$2:$AH$63,MATCH(O14,Lookups!$AD$2:$AD$63,0),0),0))</f>
        <v/>
      </c>
      <c r="AZ14" s="150" t="str">
        <f>IF(ISBLANK(K14),"",IF(K14="Gas",INDEX(Lookups!$AI$2:$AI$63,MATCH(O14,Lookups!$AD$2:$AD$63,0),0),0))</f>
        <v/>
      </c>
      <c r="BA14" s="150" t="str">
        <f t="shared" si="0"/>
        <v/>
      </c>
      <c r="BB14" s="156" t="str">
        <f>IF(ISBLANK(AH14),"",IF(AH14="None",0,IF(K14="Gas",INDEX(Lookups!$AF$51:$AF$69,MATCH(AH14,Lookups!$AD$51:$AD$69,0),0),0)))</f>
        <v/>
      </c>
      <c r="BC14" s="156" t="str">
        <f>IF(ISBLANK(AH14),"",IF(AH14="None",0,IF(K14="Gas",INDEX(Lookups!$AH$51:$AH$69,MATCH(AH14,Lookups!$AD$51:$AD$69,0),0),0)))</f>
        <v/>
      </c>
      <c r="BD14" s="156" t="str">
        <f>IF(ISBLANK(AH14),"",IF(AH14="None",0,IF(K14="Gas",INDEX(Lookups!$AI$51:$AI$69,MATCH(AH14,Lookups!$AD$51:$AD$69,0),0),0)))</f>
        <v/>
      </c>
      <c r="BE14" s="157"/>
      <c r="BF14" s="157"/>
      <c r="BG14" s="147" t="str">
        <f t="shared" si="20"/>
        <v/>
      </c>
      <c r="BH14" s="147" t="str">
        <f t="shared" si="21"/>
        <v/>
      </c>
      <c r="BI14" s="147" t="str">
        <f t="shared" si="1"/>
        <v/>
      </c>
      <c r="BJ14" s="147" t="str">
        <f t="shared" si="2"/>
        <v/>
      </c>
      <c r="BK14" s="148" t="str">
        <f t="shared" si="22"/>
        <v/>
      </c>
      <c r="BL14" s="147" t="str">
        <f t="shared" si="3"/>
        <v/>
      </c>
      <c r="BM14" s="148" t="str">
        <f t="shared" si="23"/>
        <v/>
      </c>
      <c r="BN14" s="147" t="str">
        <f t="shared" si="24"/>
        <v/>
      </c>
      <c r="BO14" s="147" t="str">
        <f t="shared" si="4"/>
        <v/>
      </c>
      <c r="BP14" s="147" t="str">
        <f t="shared" si="25"/>
        <v/>
      </c>
      <c r="BQ14" s="148" t="str">
        <f t="shared" si="26"/>
        <v/>
      </c>
      <c r="BR14" s="148" t="str">
        <f t="shared" si="27"/>
        <v/>
      </c>
      <c r="BS14" s="148" t="str">
        <f t="shared" si="28"/>
        <v/>
      </c>
      <c r="BT14" s="148" t="str">
        <f t="shared" si="7"/>
        <v/>
      </c>
      <c r="BU14" s="148" t="str">
        <f t="shared" si="8"/>
        <v/>
      </c>
      <c r="BV14" s="148" t="str">
        <f t="shared" si="9"/>
        <v/>
      </c>
      <c r="BW14" s="148" t="str">
        <f t="shared" si="29"/>
        <v/>
      </c>
      <c r="BX14" s="148" t="str">
        <f t="shared" si="10"/>
        <v/>
      </c>
      <c r="BY14" s="148" t="str">
        <f t="shared" si="11"/>
        <v/>
      </c>
      <c r="BZ14" s="149" t="str">
        <f>IFERROR(INDEX('Prescriptive Rebate Table'!$B$2:$E$64,MATCH(O14,'Prescriptive Rebate Table'!$C$2:$C$64,0),3),"")</f>
        <v/>
      </c>
      <c r="CA14" s="145" t="str">
        <f>IFERROR(INDEX('Prescriptive Rebate Table'!$B$2:$E$64,MATCH(O14,'Prescriptive Rebate Table'!$C$2:$C$64,0),4),"")</f>
        <v/>
      </c>
      <c r="CB14" s="149" t="str">
        <f t="shared" si="30"/>
        <v/>
      </c>
      <c r="CC14" s="145" t="str">
        <f t="shared" si="31"/>
        <v/>
      </c>
      <c r="CD14" s="149" t="str">
        <f t="shared" si="12"/>
        <v/>
      </c>
      <c r="CE14" s="149" t="str">
        <f t="shared" si="13"/>
        <v/>
      </c>
      <c r="CF14" s="149" t="str">
        <f>IF(BK14&lt;=0,0,IFERROR(IF(OR(ISBLANK(AC14),ISBLANK(CD14))=TRUE,"",IF(CA14="Per Foot",INDEX('Fixture Codes'!$I$8:$I$976,MATCH(AD14,'Fixture Codes'!$B$8:$B$976,0))/12*AF14*BZ14,IF(CA14="Lamp",INDEX('Fixture Codes'!$J$8:$J$976,MATCH(AD14,'Fixture Codes'!$B$8:$B$976,0))*AF14*BZ14,IF(CA14="Fixture",AF14*BZ14,IF(CA14="kWh",BK14*BZ14,0))))),""))</f>
        <v/>
      </c>
      <c r="CG14" s="149" t="str">
        <f t="shared" si="32"/>
        <v/>
      </c>
      <c r="CH14" s="149" t="str">
        <f t="shared" si="33"/>
        <v/>
      </c>
      <c r="CI14" s="152"/>
      <c r="CJ14" s="146"/>
      <c r="CK14" s="241">
        <f>IFERROR(IF(CL14="Yes",'Prescriptive Rebate Table'!$D$69,IF(ISBLANK(AI14),0,IF(AND(AH14=Lookups!$A$62,BK14&gt;0),'Prescriptive Rebate Table'!$D$68,IF(AND(BK14&gt;0,CJ14=AF14),'Prescriptive Rebate Table'!$D$67,IF(AND(BK14&gt;0,CJ14&lt;&gt;AF14),'Prescriptive Rebate Table'!D73,0))))),"")</f>
        <v>0</v>
      </c>
      <c r="CL14" s="240" t="s">
        <v>2712</v>
      </c>
      <c r="CM14" s="152"/>
      <c r="CN14" s="152"/>
      <c r="CO14" s="152"/>
      <c r="CP14" s="146">
        <f t="shared" si="14"/>
        <v>0</v>
      </c>
      <c r="CQ14" s="153">
        <f>IF(D14="Interior",ROUND(($AG14*AF14)/1000*$AM14*(Lookups!$B$54-$AA14)*$AN14*$AO14,3),0)</f>
        <v>0</v>
      </c>
      <c r="CR14" s="153">
        <f>IFERROR(IF(D14="Interior",ROUND(($AG14*$AF14)/1000*(Lookups!$C$54-$AB14)*$AN14*AQ14*AT14,6),0),"")</f>
        <v>0</v>
      </c>
      <c r="CS14" s="165">
        <f t="shared" si="34"/>
        <v>0</v>
      </c>
      <c r="CT14" s="165">
        <f t="shared" si="35"/>
        <v>0</v>
      </c>
      <c r="CV14" s="153">
        <f>IF(D14="Interior",ROUND(($AG14*AF14)/1000*$AM14*(Lookups!$B$43-$AA14)*$AN14*$AO14,3),0)</f>
        <v>0</v>
      </c>
      <c r="CW14" s="153">
        <f>IFERROR(IF(D14="Interior",ROUND(($AG14*$AF14)/1000*(Lookups!$C$43-$AB14)*$AN14*AQ14*AT14,6),0),"")</f>
        <v>0</v>
      </c>
      <c r="CX14" s="165">
        <f t="shared" si="15"/>
        <v>0</v>
      </c>
      <c r="CY14" s="165">
        <f t="shared" si="16"/>
        <v>0</v>
      </c>
      <c r="DA14" s="153">
        <f>IF(D14="Interior",ROUND(($AG14*AF14*(1-0.15))/1000*$AM14*(Lookups!$B$43+0.097-$AA14)*$AN14*$AO14+((W14*V14)/1000*AN14*AM14*AO14*0.15),3),0)</f>
        <v>0</v>
      </c>
      <c r="DB14" s="153">
        <f>IFERROR(IF(D14="Interior",ROUND(($AG14*$AF14)/1000*(Lookups!$C$43+0.097-$AB14)*$AN14*AQ14*AT14+(($AG14*$AF14)/1000*$AN14*AQ14*AT14*0.15),6),0),"")</f>
        <v>0</v>
      </c>
      <c r="DC14" s="165">
        <f t="shared" si="17"/>
        <v>0</v>
      </c>
      <c r="DD14" s="165">
        <f t="shared" si="18"/>
        <v>0</v>
      </c>
    </row>
    <row r="15" spans="1:108" s="164" customFormat="1">
      <c r="A15" s="150">
        <v>11</v>
      </c>
      <c r="B15" s="153" t="str">
        <f>IFERROR(INDEX(Lookups!$B$2:$B$38,MATCH('Project Info &amp; Summary'!$C$19,Lookups!$A$2:$A$38,0)),"")</f>
        <v/>
      </c>
      <c r="C15" s="153" t="str">
        <f>IFERROR(INDEX(Lookups!$C$2:$C$38,MATCH('Project Info &amp; Summary'!$C$19,Lookups!$A$2:$A$38,0)),"")</f>
        <v/>
      </c>
      <c r="D15" s="163"/>
      <c r="E15" s="160"/>
      <c r="F15" s="158"/>
      <c r="G15" s="158"/>
      <c r="H15" s="158"/>
      <c r="I15" s="158"/>
      <c r="J15" s="154" t="str">
        <f>IFERROR(INDEX(Lookups!$W$21:$W$26,MATCH(I15,Lookups!$V$21:$V$26,0)),"")</f>
        <v/>
      </c>
      <c r="K15" s="158"/>
      <c r="L15" s="162" t="str">
        <f>IFERROR(INDEX(Lookups!$Y$2:$Y$19,MATCH(_xlfn.CONCAT(I15,K15),Lookups!$X$2:$X$19,0)),"")</f>
        <v/>
      </c>
      <c r="M15" s="158"/>
      <c r="N15" s="153" t="str">
        <f>IFERROR(INDEX('Prescriptive Rebate Table'!$M$3:$M$20,MATCH(M15,'Prescriptive Rebate Table'!$L$3:$L$20,0)),"")</f>
        <v/>
      </c>
      <c r="O15" s="158"/>
      <c r="P15" s="154" t="str">
        <f>IFERROR(INDEX('Prescriptive Rebate Table'!$B$2:$H$64, MATCH(O15,'Prescriptive Rebate Table'!$C$2:$C$64,0),7),"")</f>
        <v/>
      </c>
      <c r="Q15" s="155" t="str">
        <f>IFERROR(INDEX('Prescriptive Rebate Table'!$B$2:$I$64, MATCH(O15,'Prescriptive Rebate Table'!$C$2:$C$64,0),8),"")</f>
        <v/>
      </c>
      <c r="R15" s="155" t="str">
        <f>IFERROR(INDEX('Prescriptive Rebate Table'!$B$2:$J$64, MATCH(O15,'Prescriptive Rebate Table'!$C$2:$C$64,0),9),"")</f>
        <v/>
      </c>
      <c r="S15" s="160"/>
      <c r="T15" s="145" t="str">
        <f>IFERROR(INDEX('Fixture Codes'!$M$8:$M$976,MATCH(S15,'Fixture Codes'!$B$8:$B$976,0)),"")</f>
        <v/>
      </c>
      <c r="U15" s="145" t="str">
        <f>IFERROR(INDEX('Fixture Codes'!$B$7:$M$976,MATCH(T15,'Fixture Codes'!$B$7:$B$976,0),5),"")</f>
        <v/>
      </c>
      <c r="V15" s="160"/>
      <c r="W15" s="145" t="str">
        <f>IFERROR(INDEX('Fixture Codes'!$L$8:$L$976,MATCH(T15,'Fixture Codes'!$B$8:$B$976,0)),"")</f>
        <v/>
      </c>
      <c r="X15" s="158"/>
      <c r="Y15" s="159"/>
      <c r="Z15" s="155" t="str">
        <f>IFERROR(INDEX(Lookups!B$68:B$87,MATCH($X15,Lookups!$A$68:$A$87,0)),"")</f>
        <v/>
      </c>
      <c r="AA15" s="150" t="str">
        <f>IFERROR(INDEX(Lookups!B$42:B$62,MATCH($X15,Lookups!$A$42:$A$62,0)),"")</f>
        <v/>
      </c>
      <c r="AB15" s="150" t="str">
        <f>IFERROR(INDEX(Lookups!C$42:C$62,MATCH($X15,Lookups!$A$42:$A$62,0)),"")</f>
        <v/>
      </c>
      <c r="AC15" s="161"/>
      <c r="AD15" s="160"/>
      <c r="AE15" s="150" t="str">
        <f>IFERROR(INDEX('Fixture Codes'!$B$7:$M$976,MATCH(AD15,'Fixture Codes'!$B$7:$B$976,0),5),"")</f>
        <v/>
      </c>
      <c r="AF15" s="160"/>
      <c r="AG15" s="145" t="str">
        <f>IFERROR(INDEX('Fixture Codes'!$L$8:$L$976,MATCH(AD15,'Fixture Codes'!$B$8:$B$976,0)),"")</f>
        <v/>
      </c>
      <c r="AH15" s="158"/>
      <c r="AI15" s="160"/>
      <c r="AJ15" s="150" t="str">
        <f>IFERROR(INDEX(Lookups!B$68:B$87,MATCH($AH15,Lookups!$A$68:$A$87,0)),"")</f>
        <v/>
      </c>
      <c r="AK15" s="150" t="str">
        <f>IFERROR(INDEX(Lookups!B$42:B$62,MATCH($AH15,Lookups!$A$42:$A$62,0)),"")</f>
        <v/>
      </c>
      <c r="AL15" s="150" t="str">
        <f>IFERROR(INDEX(Lookups!C$42:C$62,MATCH($AH15,Lookups!$A$42:$A$62,0)),"")</f>
        <v/>
      </c>
      <c r="AM15" s="150" t="str">
        <f>IFERROR(IF(M15="Exit Signs",8760,IF(INDEX('Fixture Codes'!$C$8:$C$976,MATCH(AD15,'Fixture Codes'!$B$8:$B$976,0))="Exit Sign",8760,INDEX(Lookups!$I$2:$I$428,MATCH(_xlfn.CONCAT(B15,H15),Lookups!$H$2:$H$428,0)))),"")</f>
        <v/>
      </c>
      <c r="AN15" s="153">
        <v>1</v>
      </c>
      <c r="AO15" s="150" t="str">
        <f>IF($D15="Interior",INDEX(Lookups!Q$2:Q$86,MATCH(_xlfn.CONCAT($C15,$L15),Lookups!$P$2:$P$86,0)),IF($D15="Exterior",1,""))</f>
        <v/>
      </c>
      <c r="AP15" s="150">
        <f t="shared" si="19"/>
        <v>1</v>
      </c>
      <c r="AQ15" s="150" t="str">
        <f>IF($D15="Interior",INDEX(Lookups!R$2:R$86,MATCH(_xlfn.CONCAT($C15,$L15),Lookups!$P$2:$P$86,0)),IF($D15="Exterior",1,""))</f>
        <v/>
      </c>
      <c r="AR15" s="150" t="str">
        <f>IF($D15="Interior",INDEX(Lookups!S$2:S$86,MATCH(_xlfn.CONCAT($C15,$L15),Lookups!$P$2:$P$86,0)),IF($D15="Exterior",1,""))</f>
        <v/>
      </c>
      <c r="AS15" s="150" t="str">
        <f>IF($D15="Interior",INDEX(Lookups!T$2:T$86,MATCH(_xlfn.CONCAT($C15,$L15),Lookups!$P$2:$P$86,0)),IF($D15="Exterior",1,""))</f>
        <v/>
      </c>
      <c r="AT15" s="150" t="str">
        <f>IFERROR(IF(M15="Exit Signs",1,IF(INDEX('Fixture Codes'!$C$8:$C$976,MATCH($AD15,'Fixture Codes'!$B$8:$B$976,0))="Exit Sign",1,INDEX(Lookups!J$2:J$428,MATCH(_xlfn.CONCAT($B15,$H15),Lookups!$H$2:$H$428,0)))),"")</f>
        <v/>
      </c>
      <c r="AU15" s="150" t="str">
        <f>IFERROR(IF(M15="Exit Signs",1,IF(INDEX('Fixture Codes'!$C$8:$C$976,MATCH($AD15,'Fixture Codes'!$B$8:$B$976,0))="Exit Sign",1,INDEX(Lookups!K$2:K$428,MATCH(_xlfn.CONCAT($B15,$H15),Lookups!$H$2:$H$428,0)))),"")</f>
        <v/>
      </c>
      <c r="AV15" s="150" t="str">
        <f>IFERROR(IF(M15="Exit Signs",1,IF(INDEX('Fixture Codes'!$C$8:$C$976,MATCH($AD15,'Fixture Codes'!$B$8:$B$976,0))="Exit Sign",1,INDEX(Lookups!L$2:L$428,MATCH(_xlfn.CONCAT($B15,$H15),Lookups!$H$2:$H$428,0)))),"")</f>
        <v/>
      </c>
      <c r="AW15" s="150" t="str">
        <f>IF(ISBLANK(K15),"",IF(K15="Gas",INDEX(Lookups!$AG$2:$AG$63,MATCH(O15,Lookups!$AD$2:$AD$63,0),0),0))</f>
        <v/>
      </c>
      <c r="AX15" s="150" t="str">
        <f>IF(ISBLANK(K15),"",IF(K15="Gas",INDEX(Lookups!$AF$2:$AF$63,MATCH(O15,Lookups!$AD$2:$AD$63,0),0),0))</f>
        <v/>
      </c>
      <c r="AY15" s="150" t="str">
        <f>IF(ISBLANK(K15),"",IF(K15="Gas",INDEX(Lookups!$AH$2:$AH$63,MATCH(O15,Lookups!$AD$2:$AD$63,0),0),0))</f>
        <v/>
      </c>
      <c r="AZ15" s="150" t="str">
        <f>IF(ISBLANK(K15),"",IF(K15="Gas",INDEX(Lookups!$AI$2:$AI$63,MATCH(O15,Lookups!$AD$2:$AD$63,0),0),0))</f>
        <v/>
      </c>
      <c r="BA15" s="150" t="str">
        <f t="shared" si="0"/>
        <v/>
      </c>
      <c r="BB15" s="156" t="str">
        <f>IF(ISBLANK(AH15),"",IF(AH15="None",0,IF(K15="Gas",INDEX(Lookups!$AF$51:$AF$69,MATCH(AH15,Lookups!$AD$51:$AD$69,0),0),0)))</f>
        <v/>
      </c>
      <c r="BC15" s="156" t="str">
        <f>IF(ISBLANK(AH15),"",IF(AH15="None",0,IF(K15="Gas",INDEX(Lookups!$AH$51:$AH$69,MATCH(AH15,Lookups!$AD$51:$AD$69,0),0),0)))</f>
        <v/>
      </c>
      <c r="BD15" s="156" t="str">
        <f>IF(ISBLANK(AH15),"",IF(AH15="None",0,IF(K15="Gas",INDEX(Lookups!$AI$51:$AI$69,MATCH(AH15,Lookups!$AD$51:$AD$69,0),0),0)))</f>
        <v/>
      </c>
      <c r="BE15" s="157"/>
      <c r="BF15" s="157"/>
      <c r="BG15" s="147" t="str">
        <f t="shared" si="20"/>
        <v/>
      </c>
      <c r="BH15" s="147" t="str">
        <f t="shared" si="21"/>
        <v/>
      </c>
      <c r="BI15" s="147" t="str">
        <f t="shared" si="1"/>
        <v/>
      </c>
      <c r="BJ15" s="147" t="str">
        <f t="shared" si="2"/>
        <v/>
      </c>
      <c r="BK15" s="148" t="str">
        <f t="shared" si="22"/>
        <v/>
      </c>
      <c r="BL15" s="147" t="str">
        <f t="shared" si="3"/>
        <v/>
      </c>
      <c r="BM15" s="148" t="str">
        <f t="shared" si="23"/>
        <v/>
      </c>
      <c r="BN15" s="147" t="str">
        <f t="shared" si="24"/>
        <v/>
      </c>
      <c r="BO15" s="147" t="str">
        <f t="shared" si="4"/>
        <v/>
      </c>
      <c r="BP15" s="147" t="str">
        <f t="shared" si="25"/>
        <v/>
      </c>
      <c r="BQ15" s="148" t="str">
        <f t="shared" si="26"/>
        <v/>
      </c>
      <c r="BR15" s="148" t="str">
        <f t="shared" si="27"/>
        <v/>
      </c>
      <c r="BS15" s="148" t="str">
        <f t="shared" si="28"/>
        <v/>
      </c>
      <c r="BT15" s="148" t="str">
        <f t="shared" si="7"/>
        <v/>
      </c>
      <c r="BU15" s="148" t="str">
        <f t="shared" si="8"/>
        <v/>
      </c>
      <c r="BV15" s="148" t="str">
        <f t="shared" si="9"/>
        <v/>
      </c>
      <c r="BW15" s="148" t="str">
        <f t="shared" si="29"/>
        <v/>
      </c>
      <c r="BX15" s="148" t="str">
        <f t="shared" si="10"/>
        <v/>
      </c>
      <c r="BY15" s="148" t="str">
        <f t="shared" si="11"/>
        <v/>
      </c>
      <c r="BZ15" s="149" t="str">
        <f>IFERROR(INDEX('Prescriptive Rebate Table'!$B$2:$E$64,MATCH(O15,'Prescriptive Rebate Table'!$C$2:$C$64,0),3),"")</f>
        <v/>
      </c>
      <c r="CA15" s="145" t="str">
        <f>IFERROR(INDEX('Prescriptive Rebate Table'!$B$2:$E$64,MATCH(O15,'Prescriptive Rebate Table'!$C$2:$C$64,0),4),"")</f>
        <v/>
      </c>
      <c r="CB15" s="149" t="str">
        <f t="shared" si="30"/>
        <v/>
      </c>
      <c r="CC15" s="145" t="str">
        <f t="shared" si="31"/>
        <v/>
      </c>
      <c r="CD15" s="149" t="str">
        <f t="shared" si="12"/>
        <v/>
      </c>
      <c r="CE15" s="149" t="str">
        <f t="shared" si="13"/>
        <v/>
      </c>
      <c r="CF15" s="149" t="str">
        <f>IF(BK15&lt;=0,0,IFERROR(IF(OR(ISBLANK(AC15),ISBLANK(CD15))=TRUE,"",IF(CA15="Per Foot",INDEX('Fixture Codes'!$I$8:$I$976,MATCH(AD15,'Fixture Codes'!$B$8:$B$976,0))/12*AF15*BZ15,IF(CA15="Lamp",INDEX('Fixture Codes'!$J$8:$J$976,MATCH(AD15,'Fixture Codes'!$B$8:$B$976,0))*AF15*BZ15,IF(CA15="Fixture",AF15*BZ15,IF(CA15="kWh",BK15*BZ15,0))))),""))</f>
        <v/>
      </c>
      <c r="CG15" s="149" t="str">
        <f t="shared" si="32"/>
        <v/>
      </c>
      <c r="CH15" s="149" t="str">
        <f t="shared" si="33"/>
        <v/>
      </c>
      <c r="CI15" s="152"/>
      <c r="CJ15" s="146"/>
      <c r="CK15" s="241">
        <f>IFERROR(IF(CL15="Yes",'Prescriptive Rebate Table'!$D$69,IF(ISBLANK(AI15),0,IF(AND(AH15=Lookups!$A$62,BK15&gt;0),'Prescriptive Rebate Table'!$D$68,IF(AND(BK15&gt;0,CJ15=AF15),'Prescriptive Rebate Table'!$D$67,IF(AND(BK15&gt;0,CJ15&lt;&gt;AF15),'Prescriptive Rebate Table'!D74,0))))),"")</f>
        <v>0</v>
      </c>
      <c r="CL15" s="240" t="s">
        <v>2712</v>
      </c>
      <c r="CM15" s="152"/>
      <c r="CN15" s="152"/>
      <c r="CO15" s="152"/>
      <c r="CP15" s="146">
        <f t="shared" si="14"/>
        <v>0</v>
      </c>
      <c r="CQ15" s="153">
        <f>IF(D15="Interior",ROUND(($AG15*AF15)/1000*$AM15*(Lookups!$B$54-$AA15)*$AN15*$AO15,3),0)</f>
        <v>0</v>
      </c>
      <c r="CR15" s="153">
        <f>IFERROR(IF(D15="Interior",ROUND(($AG15*$AF15)/1000*(Lookups!$C$54-$AB15)*$AN15*AQ15*AT15,6),0),"")</f>
        <v>0</v>
      </c>
      <c r="CS15" s="165">
        <f t="shared" si="34"/>
        <v>0</v>
      </c>
      <c r="CT15" s="165">
        <f t="shared" si="35"/>
        <v>0</v>
      </c>
      <c r="CV15" s="153">
        <f>IF(D15="Interior",ROUND(($AG15*AF15)/1000*$AM15*(Lookups!$B$43-$AA15)*$AN15*$AO15,3),0)</f>
        <v>0</v>
      </c>
      <c r="CW15" s="153">
        <f>IFERROR(IF(D15="Interior",ROUND(($AG15*$AF15)/1000*(Lookups!$C$43-$AB15)*$AN15*AQ15*AT15,6),0),"")</f>
        <v>0</v>
      </c>
      <c r="CX15" s="165">
        <f t="shared" si="15"/>
        <v>0</v>
      </c>
      <c r="CY15" s="165">
        <f t="shared" si="16"/>
        <v>0</v>
      </c>
      <c r="DA15" s="153">
        <f>IF(D15="Interior",ROUND(($AG15*AF15*(1-0.15))/1000*$AM15*(Lookups!$B$43+0.097-$AA15)*$AN15*$AO15+((W15*V15)/1000*AN15*AM15*AO15*0.15),3),0)</f>
        <v>0</v>
      </c>
      <c r="DB15" s="153">
        <f>IFERROR(IF(D15="Interior",ROUND(($AG15*$AF15)/1000*(Lookups!$C$43+0.097-$AB15)*$AN15*AQ15*AT15+(($AG15*$AF15)/1000*$AN15*AQ15*AT15*0.15),6),0),"")</f>
        <v>0</v>
      </c>
      <c r="DC15" s="165">
        <f t="shared" si="17"/>
        <v>0</v>
      </c>
      <c r="DD15" s="165">
        <f t="shared" si="18"/>
        <v>0</v>
      </c>
    </row>
    <row r="16" spans="1:108" s="164" customFormat="1">
      <c r="A16" s="150">
        <v>12</v>
      </c>
      <c r="B16" s="153" t="str">
        <f>IFERROR(INDEX(Lookups!$B$2:$B$38,MATCH('Project Info &amp; Summary'!$C$19,Lookups!$A$2:$A$38,0)),"")</f>
        <v/>
      </c>
      <c r="C16" s="153" t="str">
        <f>IFERROR(INDEX(Lookups!$C$2:$C$38,MATCH('Project Info &amp; Summary'!$C$19,Lookups!$A$2:$A$38,0)),"")</f>
        <v/>
      </c>
      <c r="D16" s="163"/>
      <c r="E16" s="160"/>
      <c r="F16" s="158"/>
      <c r="G16" s="158"/>
      <c r="H16" s="158"/>
      <c r="I16" s="158"/>
      <c r="J16" s="154" t="str">
        <f>IFERROR(INDEX(Lookups!$W$21:$W$26,MATCH(I16,Lookups!$V$21:$V$26,0)),"")</f>
        <v/>
      </c>
      <c r="K16" s="158"/>
      <c r="L16" s="162" t="str">
        <f>IFERROR(INDEX(Lookups!$Y$2:$Y$19,MATCH(_xlfn.CONCAT(I16,K16),Lookups!$X$2:$X$19,0)),"")</f>
        <v/>
      </c>
      <c r="M16" s="158"/>
      <c r="N16" s="153" t="str">
        <f>IFERROR(INDEX('Prescriptive Rebate Table'!$M$3:$M$20,MATCH(M16,'Prescriptive Rebate Table'!$L$3:$L$20,0)),"")</f>
        <v/>
      </c>
      <c r="O16" s="158"/>
      <c r="P16" s="154" t="str">
        <f>IFERROR(INDEX('Prescriptive Rebate Table'!$B$2:$H$64, MATCH(O16,'Prescriptive Rebate Table'!$C$2:$C$64,0),7),"")</f>
        <v/>
      </c>
      <c r="Q16" s="155" t="str">
        <f>IFERROR(INDEX('Prescriptive Rebate Table'!$B$2:$I$64, MATCH(O16,'Prescriptive Rebate Table'!$C$2:$C$64,0),8),"")</f>
        <v/>
      </c>
      <c r="R16" s="155" t="str">
        <f>IFERROR(INDEX('Prescriptive Rebate Table'!$B$2:$J$64, MATCH(O16,'Prescriptive Rebate Table'!$C$2:$C$64,0),9),"")</f>
        <v/>
      </c>
      <c r="S16" s="160"/>
      <c r="T16" s="145" t="str">
        <f>IFERROR(INDEX('Fixture Codes'!$M$8:$M$976,MATCH(S16,'Fixture Codes'!$B$8:$B$976,0)),"")</f>
        <v/>
      </c>
      <c r="U16" s="145" t="str">
        <f>IFERROR(INDEX('Fixture Codes'!$B$7:$M$976,MATCH(T16,'Fixture Codes'!$B$7:$B$976,0),5),"")</f>
        <v/>
      </c>
      <c r="V16" s="160"/>
      <c r="W16" s="145" t="str">
        <f>IFERROR(INDEX('Fixture Codes'!$L$8:$L$976,MATCH(T16,'Fixture Codes'!$B$8:$B$976,0)),"")</f>
        <v/>
      </c>
      <c r="X16" s="158"/>
      <c r="Y16" s="159"/>
      <c r="Z16" s="155" t="str">
        <f>IFERROR(INDEX(Lookups!B$68:B$87,MATCH($X16,Lookups!$A$68:$A$87,0)),"")</f>
        <v/>
      </c>
      <c r="AA16" s="150" t="str">
        <f>IFERROR(INDEX(Lookups!B$42:B$62,MATCH($X16,Lookups!$A$42:$A$62,0)),"")</f>
        <v/>
      </c>
      <c r="AB16" s="150" t="str">
        <f>IFERROR(INDEX(Lookups!C$42:C$62,MATCH($X16,Lookups!$A$42:$A$62,0)),"")</f>
        <v/>
      </c>
      <c r="AC16" s="161"/>
      <c r="AD16" s="160"/>
      <c r="AE16" s="150" t="str">
        <f>IFERROR(INDEX('Fixture Codes'!$B$7:$M$976,MATCH(AD16,'Fixture Codes'!$B$7:$B$976,0),5),"")</f>
        <v/>
      </c>
      <c r="AF16" s="160"/>
      <c r="AG16" s="145" t="str">
        <f>IFERROR(INDEX('Fixture Codes'!$L$8:$L$976,MATCH(AD16,'Fixture Codes'!$B$8:$B$976,0)),"")</f>
        <v/>
      </c>
      <c r="AH16" s="158"/>
      <c r="AI16" s="160"/>
      <c r="AJ16" s="150" t="str">
        <f>IFERROR(INDEX(Lookups!B$68:B$87,MATCH($AH16,Lookups!$A$68:$A$87,0)),"")</f>
        <v/>
      </c>
      <c r="AK16" s="150" t="str">
        <f>IFERROR(INDEX(Lookups!B$42:B$62,MATCH($AH16,Lookups!$A$42:$A$62,0)),"")</f>
        <v/>
      </c>
      <c r="AL16" s="150" t="str">
        <f>IFERROR(INDEX(Lookups!C$42:C$62,MATCH($AH16,Lookups!$A$42:$A$62,0)),"")</f>
        <v/>
      </c>
      <c r="AM16" s="150" t="str">
        <f>IFERROR(IF(M16="Exit Signs",8760,IF(INDEX('Fixture Codes'!$C$8:$C$976,MATCH(AD16,'Fixture Codes'!$B$8:$B$976,0))="Exit Sign",8760,INDEX(Lookups!$I$2:$I$428,MATCH(_xlfn.CONCAT(B16,H16),Lookups!$H$2:$H$428,0)))),"")</f>
        <v/>
      </c>
      <c r="AN16" s="153">
        <v>1</v>
      </c>
      <c r="AO16" s="150" t="str">
        <f>IF($D16="Interior",INDEX(Lookups!Q$2:Q$86,MATCH(_xlfn.CONCAT($C16,$L16),Lookups!$P$2:$P$86,0)),IF($D16="Exterior",1,""))</f>
        <v/>
      </c>
      <c r="AP16" s="150">
        <f t="shared" si="19"/>
        <v>1</v>
      </c>
      <c r="AQ16" s="150" t="str">
        <f>IF($D16="Interior",INDEX(Lookups!R$2:R$86,MATCH(_xlfn.CONCAT($C16,$L16),Lookups!$P$2:$P$86,0)),IF($D16="Exterior",1,""))</f>
        <v/>
      </c>
      <c r="AR16" s="150" t="str">
        <f>IF($D16="Interior",INDEX(Lookups!S$2:S$86,MATCH(_xlfn.CONCAT($C16,$L16),Lookups!$P$2:$P$86,0)),IF($D16="Exterior",1,""))</f>
        <v/>
      </c>
      <c r="AS16" s="150" t="str">
        <f>IF($D16="Interior",INDEX(Lookups!T$2:T$86,MATCH(_xlfn.CONCAT($C16,$L16),Lookups!$P$2:$P$86,0)),IF($D16="Exterior",1,""))</f>
        <v/>
      </c>
      <c r="AT16" s="150" t="str">
        <f>IFERROR(IF(M16="Exit Signs",1,IF(INDEX('Fixture Codes'!$C$8:$C$976,MATCH($AD16,'Fixture Codes'!$B$8:$B$976,0))="Exit Sign",1,INDEX(Lookups!J$2:J$428,MATCH(_xlfn.CONCAT($B16,$H16),Lookups!$H$2:$H$428,0)))),"")</f>
        <v/>
      </c>
      <c r="AU16" s="150" t="str">
        <f>IFERROR(IF(M16="Exit Signs",1,IF(INDEX('Fixture Codes'!$C$8:$C$976,MATCH($AD16,'Fixture Codes'!$B$8:$B$976,0))="Exit Sign",1,INDEX(Lookups!K$2:K$428,MATCH(_xlfn.CONCAT($B16,$H16),Lookups!$H$2:$H$428,0)))),"")</f>
        <v/>
      </c>
      <c r="AV16" s="150" t="str">
        <f>IFERROR(IF(M16="Exit Signs",1,IF(INDEX('Fixture Codes'!$C$8:$C$976,MATCH($AD16,'Fixture Codes'!$B$8:$B$976,0))="Exit Sign",1,INDEX(Lookups!L$2:L$428,MATCH(_xlfn.CONCAT($B16,$H16),Lookups!$H$2:$H$428,0)))),"")</f>
        <v/>
      </c>
      <c r="AW16" s="150" t="str">
        <f>IF(ISBLANK(K16),"",IF(K16="Gas",INDEX(Lookups!$AG$2:$AG$63,MATCH(O16,Lookups!$AD$2:$AD$63,0),0),0))</f>
        <v/>
      </c>
      <c r="AX16" s="150" t="str">
        <f>IF(ISBLANK(K16),"",IF(K16="Gas",INDEX(Lookups!$AF$2:$AF$63,MATCH(O16,Lookups!$AD$2:$AD$63,0),0),0))</f>
        <v/>
      </c>
      <c r="AY16" s="150" t="str">
        <f>IF(ISBLANK(K16),"",IF(K16="Gas",INDEX(Lookups!$AH$2:$AH$63,MATCH(O16,Lookups!$AD$2:$AD$63,0),0),0))</f>
        <v/>
      </c>
      <c r="AZ16" s="150" t="str">
        <f>IF(ISBLANK(K16),"",IF(K16="Gas",INDEX(Lookups!$AI$2:$AI$63,MATCH(O16,Lookups!$AD$2:$AD$63,0),0),0))</f>
        <v/>
      </c>
      <c r="BA16" s="150" t="str">
        <f t="shared" si="0"/>
        <v/>
      </c>
      <c r="BB16" s="156" t="str">
        <f>IF(ISBLANK(AH16),"",IF(AH16="None",0,IF(K16="Gas",INDEX(Lookups!$AF$51:$AF$69,MATCH(AH16,Lookups!$AD$51:$AD$69,0),0),0)))</f>
        <v/>
      </c>
      <c r="BC16" s="156" t="str">
        <f>IF(ISBLANK(AH16),"",IF(AH16="None",0,IF(K16="Gas",INDEX(Lookups!$AH$51:$AH$69,MATCH(AH16,Lookups!$AD$51:$AD$69,0),0),0)))</f>
        <v/>
      </c>
      <c r="BD16" s="156" t="str">
        <f>IF(ISBLANK(AH16),"",IF(AH16="None",0,IF(K16="Gas",INDEX(Lookups!$AI$51:$AI$69,MATCH(AH16,Lookups!$AD$51:$AD$69,0),0),0)))</f>
        <v/>
      </c>
      <c r="BE16" s="157"/>
      <c r="BF16" s="157"/>
      <c r="BG16" s="147" t="str">
        <f t="shared" si="20"/>
        <v/>
      </c>
      <c r="BH16" s="147" t="str">
        <f t="shared" si="21"/>
        <v/>
      </c>
      <c r="BI16" s="147" t="str">
        <f t="shared" si="1"/>
        <v/>
      </c>
      <c r="BJ16" s="147" t="str">
        <f t="shared" si="2"/>
        <v/>
      </c>
      <c r="BK16" s="148" t="str">
        <f t="shared" si="22"/>
        <v/>
      </c>
      <c r="BL16" s="147" t="str">
        <f t="shared" si="3"/>
        <v/>
      </c>
      <c r="BM16" s="148" t="str">
        <f t="shared" si="23"/>
        <v/>
      </c>
      <c r="BN16" s="147" t="str">
        <f t="shared" si="24"/>
        <v/>
      </c>
      <c r="BO16" s="147" t="str">
        <f t="shared" si="4"/>
        <v/>
      </c>
      <c r="BP16" s="147" t="str">
        <f t="shared" si="25"/>
        <v/>
      </c>
      <c r="BQ16" s="148" t="str">
        <f t="shared" si="26"/>
        <v/>
      </c>
      <c r="BR16" s="148" t="str">
        <f t="shared" si="27"/>
        <v/>
      </c>
      <c r="BS16" s="148" t="str">
        <f t="shared" si="28"/>
        <v/>
      </c>
      <c r="BT16" s="148" t="str">
        <f t="shared" si="7"/>
        <v/>
      </c>
      <c r="BU16" s="148" t="str">
        <f t="shared" si="8"/>
        <v/>
      </c>
      <c r="BV16" s="148" t="str">
        <f t="shared" si="9"/>
        <v/>
      </c>
      <c r="BW16" s="148" t="str">
        <f t="shared" si="29"/>
        <v/>
      </c>
      <c r="BX16" s="148" t="str">
        <f t="shared" si="10"/>
        <v/>
      </c>
      <c r="BY16" s="148" t="str">
        <f t="shared" si="11"/>
        <v/>
      </c>
      <c r="BZ16" s="149" t="str">
        <f>IFERROR(INDEX('Prescriptive Rebate Table'!$B$2:$E$64,MATCH(O16,'Prescriptive Rebate Table'!$C$2:$C$64,0),3),"")</f>
        <v/>
      </c>
      <c r="CA16" s="145" t="str">
        <f>IFERROR(INDEX('Prescriptive Rebate Table'!$B$2:$E$64,MATCH(O16,'Prescriptive Rebate Table'!$C$2:$C$64,0),4),"")</f>
        <v/>
      </c>
      <c r="CB16" s="149" t="str">
        <f t="shared" si="30"/>
        <v/>
      </c>
      <c r="CC16" s="145" t="str">
        <f t="shared" si="31"/>
        <v/>
      </c>
      <c r="CD16" s="149" t="str">
        <f t="shared" si="12"/>
        <v/>
      </c>
      <c r="CE16" s="149" t="str">
        <f t="shared" si="13"/>
        <v/>
      </c>
      <c r="CF16" s="149" t="str">
        <f>IF(BK16&lt;=0,0,IFERROR(IF(OR(ISBLANK(AC16),ISBLANK(CD16))=TRUE,"",IF(CA16="Per Foot",INDEX('Fixture Codes'!$I$8:$I$976,MATCH(AD16,'Fixture Codes'!$B$8:$B$976,0))/12*AF16*BZ16,IF(CA16="Lamp",INDEX('Fixture Codes'!$J$8:$J$976,MATCH(AD16,'Fixture Codes'!$B$8:$B$976,0))*AF16*BZ16,IF(CA16="Fixture",AF16*BZ16,IF(CA16="kWh",BK16*BZ16,0))))),""))</f>
        <v/>
      </c>
      <c r="CG16" s="149" t="str">
        <f t="shared" si="32"/>
        <v/>
      </c>
      <c r="CH16" s="149" t="str">
        <f t="shared" si="33"/>
        <v/>
      </c>
      <c r="CI16" s="152"/>
      <c r="CJ16" s="146"/>
      <c r="CK16" s="241">
        <f>IFERROR(IF(CL16="Yes",'Prescriptive Rebate Table'!$D$69,IF(ISBLANK(AI16),0,IF(AND(AH16=Lookups!$A$62,BK16&gt;0),'Prescriptive Rebate Table'!$D$68,IF(AND(BK16&gt;0,CJ16=AF16),'Prescriptive Rebate Table'!$D$67,IF(AND(BK16&gt;0,CJ16&lt;&gt;AF16),'Prescriptive Rebate Table'!D75,0))))),"")</f>
        <v>0</v>
      </c>
      <c r="CL16" s="240" t="s">
        <v>2712</v>
      </c>
      <c r="CM16" s="152"/>
      <c r="CN16" s="152"/>
      <c r="CO16" s="152"/>
      <c r="CP16" s="146">
        <f t="shared" si="14"/>
        <v>0</v>
      </c>
      <c r="CQ16" s="153">
        <f>IF(D16="Interior",ROUND(($AG16*AF16)/1000*$AM16*(Lookups!$B$54-$AA16)*$AN16*$AO16,3),0)</f>
        <v>0</v>
      </c>
      <c r="CR16" s="153">
        <f>IFERROR(IF(D16="Interior",ROUND(($AG16*$AF16)/1000*(Lookups!$C$54-$AB16)*$AN16*AQ16*AT16,6),0),"")</f>
        <v>0</v>
      </c>
      <c r="CS16" s="165">
        <f t="shared" si="34"/>
        <v>0</v>
      </c>
      <c r="CT16" s="165">
        <f t="shared" si="35"/>
        <v>0</v>
      </c>
      <c r="CV16" s="153">
        <f>IF(D16="Interior",ROUND(($AG16*AF16)/1000*$AM16*(Lookups!$B$43-$AA16)*$AN16*$AO16,3),0)</f>
        <v>0</v>
      </c>
      <c r="CW16" s="153">
        <f>IFERROR(IF(D16="Interior",ROUND(($AG16*$AF16)/1000*(Lookups!$C$43-$AB16)*$AN16*AQ16*AT16,6),0),"")</f>
        <v>0</v>
      </c>
      <c r="CX16" s="165">
        <f t="shared" si="15"/>
        <v>0</v>
      </c>
      <c r="CY16" s="165">
        <f t="shared" si="16"/>
        <v>0</v>
      </c>
      <c r="DA16" s="153">
        <f>IF(D16="Interior",ROUND(($AG16*AF16*(1-0.15))/1000*$AM16*(Lookups!$B$43+0.097-$AA16)*$AN16*$AO16+((W16*V16)/1000*AN16*AM16*AO16*0.15),3),0)</f>
        <v>0</v>
      </c>
      <c r="DB16" s="153">
        <f>IFERROR(IF(D16="Interior",ROUND(($AG16*$AF16)/1000*(Lookups!$C$43+0.097-$AB16)*$AN16*AQ16*AT16+(($AG16*$AF16)/1000*$AN16*AQ16*AT16*0.15),6),0),"")</f>
        <v>0</v>
      </c>
      <c r="DC16" s="165">
        <f t="shared" si="17"/>
        <v>0</v>
      </c>
      <c r="DD16" s="165">
        <f t="shared" si="18"/>
        <v>0</v>
      </c>
    </row>
    <row r="17" spans="1:108" s="164" customFormat="1">
      <c r="A17" s="150">
        <v>13</v>
      </c>
      <c r="B17" s="153" t="str">
        <f>IFERROR(INDEX(Lookups!$B$2:$B$38,MATCH('Project Info &amp; Summary'!$C$19,Lookups!$A$2:$A$38,0)),"")</f>
        <v/>
      </c>
      <c r="C17" s="153" t="str">
        <f>IFERROR(INDEX(Lookups!$C$2:$C$38,MATCH('Project Info &amp; Summary'!$C$19,Lookups!$A$2:$A$38,0)),"")</f>
        <v/>
      </c>
      <c r="D17" s="163"/>
      <c r="E17" s="160"/>
      <c r="F17" s="158"/>
      <c r="G17" s="158"/>
      <c r="H17" s="158"/>
      <c r="I17" s="158"/>
      <c r="J17" s="154" t="str">
        <f>IFERROR(INDEX(Lookups!$W$21:$W$26,MATCH(I17,Lookups!$V$21:$V$26,0)),"")</f>
        <v/>
      </c>
      <c r="K17" s="158"/>
      <c r="L17" s="162" t="str">
        <f>IFERROR(INDEX(Lookups!$Y$2:$Y$19,MATCH(_xlfn.CONCAT(I17,K17),Lookups!$X$2:$X$19,0)),"")</f>
        <v/>
      </c>
      <c r="M17" s="158"/>
      <c r="N17" s="153" t="str">
        <f>IFERROR(INDEX('Prescriptive Rebate Table'!$M$3:$M$20,MATCH(M17,'Prescriptive Rebate Table'!$L$3:$L$20,0)),"")</f>
        <v/>
      </c>
      <c r="O17" s="158"/>
      <c r="P17" s="154" t="str">
        <f>IFERROR(INDEX('Prescriptive Rebate Table'!$B$2:$H$64, MATCH(O17,'Prescriptive Rebate Table'!$C$2:$C$64,0),7),"")</f>
        <v/>
      </c>
      <c r="Q17" s="155" t="str">
        <f>IFERROR(INDEX('Prescriptive Rebate Table'!$B$2:$I$64, MATCH(O17,'Prescriptive Rebate Table'!$C$2:$C$64,0),8),"")</f>
        <v/>
      </c>
      <c r="R17" s="155" t="str">
        <f>IFERROR(INDEX('Prescriptive Rebate Table'!$B$2:$J$64, MATCH(O17,'Prescriptive Rebate Table'!$C$2:$C$64,0),9),"")</f>
        <v/>
      </c>
      <c r="S17" s="160"/>
      <c r="T17" s="145" t="str">
        <f>IFERROR(INDEX('Fixture Codes'!$M$8:$M$976,MATCH(S17,'Fixture Codes'!$B$8:$B$976,0)),"")</f>
        <v/>
      </c>
      <c r="U17" s="145" t="str">
        <f>IFERROR(INDEX('Fixture Codes'!$B$7:$M$976,MATCH(T17,'Fixture Codes'!$B$7:$B$976,0),5),"")</f>
        <v/>
      </c>
      <c r="V17" s="160"/>
      <c r="W17" s="145" t="str">
        <f>IFERROR(INDEX('Fixture Codes'!$L$8:$L$976,MATCH(T17,'Fixture Codes'!$B$8:$B$976,0)),"")</f>
        <v/>
      </c>
      <c r="X17" s="158"/>
      <c r="Y17" s="159"/>
      <c r="Z17" s="155" t="str">
        <f>IFERROR(INDEX(Lookups!B$68:B$87,MATCH($X17,Lookups!$A$68:$A$87,0)),"")</f>
        <v/>
      </c>
      <c r="AA17" s="150" t="str">
        <f>IFERROR(INDEX(Lookups!B$42:B$62,MATCH($X17,Lookups!$A$42:$A$62,0)),"")</f>
        <v/>
      </c>
      <c r="AB17" s="150" t="str">
        <f>IFERROR(INDEX(Lookups!C$42:C$62,MATCH($X17,Lookups!$A$42:$A$62,0)),"")</f>
        <v/>
      </c>
      <c r="AC17" s="161"/>
      <c r="AD17" s="160"/>
      <c r="AE17" s="150" t="str">
        <f>IFERROR(INDEX('Fixture Codes'!$B$7:$M$976,MATCH(AD17,'Fixture Codes'!$B$7:$B$976,0),5),"")</f>
        <v/>
      </c>
      <c r="AF17" s="160"/>
      <c r="AG17" s="145" t="str">
        <f>IFERROR(INDEX('Fixture Codes'!$L$8:$L$976,MATCH(AD17,'Fixture Codes'!$B$8:$B$976,0)),"")</f>
        <v/>
      </c>
      <c r="AH17" s="158"/>
      <c r="AI17" s="160"/>
      <c r="AJ17" s="150" t="str">
        <f>IFERROR(INDEX(Lookups!B$68:B$87,MATCH($AH17,Lookups!$A$68:$A$87,0)),"")</f>
        <v/>
      </c>
      <c r="AK17" s="150" t="str">
        <f>IFERROR(INDEX(Lookups!B$42:B$62,MATCH($AH17,Lookups!$A$42:$A$62,0)),"")</f>
        <v/>
      </c>
      <c r="AL17" s="150" t="str">
        <f>IFERROR(INDEX(Lookups!C$42:C$62,MATCH($AH17,Lookups!$A$42:$A$62,0)),"")</f>
        <v/>
      </c>
      <c r="AM17" s="150" t="str">
        <f>IFERROR(IF(M17="Exit Signs",8760,IF(INDEX('Fixture Codes'!$C$8:$C$976,MATCH(AD17,'Fixture Codes'!$B$8:$B$976,0))="Exit Sign",8760,INDEX(Lookups!$I$2:$I$428,MATCH(_xlfn.CONCAT(B17,H17),Lookups!$H$2:$H$428,0)))),"")</f>
        <v/>
      </c>
      <c r="AN17" s="153">
        <v>1</v>
      </c>
      <c r="AO17" s="150" t="str">
        <f>IF($D17="Interior",INDEX(Lookups!Q$2:Q$86,MATCH(_xlfn.CONCAT($C17,$L17),Lookups!$P$2:$P$86,0)),IF($D17="Exterior",1,""))</f>
        <v/>
      </c>
      <c r="AP17" s="150">
        <f t="shared" si="19"/>
        <v>1</v>
      </c>
      <c r="AQ17" s="150" t="str">
        <f>IF($D17="Interior",INDEX(Lookups!R$2:R$86,MATCH(_xlfn.CONCAT($C17,$L17),Lookups!$P$2:$P$86,0)),IF($D17="Exterior",1,""))</f>
        <v/>
      </c>
      <c r="AR17" s="150" t="str">
        <f>IF($D17="Interior",INDEX(Lookups!S$2:S$86,MATCH(_xlfn.CONCAT($C17,$L17),Lookups!$P$2:$P$86,0)),IF($D17="Exterior",1,""))</f>
        <v/>
      </c>
      <c r="AS17" s="150" t="str">
        <f>IF($D17="Interior",INDEX(Lookups!T$2:T$86,MATCH(_xlfn.CONCAT($C17,$L17),Lookups!$P$2:$P$86,0)),IF($D17="Exterior",1,""))</f>
        <v/>
      </c>
      <c r="AT17" s="150" t="str">
        <f>IFERROR(IF(M17="Exit Signs",1,IF(INDEX('Fixture Codes'!$C$8:$C$976,MATCH($AD17,'Fixture Codes'!$B$8:$B$976,0))="Exit Sign",1,INDEX(Lookups!J$2:J$428,MATCH(_xlfn.CONCAT($B17,$H17),Lookups!$H$2:$H$428,0)))),"")</f>
        <v/>
      </c>
      <c r="AU17" s="150" t="str">
        <f>IFERROR(IF(M17="Exit Signs",1,IF(INDEX('Fixture Codes'!$C$8:$C$976,MATCH($AD17,'Fixture Codes'!$B$8:$B$976,0))="Exit Sign",1,INDEX(Lookups!K$2:K$428,MATCH(_xlfn.CONCAT($B17,$H17),Lookups!$H$2:$H$428,0)))),"")</f>
        <v/>
      </c>
      <c r="AV17" s="150" t="str">
        <f>IFERROR(IF(M17="Exit Signs",1,IF(INDEX('Fixture Codes'!$C$8:$C$976,MATCH($AD17,'Fixture Codes'!$B$8:$B$976,0))="Exit Sign",1,INDEX(Lookups!L$2:L$428,MATCH(_xlfn.CONCAT($B17,$H17),Lookups!$H$2:$H$428,0)))),"")</f>
        <v/>
      </c>
      <c r="AW17" s="150" t="str">
        <f>IF(ISBLANK(K17),"",IF(K17="Gas",INDEX(Lookups!$AG$2:$AG$63,MATCH(O17,Lookups!$AD$2:$AD$63,0),0),0))</f>
        <v/>
      </c>
      <c r="AX17" s="150" t="str">
        <f>IF(ISBLANK(K17),"",IF(K17="Gas",INDEX(Lookups!$AF$2:$AF$63,MATCH(O17,Lookups!$AD$2:$AD$63,0),0),0))</f>
        <v/>
      </c>
      <c r="AY17" s="150" t="str">
        <f>IF(ISBLANK(K17),"",IF(K17="Gas",INDEX(Lookups!$AH$2:$AH$63,MATCH(O17,Lookups!$AD$2:$AD$63,0),0),0))</f>
        <v/>
      </c>
      <c r="AZ17" s="150" t="str">
        <f>IF(ISBLANK(K17),"",IF(K17="Gas",INDEX(Lookups!$AI$2:$AI$63,MATCH(O17,Lookups!$AD$2:$AD$63,0),0),0))</f>
        <v/>
      </c>
      <c r="BA17" s="150" t="str">
        <f t="shared" si="0"/>
        <v/>
      </c>
      <c r="BB17" s="156" t="str">
        <f>IF(ISBLANK(AH17),"",IF(AH17="None",0,IF(K17="Gas",INDEX(Lookups!$AF$51:$AF$69,MATCH(AH17,Lookups!$AD$51:$AD$69,0),0),0)))</f>
        <v/>
      </c>
      <c r="BC17" s="156" t="str">
        <f>IF(ISBLANK(AH17),"",IF(AH17="None",0,IF(K17="Gas",INDEX(Lookups!$AH$51:$AH$69,MATCH(AH17,Lookups!$AD$51:$AD$69,0),0),0)))</f>
        <v/>
      </c>
      <c r="BD17" s="156" t="str">
        <f>IF(ISBLANK(AH17),"",IF(AH17="None",0,IF(K17="Gas",INDEX(Lookups!$AI$51:$AI$69,MATCH(AH17,Lookups!$AD$51:$AD$69,0),0),0)))</f>
        <v/>
      </c>
      <c r="BE17" s="157"/>
      <c r="BF17" s="157"/>
      <c r="BG17" s="147" t="str">
        <f t="shared" si="20"/>
        <v/>
      </c>
      <c r="BH17" s="147" t="str">
        <f t="shared" si="21"/>
        <v/>
      </c>
      <c r="BI17" s="147" t="str">
        <f t="shared" si="1"/>
        <v/>
      </c>
      <c r="BJ17" s="147" t="str">
        <f t="shared" si="2"/>
        <v/>
      </c>
      <c r="BK17" s="148" t="str">
        <f t="shared" si="22"/>
        <v/>
      </c>
      <c r="BL17" s="147" t="str">
        <f t="shared" si="3"/>
        <v/>
      </c>
      <c r="BM17" s="148" t="str">
        <f t="shared" si="23"/>
        <v/>
      </c>
      <c r="BN17" s="147" t="str">
        <f t="shared" si="24"/>
        <v/>
      </c>
      <c r="BO17" s="147" t="str">
        <f t="shared" si="4"/>
        <v/>
      </c>
      <c r="BP17" s="147" t="str">
        <f t="shared" si="25"/>
        <v/>
      </c>
      <c r="BQ17" s="148" t="str">
        <f t="shared" si="26"/>
        <v/>
      </c>
      <c r="BR17" s="148" t="str">
        <f t="shared" si="27"/>
        <v/>
      </c>
      <c r="BS17" s="148" t="str">
        <f t="shared" si="28"/>
        <v/>
      </c>
      <c r="BT17" s="148" t="str">
        <f t="shared" si="7"/>
        <v/>
      </c>
      <c r="BU17" s="148" t="str">
        <f t="shared" si="8"/>
        <v/>
      </c>
      <c r="BV17" s="148" t="str">
        <f t="shared" si="9"/>
        <v/>
      </c>
      <c r="BW17" s="148" t="str">
        <f t="shared" si="29"/>
        <v/>
      </c>
      <c r="BX17" s="148" t="str">
        <f t="shared" si="10"/>
        <v/>
      </c>
      <c r="BY17" s="148" t="str">
        <f t="shared" si="11"/>
        <v/>
      </c>
      <c r="BZ17" s="149" t="str">
        <f>IFERROR(INDEX('Prescriptive Rebate Table'!$B$2:$E$64,MATCH(O17,'Prescriptive Rebate Table'!$C$2:$C$64,0),3),"")</f>
        <v/>
      </c>
      <c r="CA17" s="145" t="str">
        <f>IFERROR(INDEX('Prescriptive Rebate Table'!$B$2:$E$64,MATCH(O17,'Prescriptive Rebate Table'!$C$2:$C$64,0),4),"")</f>
        <v/>
      </c>
      <c r="CB17" s="149" t="str">
        <f t="shared" si="30"/>
        <v/>
      </c>
      <c r="CC17" s="145" t="str">
        <f t="shared" si="31"/>
        <v/>
      </c>
      <c r="CD17" s="149" t="str">
        <f t="shared" si="12"/>
        <v/>
      </c>
      <c r="CE17" s="149" t="str">
        <f t="shared" si="13"/>
        <v/>
      </c>
      <c r="CF17" s="149" t="str">
        <f>IF(BK17&lt;=0,0,IFERROR(IF(OR(ISBLANK(AC17),ISBLANK(CD17))=TRUE,"",IF(CA17="Per Foot",INDEX('Fixture Codes'!$I$8:$I$976,MATCH(AD17,'Fixture Codes'!$B$8:$B$976,0))/12*AF17*BZ17,IF(CA17="Lamp",INDEX('Fixture Codes'!$J$8:$J$976,MATCH(AD17,'Fixture Codes'!$B$8:$B$976,0))*AF17*BZ17,IF(CA17="Fixture",AF17*BZ17,IF(CA17="kWh",BK17*BZ17,0))))),""))</f>
        <v/>
      </c>
      <c r="CG17" s="149" t="str">
        <f t="shared" si="32"/>
        <v/>
      </c>
      <c r="CH17" s="149" t="str">
        <f t="shared" si="33"/>
        <v/>
      </c>
      <c r="CI17" s="152"/>
      <c r="CJ17" s="146"/>
      <c r="CK17" s="241">
        <f>IFERROR(IF(CL17="Yes",'Prescriptive Rebate Table'!$D$69,IF(ISBLANK(AI17),0,IF(AND(AH17=Lookups!$A$62,BK17&gt;0),'Prescriptive Rebate Table'!$D$68,IF(AND(BK17&gt;0,CJ17=AF17),'Prescriptive Rebate Table'!$D$67,IF(AND(BK17&gt;0,CJ17&lt;&gt;AF17),'Prescriptive Rebate Table'!D76,0))))),"")</f>
        <v>0</v>
      </c>
      <c r="CL17" s="240" t="s">
        <v>2712</v>
      </c>
      <c r="CM17" s="152"/>
      <c r="CN17" s="152"/>
      <c r="CO17" s="152"/>
      <c r="CP17" s="146">
        <f t="shared" si="14"/>
        <v>0</v>
      </c>
      <c r="CQ17" s="153">
        <f>IF(D17="Interior",ROUND(($AG17*AF17)/1000*$AM17*(Lookups!$B$54-$AA17)*$AN17*$AO17,3),0)</f>
        <v>0</v>
      </c>
      <c r="CR17" s="153">
        <f>IFERROR(IF(D17="Interior",ROUND(($AG17*$AF17)/1000*(Lookups!$C$54-$AB17)*$AN17*AQ17*AT17,6),0),"")</f>
        <v>0</v>
      </c>
      <c r="CS17" s="165">
        <f t="shared" si="34"/>
        <v>0</v>
      </c>
      <c r="CT17" s="165">
        <f t="shared" si="35"/>
        <v>0</v>
      </c>
      <c r="CV17" s="153">
        <f>IF(D17="Interior",ROUND(($AG17*AF17)/1000*$AM17*(Lookups!$B$43-$AA17)*$AN17*$AO17,3),0)</f>
        <v>0</v>
      </c>
      <c r="CW17" s="153">
        <f>IFERROR(IF(D17="Interior",ROUND(($AG17*$AF17)/1000*(Lookups!$C$43-$AB17)*$AN17*AQ17*AT17,6),0),"")</f>
        <v>0</v>
      </c>
      <c r="CX17" s="165">
        <f t="shared" si="15"/>
        <v>0</v>
      </c>
      <c r="CY17" s="165">
        <f t="shared" si="16"/>
        <v>0</v>
      </c>
      <c r="DA17" s="153">
        <f>IF(D17="Interior",ROUND(($AG17*AF17*(1-0.15))/1000*$AM17*(Lookups!$B$43+0.097-$AA17)*$AN17*$AO17+((W17*V17)/1000*AN17*AM17*AO17*0.15),3),0)</f>
        <v>0</v>
      </c>
      <c r="DB17" s="153">
        <f>IFERROR(IF(D17="Interior",ROUND(($AG17*$AF17)/1000*(Lookups!$C$43+0.097-$AB17)*$AN17*AQ17*AT17+(($AG17*$AF17)/1000*$AN17*AQ17*AT17*0.15),6),0),"")</f>
        <v>0</v>
      </c>
      <c r="DC17" s="165">
        <f t="shared" si="17"/>
        <v>0</v>
      </c>
      <c r="DD17" s="165">
        <f t="shared" si="18"/>
        <v>0</v>
      </c>
    </row>
    <row r="18" spans="1:108" s="164" customFormat="1">
      <c r="A18" s="150">
        <v>14</v>
      </c>
      <c r="B18" s="153" t="str">
        <f>IFERROR(INDEX(Lookups!$B$2:$B$38,MATCH('Project Info &amp; Summary'!$C$19,Lookups!$A$2:$A$38,0)),"")</f>
        <v/>
      </c>
      <c r="C18" s="153" t="str">
        <f>IFERROR(INDEX(Lookups!$C$2:$C$38,MATCH('Project Info &amp; Summary'!$C$19,Lookups!$A$2:$A$38,0)),"")</f>
        <v/>
      </c>
      <c r="D18" s="163"/>
      <c r="E18" s="160"/>
      <c r="F18" s="158"/>
      <c r="G18" s="158"/>
      <c r="H18" s="158"/>
      <c r="I18" s="158"/>
      <c r="J18" s="154" t="str">
        <f>IFERROR(INDEX(Lookups!$W$21:$W$26,MATCH(I18,Lookups!$V$21:$V$26,0)),"")</f>
        <v/>
      </c>
      <c r="K18" s="158"/>
      <c r="L18" s="162" t="str">
        <f>IFERROR(INDEX(Lookups!$Y$2:$Y$19,MATCH(_xlfn.CONCAT(I18,K18),Lookups!$X$2:$X$19,0)),"")</f>
        <v/>
      </c>
      <c r="M18" s="158"/>
      <c r="N18" s="153" t="str">
        <f>IFERROR(INDEX('Prescriptive Rebate Table'!$M$3:$M$20,MATCH(M18,'Prescriptive Rebate Table'!$L$3:$L$20,0)),"")</f>
        <v/>
      </c>
      <c r="O18" s="158"/>
      <c r="P18" s="154" t="str">
        <f>IFERROR(INDEX('Prescriptive Rebate Table'!$B$2:$H$64, MATCH(O18,'Prescriptive Rebate Table'!$C$2:$C$64,0),7),"")</f>
        <v/>
      </c>
      <c r="Q18" s="155" t="str">
        <f>IFERROR(INDEX('Prescriptive Rebate Table'!$B$2:$I$64, MATCH(O18,'Prescriptive Rebate Table'!$C$2:$C$64,0),8),"")</f>
        <v/>
      </c>
      <c r="R18" s="155" t="str">
        <f>IFERROR(INDEX('Prescriptive Rebate Table'!$B$2:$J$64, MATCH(O18,'Prescriptive Rebate Table'!$C$2:$C$64,0),9),"")</f>
        <v/>
      </c>
      <c r="S18" s="160"/>
      <c r="T18" s="145" t="str">
        <f>IFERROR(INDEX('Fixture Codes'!$M$8:$M$976,MATCH(S18,'Fixture Codes'!$B$8:$B$976,0)),"")</f>
        <v/>
      </c>
      <c r="U18" s="145" t="str">
        <f>IFERROR(INDEX('Fixture Codes'!$B$7:$M$976,MATCH(T18,'Fixture Codes'!$B$7:$B$976,0),5),"")</f>
        <v/>
      </c>
      <c r="V18" s="160"/>
      <c r="W18" s="145" t="str">
        <f>IFERROR(INDEX('Fixture Codes'!$L$8:$L$976,MATCH(T18,'Fixture Codes'!$B$8:$B$976,0)),"")</f>
        <v/>
      </c>
      <c r="X18" s="158"/>
      <c r="Y18" s="159"/>
      <c r="Z18" s="155" t="str">
        <f>IFERROR(INDEX(Lookups!B$68:B$87,MATCH($X18,Lookups!$A$68:$A$87,0)),"")</f>
        <v/>
      </c>
      <c r="AA18" s="150" t="str">
        <f>IFERROR(INDEX(Lookups!B$42:B$62,MATCH($X18,Lookups!$A$42:$A$62,0)),"")</f>
        <v/>
      </c>
      <c r="AB18" s="150" t="str">
        <f>IFERROR(INDEX(Lookups!C$42:C$62,MATCH($X18,Lookups!$A$42:$A$62,0)),"")</f>
        <v/>
      </c>
      <c r="AC18" s="161"/>
      <c r="AD18" s="160"/>
      <c r="AE18" s="150" t="str">
        <f>IFERROR(INDEX('Fixture Codes'!$B$7:$M$976,MATCH(AD18,'Fixture Codes'!$B$7:$B$976,0),5),"")</f>
        <v/>
      </c>
      <c r="AF18" s="160"/>
      <c r="AG18" s="145" t="str">
        <f>IFERROR(INDEX('Fixture Codes'!$L$8:$L$976,MATCH(AD18,'Fixture Codes'!$B$8:$B$976,0)),"")</f>
        <v/>
      </c>
      <c r="AH18" s="158"/>
      <c r="AI18" s="160"/>
      <c r="AJ18" s="150" t="str">
        <f>IFERROR(INDEX(Lookups!B$68:B$87,MATCH($AH18,Lookups!$A$68:$A$87,0)),"")</f>
        <v/>
      </c>
      <c r="AK18" s="150" t="str">
        <f>IFERROR(INDEX(Lookups!B$42:B$62,MATCH($AH18,Lookups!$A$42:$A$62,0)),"")</f>
        <v/>
      </c>
      <c r="AL18" s="150" t="str">
        <f>IFERROR(INDEX(Lookups!C$42:C$62,MATCH($AH18,Lookups!$A$42:$A$62,0)),"")</f>
        <v/>
      </c>
      <c r="AM18" s="150" t="str">
        <f>IFERROR(IF(M18="Exit Signs",8760,IF(INDEX('Fixture Codes'!$C$8:$C$976,MATCH(AD18,'Fixture Codes'!$B$8:$B$976,0))="Exit Sign",8760,INDEX(Lookups!$I$2:$I$428,MATCH(_xlfn.CONCAT(B18,H18),Lookups!$H$2:$H$428,0)))),"")</f>
        <v/>
      </c>
      <c r="AN18" s="153">
        <v>1</v>
      </c>
      <c r="AO18" s="150" t="str">
        <f>IF($D18="Interior",INDEX(Lookups!Q$2:Q$86,MATCH(_xlfn.CONCAT($C18,$L18),Lookups!$P$2:$P$86,0)),IF($D18="Exterior",1,""))</f>
        <v/>
      </c>
      <c r="AP18" s="150">
        <f t="shared" si="19"/>
        <v>1</v>
      </c>
      <c r="AQ18" s="150" t="str">
        <f>IF($D18="Interior",INDEX(Lookups!R$2:R$86,MATCH(_xlfn.CONCAT($C18,$L18),Lookups!$P$2:$P$86,0)),IF($D18="Exterior",1,""))</f>
        <v/>
      </c>
      <c r="AR18" s="150" t="str">
        <f>IF($D18="Interior",INDEX(Lookups!S$2:S$86,MATCH(_xlfn.CONCAT($C18,$L18),Lookups!$P$2:$P$86,0)),IF($D18="Exterior",1,""))</f>
        <v/>
      </c>
      <c r="AS18" s="150" t="str">
        <f>IF($D18="Interior",INDEX(Lookups!T$2:T$86,MATCH(_xlfn.CONCAT($C18,$L18),Lookups!$P$2:$P$86,0)),IF($D18="Exterior",1,""))</f>
        <v/>
      </c>
      <c r="AT18" s="150" t="str">
        <f>IFERROR(IF(M18="Exit Signs",1,IF(INDEX('Fixture Codes'!$C$8:$C$976,MATCH($AD18,'Fixture Codes'!$B$8:$B$976,0))="Exit Sign",1,INDEX(Lookups!J$2:J$428,MATCH(_xlfn.CONCAT($B18,$H18),Lookups!$H$2:$H$428,0)))),"")</f>
        <v/>
      </c>
      <c r="AU18" s="150" t="str">
        <f>IFERROR(IF(M18="Exit Signs",1,IF(INDEX('Fixture Codes'!$C$8:$C$976,MATCH($AD18,'Fixture Codes'!$B$8:$B$976,0))="Exit Sign",1,INDEX(Lookups!K$2:K$428,MATCH(_xlfn.CONCAT($B18,$H18),Lookups!$H$2:$H$428,0)))),"")</f>
        <v/>
      </c>
      <c r="AV18" s="150" t="str">
        <f>IFERROR(IF(M18="Exit Signs",1,IF(INDEX('Fixture Codes'!$C$8:$C$976,MATCH($AD18,'Fixture Codes'!$B$8:$B$976,0))="Exit Sign",1,INDEX(Lookups!L$2:L$428,MATCH(_xlfn.CONCAT($B18,$H18),Lookups!$H$2:$H$428,0)))),"")</f>
        <v/>
      </c>
      <c r="AW18" s="150" t="str">
        <f>IF(ISBLANK(K18),"",IF(K18="Gas",INDEX(Lookups!$AG$2:$AG$63,MATCH(O18,Lookups!$AD$2:$AD$63,0),0),0))</f>
        <v/>
      </c>
      <c r="AX18" s="150" t="str">
        <f>IF(ISBLANK(K18),"",IF(K18="Gas",INDEX(Lookups!$AF$2:$AF$63,MATCH(O18,Lookups!$AD$2:$AD$63,0),0),0))</f>
        <v/>
      </c>
      <c r="AY18" s="150" t="str">
        <f>IF(ISBLANK(K18),"",IF(K18="Gas",INDEX(Lookups!$AH$2:$AH$63,MATCH(O18,Lookups!$AD$2:$AD$63,0),0),0))</f>
        <v/>
      </c>
      <c r="AZ18" s="150" t="str">
        <f>IF(ISBLANK(K18),"",IF(K18="Gas",INDEX(Lookups!$AI$2:$AI$63,MATCH(O18,Lookups!$AD$2:$AD$63,0),0),0))</f>
        <v/>
      </c>
      <c r="BA18" s="150" t="str">
        <f t="shared" si="0"/>
        <v/>
      </c>
      <c r="BB18" s="156" t="str">
        <f>IF(ISBLANK(AH18),"",IF(AH18="None",0,IF(K18="Gas",INDEX(Lookups!$AF$51:$AF$69,MATCH(AH18,Lookups!$AD$51:$AD$69,0),0),0)))</f>
        <v/>
      </c>
      <c r="BC18" s="156" t="str">
        <f>IF(ISBLANK(AH18),"",IF(AH18="None",0,IF(K18="Gas",INDEX(Lookups!$AH$51:$AH$69,MATCH(AH18,Lookups!$AD$51:$AD$69,0),0),0)))</f>
        <v/>
      </c>
      <c r="BD18" s="156" t="str">
        <f>IF(ISBLANK(AH18),"",IF(AH18="None",0,IF(K18="Gas",INDEX(Lookups!$AI$51:$AI$69,MATCH(AH18,Lookups!$AD$51:$AD$69,0),0),0)))</f>
        <v/>
      </c>
      <c r="BE18" s="157"/>
      <c r="BF18" s="157"/>
      <c r="BG18" s="147" t="str">
        <f t="shared" si="20"/>
        <v/>
      </c>
      <c r="BH18" s="147" t="str">
        <f t="shared" si="21"/>
        <v/>
      </c>
      <c r="BI18" s="147" t="str">
        <f t="shared" si="1"/>
        <v/>
      </c>
      <c r="BJ18" s="147" t="str">
        <f t="shared" si="2"/>
        <v/>
      </c>
      <c r="BK18" s="148" t="str">
        <f t="shared" si="22"/>
        <v/>
      </c>
      <c r="BL18" s="147" t="str">
        <f t="shared" si="3"/>
        <v/>
      </c>
      <c r="BM18" s="148" t="str">
        <f t="shared" si="23"/>
        <v/>
      </c>
      <c r="BN18" s="147" t="str">
        <f t="shared" si="24"/>
        <v/>
      </c>
      <c r="BO18" s="147" t="str">
        <f t="shared" si="4"/>
        <v/>
      </c>
      <c r="BP18" s="147" t="str">
        <f t="shared" si="25"/>
        <v/>
      </c>
      <c r="BQ18" s="148" t="str">
        <f t="shared" si="26"/>
        <v/>
      </c>
      <c r="BR18" s="148" t="str">
        <f t="shared" si="27"/>
        <v/>
      </c>
      <c r="BS18" s="148" t="str">
        <f t="shared" si="28"/>
        <v/>
      </c>
      <c r="BT18" s="148" t="str">
        <f t="shared" si="7"/>
        <v/>
      </c>
      <c r="BU18" s="148" t="str">
        <f t="shared" si="8"/>
        <v/>
      </c>
      <c r="BV18" s="148" t="str">
        <f t="shared" si="9"/>
        <v/>
      </c>
      <c r="BW18" s="148" t="str">
        <f t="shared" si="29"/>
        <v/>
      </c>
      <c r="BX18" s="148" t="str">
        <f t="shared" si="10"/>
        <v/>
      </c>
      <c r="BY18" s="148" t="str">
        <f t="shared" si="11"/>
        <v/>
      </c>
      <c r="BZ18" s="149" t="str">
        <f>IFERROR(INDEX('Prescriptive Rebate Table'!$B$2:$E$64,MATCH(O18,'Prescriptive Rebate Table'!$C$2:$C$64,0),3),"")</f>
        <v/>
      </c>
      <c r="CA18" s="145" t="str">
        <f>IFERROR(INDEX('Prescriptive Rebate Table'!$B$2:$E$64,MATCH(O18,'Prescriptive Rebate Table'!$C$2:$C$64,0),4),"")</f>
        <v/>
      </c>
      <c r="CB18" s="149" t="str">
        <f t="shared" si="30"/>
        <v/>
      </c>
      <c r="CC18" s="145" t="str">
        <f t="shared" si="31"/>
        <v/>
      </c>
      <c r="CD18" s="149" t="str">
        <f t="shared" si="12"/>
        <v/>
      </c>
      <c r="CE18" s="149" t="str">
        <f t="shared" si="13"/>
        <v/>
      </c>
      <c r="CF18" s="149" t="str">
        <f>IF(BK18&lt;=0,0,IFERROR(IF(OR(ISBLANK(AC18),ISBLANK(CD18))=TRUE,"",IF(CA18="Per Foot",INDEX('Fixture Codes'!$I$8:$I$976,MATCH(AD18,'Fixture Codes'!$B$8:$B$976,0))/12*AF18*BZ18,IF(CA18="Lamp",INDEX('Fixture Codes'!$J$8:$J$976,MATCH(AD18,'Fixture Codes'!$B$8:$B$976,0))*AF18*BZ18,IF(CA18="Fixture",AF18*BZ18,IF(CA18="kWh",BK18*BZ18,0))))),""))</f>
        <v/>
      </c>
      <c r="CG18" s="149" t="str">
        <f t="shared" si="32"/>
        <v/>
      </c>
      <c r="CH18" s="149" t="str">
        <f t="shared" si="33"/>
        <v/>
      </c>
      <c r="CI18" s="152"/>
      <c r="CJ18" s="146"/>
      <c r="CK18" s="241">
        <f>IFERROR(IF(CL18="Yes",'Prescriptive Rebate Table'!$D$69,IF(ISBLANK(AI18),0,IF(AND(AH18=Lookups!$A$62,BK18&gt;0),'Prescriptive Rebate Table'!$D$68,IF(AND(BK18&gt;0,CJ18=AF18),'Prescriptive Rebate Table'!$D$67,IF(AND(BK18&gt;0,CJ18&lt;&gt;AF18),'Prescriptive Rebate Table'!D77,0))))),"")</f>
        <v>0</v>
      </c>
      <c r="CL18" s="240" t="s">
        <v>2712</v>
      </c>
      <c r="CM18" s="152"/>
      <c r="CN18" s="152"/>
      <c r="CO18" s="152"/>
      <c r="CP18" s="146">
        <f t="shared" si="14"/>
        <v>0</v>
      </c>
      <c r="CQ18" s="153">
        <f>IF(D18="Interior",ROUND(($AG18*AF18)/1000*$AM18*(Lookups!$B$54-$AA18)*$AN18*$AO18,3),0)</f>
        <v>0</v>
      </c>
      <c r="CR18" s="153">
        <f>IFERROR(IF(D18="Interior",ROUND(($AG18*$AF18)/1000*(Lookups!$C$54-$AB18)*$AN18*AQ18*AT18,6),0),"")</f>
        <v>0</v>
      </c>
      <c r="CS18" s="165">
        <f t="shared" si="34"/>
        <v>0</v>
      </c>
      <c r="CT18" s="165">
        <f t="shared" si="35"/>
        <v>0</v>
      </c>
      <c r="CV18" s="153">
        <f>IF(D18="Interior",ROUND(($AG18*AF18)/1000*$AM18*(Lookups!$B$43-$AA18)*$AN18*$AO18,3),0)</f>
        <v>0</v>
      </c>
      <c r="CW18" s="153">
        <f>IFERROR(IF(D18="Interior",ROUND(($AG18*$AF18)/1000*(Lookups!$C$43-$AB18)*$AN18*AQ18*AT18,6),0),"")</f>
        <v>0</v>
      </c>
      <c r="CX18" s="165">
        <f t="shared" si="15"/>
        <v>0</v>
      </c>
      <c r="CY18" s="165">
        <f t="shared" si="16"/>
        <v>0</v>
      </c>
      <c r="DA18" s="153">
        <f>IF(D18="Interior",ROUND(($AG18*AF18*(1-0.15))/1000*$AM18*(Lookups!$B$43+0.097-$AA18)*$AN18*$AO18+((W18*V18)/1000*AN18*AM18*AO18*0.15),3),0)</f>
        <v>0</v>
      </c>
      <c r="DB18" s="153">
        <f>IFERROR(IF(D18="Interior",ROUND(($AG18*$AF18)/1000*(Lookups!$C$43+0.097-$AB18)*$AN18*AQ18*AT18+(($AG18*$AF18)/1000*$AN18*AQ18*AT18*0.15),6),0),"")</f>
        <v>0</v>
      </c>
      <c r="DC18" s="165">
        <f t="shared" si="17"/>
        <v>0</v>
      </c>
      <c r="DD18" s="165">
        <f t="shared" si="18"/>
        <v>0</v>
      </c>
    </row>
    <row r="19" spans="1:108" s="164" customFormat="1">
      <c r="A19" s="150">
        <v>15</v>
      </c>
      <c r="B19" s="153" t="str">
        <f>IFERROR(INDEX(Lookups!$B$2:$B$38,MATCH('Project Info &amp; Summary'!$C$19,Lookups!$A$2:$A$38,0)),"")</f>
        <v/>
      </c>
      <c r="C19" s="153" t="str">
        <f>IFERROR(INDEX(Lookups!$C$2:$C$38,MATCH('Project Info &amp; Summary'!$C$19,Lookups!$A$2:$A$38,0)),"")</f>
        <v/>
      </c>
      <c r="D19" s="163"/>
      <c r="E19" s="160"/>
      <c r="F19" s="158"/>
      <c r="G19" s="158"/>
      <c r="H19" s="158"/>
      <c r="I19" s="158"/>
      <c r="J19" s="154" t="str">
        <f>IFERROR(INDEX(Lookups!$W$21:$W$26,MATCH(I19,Lookups!$V$21:$V$26,0)),"")</f>
        <v/>
      </c>
      <c r="K19" s="158"/>
      <c r="L19" s="162" t="str">
        <f>IFERROR(INDEX(Lookups!$Y$2:$Y$19,MATCH(_xlfn.CONCAT(I19,K19),Lookups!$X$2:$X$19,0)),"")</f>
        <v/>
      </c>
      <c r="M19" s="158"/>
      <c r="N19" s="153" t="str">
        <f>IFERROR(INDEX('Prescriptive Rebate Table'!$M$3:$M$20,MATCH(M19,'Prescriptive Rebate Table'!$L$3:$L$20,0)),"")</f>
        <v/>
      </c>
      <c r="O19" s="158"/>
      <c r="P19" s="154" t="str">
        <f>IFERROR(INDEX('Prescriptive Rebate Table'!$B$2:$H$64, MATCH(O19,'Prescriptive Rebate Table'!$C$2:$C$64,0),7),"")</f>
        <v/>
      </c>
      <c r="Q19" s="155" t="str">
        <f>IFERROR(INDEX('Prescriptive Rebate Table'!$B$2:$I$64, MATCH(O19,'Prescriptive Rebate Table'!$C$2:$C$64,0),8),"")</f>
        <v/>
      </c>
      <c r="R19" s="155" t="str">
        <f>IFERROR(INDEX('Prescriptive Rebate Table'!$B$2:$J$64, MATCH(O19,'Prescriptive Rebate Table'!$C$2:$C$64,0),9),"")</f>
        <v/>
      </c>
      <c r="S19" s="160"/>
      <c r="T19" s="145" t="str">
        <f>IFERROR(INDEX('Fixture Codes'!$M$8:$M$976,MATCH(S19,'Fixture Codes'!$B$8:$B$976,0)),"")</f>
        <v/>
      </c>
      <c r="U19" s="145" t="str">
        <f>IFERROR(INDEX('Fixture Codes'!$B$7:$M$976,MATCH(T19,'Fixture Codes'!$B$7:$B$976,0),5),"")</f>
        <v/>
      </c>
      <c r="V19" s="160"/>
      <c r="W19" s="145" t="str">
        <f>IFERROR(INDEX('Fixture Codes'!$L$8:$L$976,MATCH(T19,'Fixture Codes'!$B$8:$B$976,0)),"")</f>
        <v/>
      </c>
      <c r="X19" s="158"/>
      <c r="Y19" s="159"/>
      <c r="Z19" s="155" t="str">
        <f>IFERROR(INDEX(Lookups!B$68:B$87,MATCH($X19,Lookups!$A$68:$A$87,0)),"")</f>
        <v/>
      </c>
      <c r="AA19" s="150" t="str">
        <f>IFERROR(INDEX(Lookups!B$42:B$62,MATCH($X19,Lookups!$A$42:$A$62,0)),"")</f>
        <v/>
      </c>
      <c r="AB19" s="150" t="str">
        <f>IFERROR(INDEX(Lookups!C$42:C$62,MATCH($X19,Lookups!$A$42:$A$62,0)),"")</f>
        <v/>
      </c>
      <c r="AC19" s="161"/>
      <c r="AD19" s="160"/>
      <c r="AE19" s="150" t="str">
        <f>IFERROR(INDEX('Fixture Codes'!$B$7:$M$976,MATCH(AD19,'Fixture Codes'!$B$7:$B$976,0),5),"")</f>
        <v/>
      </c>
      <c r="AF19" s="160"/>
      <c r="AG19" s="145" t="str">
        <f>IFERROR(INDEX('Fixture Codes'!$L$8:$L$976,MATCH(AD19,'Fixture Codes'!$B$8:$B$976,0)),"")</f>
        <v/>
      </c>
      <c r="AH19" s="158"/>
      <c r="AI19" s="160"/>
      <c r="AJ19" s="150" t="str">
        <f>IFERROR(INDEX(Lookups!B$68:B$87,MATCH($AH19,Lookups!$A$68:$A$87,0)),"")</f>
        <v/>
      </c>
      <c r="AK19" s="150" t="str">
        <f>IFERROR(INDEX(Lookups!B$42:B$62,MATCH($AH19,Lookups!$A$42:$A$62,0)),"")</f>
        <v/>
      </c>
      <c r="AL19" s="150" t="str">
        <f>IFERROR(INDEX(Lookups!C$42:C$62,MATCH($AH19,Lookups!$A$42:$A$62,0)),"")</f>
        <v/>
      </c>
      <c r="AM19" s="150" t="str">
        <f>IFERROR(IF(M19="Exit Signs",8760,IF(INDEX('Fixture Codes'!$C$8:$C$976,MATCH(AD19,'Fixture Codes'!$B$8:$B$976,0))="Exit Sign",8760,INDEX(Lookups!$I$2:$I$428,MATCH(_xlfn.CONCAT(B19,H19),Lookups!$H$2:$H$428,0)))),"")</f>
        <v/>
      </c>
      <c r="AN19" s="153">
        <v>1</v>
      </c>
      <c r="AO19" s="150" t="str">
        <f>IF($D19="Interior",INDEX(Lookups!Q$2:Q$86,MATCH(_xlfn.CONCAT($C19,$L19),Lookups!$P$2:$P$86,0)),IF($D19="Exterior",1,""))</f>
        <v/>
      </c>
      <c r="AP19" s="150">
        <f t="shared" si="19"/>
        <v>1</v>
      </c>
      <c r="AQ19" s="150" t="str">
        <f>IF($D19="Interior",INDEX(Lookups!R$2:R$86,MATCH(_xlfn.CONCAT($C19,$L19),Lookups!$P$2:$P$86,0)),IF($D19="Exterior",1,""))</f>
        <v/>
      </c>
      <c r="AR19" s="150" t="str">
        <f>IF($D19="Interior",INDEX(Lookups!S$2:S$86,MATCH(_xlfn.CONCAT($C19,$L19),Lookups!$P$2:$P$86,0)),IF($D19="Exterior",1,""))</f>
        <v/>
      </c>
      <c r="AS19" s="150" t="str">
        <f>IF($D19="Interior",INDEX(Lookups!T$2:T$86,MATCH(_xlfn.CONCAT($C19,$L19),Lookups!$P$2:$P$86,0)),IF($D19="Exterior",1,""))</f>
        <v/>
      </c>
      <c r="AT19" s="150" t="str">
        <f>IFERROR(IF(M19="Exit Signs",1,IF(INDEX('Fixture Codes'!$C$8:$C$976,MATCH($AD19,'Fixture Codes'!$B$8:$B$976,0))="Exit Sign",1,INDEX(Lookups!J$2:J$428,MATCH(_xlfn.CONCAT($B19,$H19),Lookups!$H$2:$H$428,0)))),"")</f>
        <v/>
      </c>
      <c r="AU19" s="150" t="str">
        <f>IFERROR(IF(M19="Exit Signs",1,IF(INDEX('Fixture Codes'!$C$8:$C$976,MATCH($AD19,'Fixture Codes'!$B$8:$B$976,0))="Exit Sign",1,INDEX(Lookups!K$2:K$428,MATCH(_xlfn.CONCAT($B19,$H19),Lookups!$H$2:$H$428,0)))),"")</f>
        <v/>
      </c>
      <c r="AV19" s="150" t="str">
        <f>IFERROR(IF(M19="Exit Signs",1,IF(INDEX('Fixture Codes'!$C$8:$C$976,MATCH($AD19,'Fixture Codes'!$B$8:$B$976,0))="Exit Sign",1,INDEX(Lookups!L$2:L$428,MATCH(_xlfn.CONCAT($B19,$H19),Lookups!$H$2:$H$428,0)))),"")</f>
        <v/>
      </c>
      <c r="AW19" s="150" t="str">
        <f>IF(ISBLANK(K19),"",IF(K19="Gas",INDEX(Lookups!$AG$2:$AG$63,MATCH(O19,Lookups!$AD$2:$AD$63,0),0),0))</f>
        <v/>
      </c>
      <c r="AX19" s="150" t="str">
        <f>IF(ISBLANK(K19),"",IF(K19="Gas",INDEX(Lookups!$AF$2:$AF$63,MATCH(O19,Lookups!$AD$2:$AD$63,0),0),0))</f>
        <v/>
      </c>
      <c r="AY19" s="150" t="str">
        <f>IF(ISBLANK(K19),"",IF(K19="Gas",INDEX(Lookups!$AH$2:$AH$63,MATCH(O19,Lookups!$AD$2:$AD$63,0),0),0))</f>
        <v/>
      </c>
      <c r="AZ19" s="150" t="str">
        <f>IF(ISBLANK(K19),"",IF(K19="Gas",INDEX(Lookups!$AI$2:$AI$63,MATCH(O19,Lookups!$AD$2:$AD$63,0),0),0))</f>
        <v/>
      </c>
      <c r="BA19" s="150" t="str">
        <f t="shared" si="0"/>
        <v/>
      </c>
      <c r="BB19" s="156" t="str">
        <f>IF(ISBLANK(AH19),"",IF(AH19="None",0,IF(K19="Gas",INDEX(Lookups!$AF$51:$AF$69,MATCH(AH19,Lookups!$AD$51:$AD$69,0),0),0)))</f>
        <v/>
      </c>
      <c r="BC19" s="156" t="str">
        <f>IF(ISBLANK(AH19),"",IF(AH19="None",0,IF(K19="Gas",INDEX(Lookups!$AH$51:$AH$69,MATCH(AH19,Lookups!$AD$51:$AD$69,0),0),0)))</f>
        <v/>
      </c>
      <c r="BD19" s="156" t="str">
        <f>IF(ISBLANK(AH19),"",IF(AH19="None",0,IF(K19="Gas",INDEX(Lookups!$AI$51:$AI$69,MATCH(AH19,Lookups!$AD$51:$AD$69,0),0),0)))</f>
        <v/>
      </c>
      <c r="BE19" s="157"/>
      <c r="BF19" s="157"/>
      <c r="BG19" s="147" t="str">
        <f t="shared" si="20"/>
        <v/>
      </c>
      <c r="BH19" s="147" t="str">
        <f t="shared" si="21"/>
        <v/>
      </c>
      <c r="BI19" s="147" t="str">
        <f t="shared" si="1"/>
        <v/>
      </c>
      <c r="BJ19" s="147" t="str">
        <f t="shared" si="2"/>
        <v/>
      </c>
      <c r="BK19" s="148" t="str">
        <f t="shared" si="22"/>
        <v/>
      </c>
      <c r="BL19" s="147" t="str">
        <f t="shared" si="3"/>
        <v/>
      </c>
      <c r="BM19" s="148" t="str">
        <f t="shared" si="23"/>
        <v/>
      </c>
      <c r="BN19" s="147" t="str">
        <f t="shared" si="24"/>
        <v/>
      </c>
      <c r="BO19" s="147" t="str">
        <f t="shared" si="4"/>
        <v/>
      </c>
      <c r="BP19" s="147" t="str">
        <f t="shared" si="25"/>
        <v/>
      </c>
      <c r="BQ19" s="148" t="str">
        <f t="shared" si="26"/>
        <v/>
      </c>
      <c r="BR19" s="148" t="str">
        <f t="shared" si="27"/>
        <v/>
      </c>
      <c r="BS19" s="148" t="str">
        <f t="shared" si="28"/>
        <v/>
      </c>
      <c r="BT19" s="148" t="str">
        <f t="shared" si="7"/>
        <v/>
      </c>
      <c r="BU19" s="148" t="str">
        <f t="shared" si="8"/>
        <v/>
      </c>
      <c r="BV19" s="148" t="str">
        <f t="shared" si="9"/>
        <v/>
      </c>
      <c r="BW19" s="148" t="str">
        <f t="shared" si="29"/>
        <v/>
      </c>
      <c r="BX19" s="148" t="str">
        <f t="shared" si="10"/>
        <v/>
      </c>
      <c r="BY19" s="148" t="str">
        <f t="shared" si="11"/>
        <v/>
      </c>
      <c r="BZ19" s="149" t="str">
        <f>IFERROR(INDEX('Prescriptive Rebate Table'!$B$2:$E$64,MATCH(O19,'Prescriptive Rebate Table'!$C$2:$C$64,0),3),"")</f>
        <v/>
      </c>
      <c r="CA19" s="145" t="str">
        <f>IFERROR(INDEX('Prescriptive Rebate Table'!$B$2:$E$64,MATCH(O19,'Prescriptive Rebate Table'!$C$2:$C$64,0),4),"")</f>
        <v/>
      </c>
      <c r="CB19" s="149" t="str">
        <f t="shared" si="30"/>
        <v/>
      </c>
      <c r="CC19" s="145" t="str">
        <f t="shared" si="31"/>
        <v/>
      </c>
      <c r="CD19" s="149" t="str">
        <f t="shared" si="12"/>
        <v/>
      </c>
      <c r="CE19" s="149" t="str">
        <f t="shared" si="13"/>
        <v/>
      </c>
      <c r="CF19" s="149" t="str">
        <f>IF(BK19&lt;=0,0,IFERROR(IF(OR(ISBLANK(AC19),ISBLANK(CD19))=TRUE,"",IF(CA19="Per Foot",INDEX('Fixture Codes'!$I$8:$I$976,MATCH(AD19,'Fixture Codes'!$B$8:$B$976,0))/12*AF19*BZ19,IF(CA19="Lamp",INDEX('Fixture Codes'!$J$8:$J$976,MATCH(AD19,'Fixture Codes'!$B$8:$B$976,0))*AF19*BZ19,IF(CA19="Fixture",AF19*BZ19,IF(CA19="kWh",BK19*BZ19,0))))),""))</f>
        <v/>
      </c>
      <c r="CG19" s="149" t="str">
        <f t="shared" si="32"/>
        <v/>
      </c>
      <c r="CH19" s="149" t="str">
        <f t="shared" si="33"/>
        <v/>
      </c>
      <c r="CI19" s="152"/>
      <c r="CJ19" s="146"/>
      <c r="CK19" s="241">
        <f>IFERROR(IF(CL19="Yes",'Prescriptive Rebate Table'!$D$69,IF(ISBLANK(AI19),0,IF(AND(AH19=Lookups!$A$62,BK19&gt;0),'Prescriptive Rebate Table'!$D$68,IF(AND(BK19&gt;0,CJ19=AF19),'Prescriptive Rebate Table'!$D$67,IF(AND(BK19&gt;0,CJ19&lt;&gt;AF19),'Prescriptive Rebate Table'!D78,0))))),"")</f>
        <v>0</v>
      </c>
      <c r="CL19" s="240" t="s">
        <v>2712</v>
      </c>
      <c r="CM19" s="152"/>
      <c r="CN19" s="152"/>
      <c r="CO19" s="152"/>
      <c r="CP19" s="146">
        <f t="shared" si="14"/>
        <v>0</v>
      </c>
      <c r="CQ19" s="153">
        <f>IF(D19="Interior",ROUND(($AG19*AF19)/1000*$AM19*(Lookups!$B$54-$AA19)*$AN19*$AO19,3),0)</f>
        <v>0</v>
      </c>
      <c r="CR19" s="153">
        <f>IFERROR(IF(D19="Interior",ROUND(($AG19*$AF19)/1000*(Lookups!$C$54-$AB19)*$AN19*AQ19*AT19,6),0),"")</f>
        <v>0</v>
      </c>
      <c r="CS19" s="165">
        <f t="shared" si="34"/>
        <v>0</v>
      </c>
      <c r="CT19" s="165">
        <f t="shared" si="35"/>
        <v>0</v>
      </c>
      <c r="CV19" s="153">
        <f>IF(D19="Interior",ROUND(($AG19*AF19)/1000*$AM19*(Lookups!$B$43-$AA19)*$AN19*$AO19,3),0)</f>
        <v>0</v>
      </c>
      <c r="CW19" s="153">
        <f>IFERROR(IF(D19="Interior",ROUND(($AG19*$AF19)/1000*(Lookups!$C$43-$AB19)*$AN19*AQ19*AT19,6),0),"")</f>
        <v>0</v>
      </c>
      <c r="CX19" s="165">
        <f t="shared" si="15"/>
        <v>0</v>
      </c>
      <c r="CY19" s="165">
        <f t="shared" si="16"/>
        <v>0</v>
      </c>
      <c r="DA19" s="153">
        <f>IF(D19="Interior",ROUND(($AG19*AF19*(1-0.15))/1000*$AM19*(Lookups!$B$43+0.097-$AA19)*$AN19*$AO19+((W19*V19)/1000*AN19*AM19*AO19*0.15),3),0)</f>
        <v>0</v>
      </c>
      <c r="DB19" s="153">
        <f>IFERROR(IF(D19="Interior",ROUND(($AG19*$AF19)/1000*(Lookups!$C$43+0.097-$AB19)*$AN19*AQ19*AT19+(($AG19*$AF19)/1000*$AN19*AQ19*AT19*0.15),6),0),"")</f>
        <v>0</v>
      </c>
      <c r="DC19" s="165">
        <f t="shared" si="17"/>
        <v>0</v>
      </c>
      <c r="DD19" s="165">
        <f t="shared" si="18"/>
        <v>0</v>
      </c>
    </row>
    <row r="20" spans="1:108" s="164" customFormat="1">
      <c r="A20" s="150">
        <v>16</v>
      </c>
      <c r="B20" s="153" t="str">
        <f>IFERROR(INDEX(Lookups!$B$2:$B$38,MATCH('Project Info &amp; Summary'!$C$19,Lookups!$A$2:$A$38,0)),"")</f>
        <v/>
      </c>
      <c r="C20" s="153" t="str">
        <f>IFERROR(INDEX(Lookups!$C$2:$C$38,MATCH('Project Info &amp; Summary'!$C$19,Lookups!$A$2:$A$38,0)),"")</f>
        <v/>
      </c>
      <c r="D20" s="163"/>
      <c r="E20" s="160"/>
      <c r="F20" s="158"/>
      <c r="G20" s="158"/>
      <c r="H20" s="158"/>
      <c r="I20" s="158"/>
      <c r="J20" s="154" t="str">
        <f>IFERROR(INDEX(Lookups!$W$21:$W$26,MATCH(I20,Lookups!$V$21:$V$26,0)),"")</f>
        <v/>
      </c>
      <c r="K20" s="158"/>
      <c r="L20" s="162" t="str">
        <f>IFERROR(INDEX(Lookups!$Y$2:$Y$19,MATCH(_xlfn.CONCAT(I20,K20),Lookups!$X$2:$X$19,0)),"")</f>
        <v/>
      </c>
      <c r="M20" s="158"/>
      <c r="N20" s="153" t="str">
        <f>IFERROR(INDEX('Prescriptive Rebate Table'!$M$3:$M$20,MATCH(M20,'Prescriptive Rebate Table'!$L$3:$L$20,0)),"")</f>
        <v/>
      </c>
      <c r="O20" s="158"/>
      <c r="P20" s="154" t="str">
        <f>IFERROR(INDEX('Prescriptive Rebate Table'!$B$2:$H$64, MATCH(O20,'Prescriptive Rebate Table'!$C$2:$C$64,0),7),"")</f>
        <v/>
      </c>
      <c r="Q20" s="155" t="str">
        <f>IFERROR(INDEX('Prescriptive Rebate Table'!$B$2:$I$64, MATCH(O20,'Prescriptive Rebate Table'!$C$2:$C$64,0),8),"")</f>
        <v/>
      </c>
      <c r="R20" s="155" t="str">
        <f>IFERROR(INDEX('Prescriptive Rebate Table'!$B$2:$J$64, MATCH(O20,'Prescriptive Rebate Table'!$C$2:$C$64,0),9),"")</f>
        <v/>
      </c>
      <c r="S20" s="160"/>
      <c r="T20" s="145" t="str">
        <f>IFERROR(INDEX('Fixture Codes'!$M$8:$M$976,MATCH(S20,'Fixture Codes'!$B$8:$B$976,0)),"")</f>
        <v/>
      </c>
      <c r="U20" s="145" t="str">
        <f>IFERROR(INDEX('Fixture Codes'!$B$7:$M$976,MATCH(T20,'Fixture Codes'!$B$7:$B$976,0),5),"")</f>
        <v/>
      </c>
      <c r="V20" s="160"/>
      <c r="W20" s="145" t="str">
        <f>IFERROR(INDEX('Fixture Codes'!$L$8:$L$976,MATCH(T20,'Fixture Codes'!$B$8:$B$976,0)),"")</f>
        <v/>
      </c>
      <c r="X20" s="158"/>
      <c r="Y20" s="159"/>
      <c r="Z20" s="155" t="str">
        <f>IFERROR(INDEX(Lookups!B$68:B$87,MATCH($X20,Lookups!$A$68:$A$87,0)),"")</f>
        <v/>
      </c>
      <c r="AA20" s="150" t="str">
        <f>IFERROR(INDEX(Lookups!B$42:B$62,MATCH($X20,Lookups!$A$42:$A$62,0)),"")</f>
        <v/>
      </c>
      <c r="AB20" s="150" t="str">
        <f>IFERROR(INDEX(Lookups!C$42:C$62,MATCH($X20,Lookups!$A$42:$A$62,0)),"")</f>
        <v/>
      </c>
      <c r="AC20" s="161"/>
      <c r="AD20" s="160"/>
      <c r="AE20" s="150" t="str">
        <f>IFERROR(INDEX('Fixture Codes'!$B$7:$M$976,MATCH(AD20,'Fixture Codes'!$B$7:$B$976,0),5),"")</f>
        <v/>
      </c>
      <c r="AF20" s="160"/>
      <c r="AG20" s="145" t="str">
        <f>IFERROR(INDEX('Fixture Codes'!$L$8:$L$976,MATCH(AD20,'Fixture Codes'!$B$8:$B$976,0)),"")</f>
        <v/>
      </c>
      <c r="AH20" s="158"/>
      <c r="AI20" s="160"/>
      <c r="AJ20" s="150" t="str">
        <f>IFERROR(INDEX(Lookups!B$68:B$87,MATCH($AH20,Lookups!$A$68:$A$87,0)),"")</f>
        <v/>
      </c>
      <c r="AK20" s="150" t="str">
        <f>IFERROR(INDEX(Lookups!B$42:B$62,MATCH($AH20,Lookups!$A$42:$A$62,0)),"")</f>
        <v/>
      </c>
      <c r="AL20" s="150" t="str">
        <f>IFERROR(INDEX(Lookups!C$42:C$62,MATCH($AH20,Lookups!$A$42:$A$62,0)),"")</f>
        <v/>
      </c>
      <c r="AM20" s="150" t="str">
        <f>IFERROR(IF(M20="Exit Signs",8760,IF(INDEX('Fixture Codes'!$C$8:$C$976,MATCH(AD20,'Fixture Codes'!$B$8:$B$976,0))="Exit Sign",8760,INDEX(Lookups!$I$2:$I$428,MATCH(_xlfn.CONCAT(B20,H20),Lookups!$H$2:$H$428,0)))),"")</f>
        <v/>
      </c>
      <c r="AN20" s="153">
        <v>1</v>
      </c>
      <c r="AO20" s="150" t="str">
        <f>IF($D20="Interior",INDEX(Lookups!Q$2:Q$86,MATCH(_xlfn.CONCAT($C20,$L20),Lookups!$P$2:$P$86,0)),IF($D20="Exterior",1,""))</f>
        <v/>
      </c>
      <c r="AP20" s="150">
        <f t="shared" si="19"/>
        <v>1</v>
      </c>
      <c r="AQ20" s="150" t="str">
        <f>IF($D20="Interior",INDEX(Lookups!R$2:R$86,MATCH(_xlfn.CONCAT($C20,$L20),Lookups!$P$2:$P$86,0)),IF($D20="Exterior",1,""))</f>
        <v/>
      </c>
      <c r="AR20" s="150" t="str">
        <f>IF($D20="Interior",INDEX(Lookups!S$2:S$86,MATCH(_xlfn.CONCAT($C20,$L20),Lookups!$P$2:$P$86,0)),IF($D20="Exterior",1,""))</f>
        <v/>
      </c>
      <c r="AS20" s="150" t="str">
        <f>IF($D20="Interior",INDEX(Lookups!T$2:T$86,MATCH(_xlfn.CONCAT($C20,$L20),Lookups!$P$2:$P$86,0)),IF($D20="Exterior",1,""))</f>
        <v/>
      </c>
      <c r="AT20" s="150" t="str">
        <f>IFERROR(IF(M20="Exit Signs",1,IF(INDEX('Fixture Codes'!$C$8:$C$976,MATCH($AD20,'Fixture Codes'!$B$8:$B$976,0))="Exit Sign",1,INDEX(Lookups!J$2:J$428,MATCH(_xlfn.CONCAT($B20,$H20),Lookups!$H$2:$H$428,0)))),"")</f>
        <v/>
      </c>
      <c r="AU20" s="150" t="str">
        <f>IFERROR(IF(M20="Exit Signs",1,IF(INDEX('Fixture Codes'!$C$8:$C$976,MATCH($AD20,'Fixture Codes'!$B$8:$B$976,0))="Exit Sign",1,INDEX(Lookups!K$2:K$428,MATCH(_xlfn.CONCAT($B20,$H20),Lookups!$H$2:$H$428,0)))),"")</f>
        <v/>
      </c>
      <c r="AV20" s="150" t="str">
        <f>IFERROR(IF(M20="Exit Signs",1,IF(INDEX('Fixture Codes'!$C$8:$C$976,MATCH($AD20,'Fixture Codes'!$B$8:$B$976,0))="Exit Sign",1,INDEX(Lookups!L$2:L$428,MATCH(_xlfn.CONCAT($B20,$H20),Lookups!$H$2:$H$428,0)))),"")</f>
        <v/>
      </c>
      <c r="AW20" s="150" t="str">
        <f>IF(ISBLANK(K20),"",IF(K20="Gas",INDEX(Lookups!$AG$2:$AG$63,MATCH(O20,Lookups!$AD$2:$AD$63,0),0),0))</f>
        <v/>
      </c>
      <c r="AX20" s="150" t="str">
        <f>IF(ISBLANK(K20),"",IF(K20="Gas",INDEX(Lookups!$AF$2:$AF$63,MATCH(O20,Lookups!$AD$2:$AD$63,0),0),0))</f>
        <v/>
      </c>
      <c r="AY20" s="150" t="str">
        <f>IF(ISBLANK(K20),"",IF(K20="Gas",INDEX(Lookups!$AH$2:$AH$63,MATCH(O20,Lookups!$AD$2:$AD$63,0),0),0))</f>
        <v/>
      </c>
      <c r="AZ20" s="150" t="str">
        <f>IF(ISBLANK(K20),"",IF(K20="Gas",INDEX(Lookups!$AI$2:$AI$63,MATCH(O20,Lookups!$AD$2:$AD$63,0),0),0))</f>
        <v/>
      </c>
      <c r="BA20" s="150" t="str">
        <f t="shared" si="0"/>
        <v/>
      </c>
      <c r="BB20" s="156" t="str">
        <f>IF(ISBLANK(AH20),"",IF(AH20="None",0,IF(K20="Gas",INDEX(Lookups!$AF$51:$AF$69,MATCH(AH20,Lookups!$AD$51:$AD$69,0),0),0)))</f>
        <v/>
      </c>
      <c r="BC20" s="156" t="str">
        <f>IF(ISBLANK(AH20),"",IF(AH20="None",0,IF(K20="Gas",INDEX(Lookups!$AH$51:$AH$69,MATCH(AH20,Lookups!$AD$51:$AD$69,0),0),0)))</f>
        <v/>
      </c>
      <c r="BD20" s="156" t="str">
        <f>IF(ISBLANK(AH20),"",IF(AH20="None",0,IF(K20="Gas",INDEX(Lookups!$AI$51:$AI$69,MATCH(AH20,Lookups!$AD$51:$AD$69,0),0),0)))</f>
        <v/>
      </c>
      <c r="BE20" s="157"/>
      <c r="BF20" s="157"/>
      <c r="BG20" s="147" t="str">
        <f t="shared" si="20"/>
        <v/>
      </c>
      <c r="BH20" s="147" t="str">
        <f t="shared" si="21"/>
        <v/>
      </c>
      <c r="BI20" s="147" t="str">
        <f t="shared" si="1"/>
        <v/>
      </c>
      <c r="BJ20" s="147" t="str">
        <f t="shared" si="2"/>
        <v/>
      </c>
      <c r="BK20" s="148" t="str">
        <f t="shared" si="22"/>
        <v/>
      </c>
      <c r="BL20" s="147" t="str">
        <f t="shared" si="3"/>
        <v/>
      </c>
      <c r="BM20" s="148" t="str">
        <f t="shared" si="23"/>
        <v/>
      </c>
      <c r="BN20" s="147" t="str">
        <f t="shared" si="24"/>
        <v/>
      </c>
      <c r="BO20" s="147" t="str">
        <f t="shared" si="4"/>
        <v/>
      </c>
      <c r="BP20" s="147" t="str">
        <f t="shared" si="25"/>
        <v/>
      </c>
      <c r="BQ20" s="148" t="str">
        <f t="shared" si="26"/>
        <v/>
      </c>
      <c r="BR20" s="148" t="str">
        <f t="shared" si="27"/>
        <v/>
      </c>
      <c r="BS20" s="148" t="str">
        <f t="shared" si="28"/>
        <v/>
      </c>
      <c r="BT20" s="148" t="str">
        <f t="shared" si="7"/>
        <v/>
      </c>
      <c r="BU20" s="148" t="str">
        <f t="shared" si="8"/>
        <v/>
      </c>
      <c r="BV20" s="148" t="str">
        <f t="shared" si="9"/>
        <v/>
      </c>
      <c r="BW20" s="148" t="str">
        <f t="shared" si="29"/>
        <v/>
      </c>
      <c r="BX20" s="148" t="str">
        <f t="shared" si="10"/>
        <v/>
      </c>
      <c r="BY20" s="148" t="str">
        <f t="shared" si="11"/>
        <v/>
      </c>
      <c r="BZ20" s="149" t="str">
        <f>IFERROR(INDEX('Prescriptive Rebate Table'!$B$2:$E$64,MATCH(O20,'Prescriptive Rebate Table'!$C$2:$C$64,0),3),"")</f>
        <v/>
      </c>
      <c r="CA20" s="145" t="str">
        <f>IFERROR(INDEX('Prescriptive Rebate Table'!$B$2:$E$64,MATCH(O20,'Prescriptive Rebate Table'!$C$2:$C$64,0),4),"")</f>
        <v/>
      </c>
      <c r="CB20" s="149" t="str">
        <f t="shared" si="30"/>
        <v/>
      </c>
      <c r="CC20" s="145" t="str">
        <f t="shared" si="31"/>
        <v/>
      </c>
      <c r="CD20" s="149" t="str">
        <f t="shared" si="12"/>
        <v/>
      </c>
      <c r="CE20" s="149" t="str">
        <f t="shared" si="13"/>
        <v/>
      </c>
      <c r="CF20" s="149" t="str">
        <f>IF(BK20&lt;=0,0,IFERROR(IF(OR(ISBLANK(AC20),ISBLANK(CD20))=TRUE,"",IF(CA20="Per Foot",INDEX('Fixture Codes'!$I$8:$I$976,MATCH(AD20,'Fixture Codes'!$B$8:$B$976,0))/12*AF20*BZ20,IF(CA20="Lamp",INDEX('Fixture Codes'!$J$8:$J$976,MATCH(AD20,'Fixture Codes'!$B$8:$B$976,0))*AF20*BZ20,IF(CA20="Fixture",AF20*BZ20,IF(CA20="kWh",BK20*BZ20,0))))),""))</f>
        <v/>
      </c>
      <c r="CG20" s="149" t="str">
        <f t="shared" si="32"/>
        <v/>
      </c>
      <c r="CH20" s="149" t="str">
        <f t="shared" si="33"/>
        <v/>
      </c>
      <c r="CI20" s="152"/>
      <c r="CJ20" s="146"/>
      <c r="CK20" s="241">
        <f>IFERROR(IF(CL20="Yes",'Prescriptive Rebate Table'!$D$69,IF(ISBLANK(AI20),0,IF(AND(AH20=Lookups!$A$62,BK20&gt;0),'Prescriptive Rebate Table'!$D$68,IF(AND(BK20&gt;0,CJ20=AF20),'Prescriptive Rebate Table'!$D$67,IF(AND(BK20&gt;0,CJ20&lt;&gt;AF20),'Prescriptive Rebate Table'!D79,0))))),"")</f>
        <v>0</v>
      </c>
      <c r="CL20" s="240" t="s">
        <v>2712</v>
      </c>
      <c r="CM20" s="152"/>
      <c r="CN20" s="152"/>
      <c r="CO20" s="152"/>
      <c r="CP20" s="146">
        <f t="shared" si="14"/>
        <v>0</v>
      </c>
      <c r="CQ20" s="153">
        <f>IF(D20="Interior",ROUND(($AG20*AF20)/1000*$AM20*(Lookups!$B$54-$AA20)*$AN20*$AO20,3),0)</f>
        <v>0</v>
      </c>
      <c r="CR20" s="153">
        <f>IFERROR(IF(D20="Interior",ROUND(($AG20*$AF20)/1000*(Lookups!$C$54-$AB20)*$AN20*AQ20*AT20,6),0),"")</f>
        <v>0</v>
      </c>
      <c r="CS20" s="165">
        <f t="shared" si="34"/>
        <v>0</v>
      </c>
      <c r="CT20" s="165">
        <f t="shared" si="35"/>
        <v>0</v>
      </c>
      <c r="CV20" s="153">
        <f>IF(D20="Interior",ROUND(($AG20*AF20)/1000*$AM20*(Lookups!$B$43-$AA20)*$AN20*$AO20,3),0)</f>
        <v>0</v>
      </c>
      <c r="CW20" s="153">
        <f>IFERROR(IF(D20="Interior",ROUND(($AG20*$AF20)/1000*(Lookups!$C$43-$AB20)*$AN20*AQ20*AT20,6),0),"")</f>
        <v>0</v>
      </c>
      <c r="CX20" s="165">
        <f t="shared" si="15"/>
        <v>0</v>
      </c>
      <c r="CY20" s="165">
        <f t="shared" si="16"/>
        <v>0</v>
      </c>
      <c r="DA20" s="153">
        <f>IF(D20="Interior",ROUND(($AG20*AF20*(1-0.15))/1000*$AM20*(Lookups!$B$43+0.097-$AA20)*$AN20*$AO20+((W20*V20)/1000*AN20*AM20*AO20*0.15),3),0)</f>
        <v>0</v>
      </c>
      <c r="DB20" s="153">
        <f>IFERROR(IF(D20="Interior",ROUND(($AG20*$AF20)/1000*(Lookups!$C$43+0.097-$AB20)*$AN20*AQ20*AT20+(($AG20*$AF20)/1000*$AN20*AQ20*AT20*0.15),6),0),"")</f>
        <v>0</v>
      </c>
      <c r="DC20" s="165">
        <f t="shared" si="17"/>
        <v>0</v>
      </c>
      <c r="DD20" s="165">
        <f t="shared" si="18"/>
        <v>0</v>
      </c>
    </row>
    <row r="21" spans="1:108" s="164" customFormat="1">
      <c r="A21" s="150">
        <v>17</v>
      </c>
      <c r="B21" s="153" t="str">
        <f>IFERROR(INDEX(Lookups!$B$2:$B$38,MATCH('Project Info &amp; Summary'!$C$19,Lookups!$A$2:$A$38,0)),"")</f>
        <v/>
      </c>
      <c r="C21" s="153" t="str">
        <f>IFERROR(INDEX(Lookups!$C$2:$C$38,MATCH('Project Info &amp; Summary'!$C$19,Lookups!$A$2:$A$38,0)),"")</f>
        <v/>
      </c>
      <c r="D21" s="163"/>
      <c r="E21" s="160"/>
      <c r="F21" s="158"/>
      <c r="G21" s="158"/>
      <c r="H21" s="158"/>
      <c r="I21" s="158"/>
      <c r="J21" s="154" t="str">
        <f>IFERROR(INDEX(Lookups!$W$21:$W$26,MATCH(I21,Lookups!$V$21:$V$26,0)),"")</f>
        <v/>
      </c>
      <c r="K21" s="158"/>
      <c r="L21" s="162" t="str">
        <f>IFERROR(INDEX(Lookups!$Y$2:$Y$19,MATCH(_xlfn.CONCAT(I21,K21),Lookups!$X$2:$X$19,0)),"")</f>
        <v/>
      </c>
      <c r="M21" s="158"/>
      <c r="N21" s="153" t="str">
        <f>IFERROR(INDEX('Prescriptive Rebate Table'!$M$3:$M$20,MATCH(M21,'Prescriptive Rebate Table'!$L$3:$L$20,0)),"")</f>
        <v/>
      </c>
      <c r="O21" s="158"/>
      <c r="P21" s="154" t="str">
        <f>IFERROR(INDEX('Prescriptive Rebate Table'!$B$2:$H$64, MATCH(O21,'Prescriptive Rebate Table'!$C$2:$C$64,0),7),"")</f>
        <v/>
      </c>
      <c r="Q21" s="155" t="str">
        <f>IFERROR(INDEX('Prescriptive Rebate Table'!$B$2:$I$64, MATCH(O21,'Prescriptive Rebate Table'!$C$2:$C$64,0),8),"")</f>
        <v/>
      </c>
      <c r="R21" s="155" t="str">
        <f>IFERROR(INDEX('Prescriptive Rebate Table'!$B$2:$J$64, MATCH(O21,'Prescriptive Rebate Table'!$C$2:$C$64,0),9),"")</f>
        <v/>
      </c>
      <c r="S21" s="160"/>
      <c r="T21" s="145" t="str">
        <f>IFERROR(INDEX('Fixture Codes'!$M$8:$M$976,MATCH(S21,'Fixture Codes'!$B$8:$B$976,0)),"")</f>
        <v/>
      </c>
      <c r="U21" s="145" t="str">
        <f>IFERROR(INDEX('Fixture Codes'!$B$7:$M$976,MATCH(T21,'Fixture Codes'!$B$7:$B$976,0),5),"")</f>
        <v/>
      </c>
      <c r="V21" s="160"/>
      <c r="W21" s="145" t="str">
        <f>IFERROR(INDEX('Fixture Codes'!$L$8:$L$976,MATCH(T21,'Fixture Codes'!$B$8:$B$976,0)),"")</f>
        <v/>
      </c>
      <c r="X21" s="158"/>
      <c r="Y21" s="159"/>
      <c r="Z21" s="155" t="str">
        <f>IFERROR(INDEX(Lookups!B$68:B$87,MATCH($X21,Lookups!$A$68:$A$87,0)),"")</f>
        <v/>
      </c>
      <c r="AA21" s="150" t="str">
        <f>IFERROR(INDEX(Lookups!B$42:B$62,MATCH($X21,Lookups!$A$42:$A$62,0)),"")</f>
        <v/>
      </c>
      <c r="AB21" s="150" t="str">
        <f>IFERROR(INDEX(Lookups!C$42:C$62,MATCH($X21,Lookups!$A$42:$A$62,0)),"")</f>
        <v/>
      </c>
      <c r="AC21" s="161"/>
      <c r="AD21" s="160"/>
      <c r="AE21" s="150" t="str">
        <f>IFERROR(INDEX('Fixture Codes'!$B$7:$M$976,MATCH(AD21,'Fixture Codes'!$B$7:$B$976,0),5),"")</f>
        <v/>
      </c>
      <c r="AF21" s="160"/>
      <c r="AG21" s="145" t="str">
        <f>IFERROR(INDEX('Fixture Codes'!$L$8:$L$976,MATCH(AD21,'Fixture Codes'!$B$8:$B$976,0)),"")</f>
        <v/>
      </c>
      <c r="AH21" s="158"/>
      <c r="AI21" s="160"/>
      <c r="AJ21" s="150" t="str">
        <f>IFERROR(INDEX(Lookups!B$68:B$87,MATCH($AH21,Lookups!$A$68:$A$87,0)),"")</f>
        <v/>
      </c>
      <c r="AK21" s="150" t="str">
        <f>IFERROR(INDEX(Lookups!B$42:B$62,MATCH($AH21,Lookups!$A$42:$A$62,0)),"")</f>
        <v/>
      </c>
      <c r="AL21" s="150" t="str">
        <f>IFERROR(INDEX(Lookups!C$42:C$62,MATCH($AH21,Lookups!$A$42:$A$62,0)),"")</f>
        <v/>
      </c>
      <c r="AM21" s="150" t="str">
        <f>IFERROR(IF(M21="Exit Signs",8760,IF(INDEX('Fixture Codes'!$C$8:$C$976,MATCH(AD21,'Fixture Codes'!$B$8:$B$976,0))="Exit Sign",8760,INDEX(Lookups!$I$2:$I$428,MATCH(_xlfn.CONCAT(B21,H21),Lookups!$H$2:$H$428,0)))),"")</f>
        <v/>
      </c>
      <c r="AN21" s="153">
        <v>1</v>
      </c>
      <c r="AO21" s="150" t="str">
        <f>IF($D21="Interior",INDEX(Lookups!Q$2:Q$86,MATCH(_xlfn.CONCAT($C21,$L21),Lookups!$P$2:$P$86,0)),IF($D21="Exterior",1,""))</f>
        <v/>
      </c>
      <c r="AP21" s="150">
        <f t="shared" si="19"/>
        <v>1</v>
      </c>
      <c r="AQ21" s="150" t="str">
        <f>IF($D21="Interior",INDEX(Lookups!R$2:R$86,MATCH(_xlfn.CONCAT($C21,$L21),Lookups!$P$2:$P$86,0)),IF($D21="Exterior",1,""))</f>
        <v/>
      </c>
      <c r="AR21" s="150" t="str">
        <f>IF($D21="Interior",INDEX(Lookups!S$2:S$86,MATCH(_xlfn.CONCAT($C21,$L21),Lookups!$P$2:$P$86,0)),IF($D21="Exterior",1,""))</f>
        <v/>
      </c>
      <c r="AS21" s="150" t="str">
        <f>IF($D21="Interior",INDEX(Lookups!T$2:T$86,MATCH(_xlfn.CONCAT($C21,$L21),Lookups!$P$2:$P$86,0)),IF($D21="Exterior",1,""))</f>
        <v/>
      </c>
      <c r="AT21" s="150" t="str">
        <f>IFERROR(IF(M21="Exit Signs",1,IF(INDEX('Fixture Codes'!$C$8:$C$976,MATCH($AD21,'Fixture Codes'!$B$8:$B$976,0))="Exit Sign",1,INDEX(Lookups!J$2:J$428,MATCH(_xlfn.CONCAT($B21,$H21),Lookups!$H$2:$H$428,0)))),"")</f>
        <v/>
      </c>
      <c r="AU21" s="150" t="str">
        <f>IFERROR(IF(M21="Exit Signs",1,IF(INDEX('Fixture Codes'!$C$8:$C$976,MATCH($AD21,'Fixture Codes'!$B$8:$B$976,0))="Exit Sign",1,INDEX(Lookups!K$2:K$428,MATCH(_xlfn.CONCAT($B21,$H21),Lookups!$H$2:$H$428,0)))),"")</f>
        <v/>
      </c>
      <c r="AV21" s="150" t="str">
        <f>IFERROR(IF(M21="Exit Signs",1,IF(INDEX('Fixture Codes'!$C$8:$C$976,MATCH($AD21,'Fixture Codes'!$B$8:$B$976,0))="Exit Sign",1,INDEX(Lookups!L$2:L$428,MATCH(_xlfn.CONCAT($B21,$H21),Lookups!$H$2:$H$428,0)))),"")</f>
        <v/>
      </c>
      <c r="AW21" s="150" t="str">
        <f>IF(ISBLANK(K21),"",IF(K21="Gas",INDEX(Lookups!$AG$2:$AG$63,MATCH(O21,Lookups!$AD$2:$AD$63,0),0),0))</f>
        <v/>
      </c>
      <c r="AX21" s="150" t="str">
        <f>IF(ISBLANK(K21),"",IF(K21="Gas",INDEX(Lookups!$AF$2:$AF$63,MATCH(O21,Lookups!$AD$2:$AD$63,0),0),0))</f>
        <v/>
      </c>
      <c r="AY21" s="150" t="str">
        <f>IF(ISBLANK(K21),"",IF(K21="Gas",INDEX(Lookups!$AH$2:$AH$63,MATCH(O21,Lookups!$AD$2:$AD$63,0),0),0))</f>
        <v/>
      </c>
      <c r="AZ21" s="150" t="str">
        <f>IF(ISBLANK(K21),"",IF(K21="Gas",INDEX(Lookups!$AI$2:$AI$63,MATCH(O21,Lookups!$AD$2:$AD$63,0),0),0))</f>
        <v/>
      </c>
      <c r="BA21" s="150" t="str">
        <f t="shared" si="0"/>
        <v/>
      </c>
      <c r="BB21" s="156" t="str">
        <f>IF(ISBLANK(AH21),"",IF(AH21="None",0,IF(K21="Gas",INDEX(Lookups!$AF$51:$AF$69,MATCH(AH21,Lookups!$AD$51:$AD$69,0),0),0)))</f>
        <v/>
      </c>
      <c r="BC21" s="156" t="str">
        <f>IF(ISBLANK(AH21),"",IF(AH21="None",0,IF(K21="Gas",INDEX(Lookups!$AH$51:$AH$69,MATCH(AH21,Lookups!$AD$51:$AD$69,0),0),0)))</f>
        <v/>
      </c>
      <c r="BD21" s="156" t="str">
        <f>IF(ISBLANK(AH21),"",IF(AH21="None",0,IF(K21="Gas",INDEX(Lookups!$AI$51:$AI$69,MATCH(AH21,Lookups!$AD$51:$AD$69,0),0),0)))</f>
        <v/>
      </c>
      <c r="BE21" s="157"/>
      <c r="BF21" s="157"/>
      <c r="BG21" s="147" t="str">
        <f t="shared" si="20"/>
        <v/>
      </c>
      <c r="BH21" s="147" t="str">
        <f t="shared" si="21"/>
        <v/>
      </c>
      <c r="BI21" s="147" t="str">
        <f t="shared" si="1"/>
        <v/>
      </c>
      <c r="BJ21" s="147" t="str">
        <f t="shared" si="2"/>
        <v/>
      </c>
      <c r="BK21" s="148" t="str">
        <f t="shared" si="22"/>
        <v/>
      </c>
      <c r="BL21" s="147" t="str">
        <f t="shared" si="3"/>
        <v/>
      </c>
      <c r="BM21" s="148" t="str">
        <f t="shared" si="23"/>
        <v/>
      </c>
      <c r="BN21" s="147" t="str">
        <f t="shared" si="24"/>
        <v/>
      </c>
      <c r="BO21" s="147" t="str">
        <f t="shared" si="24"/>
        <v/>
      </c>
      <c r="BP21" s="147" t="str">
        <f t="shared" si="25"/>
        <v/>
      </c>
      <c r="BQ21" s="148" t="str">
        <f t="shared" si="26"/>
        <v/>
      </c>
      <c r="BR21" s="148" t="str">
        <f t="shared" si="27"/>
        <v/>
      </c>
      <c r="BS21" s="148" t="str">
        <f t="shared" si="28"/>
        <v/>
      </c>
      <c r="BT21" s="148" t="str">
        <f t="shared" si="7"/>
        <v/>
      </c>
      <c r="BU21" s="148" t="str">
        <f t="shared" si="8"/>
        <v/>
      </c>
      <c r="BV21" s="148" t="str">
        <f t="shared" si="9"/>
        <v/>
      </c>
      <c r="BW21" s="148" t="str">
        <f t="shared" si="29"/>
        <v/>
      </c>
      <c r="BX21" s="148" t="str">
        <f t="shared" si="10"/>
        <v/>
      </c>
      <c r="BY21" s="148" t="str">
        <f t="shared" si="11"/>
        <v/>
      </c>
      <c r="BZ21" s="149" t="str">
        <f>IFERROR(INDEX('Prescriptive Rebate Table'!$B$2:$E$64,MATCH(O21,'Prescriptive Rebate Table'!$C$2:$C$64,0),3),"")</f>
        <v/>
      </c>
      <c r="CA21" s="145" t="str">
        <f>IFERROR(INDEX('Prescriptive Rebate Table'!$B$2:$E$64,MATCH(O21,'Prescriptive Rebate Table'!$C$2:$C$64,0),4),"")</f>
        <v/>
      </c>
      <c r="CB21" s="149" t="str">
        <f t="shared" si="30"/>
        <v/>
      </c>
      <c r="CC21" s="145" t="str">
        <f t="shared" si="31"/>
        <v/>
      </c>
      <c r="CD21" s="149" t="str">
        <f t="shared" si="12"/>
        <v/>
      </c>
      <c r="CE21" s="149" t="str">
        <f t="shared" si="13"/>
        <v/>
      </c>
      <c r="CF21" s="149" t="str">
        <f>IF(BK21&lt;=0,0,IFERROR(IF(OR(ISBLANK(AC21),ISBLANK(CD21))=TRUE,"",IF(CA21="Per Foot",INDEX('Fixture Codes'!$I$8:$I$976,MATCH(AD21,'Fixture Codes'!$B$8:$B$976,0))/12*AF21*BZ21,IF(CA21="Lamp",INDEX('Fixture Codes'!$J$8:$J$976,MATCH(AD21,'Fixture Codes'!$B$8:$B$976,0))*AF21*BZ21,IF(CA21="Fixture",AF21*BZ21,IF(CA21="kWh",BK21*BZ21,0))))),""))</f>
        <v/>
      </c>
      <c r="CG21" s="149" t="str">
        <f t="shared" si="32"/>
        <v/>
      </c>
      <c r="CH21" s="149" t="str">
        <f t="shared" si="33"/>
        <v/>
      </c>
      <c r="CI21" s="152"/>
      <c r="CJ21" s="146"/>
      <c r="CK21" s="241">
        <f>IFERROR(IF(CL21="Yes",'Prescriptive Rebate Table'!$D$69,IF(ISBLANK(AI21),0,IF(AND(AH21=Lookups!$A$62,BK21&gt;0),'Prescriptive Rebate Table'!$D$68,IF(AND(BK21&gt;0,CJ21=AF21),'Prescriptive Rebate Table'!$D$67,IF(AND(BK21&gt;0,CJ21&lt;&gt;AF21),'Prescriptive Rebate Table'!D80,0))))),"")</f>
        <v>0</v>
      </c>
      <c r="CL21" s="240" t="s">
        <v>2712</v>
      </c>
      <c r="CM21" s="152"/>
      <c r="CN21" s="152"/>
      <c r="CO21" s="152"/>
      <c r="CP21" s="146">
        <f t="shared" si="14"/>
        <v>0</v>
      </c>
      <c r="CQ21" s="153">
        <f>IF(D21="Interior",ROUND(($AG21*AF21)/1000*$AM21*(Lookups!$B$54-$AA21)*$AN21*$AO21,3),0)</f>
        <v>0</v>
      </c>
      <c r="CR21" s="153">
        <f>IFERROR(IF(D21="Interior",ROUND(($AG21*$AF21)/1000*(Lookups!$C$54-$AB21)*$AN21*AQ21*AT21,6),0),"")</f>
        <v>0</v>
      </c>
      <c r="CS21" s="165">
        <f t="shared" si="34"/>
        <v>0</v>
      </c>
      <c r="CT21" s="165">
        <f t="shared" si="35"/>
        <v>0</v>
      </c>
      <c r="CV21" s="153">
        <f>IF(D21="Interior",ROUND(($AG21*AF21)/1000*$AM21*(Lookups!$B$43-$AA21)*$AN21*$AO21,3),0)</f>
        <v>0</v>
      </c>
      <c r="CW21" s="153">
        <f>IFERROR(IF(D21="Interior",ROUND(($AG21*$AF21)/1000*(Lookups!$C$43-$AB21)*$AN21*AQ21*AT21,6),0),"")</f>
        <v>0</v>
      </c>
      <c r="CX21" s="165">
        <f t="shared" si="15"/>
        <v>0</v>
      </c>
      <c r="CY21" s="165">
        <f t="shared" si="16"/>
        <v>0</v>
      </c>
      <c r="DA21" s="153">
        <f>IF(D21="Interior",ROUND(($AG21*AF21*(1-0.15))/1000*$AM21*(Lookups!$B$43+0.097-$AA21)*$AN21*$AO21+((W21*V21)/1000*AN21*AM21*AO21*0.15),3),0)</f>
        <v>0</v>
      </c>
      <c r="DB21" s="153">
        <f>IFERROR(IF(D21="Interior",ROUND(($AG21*$AF21)/1000*(Lookups!$C$43+0.097-$AB21)*$AN21*AQ21*AT21+(($AG21*$AF21)/1000*$AN21*AQ21*AT21*0.15),6),0),"")</f>
        <v>0</v>
      </c>
      <c r="DC21" s="165">
        <f t="shared" si="17"/>
        <v>0</v>
      </c>
      <c r="DD21" s="165">
        <f t="shared" si="18"/>
        <v>0</v>
      </c>
    </row>
    <row r="22" spans="1:108" s="164" customFormat="1">
      <c r="A22" s="150">
        <v>18</v>
      </c>
      <c r="B22" s="153" t="str">
        <f>IFERROR(INDEX(Lookups!$B$2:$B$38,MATCH('Project Info &amp; Summary'!$C$19,Lookups!$A$2:$A$38,0)),"")</f>
        <v/>
      </c>
      <c r="C22" s="153" t="str">
        <f>IFERROR(INDEX(Lookups!$C$2:$C$38,MATCH('Project Info &amp; Summary'!$C$19,Lookups!$A$2:$A$38,0)),"")</f>
        <v/>
      </c>
      <c r="D22" s="163"/>
      <c r="E22" s="160"/>
      <c r="F22" s="158"/>
      <c r="G22" s="158"/>
      <c r="H22" s="158"/>
      <c r="I22" s="158"/>
      <c r="J22" s="154" t="str">
        <f>IFERROR(INDEX(Lookups!$W$21:$W$26,MATCH(I22,Lookups!$V$21:$V$26,0)),"")</f>
        <v/>
      </c>
      <c r="K22" s="158"/>
      <c r="L22" s="162" t="str">
        <f>IFERROR(INDEX(Lookups!$Y$2:$Y$19,MATCH(_xlfn.CONCAT(I22,K22),Lookups!$X$2:$X$19,0)),"")</f>
        <v/>
      </c>
      <c r="M22" s="158"/>
      <c r="N22" s="153" t="str">
        <f>IFERROR(INDEX('Prescriptive Rebate Table'!$M$3:$M$20,MATCH(M22,'Prescriptive Rebate Table'!$L$3:$L$20,0)),"")</f>
        <v/>
      </c>
      <c r="O22" s="158"/>
      <c r="P22" s="154" t="str">
        <f>IFERROR(INDEX('Prescriptive Rebate Table'!$B$2:$H$64, MATCH(O22,'Prescriptive Rebate Table'!$C$2:$C$64,0),7),"")</f>
        <v/>
      </c>
      <c r="Q22" s="155" t="str">
        <f>IFERROR(INDEX('Prescriptive Rebate Table'!$B$2:$I$64, MATCH(O22,'Prescriptive Rebate Table'!$C$2:$C$64,0),8),"")</f>
        <v/>
      </c>
      <c r="R22" s="155" t="str">
        <f>IFERROR(INDEX('Prescriptive Rebate Table'!$B$2:$J$64, MATCH(O22,'Prescriptive Rebate Table'!$C$2:$C$64,0),9),"")</f>
        <v/>
      </c>
      <c r="S22" s="160"/>
      <c r="T22" s="145" t="str">
        <f>IFERROR(INDEX('Fixture Codes'!$M$8:$M$976,MATCH(S22,'Fixture Codes'!$B$8:$B$976,0)),"")</f>
        <v/>
      </c>
      <c r="U22" s="145" t="str">
        <f>IFERROR(INDEX('Fixture Codes'!$B$7:$M$976,MATCH(T22,'Fixture Codes'!$B$7:$B$976,0),5),"")</f>
        <v/>
      </c>
      <c r="V22" s="160"/>
      <c r="W22" s="145" t="str">
        <f>IFERROR(INDEX('Fixture Codes'!$L$8:$L$976,MATCH(T22,'Fixture Codes'!$B$8:$B$976,0)),"")</f>
        <v/>
      </c>
      <c r="X22" s="158"/>
      <c r="Y22" s="159"/>
      <c r="Z22" s="155" t="str">
        <f>IFERROR(INDEX(Lookups!B$68:B$87,MATCH($X22,Lookups!$A$68:$A$87,0)),"")</f>
        <v/>
      </c>
      <c r="AA22" s="150" t="str">
        <f>IFERROR(INDEX(Lookups!B$42:B$62,MATCH($X22,Lookups!$A$42:$A$62,0)),"")</f>
        <v/>
      </c>
      <c r="AB22" s="150" t="str">
        <f>IFERROR(INDEX(Lookups!C$42:C$62,MATCH($X22,Lookups!$A$42:$A$62,0)),"")</f>
        <v/>
      </c>
      <c r="AC22" s="161"/>
      <c r="AD22" s="160"/>
      <c r="AE22" s="150" t="str">
        <f>IFERROR(INDEX('Fixture Codes'!$B$7:$M$976,MATCH(AD22,'Fixture Codes'!$B$7:$B$976,0),5),"")</f>
        <v/>
      </c>
      <c r="AF22" s="160"/>
      <c r="AG22" s="145" t="str">
        <f>IFERROR(INDEX('Fixture Codes'!$L$8:$L$976,MATCH(AD22,'Fixture Codes'!$B$8:$B$976,0)),"")</f>
        <v/>
      </c>
      <c r="AH22" s="158"/>
      <c r="AI22" s="160"/>
      <c r="AJ22" s="150" t="str">
        <f>IFERROR(INDEX(Lookups!B$68:B$87,MATCH($AH22,Lookups!$A$68:$A$87,0)),"")</f>
        <v/>
      </c>
      <c r="AK22" s="150" t="str">
        <f>IFERROR(INDEX(Lookups!B$42:B$62,MATCH($AH22,Lookups!$A$42:$A$62,0)),"")</f>
        <v/>
      </c>
      <c r="AL22" s="150" t="str">
        <f>IFERROR(INDEX(Lookups!C$42:C$62,MATCH($AH22,Lookups!$A$42:$A$62,0)),"")</f>
        <v/>
      </c>
      <c r="AM22" s="150" t="str">
        <f>IFERROR(IF(M22="Exit Signs",8760,IF(INDEX('Fixture Codes'!$C$8:$C$976,MATCH(AD22,'Fixture Codes'!$B$8:$B$976,0))="Exit Sign",8760,INDEX(Lookups!$I$2:$I$428,MATCH(_xlfn.CONCAT(B22,H22),Lookups!$H$2:$H$428,0)))),"")</f>
        <v/>
      </c>
      <c r="AN22" s="153">
        <v>1</v>
      </c>
      <c r="AO22" s="150" t="str">
        <f>IF($D22="Interior",INDEX(Lookups!Q$2:Q$86,MATCH(_xlfn.CONCAT($C22,$L22),Lookups!$P$2:$P$86,0)),IF($D22="Exterior",1,""))</f>
        <v/>
      </c>
      <c r="AP22" s="150">
        <f t="shared" si="19"/>
        <v>1</v>
      </c>
      <c r="AQ22" s="150" t="str">
        <f>IF($D22="Interior",INDEX(Lookups!R$2:R$86,MATCH(_xlfn.CONCAT($C22,$L22),Lookups!$P$2:$P$86,0)),IF($D22="Exterior",1,""))</f>
        <v/>
      </c>
      <c r="AR22" s="150" t="str">
        <f>IF($D22="Interior",INDEX(Lookups!S$2:S$86,MATCH(_xlfn.CONCAT($C22,$L22),Lookups!$P$2:$P$86,0)),IF($D22="Exterior",1,""))</f>
        <v/>
      </c>
      <c r="AS22" s="150" t="str">
        <f>IF($D22="Interior",INDEX(Lookups!T$2:T$86,MATCH(_xlfn.CONCAT($C22,$L22),Lookups!$P$2:$P$86,0)),IF($D22="Exterior",1,""))</f>
        <v/>
      </c>
      <c r="AT22" s="150" t="str">
        <f>IFERROR(IF(M22="Exit Signs",1,IF(INDEX('Fixture Codes'!$C$8:$C$976,MATCH($AD22,'Fixture Codes'!$B$8:$B$976,0))="Exit Sign",1,INDEX(Lookups!J$2:J$428,MATCH(_xlfn.CONCAT($B22,$H22),Lookups!$H$2:$H$428,0)))),"")</f>
        <v/>
      </c>
      <c r="AU22" s="150" t="str">
        <f>IFERROR(IF(M22="Exit Signs",1,IF(INDEX('Fixture Codes'!$C$8:$C$976,MATCH($AD22,'Fixture Codes'!$B$8:$B$976,0))="Exit Sign",1,INDEX(Lookups!K$2:K$428,MATCH(_xlfn.CONCAT($B22,$H22),Lookups!$H$2:$H$428,0)))),"")</f>
        <v/>
      </c>
      <c r="AV22" s="150" t="str">
        <f>IFERROR(IF(M22="Exit Signs",1,IF(INDEX('Fixture Codes'!$C$8:$C$976,MATCH($AD22,'Fixture Codes'!$B$8:$B$976,0))="Exit Sign",1,INDEX(Lookups!L$2:L$428,MATCH(_xlfn.CONCAT($B22,$H22),Lookups!$H$2:$H$428,0)))),"")</f>
        <v/>
      </c>
      <c r="AW22" s="150" t="str">
        <f>IF(ISBLANK(K22),"",IF(K22="Gas",INDEX(Lookups!$AG$2:$AG$63,MATCH(O22,Lookups!$AD$2:$AD$63,0),0),0))</f>
        <v/>
      </c>
      <c r="AX22" s="150" t="str">
        <f>IF(ISBLANK(K22),"",IF(K22="Gas",INDEX(Lookups!$AF$2:$AF$63,MATCH(O22,Lookups!$AD$2:$AD$63,0),0),0))</f>
        <v/>
      </c>
      <c r="AY22" s="150" t="str">
        <f>IF(ISBLANK(K22),"",IF(K22="Gas",INDEX(Lookups!$AH$2:$AH$63,MATCH(O22,Lookups!$AD$2:$AD$63,0),0),0))</f>
        <v/>
      </c>
      <c r="AZ22" s="150" t="str">
        <f>IF(ISBLANK(K22),"",IF(K22="Gas",INDEX(Lookups!$AI$2:$AI$63,MATCH(O22,Lookups!$AD$2:$AD$63,0),0),0))</f>
        <v/>
      </c>
      <c r="BA22" s="150" t="str">
        <f t="shared" si="0"/>
        <v/>
      </c>
      <c r="BB22" s="156" t="str">
        <f>IF(ISBLANK(AH22),"",IF(AH22="None",0,IF(K22="Gas",INDEX(Lookups!$AF$51:$AF$69,MATCH(AH22,Lookups!$AD$51:$AD$69,0),0),0)))</f>
        <v/>
      </c>
      <c r="BC22" s="156" t="str">
        <f>IF(ISBLANK(AH22),"",IF(AH22="None",0,IF(K22="Gas",INDEX(Lookups!$AH$51:$AH$69,MATCH(AH22,Lookups!$AD$51:$AD$69,0),0),0)))</f>
        <v/>
      </c>
      <c r="BD22" s="156" t="str">
        <f>IF(ISBLANK(AH22),"",IF(AH22="None",0,IF(K22="Gas",INDEX(Lookups!$AI$51:$AI$69,MATCH(AH22,Lookups!$AD$51:$AD$69,0),0),0)))</f>
        <v/>
      </c>
      <c r="BE22" s="157"/>
      <c r="BF22" s="157"/>
      <c r="BG22" s="147" t="str">
        <f t="shared" si="20"/>
        <v/>
      </c>
      <c r="BH22" s="147" t="str">
        <f t="shared" si="21"/>
        <v/>
      </c>
      <c r="BI22" s="147" t="str">
        <f t="shared" si="1"/>
        <v/>
      </c>
      <c r="BJ22" s="147" t="str">
        <f t="shared" si="2"/>
        <v/>
      </c>
      <c r="BK22" s="148" t="str">
        <f t="shared" si="22"/>
        <v/>
      </c>
      <c r="BL22" s="147" t="str">
        <f t="shared" si="3"/>
        <v/>
      </c>
      <c r="BM22" s="148" t="str">
        <f t="shared" si="23"/>
        <v/>
      </c>
      <c r="BN22" s="147" t="str">
        <f t="shared" si="24"/>
        <v/>
      </c>
      <c r="BO22" s="147" t="str">
        <f t="shared" si="24"/>
        <v/>
      </c>
      <c r="BP22" s="147" t="str">
        <f t="shared" si="25"/>
        <v/>
      </c>
      <c r="BQ22" s="148" t="str">
        <f t="shared" si="26"/>
        <v/>
      </c>
      <c r="BR22" s="148" t="str">
        <f t="shared" si="27"/>
        <v/>
      </c>
      <c r="BS22" s="148" t="str">
        <f t="shared" si="28"/>
        <v/>
      </c>
      <c r="BT22" s="148" t="str">
        <f t="shared" si="7"/>
        <v/>
      </c>
      <c r="BU22" s="148" t="str">
        <f t="shared" si="8"/>
        <v/>
      </c>
      <c r="BV22" s="148" t="str">
        <f t="shared" si="9"/>
        <v/>
      </c>
      <c r="BW22" s="148" t="str">
        <f t="shared" si="29"/>
        <v/>
      </c>
      <c r="BX22" s="148" t="str">
        <f t="shared" si="10"/>
        <v/>
      </c>
      <c r="BY22" s="148" t="str">
        <f t="shared" si="11"/>
        <v/>
      </c>
      <c r="BZ22" s="149" t="str">
        <f>IFERROR(INDEX('Prescriptive Rebate Table'!$B$2:$E$64,MATCH(O22,'Prescriptive Rebate Table'!$C$2:$C$64,0),3),"")</f>
        <v/>
      </c>
      <c r="CA22" s="145" t="str">
        <f>IFERROR(INDEX('Prescriptive Rebate Table'!$B$2:$E$64,MATCH(O22,'Prescriptive Rebate Table'!$C$2:$C$64,0),4),"")</f>
        <v/>
      </c>
      <c r="CB22" s="149" t="str">
        <f t="shared" si="30"/>
        <v/>
      </c>
      <c r="CC22" s="145" t="str">
        <f t="shared" si="31"/>
        <v/>
      </c>
      <c r="CD22" s="149" t="str">
        <f t="shared" si="12"/>
        <v/>
      </c>
      <c r="CE22" s="149" t="str">
        <f t="shared" si="13"/>
        <v/>
      </c>
      <c r="CF22" s="149" t="str">
        <f>IF(BK22&lt;=0,0,IFERROR(IF(OR(ISBLANK(AC22),ISBLANK(CD22))=TRUE,"",IF(CA22="Per Foot",INDEX('Fixture Codes'!$I$8:$I$976,MATCH(AD22,'Fixture Codes'!$B$8:$B$976,0))/12*AF22*BZ22,IF(CA22="Lamp",INDEX('Fixture Codes'!$J$8:$J$976,MATCH(AD22,'Fixture Codes'!$B$8:$B$976,0))*AF22*BZ22,IF(CA22="Fixture",AF22*BZ22,IF(CA22="kWh",BK22*BZ22,0))))),""))</f>
        <v/>
      </c>
      <c r="CG22" s="149" t="str">
        <f t="shared" si="32"/>
        <v/>
      </c>
      <c r="CH22" s="149" t="str">
        <f t="shared" si="33"/>
        <v/>
      </c>
      <c r="CI22" s="152"/>
      <c r="CJ22" s="146"/>
      <c r="CK22" s="241">
        <f>IFERROR(IF(CL22="Yes",'Prescriptive Rebate Table'!$D$69,IF(ISBLANK(AI22),0,IF(AND(AH22=Lookups!$A$62,BK22&gt;0),'Prescriptive Rebate Table'!$D$68,IF(AND(BK22&gt;0,CJ22=AF22),'Prescriptive Rebate Table'!$D$67,IF(AND(BK22&gt;0,CJ22&lt;&gt;AF22),'Prescriptive Rebate Table'!D81,0))))),"")</f>
        <v>0</v>
      </c>
      <c r="CL22" s="240" t="s">
        <v>2712</v>
      </c>
      <c r="CM22" s="152"/>
      <c r="CN22" s="152"/>
      <c r="CO22" s="152"/>
      <c r="CP22" s="146">
        <f t="shared" si="14"/>
        <v>0</v>
      </c>
      <c r="CQ22" s="153">
        <f>IF(D22="Interior",ROUND(($AG22*AF22)/1000*$AM22*(Lookups!$B$54-$AA22)*$AN22*$AO22,3),0)</f>
        <v>0</v>
      </c>
      <c r="CR22" s="153">
        <f>IFERROR(IF(D22="Interior",ROUND(($AG22*$AF22)/1000*(Lookups!$C$54-$AB22)*$AN22*AQ22*AT22,6),0),"")</f>
        <v>0</v>
      </c>
      <c r="CS22" s="165">
        <f t="shared" si="34"/>
        <v>0</v>
      </c>
      <c r="CT22" s="165">
        <f t="shared" si="35"/>
        <v>0</v>
      </c>
      <c r="CV22" s="153">
        <f>IF(D22="Interior",ROUND(($AG22*AF22)/1000*$AM22*(Lookups!$B$43-$AA22)*$AN22*$AO22,3),0)</f>
        <v>0</v>
      </c>
      <c r="CW22" s="153">
        <f>IFERROR(IF(D22="Interior",ROUND(($AG22*$AF22)/1000*(Lookups!$C$43-$AB22)*$AN22*AQ22*AT22,6),0),"")</f>
        <v>0</v>
      </c>
      <c r="CX22" s="165">
        <f t="shared" si="15"/>
        <v>0</v>
      </c>
      <c r="CY22" s="165">
        <f t="shared" si="16"/>
        <v>0</v>
      </c>
      <c r="DA22" s="153">
        <f>IF(D22="Interior",ROUND(($AG22*AF22*(1-0.15))/1000*$AM22*(Lookups!$B$43+0.097-$AA22)*$AN22*$AO22+((W22*V22)/1000*AN22*AM22*AO22*0.15),3),0)</f>
        <v>0</v>
      </c>
      <c r="DB22" s="153">
        <f>IFERROR(IF(D22="Interior",ROUND(($AG22*$AF22)/1000*(Lookups!$C$43+0.097-$AB22)*$AN22*AQ22*AT22+(($AG22*$AF22)/1000*$AN22*AQ22*AT22*0.15),6),0),"")</f>
        <v>0</v>
      </c>
      <c r="DC22" s="165">
        <f t="shared" si="17"/>
        <v>0</v>
      </c>
      <c r="DD22" s="165">
        <f t="shared" si="18"/>
        <v>0</v>
      </c>
    </row>
    <row r="23" spans="1:108" s="164" customFormat="1">
      <c r="A23" s="150">
        <v>19</v>
      </c>
      <c r="B23" s="153" t="str">
        <f>IFERROR(INDEX(Lookups!$B$2:$B$38,MATCH('Project Info &amp; Summary'!$C$19,Lookups!$A$2:$A$38,0)),"")</f>
        <v/>
      </c>
      <c r="C23" s="153" t="str">
        <f>IFERROR(INDEX(Lookups!$C$2:$C$38,MATCH('Project Info &amp; Summary'!$C$19,Lookups!$A$2:$A$38,0)),"")</f>
        <v/>
      </c>
      <c r="D23" s="163"/>
      <c r="E23" s="160"/>
      <c r="F23" s="158"/>
      <c r="G23" s="158"/>
      <c r="H23" s="158"/>
      <c r="I23" s="158"/>
      <c r="J23" s="154" t="str">
        <f>IFERROR(INDEX(Lookups!$W$21:$W$26,MATCH(I23,Lookups!$V$21:$V$26,0)),"")</f>
        <v/>
      </c>
      <c r="K23" s="158"/>
      <c r="L23" s="162" t="str">
        <f>IFERROR(INDEX(Lookups!$Y$2:$Y$19,MATCH(_xlfn.CONCAT(I23,K23),Lookups!$X$2:$X$19,0)),"")</f>
        <v/>
      </c>
      <c r="M23" s="158"/>
      <c r="N23" s="153" t="str">
        <f>IFERROR(INDEX('Prescriptive Rebate Table'!$M$3:$M$20,MATCH(M23,'Prescriptive Rebate Table'!$L$3:$L$20,0)),"")</f>
        <v/>
      </c>
      <c r="O23" s="158"/>
      <c r="P23" s="154" t="str">
        <f>IFERROR(INDEX('Prescriptive Rebate Table'!$B$2:$H$64, MATCH(O23,'Prescriptive Rebate Table'!$C$2:$C$64,0),7),"")</f>
        <v/>
      </c>
      <c r="Q23" s="155" t="str">
        <f>IFERROR(INDEX('Prescriptive Rebate Table'!$B$2:$I$64, MATCH(O23,'Prescriptive Rebate Table'!$C$2:$C$64,0),8),"")</f>
        <v/>
      </c>
      <c r="R23" s="155" t="str">
        <f>IFERROR(INDEX('Prescriptive Rebate Table'!$B$2:$J$64, MATCH(O23,'Prescriptive Rebate Table'!$C$2:$C$64,0),9),"")</f>
        <v/>
      </c>
      <c r="S23" s="160"/>
      <c r="T23" s="145" t="str">
        <f>IFERROR(INDEX('Fixture Codes'!$M$8:$M$976,MATCH(S23,'Fixture Codes'!$B$8:$B$976,0)),"")</f>
        <v/>
      </c>
      <c r="U23" s="145" t="str">
        <f>IFERROR(INDEX('Fixture Codes'!$B$7:$M$976,MATCH(T23,'Fixture Codes'!$B$7:$B$976,0),5),"")</f>
        <v/>
      </c>
      <c r="V23" s="160"/>
      <c r="W23" s="145" t="str">
        <f>IFERROR(INDEX('Fixture Codes'!$L$8:$L$976,MATCH(T23,'Fixture Codes'!$B$8:$B$976,0)),"")</f>
        <v/>
      </c>
      <c r="X23" s="158"/>
      <c r="Y23" s="159"/>
      <c r="Z23" s="155" t="str">
        <f>IFERROR(INDEX(Lookups!B$68:B$87,MATCH($X23,Lookups!$A$68:$A$87,0)),"")</f>
        <v/>
      </c>
      <c r="AA23" s="150" t="str">
        <f>IFERROR(INDEX(Lookups!B$42:B$62,MATCH($X23,Lookups!$A$42:$A$62,0)),"")</f>
        <v/>
      </c>
      <c r="AB23" s="150" t="str">
        <f>IFERROR(INDEX(Lookups!C$42:C$62,MATCH($X23,Lookups!$A$42:$A$62,0)),"")</f>
        <v/>
      </c>
      <c r="AC23" s="161"/>
      <c r="AD23" s="160"/>
      <c r="AE23" s="150" t="str">
        <f>IFERROR(INDEX('Fixture Codes'!$B$7:$M$976,MATCH(AD23,'Fixture Codes'!$B$7:$B$976,0),5),"")</f>
        <v/>
      </c>
      <c r="AF23" s="160"/>
      <c r="AG23" s="145" t="str">
        <f>IFERROR(INDEX('Fixture Codes'!$L$8:$L$976,MATCH(AD23,'Fixture Codes'!$B$8:$B$976,0)),"")</f>
        <v/>
      </c>
      <c r="AH23" s="158"/>
      <c r="AI23" s="160"/>
      <c r="AJ23" s="150" t="str">
        <f>IFERROR(INDEX(Lookups!B$68:B$87,MATCH($AH23,Lookups!$A$68:$A$87,0)),"")</f>
        <v/>
      </c>
      <c r="AK23" s="150" t="str">
        <f>IFERROR(INDEX(Lookups!B$42:B$62,MATCH($AH23,Lookups!$A$42:$A$62,0)),"")</f>
        <v/>
      </c>
      <c r="AL23" s="150" t="str">
        <f>IFERROR(INDEX(Lookups!C$42:C$62,MATCH($AH23,Lookups!$A$42:$A$62,0)),"")</f>
        <v/>
      </c>
      <c r="AM23" s="150" t="str">
        <f>IFERROR(IF(M23="Exit Signs",8760,IF(INDEX('Fixture Codes'!$C$8:$C$976,MATCH(AD23,'Fixture Codes'!$B$8:$B$976,0))="Exit Sign",8760,INDEX(Lookups!$I$2:$I$428,MATCH(_xlfn.CONCAT(B23,H23),Lookups!$H$2:$H$428,0)))),"")</f>
        <v/>
      </c>
      <c r="AN23" s="153">
        <v>1</v>
      </c>
      <c r="AO23" s="150" t="str">
        <f>IF($D23="Interior",INDEX(Lookups!Q$2:Q$86,MATCH(_xlfn.CONCAT($C23,$L23),Lookups!$P$2:$P$86,0)),IF($D23="Exterior",1,""))</f>
        <v/>
      </c>
      <c r="AP23" s="150">
        <f t="shared" si="19"/>
        <v>1</v>
      </c>
      <c r="AQ23" s="150" t="str">
        <f>IF($D23="Interior",INDEX(Lookups!R$2:R$86,MATCH(_xlfn.CONCAT($C23,$L23),Lookups!$P$2:$P$86,0)),IF($D23="Exterior",1,""))</f>
        <v/>
      </c>
      <c r="AR23" s="150" t="str">
        <f>IF($D23="Interior",INDEX(Lookups!S$2:S$86,MATCH(_xlfn.CONCAT($C23,$L23),Lookups!$P$2:$P$86,0)),IF($D23="Exterior",1,""))</f>
        <v/>
      </c>
      <c r="AS23" s="150" t="str">
        <f>IF($D23="Interior",INDEX(Lookups!T$2:T$86,MATCH(_xlfn.CONCAT($C23,$L23),Lookups!$P$2:$P$86,0)),IF($D23="Exterior",1,""))</f>
        <v/>
      </c>
      <c r="AT23" s="150" t="str">
        <f>IFERROR(IF(M23="Exit Signs",1,IF(INDEX('Fixture Codes'!$C$8:$C$976,MATCH($AD23,'Fixture Codes'!$B$8:$B$976,0))="Exit Sign",1,INDEX(Lookups!J$2:J$428,MATCH(_xlfn.CONCAT($B23,$H23),Lookups!$H$2:$H$428,0)))),"")</f>
        <v/>
      </c>
      <c r="AU23" s="150" t="str">
        <f>IFERROR(IF(M23="Exit Signs",1,IF(INDEX('Fixture Codes'!$C$8:$C$976,MATCH($AD23,'Fixture Codes'!$B$8:$B$976,0))="Exit Sign",1,INDEX(Lookups!K$2:K$428,MATCH(_xlfn.CONCAT($B23,$H23),Lookups!$H$2:$H$428,0)))),"")</f>
        <v/>
      </c>
      <c r="AV23" s="150" t="str">
        <f>IFERROR(IF(M23="Exit Signs",1,IF(INDEX('Fixture Codes'!$C$8:$C$976,MATCH($AD23,'Fixture Codes'!$B$8:$B$976,0))="Exit Sign",1,INDEX(Lookups!L$2:L$428,MATCH(_xlfn.CONCAT($B23,$H23),Lookups!$H$2:$H$428,0)))),"")</f>
        <v/>
      </c>
      <c r="AW23" s="150" t="str">
        <f>IF(ISBLANK(K23),"",IF(K23="Gas",INDEX(Lookups!$AG$2:$AG$63,MATCH(O23,Lookups!$AD$2:$AD$63,0),0),0))</f>
        <v/>
      </c>
      <c r="AX23" s="150" t="str">
        <f>IF(ISBLANK(K23),"",IF(K23="Gas",INDEX(Lookups!$AF$2:$AF$63,MATCH(O23,Lookups!$AD$2:$AD$63,0),0),0))</f>
        <v/>
      </c>
      <c r="AY23" s="150" t="str">
        <f>IF(ISBLANK(K23),"",IF(K23="Gas",INDEX(Lookups!$AH$2:$AH$63,MATCH(O23,Lookups!$AD$2:$AD$63,0),0),0))</f>
        <v/>
      </c>
      <c r="AZ23" s="150" t="str">
        <f>IF(ISBLANK(K23),"",IF(K23="Gas",INDEX(Lookups!$AI$2:$AI$63,MATCH(O23,Lookups!$AD$2:$AD$63,0),0),0))</f>
        <v/>
      </c>
      <c r="BA23" s="150" t="str">
        <f t="shared" si="0"/>
        <v/>
      </c>
      <c r="BB23" s="156" t="str">
        <f>IF(ISBLANK(AH23),"",IF(AH23="None",0,IF(K23="Gas",INDEX(Lookups!$AF$51:$AF$69,MATCH(AH23,Lookups!$AD$51:$AD$69,0),0),0)))</f>
        <v/>
      </c>
      <c r="BC23" s="156" t="str">
        <f>IF(ISBLANK(AH23),"",IF(AH23="None",0,IF(K23="Gas",INDEX(Lookups!$AH$51:$AH$69,MATCH(AH23,Lookups!$AD$51:$AD$69,0),0),0)))</f>
        <v/>
      </c>
      <c r="BD23" s="156" t="str">
        <f>IF(ISBLANK(AH23),"",IF(AH23="None",0,IF(K23="Gas",INDEX(Lookups!$AI$51:$AI$69,MATCH(AH23,Lookups!$AD$51:$AD$69,0),0),0)))</f>
        <v/>
      </c>
      <c r="BE23" s="157"/>
      <c r="BF23" s="157"/>
      <c r="BG23" s="147" t="str">
        <f t="shared" si="20"/>
        <v/>
      </c>
      <c r="BH23" s="147" t="str">
        <f t="shared" si="21"/>
        <v/>
      </c>
      <c r="BI23" s="147" t="str">
        <f t="shared" si="1"/>
        <v/>
      </c>
      <c r="BJ23" s="147" t="str">
        <f t="shared" si="2"/>
        <v/>
      </c>
      <c r="BK23" s="148" t="str">
        <f t="shared" si="22"/>
        <v/>
      </c>
      <c r="BL23" s="147" t="str">
        <f t="shared" si="3"/>
        <v/>
      </c>
      <c r="BM23" s="148" t="str">
        <f t="shared" si="23"/>
        <v/>
      </c>
      <c r="BN23" s="147" t="str">
        <f t="shared" si="24"/>
        <v/>
      </c>
      <c r="BO23" s="147" t="str">
        <f t="shared" si="24"/>
        <v/>
      </c>
      <c r="BP23" s="147" t="str">
        <f t="shared" si="25"/>
        <v/>
      </c>
      <c r="BQ23" s="148" t="str">
        <f t="shared" si="26"/>
        <v/>
      </c>
      <c r="BR23" s="148" t="str">
        <f t="shared" si="27"/>
        <v/>
      </c>
      <c r="BS23" s="148" t="str">
        <f t="shared" si="28"/>
        <v/>
      </c>
      <c r="BT23" s="148" t="str">
        <f t="shared" si="7"/>
        <v/>
      </c>
      <c r="BU23" s="148" t="str">
        <f t="shared" si="8"/>
        <v/>
      </c>
      <c r="BV23" s="148" t="str">
        <f t="shared" si="9"/>
        <v/>
      </c>
      <c r="BW23" s="148" t="str">
        <f t="shared" si="29"/>
        <v/>
      </c>
      <c r="BX23" s="148" t="str">
        <f t="shared" si="10"/>
        <v/>
      </c>
      <c r="BY23" s="148" t="str">
        <f t="shared" si="11"/>
        <v/>
      </c>
      <c r="BZ23" s="149" t="str">
        <f>IFERROR(INDEX('Prescriptive Rebate Table'!$B$2:$E$64,MATCH(O23,'Prescriptive Rebate Table'!$C$2:$C$64,0),3),"")</f>
        <v/>
      </c>
      <c r="CA23" s="145" t="str">
        <f>IFERROR(INDEX('Prescriptive Rebate Table'!$B$2:$E$64,MATCH(O23,'Prescriptive Rebate Table'!$C$2:$C$64,0),4),"")</f>
        <v/>
      </c>
      <c r="CB23" s="149" t="str">
        <f t="shared" si="30"/>
        <v/>
      </c>
      <c r="CC23" s="145" t="str">
        <f t="shared" si="31"/>
        <v/>
      </c>
      <c r="CD23" s="149" t="str">
        <f t="shared" si="12"/>
        <v/>
      </c>
      <c r="CE23" s="149" t="str">
        <f t="shared" si="13"/>
        <v/>
      </c>
      <c r="CF23" s="149" t="str">
        <f>IF(BK23&lt;=0,0,IFERROR(IF(OR(ISBLANK(AC23),ISBLANK(CD23))=TRUE,"",IF(CA23="Per Foot",INDEX('Fixture Codes'!$I$8:$I$976,MATCH(AD23,'Fixture Codes'!$B$8:$B$976,0))/12*AF23*BZ23,IF(CA23="Lamp",INDEX('Fixture Codes'!$J$8:$J$976,MATCH(AD23,'Fixture Codes'!$B$8:$B$976,0))*AF23*BZ23,IF(CA23="Fixture",AF23*BZ23,IF(CA23="kWh",BK23*BZ23,0))))),""))</f>
        <v/>
      </c>
      <c r="CG23" s="149" t="str">
        <f t="shared" si="32"/>
        <v/>
      </c>
      <c r="CH23" s="149" t="str">
        <f t="shared" si="33"/>
        <v/>
      </c>
      <c r="CI23" s="152"/>
      <c r="CJ23" s="146"/>
      <c r="CK23" s="241">
        <f>IFERROR(IF(CL23="Yes",'Prescriptive Rebate Table'!$D$69,IF(ISBLANK(AI23),0,IF(AND(AH23=Lookups!$A$62,BK23&gt;0),'Prescriptive Rebate Table'!$D$68,IF(AND(BK23&gt;0,CJ23=AF23),'Prescriptive Rebate Table'!$D$67,IF(AND(BK23&gt;0,CJ23&lt;&gt;AF23),'Prescriptive Rebate Table'!D82,0))))),"")</f>
        <v>0</v>
      </c>
      <c r="CL23" s="240" t="s">
        <v>2712</v>
      </c>
      <c r="CM23" s="152"/>
      <c r="CN23" s="152"/>
      <c r="CO23" s="152"/>
      <c r="CP23" s="146">
        <f t="shared" si="14"/>
        <v>0</v>
      </c>
      <c r="CQ23" s="153">
        <f>IF(D23="Interior",ROUND(($AG23*AF23)/1000*$AM23*(Lookups!$B$54-$AA23)*$AN23*$AO23,3),0)</f>
        <v>0</v>
      </c>
      <c r="CR23" s="153">
        <f>IFERROR(IF(D23="Interior",ROUND(($AG23*$AF23)/1000*(Lookups!$C$54-$AB23)*$AN23*AQ23*AT23,6),0),"")</f>
        <v>0</v>
      </c>
      <c r="CS23" s="165">
        <f t="shared" si="34"/>
        <v>0</v>
      </c>
      <c r="CT23" s="165">
        <f t="shared" si="35"/>
        <v>0</v>
      </c>
      <c r="CV23" s="153">
        <f>IF(D23="Interior",ROUND(($AG23*AF23)/1000*$AM23*(Lookups!$B$43-$AA23)*$AN23*$AO23,3),0)</f>
        <v>0</v>
      </c>
      <c r="CW23" s="153">
        <f>IFERROR(IF(D23="Interior",ROUND(($AG23*$AF23)/1000*(Lookups!$C$43-$AB23)*$AN23*AQ23*AT23,6),0),"")</f>
        <v>0</v>
      </c>
      <c r="CX23" s="165">
        <f t="shared" si="15"/>
        <v>0</v>
      </c>
      <c r="CY23" s="165">
        <f t="shared" si="16"/>
        <v>0</v>
      </c>
      <c r="DA23" s="153">
        <f>IF(D23="Interior",ROUND(($AG23*AF23*(1-0.15))/1000*$AM23*(Lookups!$B$43+0.097-$AA23)*$AN23*$AO23+((W23*V23)/1000*AN23*AM23*AO23*0.15),3),0)</f>
        <v>0</v>
      </c>
      <c r="DB23" s="153">
        <f>IFERROR(IF(D23="Interior",ROUND(($AG23*$AF23)/1000*(Lookups!$C$43+0.097-$AB23)*$AN23*AQ23*AT23+(($AG23*$AF23)/1000*$AN23*AQ23*AT23*0.15),6),0),"")</f>
        <v>0</v>
      </c>
      <c r="DC23" s="165">
        <f t="shared" si="17"/>
        <v>0</v>
      </c>
      <c r="DD23" s="165">
        <f t="shared" si="18"/>
        <v>0</v>
      </c>
    </row>
    <row r="24" spans="1:108" s="164" customFormat="1">
      <c r="A24" s="150">
        <v>20</v>
      </c>
      <c r="B24" s="153" t="str">
        <f>IFERROR(INDEX(Lookups!$B$2:$B$38,MATCH('Project Info &amp; Summary'!$C$19,Lookups!$A$2:$A$38,0)),"")</f>
        <v/>
      </c>
      <c r="C24" s="153" t="str">
        <f>IFERROR(INDEX(Lookups!$C$2:$C$38,MATCH('Project Info &amp; Summary'!$C$19,Lookups!$A$2:$A$38,0)),"")</f>
        <v/>
      </c>
      <c r="D24" s="163"/>
      <c r="E24" s="160"/>
      <c r="F24" s="158"/>
      <c r="G24" s="158"/>
      <c r="H24" s="158"/>
      <c r="I24" s="158"/>
      <c r="J24" s="154" t="str">
        <f>IFERROR(INDEX(Lookups!$W$21:$W$26,MATCH(I24,Lookups!$V$21:$V$26,0)),"")</f>
        <v/>
      </c>
      <c r="K24" s="158"/>
      <c r="L24" s="162" t="str">
        <f>IFERROR(INDEX(Lookups!$Y$2:$Y$19,MATCH(_xlfn.CONCAT(I24,K24),Lookups!$X$2:$X$19,0)),"")</f>
        <v/>
      </c>
      <c r="M24" s="158"/>
      <c r="N24" s="153" t="str">
        <f>IFERROR(INDEX('Prescriptive Rebate Table'!$M$3:$M$20,MATCH(M24,'Prescriptive Rebate Table'!$L$3:$L$20,0)),"")</f>
        <v/>
      </c>
      <c r="O24" s="158"/>
      <c r="P24" s="154" t="str">
        <f>IFERROR(INDEX('Prescriptive Rebate Table'!$B$2:$H$64, MATCH(O24,'Prescriptive Rebate Table'!$C$2:$C$64,0),7),"")</f>
        <v/>
      </c>
      <c r="Q24" s="155" t="str">
        <f>IFERROR(INDEX('Prescriptive Rebate Table'!$B$2:$I$64, MATCH(O24,'Prescriptive Rebate Table'!$C$2:$C$64,0),8),"")</f>
        <v/>
      </c>
      <c r="R24" s="155" t="str">
        <f>IFERROR(INDEX('Prescriptive Rebate Table'!$B$2:$J$64, MATCH(O24,'Prescriptive Rebate Table'!$C$2:$C$64,0),9),"")</f>
        <v/>
      </c>
      <c r="S24" s="160"/>
      <c r="T24" s="145" t="str">
        <f>IFERROR(INDEX('Fixture Codes'!$M$8:$M$976,MATCH(S24,'Fixture Codes'!$B$8:$B$976,0)),"")</f>
        <v/>
      </c>
      <c r="U24" s="145" t="str">
        <f>IFERROR(INDEX('Fixture Codes'!$B$7:$M$976,MATCH(T24,'Fixture Codes'!$B$7:$B$976,0),5),"")</f>
        <v/>
      </c>
      <c r="V24" s="160"/>
      <c r="W24" s="145" t="str">
        <f>IFERROR(INDEX('Fixture Codes'!$L$8:$L$976,MATCH(T24,'Fixture Codes'!$B$8:$B$976,0)),"")</f>
        <v/>
      </c>
      <c r="X24" s="158"/>
      <c r="Y24" s="159"/>
      <c r="Z24" s="155" t="str">
        <f>IFERROR(INDEX(Lookups!B$68:B$87,MATCH($X24,Lookups!$A$68:$A$87,0)),"")</f>
        <v/>
      </c>
      <c r="AA24" s="150" t="str">
        <f>IFERROR(INDEX(Lookups!B$42:B$62,MATCH($X24,Lookups!$A$42:$A$62,0)),"")</f>
        <v/>
      </c>
      <c r="AB24" s="150" t="str">
        <f>IFERROR(INDEX(Lookups!C$42:C$62,MATCH($X24,Lookups!$A$42:$A$62,0)),"")</f>
        <v/>
      </c>
      <c r="AC24" s="160"/>
      <c r="AD24" s="160"/>
      <c r="AE24" s="150" t="str">
        <f>IFERROR(INDEX('Fixture Codes'!$B$7:$M$976,MATCH(AD24,'Fixture Codes'!$B$7:$B$976,0),5),"")</f>
        <v/>
      </c>
      <c r="AF24" s="160"/>
      <c r="AG24" s="145" t="str">
        <f>IFERROR(INDEX('Fixture Codes'!$L$8:$L$976,MATCH(AD24,'Fixture Codes'!$B$8:$B$976,0)),"")</f>
        <v/>
      </c>
      <c r="AH24" s="158"/>
      <c r="AI24" s="160"/>
      <c r="AJ24" s="150" t="str">
        <f>IFERROR(INDEX(Lookups!B$68:B$87,MATCH($AH24,Lookups!$A$68:$A$87,0)),"")</f>
        <v/>
      </c>
      <c r="AK24" s="150" t="str">
        <f>IFERROR(INDEX(Lookups!B$42:B$62,MATCH($AH24,Lookups!$A$42:$A$62,0)),"")</f>
        <v/>
      </c>
      <c r="AL24" s="150" t="str">
        <f>IFERROR(INDEX(Lookups!C$42:C$62,MATCH($AH24,Lookups!$A$42:$A$62,0)),"")</f>
        <v/>
      </c>
      <c r="AM24" s="150" t="str">
        <f>IFERROR(IF(M24="Exit Signs",8760,IF(INDEX('Fixture Codes'!$C$8:$C$976,MATCH(AD24,'Fixture Codes'!$B$8:$B$976,0))="Exit Sign",8760,INDEX(Lookups!$I$2:$I$428,MATCH(_xlfn.CONCAT(B24,H24),Lookups!$H$2:$H$428,0)))),"")</f>
        <v/>
      </c>
      <c r="AN24" s="153">
        <v>1</v>
      </c>
      <c r="AO24" s="150" t="str">
        <f>IF($D24="Interior",INDEX(Lookups!Q$2:Q$86,MATCH(_xlfn.CONCAT($C24,$L24),Lookups!$P$2:$P$86,0)),IF($D24="Exterior",1,""))</f>
        <v/>
      </c>
      <c r="AP24" s="150">
        <f t="shared" si="19"/>
        <v>1</v>
      </c>
      <c r="AQ24" s="150" t="str">
        <f>IF($D24="Interior",INDEX(Lookups!R$2:R$86,MATCH(_xlfn.CONCAT($C24,$L24),Lookups!$P$2:$P$86,0)),IF($D24="Exterior",1,""))</f>
        <v/>
      </c>
      <c r="AR24" s="150" t="str">
        <f>IF($D24="Interior",INDEX(Lookups!S$2:S$86,MATCH(_xlfn.CONCAT($C24,$L24),Lookups!$P$2:$P$86,0)),IF($D24="Exterior",1,""))</f>
        <v/>
      </c>
      <c r="AS24" s="150" t="str">
        <f>IF($D24="Interior",INDEX(Lookups!T$2:T$86,MATCH(_xlfn.CONCAT($C24,$L24),Lookups!$P$2:$P$86,0)),IF($D24="Exterior",1,""))</f>
        <v/>
      </c>
      <c r="AT24" s="150" t="str">
        <f>IFERROR(IF(M24="Exit Signs",1,IF(INDEX('Fixture Codes'!$C$8:$C$976,MATCH($AD24,'Fixture Codes'!$B$8:$B$976,0))="Exit Sign",1,INDEX(Lookups!J$2:J$428,MATCH(_xlfn.CONCAT($B24,$H24),Lookups!$H$2:$H$428,0)))),"")</f>
        <v/>
      </c>
      <c r="AU24" s="150" t="str">
        <f>IFERROR(IF(M24="Exit Signs",1,IF(INDEX('Fixture Codes'!$C$8:$C$976,MATCH($AD24,'Fixture Codes'!$B$8:$B$976,0))="Exit Sign",1,INDEX(Lookups!K$2:K$428,MATCH(_xlfn.CONCAT($B24,$H24),Lookups!$H$2:$H$428,0)))),"")</f>
        <v/>
      </c>
      <c r="AV24" s="150" t="str">
        <f>IFERROR(IF(M24="Exit Signs",1,IF(INDEX('Fixture Codes'!$C$8:$C$976,MATCH($AD24,'Fixture Codes'!$B$8:$B$976,0))="Exit Sign",1,INDEX(Lookups!L$2:L$428,MATCH(_xlfn.CONCAT($B24,$H24),Lookups!$H$2:$H$428,0)))),"")</f>
        <v/>
      </c>
      <c r="AW24" s="150" t="str">
        <f>IF(ISBLANK(K24),"",IF(K24="Gas",INDEX(Lookups!$AG$2:$AG$63,MATCH(O24,Lookups!$AD$2:$AD$63,0),0),0))</f>
        <v/>
      </c>
      <c r="AX24" s="150" t="str">
        <f>IF(ISBLANK(K24),"",IF(K24="Gas",INDEX(Lookups!$AF$2:$AF$63,MATCH(O24,Lookups!$AD$2:$AD$63,0),0),0))</f>
        <v/>
      </c>
      <c r="AY24" s="150" t="str">
        <f>IF(ISBLANK(K24),"",IF(K24="Gas",INDEX(Lookups!$AH$2:$AH$63,MATCH(O24,Lookups!$AD$2:$AD$63,0),0),0))</f>
        <v/>
      </c>
      <c r="AZ24" s="150" t="str">
        <f>IF(ISBLANK(K24),"",IF(K24="Gas",INDEX(Lookups!$AI$2:$AI$63,MATCH(O24,Lookups!$AD$2:$AD$63,0),0),0))</f>
        <v/>
      </c>
      <c r="BA24" s="150" t="str">
        <f t="shared" si="0"/>
        <v/>
      </c>
      <c r="BB24" s="156" t="str">
        <f>IF(ISBLANK(AH24),"",IF(AH24="None",0,IF(K24="Gas",INDEX(Lookups!$AF$51:$AF$69,MATCH(AH24,Lookups!$AD$51:$AD$69,0),0),0)))</f>
        <v/>
      </c>
      <c r="BC24" s="156" t="str">
        <f>IF(ISBLANK(AH24),"",IF(AH24="None",0,IF(K24="Gas",INDEX(Lookups!$AH$51:$AH$69,MATCH(AH24,Lookups!$AD$51:$AD$69,0),0),0)))</f>
        <v/>
      </c>
      <c r="BD24" s="156" t="str">
        <f>IF(ISBLANK(AH24),"",IF(AH24="None",0,IF(K24="Gas",INDEX(Lookups!$AI$51:$AI$69,MATCH(AH24,Lookups!$AD$51:$AD$69,0),0),0)))</f>
        <v/>
      </c>
      <c r="BE24" s="157"/>
      <c r="BF24" s="157"/>
      <c r="BG24" s="147" t="str">
        <f t="shared" si="20"/>
        <v/>
      </c>
      <c r="BH24" s="147" t="str">
        <f t="shared" si="21"/>
        <v/>
      </c>
      <c r="BI24" s="147" t="str">
        <f t="shared" si="1"/>
        <v/>
      </c>
      <c r="BJ24" s="147" t="str">
        <f t="shared" si="2"/>
        <v/>
      </c>
      <c r="BK24" s="148" t="str">
        <f t="shared" si="22"/>
        <v/>
      </c>
      <c r="BL24" s="147" t="str">
        <f t="shared" si="3"/>
        <v/>
      </c>
      <c r="BM24" s="148" t="str">
        <f t="shared" si="23"/>
        <v/>
      </c>
      <c r="BN24" s="147" t="str">
        <f t="shared" si="24"/>
        <v/>
      </c>
      <c r="BO24" s="147" t="str">
        <f t="shared" si="24"/>
        <v/>
      </c>
      <c r="BP24" s="147" t="str">
        <f t="shared" si="25"/>
        <v/>
      </c>
      <c r="BQ24" s="148" t="str">
        <f t="shared" si="26"/>
        <v/>
      </c>
      <c r="BR24" s="148" t="str">
        <f t="shared" si="27"/>
        <v/>
      </c>
      <c r="BS24" s="148" t="str">
        <f t="shared" si="28"/>
        <v/>
      </c>
      <c r="BT24" s="148" t="str">
        <f t="shared" si="7"/>
        <v/>
      </c>
      <c r="BU24" s="148" t="str">
        <f t="shared" si="8"/>
        <v/>
      </c>
      <c r="BV24" s="148" t="str">
        <f t="shared" si="9"/>
        <v/>
      </c>
      <c r="BW24" s="148" t="str">
        <f t="shared" si="29"/>
        <v/>
      </c>
      <c r="BX24" s="148" t="str">
        <f t="shared" si="10"/>
        <v/>
      </c>
      <c r="BY24" s="148" t="str">
        <f t="shared" si="11"/>
        <v/>
      </c>
      <c r="BZ24" s="149" t="str">
        <f>IFERROR(INDEX('Prescriptive Rebate Table'!$B$2:$E$64,MATCH(O24,'Prescriptive Rebate Table'!$C$2:$C$64,0),3),"")</f>
        <v/>
      </c>
      <c r="CA24" s="145" t="str">
        <f>IFERROR(INDEX('Prescriptive Rebate Table'!$B$2:$E$64,MATCH(O24,'Prescriptive Rebate Table'!$C$2:$C$64,0),4),"")</f>
        <v/>
      </c>
      <c r="CB24" s="149" t="str">
        <f t="shared" si="30"/>
        <v/>
      </c>
      <c r="CC24" s="145" t="str">
        <f t="shared" si="31"/>
        <v/>
      </c>
      <c r="CD24" s="149" t="str">
        <f t="shared" si="12"/>
        <v/>
      </c>
      <c r="CE24" s="149" t="str">
        <f t="shared" si="13"/>
        <v/>
      </c>
      <c r="CF24" s="149" t="str">
        <f>IF(BK24&lt;=0,0,IFERROR(IF(OR(ISBLANK(AC24),ISBLANK(CD24))=TRUE,"",IF(CA24="Per Foot",INDEX('Fixture Codes'!$I$8:$I$976,MATCH(AD24,'Fixture Codes'!$B$8:$B$976,0))/12*AF24*BZ24,IF(CA24="Lamp",INDEX('Fixture Codes'!$J$8:$J$976,MATCH(AD24,'Fixture Codes'!$B$8:$B$976,0))*AF24*BZ24,IF(CA24="Fixture",AF24*BZ24,IF(CA24="kWh",BK24*BZ24,0))))),""))</f>
        <v/>
      </c>
      <c r="CG24" s="149" t="str">
        <f t="shared" si="32"/>
        <v/>
      </c>
      <c r="CH24" s="149" t="str">
        <f t="shared" si="33"/>
        <v/>
      </c>
      <c r="CI24" s="152"/>
      <c r="CJ24" s="146"/>
      <c r="CK24" s="241">
        <f>IFERROR(IF(CL24="Yes",'Prescriptive Rebate Table'!$D$69,IF(ISBLANK(AI24),0,IF(AND(AH24=Lookups!$A$62,BK24&gt;0),'Prescriptive Rebate Table'!$D$68,IF(AND(BK24&gt;0,CJ24=AF24),'Prescriptive Rebate Table'!$D$67,IF(AND(BK24&gt;0,CJ24&lt;&gt;AF24),'Prescriptive Rebate Table'!D83,0))))),"")</f>
        <v>0</v>
      </c>
      <c r="CL24" s="240" t="s">
        <v>2712</v>
      </c>
      <c r="CM24" s="152"/>
      <c r="CN24" s="152"/>
      <c r="CO24" s="152"/>
      <c r="CP24" s="146">
        <f t="shared" si="14"/>
        <v>0</v>
      </c>
      <c r="CQ24" s="153">
        <f>IF(D24="Interior",ROUND(($AG24*AF24)/1000*$AM24*(Lookups!$B$54-$AA24)*$AN24*$AO24,3),0)</f>
        <v>0</v>
      </c>
      <c r="CR24" s="153">
        <f>IFERROR(IF(D24="Interior",ROUND(($AG24*$AF24)/1000*(Lookups!$C$54-$AB24)*$AN24*AQ24*AT24,6),0),"")</f>
        <v>0</v>
      </c>
      <c r="CS24" s="165">
        <f t="shared" si="34"/>
        <v>0</v>
      </c>
      <c r="CT24" s="165">
        <f t="shared" si="35"/>
        <v>0</v>
      </c>
      <c r="CV24" s="153">
        <f>IF(D24="Interior",ROUND(($AG24*AF24)/1000*$AM24*(Lookups!$B$43-$AA24)*$AN24*$AO24,3),0)</f>
        <v>0</v>
      </c>
      <c r="CW24" s="153">
        <f>IFERROR(IF(D24="Interior",ROUND(($AG24*$AF24)/1000*(Lookups!$C$43-$AB24)*$AN24*AQ24*AT24,6),0),"")</f>
        <v>0</v>
      </c>
      <c r="CX24" s="165">
        <f t="shared" si="15"/>
        <v>0</v>
      </c>
      <c r="CY24" s="165">
        <f t="shared" si="16"/>
        <v>0</v>
      </c>
      <c r="DA24" s="153">
        <f>IF(D24="Interior",ROUND(($AG24*AF24*(1-0.15))/1000*$AM24*(Lookups!$B$43+0.097-$AA24)*$AN24*$AO24+((W24*V24)/1000*AN24*AM24*AO24*0.15),3),0)</f>
        <v>0</v>
      </c>
      <c r="DB24" s="153">
        <f>IFERROR(IF(D24="Interior",ROUND(($AG24*$AF24)/1000*(Lookups!$C$43+0.097-$AB24)*$AN24*AQ24*AT24+(($AG24*$AF24)/1000*$AN24*AQ24*AT24*0.15),6),0),"")</f>
        <v>0</v>
      </c>
      <c r="DC24" s="165">
        <f t="shared" si="17"/>
        <v>0</v>
      </c>
      <c r="DD24" s="165">
        <f t="shared" si="18"/>
        <v>0</v>
      </c>
    </row>
    <row r="25" spans="1:108" s="164" customFormat="1">
      <c r="A25" s="150">
        <v>21</v>
      </c>
      <c r="B25" s="153" t="str">
        <f>IFERROR(INDEX(Lookups!$B$2:$B$38,MATCH('Project Info &amp; Summary'!$C$19,Lookups!$A$2:$A$38,0)),"")</f>
        <v/>
      </c>
      <c r="C25" s="153" t="str">
        <f>IFERROR(INDEX(Lookups!$C$2:$C$38,MATCH('Project Info &amp; Summary'!$C$19,Lookups!$A$2:$A$38,0)),"")</f>
        <v/>
      </c>
      <c r="D25" s="163"/>
      <c r="E25" s="160"/>
      <c r="F25" s="158"/>
      <c r="G25" s="158"/>
      <c r="H25" s="158"/>
      <c r="I25" s="158"/>
      <c r="J25" s="154" t="str">
        <f>IFERROR(INDEX(Lookups!$W$21:$W$26,MATCH(I25,Lookups!$V$21:$V$26,0)),"")</f>
        <v/>
      </c>
      <c r="K25" s="158"/>
      <c r="L25" s="162" t="str">
        <f>IFERROR(INDEX(Lookups!$Y$2:$Y$19,MATCH(_xlfn.CONCAT(I25,K25),Lookups!$X$2:$X$19,0)),"")</f>
        <v/>
      </c>
      <c r="M25" s="158"/>
      <c r="N25" s="153" t="str">
        <f>IFERROR(INDEX('Prescriptive Rebate Table'!$M$3:$M$20,MATCH(M25,'Prescriptive Rebate Table'!$L$3:$L$20,0)),"")</f>
        <v/>
      </c>
      <c r="O25" s="158"/>
      <c r="P25" s="154" t="str">
        <f>IFERROR(INDEX('Prescriptive Rebate Table'!$B$2:$H$64, MATCH(O25,'Prescriptive Rebate Table'!$C$2:$C$64,0),7),"")</f>
        <v/>
      </c>
      <c r="Q25" s="155" t="str">
        <f>IFERROR(INDEX('Prescriptive Rebate Table'!$B$2:$I$64, MATCH(O25,'Prescriptive Rebate Table'!$C$2:$C$64,0),8),"")</f>
        <v/>
      </c>
      <c r="R25" s="155" t="str">
        <f>IFERROR(INDEX('Prescriptive Rebate Table'!$B$2:$J$64, MATCH(O25,'Prescriptive Rebate Table'!$C$2:$C$64,0),9),"")</f>
        <v/>
      </c>
      <c r="S25" s="160"/>
      <c r="T25" s="145" t="str">
        <f>IFERROR(INDEX('Fixture Codes'!$M$8:$M$976,MATCH(S25,'Fixture Codes'!$B$8:$B$976,0)),"")</f>
        <v/>
      </c>
      <c r="U25" s="145" t="str">
        <f>IFERROR(INDEX('Fixture Codes'!$B$7:$M$976,MATCH(T25,'Fixture Codes'!$B$7:$B$976,0),5),"")</f>
        <v/>
      </c>
      <c r="V25" s="160"/>
      <c r="W25" s="145" t="str">
        <f>IFERROR(INDEX('Fixture Codes'!$L$8:$L$976,MATCH(T25,'Fixture Codes'!$B$8:$B$976,0)),"")</f>
        <v/>
      </c>
      <c r="X25" s="158"/>
      <c r="Y25" s="159"/>
      <c r="Z25" s="155" t="str">
        <f>IFERROR(INDEX(Lookups!B$68:B$87,MATCH($X25,Lookups!$A$68:$A$87,0)),"")</f>
        <v/>
      </c>
      <c r="AA25" s="150" t="str">
        <f>IFERROR(INDEX(Lookups!B$42:B$62,MATCH($X25,Lookups!$A$42:$A$62,0)),"")</f>
        <v/>
      </c>
      <c r="AB25" s="150" t="str">
        <f>IFERROR(INDEX(Lookups!C$42:C$62,MATCH($X25,Lookups!$A$42:$A$62,0)),"")</f>
        <v/>
      </c>
      <c r="AC25" s="160"/>
      <c r="AD25" s="160"/>
      <c r="AE25" s="150" t="str">
        <f>IFERROR(INDEX('Fixture Codes'!$B$7:$M$976,MATCH(AD25,'Fixture Codes'!$B$7:$B$976,0),5),"")</f>
        <v/>
      </c>
      <c r="AF25" s="160"/>
      <c r="AG25" s="145" t="str">
        <f>IFERROR(INDEX('Fixture Codes'!$L$8:$L$976,MATCH(AD25,'Fixture Codes'!$B$8:$B$976,0)),"")</f>
        <v/>
      </c>
      <c r="AH25" s="158"/>
      <c r="AI25" s="160"/>
      <c r="AJ25" s="150" t="str">
        <f>IFERROR(INDEX(Lookups!B$68:B$87,MATCH($AH25,Lookups!$A$68:$A$87,0)),"")</f>
        <v/>
      </c>
      <c r="AK25" s="150" t="str">
        <f>IFERROR(INDEX(Lookups!B$42:B$62,MATCH($AH25,Lookups!$A$42:$A$62,0)),"")</f>
        <v/>
      </c>
      <c r="AL25" s="150" t="str">
        <f>IFERROR(INDEX(Lookups!C$42:C$62,MATCH($AH25,Lookups!$A$42:$A$62,0)),"")</f>
        <v/>
      </c>
      <c r="AM25" s="150" t="str">
        <f>IFERROR(IF(M25="Exit Signs",8760,IF(INDEX('Fixture Codes'!$C$8:$C$976,MATCH(AD25,'Fixture Codes'!$B$8:$B$976,0))="Exit Sign",8760,INDEX(Lookups!$I$2:$I$428,MATCH(_xlfn.CONCAT(B25,H25),Lookups!$H$2:$H$428,0)))),"")</f>
        <v/>
      </c>
      <c r="AN25" s="153">
        <v>1</v>
      </c>
      <c r="AO25" s="150" t="str">
        <f>IF($D25="Interior",INDEX(Lookups!Q$2:Q$86,MATCH(_xlfn.CONCAT($C25,$L25),Lookups!$P$2:$P$86,0)),IF($D25="Exterior",1,""))</f>
        <v/>
      </c>
      <c r="AP25" s="150">
        <f t="shared" si="19"/>
        <v>1</v>
      </c>
      <c r="AQ25" s="150" t="str">
        <f>IF($D25="Interior",INDEX(Lookups!R$2:R$86,MATCH(_xlfn.CONCAT($C25,$L25),Lookups!$P$2:$P$86,0)),IF($D25="Exterior",1,""))</f>
        <v/>
      </c>
      <c r="AR25" s="150" t="str">
        <f>IF($D25="Interior",INDEX(Lookups!S$2:S$86,MATCH(_xlfn.CONCAT($C25,$L25),Lookups!$P$2:$P$86,0)),IF($D25="Exterior",1,""))</f>
        <v/>
      </c>
      <c r="AS25" s="150" t="str">
        <f>IF($D25="Interior",INDEX(Lookups!T$2:T$86,MATCH(_xlfn.CONCAT($C25,$L25),Lookups!$P$2:$P$86,0)),IF($D25="Exterior",1,""))</f>
        <v/>
      </c>
      <c r="AT25" s="150" t="str">
        <f>IFERROR(IF(M25="Exit Signs",1,IF(INDEX('Fixture Codes'!$C$8:$C$976,MATCH($AD25,'Fixture Codes'!$B$8:$B$976,0))="Exit Sign",1,INDEX(Lookups!J$2:J$428,MATCH(_xlfn.CONCAT($B25,$H25),Lookups!$H$2:$H$428,0)))),"")</f>
        <v/>
      </c>
      <c r="AU25" s="150" t="str">
        <f>IFERROR(IF(M25="Exit Signs",1,IF(INDEX('Fixture Codes'!$C$8:$C$976,MATCH($AD25,'Fixture Codes'!$B$8:$B$976,0))="Exit Sign",1,INDEX(Lookups!K$2:K$428,MATCH(_xlfn.CONCAT($B25,$H25),Lookups!$H$2:$H$428,0)))),"")</f>
        <v/>
      </c>
      <c r="AV25" s="150" t="str">
        <f>IFERROR(IF(M25="Exit Signs",1,IF(INDEX('Fixture Codes'!$C$8:$C$976,MATCH($AD25,'Fixture Codes'!$B$8:$B$976,0))="Exit Sign",1,INDEX(Lookups!L$2:L$428,MATCH(_xlfn.CONCAT($B25,$H25),Lookups!$H$2:$H$428,0)))),"")</f>
        <v/>
      </c>
      <c r="AW25" s="150" t="str">
        <f>IF(ISBLANK(K25),"",IF(K25="Gas",INDEX(Lookups!$AG$2:$AG$63,MATCH(O25,Lookups!$AD$2:$AD$63,0),0),0))</f>
        <v/>
      </c>
      <c r="AX25" s="150" t="str">
        <f>IF(ISBLANK(K25),"",IF(K25="Gas",INDEX(Lookups!$AF$2:$AF$63,MATCH(O25,Lookups!$AD$2:$AD$63,0),0),0))</f>
        <v/>
      </c>
      <c r="AY25" s="150" t="str">
        <f>IF(ISBLANK(K25),"",IF(K25="Gas",INDEX(Lookups!$AH$2:$AH$63,MATCH(O25,Lookups!$AD$2:$AD$63,0),0),0))</f>
        <v/>
      </c>
      <c r="AZ25" s="150" t="str">
        <f>IF(ISBLANK(K25),"",IF(K25="Gas",INDEX(Lookups!$AI$2:$AI$63,MATCH(O25,Lookups!$AD$2:$AD$63,0),0),0))</f>
        <v/>
      </c>
      <c r="BA25" s="150" t="str">
        <f t="shared" si="0"/>
        <v/>
      </c>
      <c r="BB25" s="156" t="str">
        <f>IF(ISBLANK(AH25),"",IF(AH25="None",0,IF(K25="Gas",INDEX(Lookups!$AF$51:$AF$69,MATCH(AH25,Lookups!$AD$51:$AD$69,0),0),0)))</f>
        <v/>
      </c>
      <c r="BC25" s="156" t="str">
        <f>IF(ISBLANK(AH25),"",IF(AH25="None",0,IF(K25="Gas",INDEX(Lookups!$AH$51:$AH$69,MATCH(AH25,Lookups!$AD$51:$AD$69,0),0),0)))</f>
        <v/>
      </c>
      <c r="BD25" s="156" t="str">
        <f>IF(ISBLANK(AH25),"",IF(AH25="None",0,IF(K25="Gas",INDEX(Lookups!$AI$51:$AI$69,MATCH(AH25,Lookups!$AD$51:$AD$69,0),0),0)))</f>
        <v/>
      </c>
      <c r="BE25" s="157"/>
      <c r="BF25" s="157"/>
      <c r="BG25" s="147" t="str">
        <f t="shared" si="20"/>
        <v/>
      </c>
      <c r="BH25" s="147" t="str">
        <f t="shared" si="21"/>
        <v/>
      </c>
      <c r="BI25" s="147" t="str">
        <f t="shared" si="1"/>
        <v/>
      </c>
      <c r="BJ25" s="147" t="str">
        <f t="shared" si="2"/>
        <v/>
      </c>
      <c r="BK25" s="148" t="str">
        <f t="shared" si="22"/>
        <v/>
      </c>
      <c r="BL25" s="147" t="str">
        <f t="shared" si="3"/>
        <v/>
      </c>
      <c r="BM25" s="148" t="str">
        <f t="shared" si="23"/>
        <v/>
      </c>
      <c r="BN25" s="147" t="str">
        <f t="shared" si="24"/>
        <v/>
      </c>
      <c r="BO25" s="147" t="str">
        <f t="shared" si="24"/>
        <v/>
      </c>
      <c r="BP25" s="147" t="str">
        <f t="shared" si="25"/>
        <v/>
      </c>
      <c r="BQ25" s="148" t="str">
        <f t="shared" si="26"/>
        <v/>
      </c>
      <c r="BR25" s="148" t="str">
        <f t="shared" si="27"/>
        <v/>
      </c>
      <c r="BS25" s="148" t="str">
        <f t="shared" si="28"/>
        <v/>
      </c>
      <c r="BT25" s="148" t="str">
        <f t="shared" si="7"/>
        <v/>
      </c>
      <c r="BU25" s="148" t="str">
        <f t="shared" si="8"/>
        <v/>
      </c>
      <c r="BV25" s="148" t="str">
        <f t="shared" si="9"/>
        <v/>
      </c>
      <c r="BW25" s="148" t="str">
        <f t="shared" si="29"/>
        <v/>
      </c>
      <c r="BX25" s="148" t="str">
        <f t="shared" si="10"/>
        <v/>
      </c>
      <c r="BY25" s="148" t="str">
        <f t="shared" si="11"/>
        <v/>
      </c>
      <c r="BZ25" s="149" t="str">
        <f>IFERROR(INDEX('Prescriptive Rebate Table'!$B$2:$E$64,MATCH(O25,'Prescriptive Rebate Table'!$C$2:$C$64,0),3),"")</f>
        <v/>
      </c>
      <c r="CA25" s="145" t="str">
        <f>IFERROR(INDEX('Prescriptive Rebate Table'!$B$2:$E$64,MATCH(O25,'Prescriptive Rebate Table'!$C$2:$C$64,0),4),"")</f>
        <v/>
      </c>
      <c r="CB25" s="149" t="str">
        <f t="shared" si="30"/>
        <v/>
      </c>
      <c r="CC25" s="145" t="str">
        <f t="shared" si="31"/>
        <v/>
      </c>
      <c r="CD25" s="149" t="str">
        <f t="shared" si="12"/>
        <v/>
      </c>
      <c r="CE25" s="149" t="str">
        <f t="shared" si="13"/>
        <v/>
      </c>
      <c r="CF25" s="149" t="str">
        <f>IF(BK25&lt;=0,0,IFERROR(IF(OR(ISBLANK(AC25),ISBLANK(CD25))=TRUE,"",IF(CA25="Per Foot",INDEX('Fixture Codes'!$I$8:$I$976,MATCH(AD25,'Fixture Codes'!$B$8:$B$976,0))/12*AF25*BZ25,IF(CA25="Lamp",INDEX('Fixture Codes'!$J$8:$J$976,MATCH(AD25,'Fixture Codes'!$B$8:$B$976,0))*AF25*BZ25,IF(CA25="Fixture",AF25*BZ25,IF(CA25="kWh",BK25*BZ25,0))))),""))</f>
        <v/>
      </c>
      <c r="CG25" s="149" t="str">
        <f t="shared" si="32"/>
        <v/>
      </c>
      <c r="CH25" s="149" t="str">
        <f t="shared" si="33"/>
        <v/>
      </c>
      <c r="CI25" s="152"/>
      <c r="CJ25" s="146"/>
      <c r="CK25" s="241">
        <f>IFERROR(IF(CL25="Yes",'Prescriptive Rebate Table'!$D$69,IF(ISBLANK(AI25),0,IF(AND(AH25=Lookups!$A$62,BK25&gt;0),'Prescriptive Rebate Table'!$D$68,IF(AND(BK25&gt;0,CJ25=AF25),'Prescriptive Rebate Table'!$D$67,IF(AND(BK25&gt;0,CJ25&lt;&gt;AF25),'Prescriptive Rebate Table'!D84,0))))),"")</f>
        <v>0</v>
      </c>
      <c r="CL25" s="240" t="s">
        <v>2712</v>
      </c>
      <c r="CM25" s="152"/>
      <c r="CN25" s="152"/>
      <c r="CO25" s="152"/>
      <c r="CP25" s="146">
        <f t="shared" si="14"/>
        <v>0</v>
      </c>
      <c r="CQ25" s="153">
        <f>IF(D25="Interior",ROUND(($AG25*AF25)/1000*$AM25*(Lookups!$B$54-$AA25)*$AN25*$AO25,3),0)</f>
        <v>0</v>
      </c>
      <c r="CR25" s="153">
        <f>IFERROR(IF(D25="Interior",ROUND(($AG25*$AF25)/1000*(Lookups!$C$54-$AB25)*$AN25*AQ25*AT25,6),0),"")</f>
        <v>0</v>
      </c>
      <c r="CS25" s="165">
        <f t="shared" si="34"/>
        <v>0</v>
      </c>
      <c r="CT25" s="165">
        <f t="shared" si="35"/>
        <v>0</v>
      </c>
      <c r="CV25" s="153">
        <f>IF(D25="Interior",ROUND(($AG25*AF25)/1000*$AM25*(Lookups!$B$43-$AA25)*$AN25*$AO25,3),0)</f>
        <v>0</v>
      </c>
      <c r="CW25" s="153">
        <f>IFERROR(IF(D25="Interior",ROUND(($AG25*$AF25)/1000*(Lookups!$C$43-$AB25)*$AN25*AQ25*AT25,6),0),"")</f>
        <v>0</v>
      </c>
      <c r="CX25" s="165">
        <f t="shared" si="15"/>
        <v>0</v>
      </c>
      <c r="CY25" s="165">
        <f t="shared" si="16"/>
        <v>0</v>
      </c>
      <c r="DA25" s="153">
        <f>IF(D25="Interior",ROUND(($AG25*AF25*(1-0.15))/1000*$AM25*(Lookups!$B$43+0.097-$AA25)*$AN25*$AO25+((W25*V25)/1000*AN25*AM25*AO25*0.15),3),0)</f>
        <v>0</v>
      </c>
      <c r="DB25" s="153">
        <f>IFERROR(IF(D25="Interior",ROUND(($AG25*$AF25)/1000*(Lookups!$C$43+0.097-$AB25)*$AN25*AQ25*AT25+(($AG25*$AF25)/1000*$AN25*AQ25*AT25*0.15),6),0),"")</f>
        <v>0</v>
      </c>
      <c r="DC25" s="165">
        <f t="shared" si="17"/>
        <v>0</v>
      </c>
      <c r="DD25" s="165">
        <f t="shared" si="18"/>
        <v>0</v>
      </c>
    </row>
    <row r="26" spans="1:108" s="164" customFormat="1">
      <c r="A26" s="150">
        <v>22</v>
      </c>
      <c r="B26" s="153" t="str">
        <f>IFERROR(INDEX(Lookups!$B$2:$B$38,MATCH('Project Info &amp; Summary'!$C$19,Lookups!$A$2:$A$38,0)),"")</f>
        <v/>
      </c>
      <c r="C26" s="153" t="str">
        <f>IFERROR(INDEX(Lookups!$C$2:$C$38,MATCH('Project Info &amp; Summary'!$C$19,Lookups!$A$2:$A$38,0)),"")</f>
        <v/>
      </c>
      <c r="D26" s="163"/>
      <c r="E26" s="160"/>
      <c r="F26" s="158"/>
      <c r="G26" s="158"/>
      <c r="H26" s="158"/>
      <c r="I26" s="158"/>
      <c r="J26" s="154" t="str">
        <f>IFERROR(INDEX(Lookups!$W$21:$W$26,MATCH(I26,Lookups!$V$21:$V$26,0)),"")</f>
        <v/>
      </c>
      <c r="K26" s="158"/>
      <c r="L26" s="162" t="str">
        <f>IFERROR(INDEX(Lookups!$Y$2:$Y$19,MATCH(_xlfn.CONCAT(I26,K26),Lookups!$X$2:$X$19,0)),"")</f>
        <v/>
      </c>
      <c r="M26" s="158"/>
      <c r="N26" s="153" t="str">
        <f>IFERROR(INDEX('Prescriptive Rebate Table'!$M$3:$M$20,MATCH(M26,'Prescriptive Rebate Table'!$L$3:$L$20,0)),"")</f>
        <v/>
      </c>
      <c r="O26" s="158"/>
      <c r="P26" s="154" t="str">
        <f>IFERROR(INDEX('Prescriptive Rebate Table'!$B$2:$H$64, MATCH(O26,'Prescriptive Rebate Table'!$C$2:$C$64,0),7),"")</f>
        <v/>
      </c>
      <c r="Q26" s="155" t="str">
        <f>IFERROR(INDEX('Prescriptive Rebate Table'!$B$2:$I$64, MATCH(O26,'Prescriptive Rebate Table'!$C$2:$C$64,0),8),"")</f>
        <v/>
      </c>
      <c r="R26" s="155" t="str">
        <f>IFERROR(INDEX('Prescriptive Rebate Table'!$B$2:$J$64, MATCH(O26,'Prescriptive Rebate Table'!$C$2:$C$64,0),9),"")</f>
        <v/>
      </c>
      <c r="S26" s="160"/>
      <c r="T26" s="145" t="str">
        <f>IFERROR(INDEX('Fixture Codes'!$M$8:$M$976,MATCH(S26,'Fixture Codes'!$B$8:$B$976,0)),"")</f>
        <v/>
      </c>
      <c r="U26" s="145" t="str">
        <f>IFERROR(INDEX('Fixture Codes'!$B$7:$M$976,MATCH(T26,'Fixture Codes'!$B$7:$B$976,0),5),"")</f>
        <v/>
      </c>
      <c r="V26" s="160"/>
      <c r="W26" s="145" t="str">
        <f>IFERROR(INDEX('Fixture Codes'!$L$8:$L$976,MATCH(T26,'Fixture Codes'!$B$8:$B$976,0)),"")</f>
        <v/>
      </c>
      <c r="X26" s="158"/>
      <c r="Y26" s="159"/>
      <c r="Z26" s="155" t="str">
        <f>IFERROR(INDEX(Lookups!B$68:B$87,MATCH($X26,Lookups!$A$68:$A$87,0)),"")</f>
        <v/>
      </c>
      <c r="AA26" s="150" t="str">
        <f>IFERROR(INDEX(Lookups!B$42:B$62,MATCH($X26,Lookups!$A$42:$A$62,0)),"")</f>
        <v/>
      </c>
      <c r="AB26" s="150" t="str">
        <f>IFERROR(INDEX(Lookups!C$42:C$62,MATCH($X26,Lookups!$A$42:$A$62,0)),"")</f>
        <v/>
      </c>
      <c r="AC26" s="160"/>
      <c r="AD26" s="160"/>
      <c r="AE26" s="150" t="str">
        <f>IFERROR(INDEX('Fixture Codes'!$B$7:$M$976,MATCH(AD26,'Fixture Codes'!$B$7:$B$976,0),5),"")</f>
        <v/>
      </c>
      <c r="AF26" s="160"/>
      <c r="AG26" s="145" t="str">
        <f>IFERROR(INDEX('Fixture Codes'!$L$8:$L$976,MATCH(AD26,'Fixture Codes'!$B$8:$B$976,0)),"")</f>
        <v/>
      </c>
      <c r="AH26" s="158"/>
      <c r="AI26" s="160"/>
      <c r="AJ26" s="150" t="str">
        <f>IFERROR(INDEX(Lookups!B$68:B$87,MATCH($AH26,Lookups!$A$68:$A$87,0)),"")</f>
        <v/>
      </c>
      <c r="AK26" s="150" t="str">
        <f>IFERROR(INDEX(Lookups!B$42:B$62,MATCH($AH26,Lookups!$A$42:$A$62,0)),"")</f>
        <v/>
      </c>
      <c r="AL26" s="150" t="str">
        <f>IFERROR(INDEX(Lookups!C$42:C$62,MATCH($AH26,Lookups!$A$42:$A$62,0)),"")</f>
        <v/>
      </c>
      <c r="AM26" s="150" t="str">
        <f>IFERROR(IF(M26="Exit Signs",8760,IF(INDEX('Fixture Codes'!$C$8:$C$976,MATCH(AD26,'Fixture Codes'!$B$8:$B$976,0))="Exit Sign",8760,INDEX(Lookups!$I$2:$I$428,MATCH(_xlfn.CONCAT(B26,H26),Lookups!$H$2:$H$428,0)))),"")</f>
        <v/>
      </c>
      <c r="AN26" s="153">
        <v>1</v>
      </c>
      <c r="AO26" s="150" t="str">
        <f>IF($D26="Interior",INDEX(Lookups!Q$2:Q$86,MATCH(_xlfn.CONCAT($C26,$L26),Lookups!$P$2:$P$86,0)),IF($D26="Exterior",1,""))</f>
        <v/>
      </c>
      <c r="AP26" s="150">
        <f t="shared" si="19"/>
        <v>1</v>
      </c>
      <c r="AQ26" s="150" t="str">
        <f>IF($D26="Interior",INDEX(Lookups!R$2:R$86,MATCH(_xlfn.CONCAT($C26,$L26),Lookups!$P$2:$P$86,0)),IF($D26="Exterior",1,""))</f>
        <v/>
      </c>
      <c r="AR26" s="150" t="str">
        <f>IF($D26="Interior",INDEX(Lookups!S$2:S$86,MATCH(_xlfn.CONCAT($C26,$L26),Lookups!$P$2:$P$86,0)),IF($D26="Exterior",1,""))</f>
        <v/>
      </c>
      <c r="AS26" s="150" t="str">
        <f>IF($D26="Interior",INDEX(Lookups!T$2:T$86,MATCH(_xlfn.CONCAT($C26,$L26),Lookups!$P$2:$P$86,0)),IF($D26="Exterior",1,""))</f>
        <v/>
      </c>
      <c r="AT26" s="150" t="str">
        <f>IFERROR(IF(M26="Exit Signs",1,IF(INDEX('Fixture Codes'!$C$8:$C$976,MATCH($AD26,'Fixture Codes'!$B$8:$B$976,0))="Exit Sign",1,INDEX(Lookups!J$2:J$428,MATCH(_xlfn.CONCAT($B26,$H26),Lookups!$H$2:$H$428,0)))),"")</f>
        <v/>
      </c>
      <c r="AU26" s="150" t="str">
        <f>IFERROR(IF(M26="Exit Signs",1,IF(INDEX('Fixture Codes'!$C$8:$C$976,MATCH($AD26,'Fixture Codes'!$B$8:$B$976,0))="Exit Sign",1,INDEX(Lookups!K$2:K$428,MATCH(_xlfn.CONCAT($B26,$H26),Lookups!$H$2:$H$428,0)))),"")</f>
        <v/>
      </c>
      <c r="AV26" s="150" t="str">
        <f>IFERROR(IF(M26="Exit Signs",1,IF(INDEX('Fixture Codes'!$C$8:$C$976,MATCH($AD26,'Fixture Codes'!$B$8:$B$976,0))="Exit Sign",1,INDEX(Lookups!L$2:L$428,MATCH(_xlfn.CONCAT($B26,$H26),Lookups!$H$2:$H$428,0)))),"")</f>
        <v/>
      </c>
      <c r="AW26" s="150" t="str">
        <f>IF(ISBLANK(K26),"",IF(K26="Gas",INDEX(Lookups!$AG$2:$AG$63,MATCH(O26,Lookups!$AD$2:$AD$63,0),0),0))</f>
        <v/>
      </c>
      <c r="AX26" s="150" t="str">
        <f>IF(ISBLANK(K26),"",IF(K26="Gas",INDEX(Lookups!$AF$2:$AF$63,MATCH(O26,Lookups!$AD$2:$AD$63,0),0),0))</f>
        <v/>
      </c>
      <c r="AY26" s="150" t="str">
        <f>IF(ISBLANK(K26),"",IF(K26="Gas",INDEX(Lookups!$AH$2:$AH$63,MATCH(O26,Lookups!$AD$2:$AD$63,0),0),0))</f>
        <v/>
      </c>
      <c r="AZ26" s="150" t="str">
        <f>IF(ISBLANK(K26),"",IF(K26="Gas",INDEX(Lookups!$AI$2:$AI$63,MATCH(O26,Lookups!$AD$2:$AD$63,0),0),0))</f>
        <v/>
      </c>
      <c r="BA26" s="150" t="str">
        <f t="shared" si="0"/>
        <v/>
      </c>
      <c r="BB26" s="156" t="str">
        <f>IF(ISBLANK(AH26),"",IF(AH26="None",0,IF(K26="Gas",INDEX(Lookups!$AF$51:$AF$69,MATCH(AH26,Lookups!$AD$51:$AD$69,0),0),0)))</f>
        <v/>
      </c>
      <c r="BC26" s="156" t="str">
        <f>IF(ISBLANK(AH26),"",IF(AH26="None",0,IF(K26="Gas",INDEX(Lookups!$AH$51:$AH$69,MATCH(AH26,Lookups!$AD$51:$AD$69,0),0),0)))</f>
        <v/>
      </c>
      <c r="BD26" s="156" t="str">
        <f>IF(ISBLANK(AH26),"",IF(AH26="None",0,IF(K26="Gas",INDEX(Lookups!$AI$51:$AI$69,MATCH(AH26,Lookups!$AD$51:$AD$69,0),0),0)))</f>
        <v/>
      </c>
      <c r="BE26" s="157"/>
      <c r="BF26" s="157"/>
      <c r="BG26" s="147" t="str">
        <f t="shared" si="20"/>
        <v/>
      </c>
      <c r="BH26" s="147" t="str">
        <f t="shared" si="21"/>
        <v/>
      </c>
      <c r="BI26" s="147" t="str">
        <f t="shared" si="1"/>
        <v/>
      </c>
      <c r="BJ26" s="147" t="str">
        <f t="shared" si="2"/>
        <v/>
      </c>
      <c r="BK26" s="148" t="str">
        <f t="shared" si="22"/>
        <v/>
      </c>
      <c r="BL26" s="147" t="str">
        <f t="shared" si="3"/>
        <v/>
      </c>
      <c r="BM26" s="148" t="str">
        <f t="shared" si="23"/>
        <v/>
      </c>
      <c r="BN26" s="147" t="str">
        <f t="shared" si="24"/>
        <v/>
      </c>
      <c r="BO26" s="147" t="str">
        <f t="shared" si="24"/>
        <v/>
      </c>
      <c r="BP26" s="147" t="str">
        <f t="shared" si="25"/>
        <v/>
      </c>
      <c r="BQ26" s="148" t="str">
        <f t="shared" si="26"/>
        <v/>
      </c>
      <c r="BR26" s="148" t="str">
        <f t="shared" si="27"/>
        <v/>
      </c>
      <c r="BS26" s="148" t="str">
        <f t="shared" si="28"/>
        <v/>
      </c>
      <c r="BT26" s="148" t="str">
        <f t="shared" si="7"/>
        <v/>
      </c>
      <c r="BU26" s="148" t="str">
        <f t="shared" si="8"/>
        <v/>
      </c>
      <c r="BV26" s="148" t="str">
        <f t="shared" si="9"/>
        <v/>
      </c>
      <c r="BW26" s="148" t="str">
        <f t="shared" si="29"/>
        <v/>
      </c>
      <c r="BX26" s="148" t="str">
        <f t="shared" si="10"/>
        <v/>
      </c>
      <c r="BY26" s="148" t="str">
        <f t="shared" si="11"/>
        <v/>
      </c>
      <c r="BZ26" s="149" t="str">
        <f>IFERROR(INDEX('Prescriptive Rebate Table'!$B$2:$E$64,MATCH(O26,'Prescriptive Rebate Table'!$C$2:$C$64,0),3),"")</f>
        <v/>
      </c>
      <c r="CA26" s="145" t="str">
        <f>IFERROR(INDEX('Prescriptive Rebate Table'!$B$2:$E$64,MATCH(O26,'Prescriptive Rebate Table'!$C$2:$C$64,0),4),"")</f>
        <v/>
      </c>
      <c r="CB26" s="149" t="str">
        <f t="shared" si="30"/>
        <v/>
      </c>
      <c r="CC26" s="145" t="str">
        <f t="shared" si="31"/>
        <v/>
      </c>
      <c r="CD26" s="149" t="str">
        <f t="shared" si="12"/>
        <v/>
      </c>
      <c r="CE26" s="149" t="str">
        <f t="shared" si="13"/>
        <v/>
      </c>
      <c r="CF26" s="149" t="str">
        <f>IF(BK26&lt;=0,0,IFERROR(IF(OR(ISBLANK(AC26),ISBLANK(CD26))=TRUE,"",IF(CA26="Per Foot",INDEX('Fixture Codes'!$I$8:$I$976,MATCH(AD26,'Fixture Codes'!$B$8:$B$976,0))/12*AF26*BZ26,IF(CA26="Lamp",INDEX('Fixture Codes'!$J$8:$J$976,MATCH(AD26,'Fixture Codes'!$B$8:$B$976,0))*AF26*BZ26,IF(CA26="Fixture",AF26*BZ26,IF(CA26="kWh",BK26*BZ26,0))))),""))</f>
        <v/>
      </c>
      <c r="CG26" s="149" t="str">
        <f t="shared" si="32"/>
        <v/>
      </c>
      <c r="CH26" s="149" t="str">
        <f t="shared" si="33"/>
        <v/>
      </c>
      <c r="CI26" s="152"/>
      <c r="CJ26" s="146"/>
      <c r="CK26" s="241">
        <f>IFERROR(IF(CL26="Yes",'Prescriptive Rebate Table'!$D$69,IF(ISBLANK(AI26),0,IF(AND(AH26=Lookups!$A$62,BK26&gt;0),'Prescriptive Rebate Table'!$D$68,IF(AND(BK26&gt;0,CJ26=AF26),'Prescriptive Rebate Table'!$D$67,IF(AND(BK26&gt;0,CJ26&lt;&gt;AF26),'Prescriptive Rebate Table'!D85,0))))),"")</f>
        <v>0</v>
      </c>
      <c r="CL26" s="240" t="s">
        <v>2712</v>
      </c>
      <c r="CM26" s="152"/>
      <c r="CN26" s="152"/>
      <c r="CO26" s="152"/>
      <c r="CP26" s="146">
        <f t="shared" si="14"/>
        <v>0</v>
      </c>
      <c r="CQ26" s="153">
        <f>IF(D26="Interior",ROUND(($AG26*AF26)/1000*$AM26*(Lookups!$B$54-$AA26)*$AN26*$AO26,3),0)</f>
        <v>0</v>
      </c>
      <c r="CR26" s="153">
        <f>IFERROR(IF(D26="Interior",ROUND(($AG26*$AF26)/1000*(Lookups!$C$54-$AB26)*$AN26*AQ26*AT26,6),0),"")</f>
        <v>0</v>
      </c>
      <c r="CS26" s="165">
        <f t="shared" si="34"/>
        <v>0</v>
      </c>
      <c r="CT26" s="165">
        <f t="shared" si="35"/>
        <v>0</v>
      </c>
      <c r="CV26" s="153">
        <f>IF(D26="Interior",ROUND(($AG26*AF26)/1000*$AM26*(Lookups!$B$43-$AA26)*$AN26*$AO26,3),0)</f>
        <v>0</v>
      </c>
      <c r="CW26" s="153">
        <f>IFERROR(IF(D26="Interior",ROUND(($AG26*$AF26)/1000*(Lookups!$C$43-$AB26)*$AN26*AQ26*AT26,6),0),"")</f>
        <v>0</v>
      </c>
      <c r="CX26" s="165">
        <f t="shared" si="15"/>
        <v>0</v>
      </c>
      <c r="CY26" s="165">
        <f t="shared" si="16"/>
        <v>0</v>
      </c>
      <c r="DA26" s="153">
        <f>IF(D26="Interior",ROUND(($AG26*AF26*(1-0.15))/1000*$AM26*(Lookups!$B$43+0.097-$AA26)*$AN26*$AO26+((W26*V26)/1000*AN26*AM26*AO26*0.15),3),0)</f>
        <v>0</v>
      </c>
      <c r="DB26" s="153">
        <f>IFERROR(IF(D26="Interior",ROUND(($AG26*$AF26)/1000*(Lookups!$C$43+0.097-$AB26)*$AN26*AQ26*AT26+(($AG26*$AF26)/1000*$AN26*AQ26*AT26*0.15),6),0),"")</f>
        <v>0</v>
      </c>
      <c r="DC26" s="165">
        <f t="shared" si="17"/>
        <v>0</v>
      </c>
      <c r="DD26" s="165">
        <f t="shared" si="18"/>
        <v>0</v>
      </c>
    </row>
    <row r="27" spans="1:108" s="164" customFormat="1">
      <c r="A27" s="150">
        <v>23</v>
      </c>
      <c r="B27" s="153" t="str">
        <f>IFERROR(INDEX(Lookups!$B$2:$B$38,MATCH('Project Info &amp; Summary'!$C$19,Lookups!$A$2:$A$38,0)),"")</f>
        <v/>
      </c>
      <c r="C27" s="153" t="str">
        <f>IFERROR(INDEX(Lookups!$C$2:$C$38,MATCH('Project Info &amp; Summary'!$C$19,Lookups!$A$2:$A$38,0)),"")</f>
        <v/>
      </c>
      <c r="D27" s="163"/>
      <c r="E27" s="160"/>
      <c r="F27" s="158"/>
      <c r="G27" s="158"/>
      <c r="H27" s="158"/>
      <c r="I27" s="158"/>
      <c r="J27" s="154" t="str">
        <f>IFERROR(INDEX(Lookups!$W$21:$W$26,MATCH(I27,Lookups!$V$21:$V$26,0)),"")</f>
        <v/>
      </c>
      <c r="K27" s="158"/>
      <c r="L27" s="162" t="str">
        <f>IFERROR(INDEX(Lookups!$Y$2:$Y$19,MATCH(_xlfn.CONCAT(I27,K27),Lookups!$X$2:$X$19,0)),"")</f>
        <v/>
      </c>
      <c r="M27" s="158"/>
      <c r="N27" s="153" t="str">
        <f>IFERROR(INDEX('Prescriptive Rebate Table'!$M$3:$M$20,MATCH(M27,'Prescriptive Rebate Table'!$L$3:$L$20,0)),"")</f>
        <v/>
      </c>
      <c r="O27" s="158"/>
      <c r="P27" s="154" t="str">
        <f>IFERROR(INDEX('Prescriptive Rebate Table'!$B$2:$H$64, MATCH(O27,'Prescriptive Rebate Table'!$C$2:$C$64,0),7),"")</f>
        <v/>
      </c>
      <c r="Q27" s="155" t="str">
        <f>IFERROR(INDEX('Prescriptive Rebate Table'!$B$2:$I$64, MATCH(O27,'Prescriptive Rebate Table'!$C$2:$C$64,0),8),"")</f>
        <v/>
      </c>
      <c r="R27" s="155" t="str">
        <f>IFERROR(INDEX('Prescriptive Rebate Table'!$B$2:$J$64, MATCH(O27,'Prescriptive Rebate Table'!$C$2:$C$64,0),9),"")</f>
        <v/>
      </c>
      <c r="S27" s="160"/>
      <c r="T27" s="145" t="str">
        <f>IFERROR(INDEX('Fixture Codes'!$M$8:$M$976,MATCH(S27,'Fixture Codes'!$B$8:$B$976,0)),"")</f>
        <v/>
      </c>
      <c r="U27" s="145" t="str">
        <f>IFERROR(INDEX('Fixture Codes'!$B$7:$M$976,MATCH(T27,'Fixture Codes'!$B$7:$B$976,0),5),"")</f>
        <v/>
      </c>
      <c r="V27" s="160"/>
      <c r="W27" s="145" t="str">
        <f>IFERROR(INDEX('Fixture Codes'!$L$8:$L$976,MATCH(T27,'Fixture Codes'!$B$8:$B$976,0)),"")</f>
        <v/>
      </c>
      <c r="X27" s="158"/>
      <c r="Y27" s="159"/>
      <c r="Z27" s="155" t="str">
        <f>IFERROR(INDEX(Lookups!B$68:B$87,MATCH($X27,Lookups!$A$68:$A$87,0)),"")</f>
        <v/>
      </c>
      <c r="AA27" s="150" t="str">
        <f>IFERROR(INDEX(Lookups!B$42:B$62,MATCH($X27,Lookups!$A$42:$A$62,0)),"")</f>
        <v/>
      </c>
      <c r="AB27" s="150" t="str">
        <f>IFERROR(INDEX(Lookups!C$42:C$62,MATCH($X27,Lookups!$A$42:$A$62,0)),"")</f>
        <v/>
      </c>
      <c r="AC27" s="160"/>
      <c r="AD27" s="160"/>
      <c r="AE27" s="150" t="str">
        <f>IFERROR(INDEX('Fixture Codes'!$B$7:$M$976,MATCH(AD27,'Fixture Codes'!$B$7:$B$976,0),5),"")</f>
        <v/>
      </c>
      <c r="AF27" s="160"/>
      <c r="AG27" s="145" t="str">
        <f>IFERROR(INDEX('Fixture Codes'!$L$8:$L$976,MATCH(AD27,'Fixture Codes'!$B$8:$B$976,0)),"")</f>
        <v/>
      </c>
      <c r="AH27" s="158"/>
      <c r="AI27" s="160"/>
      <c r="AJ27" s="150" t="str">
        <f>IFERROR(INDEX(Lookups!B$68:B$87,MATCH($AH27,Lookups!$A$68:$A$87,0)),"")</f>
        <v/>
      </c>
      <c r="AK27" s="150" t="str">
        <f>IFERROR(INDEX(Lookups!B$42:B$62,MATCH($AH27,Lookups!$A$42:$A$62,0)),"")</f>
        <v/>
      </c>
      <c r="AL27" s="150" t="str">
        <f>IFERROR(INDEX(Lookups!C$42:C$62,MATCH($AH27,Lookups!$A$42:$A$62,0)),"")</f>
        <v/>
      </c>
      <c r="AM27" s="150" t="str">
        <f>IFERROR(IF(M27="Exit Signs",8760,IF(INDEX('Fixture Codes'!$C$8:$C$976,MATCH(AD27,'Fixture Codes'!$B$8:$B$976,0))="Exit Sign",8760,INDEX(Lookups!$I$2:$I$428,MATCH(_xlfn.CONCAT(B27,H27),Lookups!$H$2:$H$428,0)))),"")</f>
        <v/>
      </c>
      <c r="AN27" s="153">
        <v>1</v>
      </c>
      <c r="AO27" s="150" t="str">
        <f>IF($D27="Interior",INDEX(Lookups!Q$2:Q$86,MATCH(_xlfn.CONCAT($C27,$L27),Lookups!$P$2:$P$86,0)),IF($D27="Exterior",1,""))</f>
        <v/>
      </c>
      <c r="AP27" s="150">
        <f t="shared" si="19"/>
        <v>1</v>
      </c>
      <c r="AQ27" s="150" t="str">
        <f>IF($D27="Interior",INDEX(Lookups!R$2:R$86,MATCH(_xlfn.CONCAT($C27,$L27),Lookups!$P$2:$P$86,0)),IF($D27="Exterior",1,""))</f>
        <v/>
      </c>
      <c r="AR27" s="150" t="str">
        <f>IF($D27="Interior",INDEX(Lookups!S$2:S$86,MATCH(_xlfn.CONCAT($C27,$L27),Lookups!$P$2:$P$86,0)),IF($D27="Exterior",1,""))</f>
        <v/>
      </c>
      <c r="AS27" s="150" t="str">
        <f>IF($D27="Interior",INDEX(Lookups!T$2:T$86,MATCH(_xlfn.CONCAT($C27,$L27),Lookups!$P$2:$P$86,0)),IF($D27="Exterior",1,""))</f>
        <v/>
      </c>
      <c r="AT27" s="150" t="str">
        <f>IFERROR(IF(M27="Exit Signs",1,IF(INDEX('Fixture Codes'!$C$8:$C$976,MATCH($AD27,'Fixture Codes'!$B$8:$B$976,0))="Exit Sign",1,INDEX(Lookups!J$2:J$428,MATCH(_xlfn.CONCAT($B27,$H27),Lookups!$H$2:$H$428,0)))),"")</f>
        <v/>
      </c>
      <c r="AU27" s="150" t="str">
        <f>IFERROR(IF(M27="Exit Signs",1,IF(INDEX('Fixture Codes'!$C$8:$C$976,MATCH($AD27,'Fixture Codes'!$B$8:$B$976,0))="Exit Sign",1,INDEX(Lookups!K$2:K$428,MATCH(_xlfn.CONCAT($B27,$H27),Lookups!$H$2:$H$428,0)))),"")</f>
        <v/>
      </c>
      <c r="AV27" s="150" t="str">
        <f>IFERROR(IF(M27="Exit Signs",1,IF(INDEX('Fixture Codes'!$C$8:$C$976,MATCH($AD27,'Fixture Codes'!$B$8:$B$976,0))="Exit Sign",1,INDEX(Lookups!L$2:L$428,MATCH(_xlfn.CONCAT($B27,$H27),Lookups!$H$2:$H$428,0)))),"")</f>
        <v/>
      </c>
      <c r="AW27" s="150" t="str">
        <f>IF(ISBLANK(K27),"",IF(K27="Gas",INDEX(Lookups!$AG$2:$AG$63,MATCH(O27,Lookups!$AD$2:$AD$63,0),0),0))</f>
        <v/>
      </c>
      <c r="AX27" s="150" t="str">
        <f>IF(ISBLANK(K27),"",IF(K27="Gas",INDEX(Lookups!$AF$2:$AF$63,MATCH(O27,Lookups!$AD$2:$AD$63,0),0),0))</f>
        <v/>
      </c>
      <c r="AY27" s="150" t="str">
        <f>IF(ISBLANK(K27),"",IF(K27="Gas",INDEX(Lookups!$AH$2:$AH$63,MATCH(O27,Lookups!$AD$2:$AD$63,0),0),0))</f>
        <v/>
      </c>
      <c r="AZ27" s="150" t="str">
        <f>IF(ISBLANK(K27),"",IF(K27="Gas",INDEX(Lookups!$AI$2:$AI$63,MATCH(O27,Lookups!$AD$2:$AD$63,0),0),0))</f>
        <v/>
      </c>
      <c r="BA27" s="150" t="str">
        <f t="shared" si="0"/>
        <v/>
      </c>
      <c r="BB27" s="156" t="str">
        <f>IF(ISBLANK(AH27),"",IF(AH27="None",0,IF(K27="Gas",INDEX(Lookups!$AF$51:$AF$69,MATCH(AH27,Lookups!$AD$51:$AD$69,0),0),0)))</f>
        <v/>
      </c>
      <c r="BC27" s="156" t="str">
        <f>IF(ISBLANK(AH27),"",IF(AH27="None",0,IF(K27="Gas",INDEX(Lookups!$AH$51:$AH$69,MATCH(AH27,Lookups!$AD$51:$AD$69,0),0),0)))</f>
        <v/>
      </c>
      <c r="BD27" s="156" t="str">
        <f>IF(ISBLANK(AH27),"",IF(AH27="None",0,IF(K27="Gas",INDEX(Lookups!$AI$51:$AI$69,MATCH(AH27,Lookups!$AD$51:$AD$69,0),0),0)))</f>
        <v/>
      </c>
      <c r="BE27" s="157"/>
      <c r="BF27" s="157"/>
      <c r="BG27" s="147" t="str">
        <f t="shared" si="20"/>
        <v/>
      </c>
      <c r="BH27" s="147" t="str">
        <f t="shared" si="21"/>
        <v/>
      </c>
      <c r="BI27" s="147" t="str">
        <f t="shared" si="1"/>
        <v/>
      </c>
      <c r="BJ27" s="147" t="str">
        <f t="shared" si="2"/>
        <v/>
      </c>
      <c r="BK27" s="148" t="str">
        <f t="shared" si="22"/>
        <v/>
      </c>
      <c r="BL27" s="147" t="str">
        <f t="shared" si="3"/>
        <v/>
      </c>
      <c r="BM27" s="148" t="str">
        <f t="shared" si="23"/>
        <v/>
      </c>
      <c r="BN27" s="147" t="str">
        <f t="shared" si="24"/>
        <v/>
      </c>
      <c r="BO27" s="147" t="str">
        <f t="shared" si="24"/>
        <v/>
      </c>
      <c r="BP27" s="147" t="str">
        <f t="shared" si="25"/>
        <v/>
      </c>
      <c r="BQ27" s="148" t="str">
        <f t="shared" si="26"/>
        <v/>
      </c>
      <c r="BR27" s="148" t="str">
        <f t="shared" si="27"/>
        <v/>
      </c>
      <c r="BS27" s="148" t="str">
        <f t="shared" si="28"/>
        <v/>
      </c>
      <c r="BT27" s="148" t="str">
        <f t="shared" si="7"/>
        <v/>
      </c>
      <c r="BU27" s="148" t="str">
        <f t="shared" si="8"/>
        <v/>
      </c>
      <c r="BV27" s="148" t="str">
        <f t="shared" si="9"/>
        <v/>
      </c>
      <c r="BW27" s="148" t="str">
        <f t="shared" si="29"/>
        <v/>
      </c>
      <c r="BX27" s="148" t="str">
        <f t="shared" si="10"/>
        <v/>
      </c>
      <c r="BY27" s="148" t="str">
        <f t="shared" si="11"/>
        <v/>
      </c>
      <c r="BZ27" s="149" t="str">
        <f>IFERROR(INDEX('Prescriptive Rebate Table'!$B$2:$E$64,MATCH(O27,'Prescriptive Rebate Table'!$C$2:$C$64,0),3),"")</f>
        <v/>
      </c>
      <c r="CA27" s="145" t="str">
        <f>IFERROR(INDEX('Prescriptive Rebate Table'!$B$2:$E$64,MATCH(O27,'Prescriptive Rebate Table'!$C$2:$C$64,0),4),"")</f>
        <v/>
      </c>
      <c r="CB27" s="149" t="str">
        <f t="shared" si="30"/>
        <v/>
      </c>
      <c r="CC27" s="145" t="str">
        <f t="shared" si="31"/>
        <v/>
      </c>
      <c r="CD27" s="149" t="str">
        <f t="shared" si="12"/>
        <v/>
      </c>
      <c r="CE27" s="149" t="str">
        <f t="shared" si="13"/>
        <v/>
      </c>
      <c r="CF27" s="149" t="str">
        <f>IF(BK27&lt;=0,0,IFERROR(IF(OR(ISBLANK(AC27),ISBLANK(CD27))=TRUE,"",IF(CA27="Per Foot",INDEX('Fixture Codes'!$I$8:$I$976,MATCH(AD27,'Fixture Codes'!$B$8:$B$976,0))/12*AF27*BZ27,IF(CA27="Lamp",INDEX('Fixture Codes'!$J$8:$J$976,MATCH(AD27,'Fixture Codes'!$B$8:$B$976,0))*AF27*BZ27,IF(CA27="Fixture",AF27*BZ27,IF(CA27="kWh",BK27*BZ27,0))))),""))</f>
        <v/>
      </c>
      <c r="CG27" s="149" t="str">
        <f t="shared" si="32"/>
        <v/>
      </c>
      <c r="CH27" s="149" t="str">
        <f t="shared" si="33"/>
        <v/>
      </c>
      <c r="CI27" s="152"/>
      <c r="CJ27" s="146"/>
      <c r="CK27" s="241">
        <f>IFERROR(IF(CL27="Yes",'Prescriptive Rebate Table'!$D$69,IF(ISBLANK(AI27),0,IF(AND(AH27=Lookups!$A$62,BK27&gt;0),'Prescriptive Rebate Table'!$D$68,IF(AND(BK27&gt;0,CJ27=AF27),'Prescriptive Rebate Table'!$D$67,IF(AND(BK27&gt;0,CJ27&lt;&gt;AF27),'Prescriptive Rebate Table'!D86,0))))),"")</f>
        <v>0</v>
      </c>
      <c r="CL27" s="240" t="s">
        <v>2712</v>
      </c>
      <c r="CM27" s="152"/>
      <c r="CN27" s="152"/>
      <c r="CO27" s="152"/>
      <c r="CP27" s="146">
        <f t="shared" si="14"/>
        <v>0</v>
      </c>
      <c r="CQ27" s="153">
        <f>IF(D27="Interior",ROUND(($AG27*AF27)/1000*$AM27*(Lookups!$B$54-$AA27)*$AN27*$AO27,3),0)</f>
        <v>0</v>
      </c>
      <c r="CR27" s="153">
        <f>IFERROR(IF(D27="Interior",ROUND(($AG27*$AF27)/1000*(Lookups!$C$54-$AB27)*$AN27*AQ27*AT27,6),0),"")</f>
        <v>0</v>
      </c>
      <c r="CS27" s="165">
        <f t="shared" si="34"/>
        <v>0</v>
      </c>
      <c r="CT27" s="165">
        <f t="shared" si="35"/>
        <v>0</v>
      </c>
      <c r="CV27" s="153">
        <f>IF(D27="Interior",ROUND(($AG27*AF27)/1000*$AM27*(Lookups!$B$43-$AA27)*$AN27*$AO27,3),0)</f>
        <v>0</v>
      </c>
      <c r="CW27" s="153">
        <f>IFERROR(IF(D27="Interior",ROUND(($AG27*$AF27)/1000*(Lookups!$C$43-$AB27)*$AN27*AQ27*AT27,6),0),"")</f>
        <v>0</v>
      </c>
      <c r="CX27" s="165">
        <f t="shared" si="15"/>
        <v>0</v>
      </c>
      <c r="CY27" s="165">
        <f t="shared" si="16"/>
        <v>0</v>
      </c>
      <c r="DA27" s="153">
        <f>IF(D27="Interior",ROUND(($AG27*AF27*(1-0.15))/1000*$AM27*(Lookups!$B$43+0.097-$AA27)*$AN27*$AO27+((W27*V27)/1000*AN27*AM27*AO27*0.15),3),0)</f>
        <v>0</v>
      </c>
      <c r="DB27" s="153">
        <f>IFERROR(IF(D27="Interior",ROUND(($AG27*$AF27)/1000*(Lookups!$C$43+0.097-$AB27)*$AN27*AQ27*AT27+(($AG27*$AF27)/1000*$AN27*AQ27*AT27*0.15),6),0),"")</f>
        <v>0</v>
      </c>
      <c r="DC27" s="165">
        <f t="shared" si="17"/>
        <v>0</v>
      </c>
      <c r="DD27" s="165">
        <f t="shared" si="18"/>
        <v>0</v>
      </c>
    </row>
    <row r="28" spans="1:108" s="164" customFormat="1">
      <c r="A28" s="150">
        <v>24</v>
      </c>
      <c r="B28" s="153" t="str">
        <f>IFERROR(INDEX(Lookups!$B$2:$B$38,MATCH('Project Info &amp; Summary'!$C$19,Lookups!$A$2:$A$38,0)),"")</f>
        <v/>
      </c>
      <c r="C28" s="153" t="str">
        <f>IFERROR(INDEX(Lookups!$C$2:$C$38,MATCH('Project Info &amp; Summary'!$C$19,Lookups!$A$2:$A$38,0)),"")</f>
        <v/>
      </c>
      <c r="D28" s="163"/>
      <c r="E28" s="160"/>
      <c r="F28" s="158"/>
      <c r="G28" s="158"/>
      <c r="H28" s="158"/>
      <c r="I28" s="158"/>
      <c r="J28" s="154" t="str">
        <f>IFERROR(INDEX(Lookups!$W$21:$W$26,MATCH(I28,Lookups!$V$21:$V$26,0)),"")</f>
        <v/>
      </c>
      <c r="K28" s="158"/>
      <c r="L28" s="162" t="str">
        <f>IFERROR(INDEX(Lookups!$Y$2:$Y$19,MATCH(_xlfn.CONCAT(I28,K28),Lookups!$X$2:$X$19,0)),"")</f>
        <v/>
      </c>
      <c r="M28" s="158"/>
      <c r="N28" s="153" t="str">
        <f>IFERROR(INDEX('Prescriptive Rebate Table'!$M$3:$M$20,MATCH(M28,'Prescriptive Rebate Table'!$L$3:$L$20,0)),"")</f>
        <v/>
      </c>
      <c r="O28" s="158"/>
      <c r="P28" s="154" t="str">
        <f>IFERROR(INDEX('Prescriptive Rebate Table'!$B$2:$H$64, MATCH(O28,'Prescriptive Rebate Table'!$C$2:$C$64,0),7),"")</f>
        <v/>
      </c>
      <c r="Q28" s="155" t="str">
        <f>IFERROR(INDEX('Prescriptive Rebate Table'!$B$2:$I$64, MATCH(O28,'Prescriptive Rebate Table'!$C$2:$C$64,0),8),"")</f>
        <v/>
      </c>
      <c r="R28" s="155" t="str">
        <f>IFERROR(INDEX('Prescriptive Rebate Table'!$B$2:$J$64, MATCH(O28,'Prescriptive Rebate Table'!$C$2:$C$64,0),9),"")</f>
        <v/>
      </c>
      <c r="S28" s="160"/>
      <c r="T28" s="145" t="str">
        <f>IFERROR(INDEX('Fixture Codes'!$M$8:$M$976,MATCH(S28,'Fixture Codes'!$B$8:$B$976,0)),"")</f>
        <v/>
      </c>
      <c r="U28" s="145" t="str">
        <f>IFERROR(INDEX('Fixture Codes'!$B$7:$M$976,MATCH(T28,'Fixture Codes'!$B$7:$B$976,0),5),"")</f>
        <v/>
      </c>
      <c r="V28" s="160"/>
      <c r="W28" s="145" t="str">
        <f>IFERROR(INDEX('Fixture Codes'!$L$8:$L$976,MATCH(T28,'Fixture Codes'!$B$8:$B$976,0)),"")</f>
        <v/>
      </c>
      <c r="X28" s="158"/>
      <c r="Y28" s="159"/>
      <c r="Z28" s="155" t="str">
        <f>IFERROR(INDEX(Lookups!B$68:B$87,MATCH($X28,Lookups!$A$68:$A$87,0)),"")</f>
        <v/>
      </c>
      <c r="AA28" s="150" t="str">
        <f>IFERROR(INDEX(Lookups!B$42:B$62,MATCH($X28,Lookups!$A$42:$A$62,0)),"")</f>
        <v/>
      </c>
      <c r="AB28" s="150" t="str">
        <f>IFERROR(INDEX(Lookups!C$42:C$62,MATCH($X28,Lookups!$A$42:$A$62,0)),"")</f>
        <v/>
      </c>
      <c r="AC28" s="160"/>
      <c r="AD28" s="160"/>
      <c r="AE28" s="150" t="str">
        <f>IFERROR(INDEX('Fixture Codes'!$B$7:$M$976,MATCH(AD28,'Fixture Codes'!$B$7:$B$976,0),5),"")</f>
        <v/>
      </c>
      <c r="AF28" s="160"/>
      <c r="AG28" s="145" t="str">
        <f>IFERROR(INDEX('Fixture Codes'!$L$8:$L$976,MATCH(AD28,'Fixture Codes'!$B$8:$B$976,0)),"")</f>
        <v/>
      </c>
      <c r="AH28" s="158"/>
      <c r="AI28" s="160"/>
      <c r="AJ28" s="150" t="str">
        <f>IFERROR(INDEX(Lookups!B$68:B$87,MATCH($AH28,Lookups!$A$68:$A$87,0)),"")</f>
        <v/>
      </c>
      <c r="AK28" s="150" t="str">
        <f>IFERROR(INDEX(Lookups!B$42:B$62,MATCH($AH28,Lookups!$A$42:$A$62,0)),"")</f>
        <v/>
      </c>
      <c r="AL28" s="150" t="str">
        <f>IFERROR(INDEX(Lookups!C$42:C$62,MATCH($AH28,Lookups!$A$42:$A$62,0)),"")</f>
        <v/>
      </c>
      <c r="AM28" s="150" t="str">
        <f>IFERROR(IF(M28="Exit Signs",8760,IF(INDEX('Fixture Codes'!$C$8:$C$976,MATCH(AD28,'Fixture Codes'!$B$8:$B$976,0))="Exit Sign",8760,INDEX(Lookups!$I$2:$I$428,MATCH(_xlfn.CONCAT(B28,H28),Lookups!$H$2:$H$428,0)))),"")</f>
        <v/>
      </c>
      <c r="AN28" s="153">
        <v>1</v>
      </c>
      <c r="AO28" s="150" t="str">
        <f>IF($D28="Interior",INDEX(Lookups!Q$2:Q$86,MATCH(_xlfn.CONCAT($C28,$L28),Lookups!$P$2:$P$86,0)),IF($D28="Exterior",1,""))</f>
        <v/>
      </c>
      <c r="AP28" s="150">
        <f t="shared" si="19"/>
        <v>1</v>
      </c>
      <c r="AQ28" s="150" t="str">
        <f>IF($D28="Interior",INDEX(Lookups!R$2:R$86,MATCH(_xlfn.CONCAT($C28,$L28),Lookups!$P$2:$P$86,0)),IF($D28="Exterior",1,""))</f>
        <v/>
      </c>
      <c r="AR28" s="150" t="str">
        <f>IF($D28="Interior",INDEX(Lookups!S$2:S$86,MATCH(_xlfn.CONCAT($C28,$L28),Lookups!$P$2:$P$86,0)),IF($D28="Exterior",1,""))</f>
        <v/>
      </c>
      <c r="AS28" s="150" t="str">
        <f>IF($D28="Interior",INDEX(Lookups!T$2:T$86,MATCH(_xlfn.CONCAT($C28,$L28),Lookups!$P$2:$P$86,0)),IF($D28="Exterior",1,""))</f>
        <v/>
      </c>
      <c r="AT28" s="150" t="str">
        <f>IFERROR(IF(M28="Exit Signs",1,IF(INDEX('Fixture Codes'!$C$8:$C$976,MATCH($AD28,'Fixture Codes'!$B$8:$B$976,0))="Exit Sign",1,INDEX(Lookups!J$2:J$428,MATCH(_xlfn.CONCAT($B28,$H28),Lookups!$H$2:$H$428,0)))),"")</f>
        <v/>
      </c>
      <c r="AU28" s="150" t="str">
        <f>IFERROR(IF(M28="Exit Signs",1,IF(INDEX('Fixture Codes'!$C$8:$C$976,MATCH($AD28,'Fixture Codes'!$B$8:$B$976,0))="Exit Sign",1,INDEX(Lookups!K$2:K$428,MATCH(_xlfn.CONCAT($B28,$H28),Lookups!$H$2:$H$428,0)))),"")</f>
        <v/>
      </c>
      <c r="AV28" s="150" t="str">
        <f>IFERROR(IF(M28="Exit Signs",1,IF(INDEX('Fixture Codes'!$C$8:$C$976,MATCH($AD28,'Fixture Codes'!$B$8:$B$976,0))="Exit Sign",1,INDEX(Lookups!L$2:L$428,MATCH(_xlfn.CONCAT($B28,$H28),Lookups!$H$2:$H$428,0)))),"")</f>
        <v/>
      </c>
      <c r="AW28" s="150" t="str">
        <f>IF(ISBLANK(K28),"",IF(K28="Gas",INDEX(Lookups!$AG$2:$AG$63,MATCH(O28,Lookups!$AD$2:$AD$63,0),0),0))</f>
        <v/>
      </c>
      <c r="AX28" s="150" t="str">
        <f>IF(ISBLANK(K28),"",IF(K28="Gas",INDEX(Lookups!$AF$2:$AF$63,MATCH(O28,Lookups!$AD$2:$AD$63,0),0),0))</f>
        <v/>
      </c>
      <c r="AY28" s="150" t="str">
        <f>IF(ISBLANK(K28),"",IF(K28="Gas",INDEX(Lookups!$AH$2:$AH$63,MATCH(O28,Lookups!$AD$2:$AD$63,0),0),0))</f>
        <v/>
      </c>
      <c r="AZ28" s="150" t="str">
        <f>IF(ISBLANK(K28),"",IF(K28="Gas",INDEX(Lookups!$AI$2:$AI$63,MATCH(O28,Lookups!$AD$2:$AD$63,0),0),0))</f>
        <v/>
      </c>
      <c r="BA28" s="150" t="str">
        <f t="shared" si="0"/>
        <v/>
      </c>
      <c r="BB28" s="156" t="str">
        <f>IF(ISBLANK(AH28),"",IF(AH28="None",0,IF(K28="Gas",INDEX(Lookups!$AF$51:$AF$69,MATCH(AH28,Lookups!$AD$51:$AD$69,0),0),0)))</f>
        <v/>
      </c>
      <c r="BC28" s="156" t="str">
        <f>IF(ISBLANK(AH28),"",IF(AH28="None",0,IF(K28="Gas",INDEX(Lookups!$AH$51:$AH$69,MATCH(AH28,Lookups!$AD$51:$AD$69,0),0),0)))</f>
        <v/>
      </c>
      <c r="BD28" s="156" t="str">
        <f>IF(ISBLANK(AH28),"",IF(AH28="None",0,IF(K28="Gas",INDEX(Lookups!$AI$51:$AI$69,MATCH(AH28,Lookups!$AD$51:$AD$69,0),0),0)))</f>
        <v/>
      </c>
      <c r="BE28" s="157"/>
      <c r="BF28" s="157"/>
      <c r="BG28" s="147" t="str">
        <f t="shared" si="20"/>
        <v/>
      </c>
      <c r="BH28" s="147" t="str">
        <f t="shared" si="21"/>
        <v/>
      </c>
      <c r="BI28" s="147" t="str">
        <f t="shared" si="1"/>
        <v/>
      </c>
      <c r="BJ28" s="147" t="str">
        <f t="shared" si="2"/>
        <v/>
      </c>
      <c r="BK28" s="148" t="str">
        <f t="shared" si="22"/>
        <v/>
      </c>
      <c r="BL28" s="147" t="str">
        <f t="shared" si="3"/>
        <v/>
      </c>
      <c r="BM28" s="148" t="str">
        <f t="shared" si="23"/>
        <v/>
      </c>
      <c r="BN28" s="147" t="str">
        <f t="shared" si="24"/>
        <v/>
      </c>
      <c r="BO28" s="147" t="str">
        <f t="shared" si="24"/>
        <v/>
      </c>
      <c r="BP28" s="147" t="str">
        <f t="shared" si="25"/>
        <v/>
      </c>
      <c r="BQ28" s="148" t="str">
        <f t="shared" si="26"/>
        <v/>
      </c>
      <c r="BR28" s="148" t="str">
        <f t="shared" si="27"/>
        <v/>
      </c>
      <c r="BS28" s="148" t="str">
        <f t="shared" si="28"/>
        <v/>
      </c>
      <c r="BT28" s="148" t="str">
        <f t="shared" si="7"/>
        <v/>
      </c>
      <c r="BU28" s="148" t="str">
        <f t="shared" si="8"/>
        <v/>
      </c>
      <c r="BV28" s="148" t="str">
        <f t="shared" si="9"/>
        <v/>
      </c>
      <c r="BW28" s="148" t="str">
        <f t="shared" si="29"/>
        <v/>
      </c>
      <c r="BX28" s="148" t="str">
        <f t="shared" si="10"/>
        <v/>
      </c>
      <c r="BY28" s="148" t="str">
        <f t="shared" si="11"/>
        <v/>
      </c>
      <c r="BZ28" s="149" t="str">
        <f>IFERROR(INDEX('Prescriptive Rebate Table'!$B$2:$E$64,MATCH(O28,'Prescriptive Rebate Table'!$C$2:$C$64,0),3),"")</f>
        <v/>
      </c>
      <c r="CA28" s="145" t="str">
        <f>IFERROR(INDEX('Prescriptive Rebate Table'!$B$2:$E$64,MATCH(O28,'Prescriptive Rebate Table'!$C$2:$C$64,0),4),"")</f>
        <v/>
      </c>
      <c r="CB28" s="149" t="str">
        <f t="shared" si="30"/>
        <v/>
      </c>
      <c r="CC28" s="145" t="str">
        <f t="shared" si="31"/>
        <v/>
      </c>
      <c r="CD28" s="149" t="str">
        <f t="shared" si="12"/>
        <v/>
      </c>
      <c r="CE28" s="149" t="str">
        <f t="shared" si="13"/>
        <v/>
      </c>
      <c r="CF28" s="149" t="str">
        <f>IF(BK28&lt;=0,0,IFERROR(IF(OR(ISBLANK(AC28),ISBLANK(CD28))=TRUE,"",IF(CA28="Per Foot",INDEX('Fixture Codes'!$I$8:$I$976,MATCH(AD28,'Fixture Codes'!$B$8:$B$976,0))/12*AF28*BZ28,IF(CA28="Lamp",INDEX('Fixture Codes'!$J$8:$J$976,MATCH(AD28,'Fixture Codes'!$B$8:$B$976,0))*AF28*BZ28,IF(CA28="Fixture",AF28*BZ28,IF(CA28="kWh",BK28*BZ28,0))))),""))</f>
        <v/>
      </c>
      <c r="CG28" s="149" t="str">
        <f t="shared" si="32"/>
        <v/>
      </c>
      <c r="CH28" s="149" t="str">
        <f t="shared" si="33"/>
        <v/>
      </c>
      <c r="CI28" s="152"/>
      <c r="CJ28" s="146"/>
      <c r="CK28" s="241">
        <f>IFERROR(IF(CL28="Yes",'Prescriptive Rebate Table'!$D$69,IF(ISBLANK(AI28),0,IF(AND(AH28=Lookups!$A$62,BK28&gt;0),'Prescriptive Rebate Table'!$D$68,IF(AND(BK28&gt;0,CJ28=AF28),'Prescriptive Rebate Table'!$D$67,IF(AND(BK28&gt;0,CJ28&lt;&gt;AF28),'Prescriptive Rebate Table'!D87,0))))),"")</f>
        <v>0</v>
      </c>
      <c r="CL28" s="240" t="s">
        <v>2712</v>
      </c>
      <c r="CM28" s="152"/>
      <c r="CN28" s="152"/>
      <c r="CO28" s="152"/>
      <c r="CP28" s="146">
        <f t="shared" si="14"/>
        <v>0</v>
      </c>
      <c r="CQ28" s="153">
        <f>IF(D28="Interior",ROUND(($AG28*AF28)/1000*$AM28*(Lookups!$B$54-$AA28)*$AN28*$AO28,3),0)</f>
        <v>0</v>
      </c>
      <c r="CR28" s="153">
        <f>IFERROR(IF(D28="Interior",ROUND(($AG28*$AF28)/1000*(Lookups!$C$54-$AB28)*$AN28*AQ28*AT28,6),0),"")</f>
        <v>0</v>
      </c>
      <c r="CS28" s="165">
        <f t="shared" si="34"/>
        <v>0</v>
      </c>
      <c r="CT28" s="165">
        <f t="shared" si="35"/>
        <v>0</v>
      </c>
      <c r="CV28" s="153">
        <f>IF(D28="Interior",ROUND(($AG28*AF28)/1000*$AM28*(Lookups!$B$43-$AA28)*$AN28*$AO28,3),0)</f>
        <v>0</v>
      </c>
      <c r="CW28" s="153">
        <f>IFERROR(IF(D28="Interior",ROUND(($AG28*$AF28)/1000*(Lookups!$C$43-$AB28)*$AN28*AQ28*AT28,6),0),"")</f>
        <v>0</v>
      </c>
      <c r="CX28" s="165">
        <f t="shared" si="15"/>
        <v>0</v>
      </c>
      <c r="CY28" s="165">
        <f t="shared" si="16"/>
        <v>0</v>
      </c>
      <c r="DA28" s="153">
        <f>IF(D28="Interior",ROUND(($AG28*AF28*(1-0.15))/1000*$AM28*(Lookups!$B$43+0.097-$AA28)*$AN28*$AO28+((W28*V28)/1000*AN28*AM28*AO28*0.15),3),0)</f>
        <v>0</v>
      </c>
      <c r="DB28" s="153">
        <f>IFERROR(IF(D28="Interior",ROUND(($AG28*$AF28)/1000*(Lookups!$C$43+0.097-$AB28)*$AN28*AQ28*AT28+(($AG28*$AF28)/1000*$AN28*AQ28*AT28*0.15),6),0),"")</f>
        <v>0</v>
      </c>
      <c r="DC28" s="165">
        <f t="shared" si="17"/>
        <v>0</v>
      </c>
      <c r="DD28" s="165">
        <f t="shared" si="18"/>
        <v>0</v>
      </c>
    </row>
    <row r="29" spans="1:108" s="164" customFormat="1">
      <c r="A29" s="150">
        <v>25</v>
      </c>
      <c r="B29" s="153" t="str">
        <f>IFERROR(INDEX(Lookups!$B$2:$B$38,MATCH('Project Info &amp; Summary'!$C$19,Lookups!$A$2:$A$38,0)),"")</f>
        <v/>
      </c>
      <c r="C29" s="153" t="str">
        <f>IFERROR(INDEX(Lookups!$C$2:$C$38,MATCH('Project Info &amp; Summary'!$C$19,Lookups!$A$2:$A$38,0)),"")</f>
        <v/>
      </c>
      <c r="D29" s="163"/>
      <c r="E29" s="160"/>
      <c r="F29" s="158"/>
      <c r="G29" s="158"/>
      <c r="H29" s="158"/>
      <c r="I29" s="158"/>
      <c r="J29" s="154" t="str">
        <f>IFERROR(INDEX(Lookups!$W$21:$W$26,MATCH(I29,Lookups!$V$21:$V$26,0)),"")</f>
        <v/>
      </c>
      <c r="K29" s="158"/>
      <c r="L29" s="162" t="str">
        <f>IFERROR(INDEX(Lookups!$Y$2:$Y$19,MATCH(_xlfn.CONCAT(I29,K29),Lookups!$X$2:$X$19,0)),"")</f>
        <v/>
      </c>
      <c r="M29" s="158"/>
      <c r="N29" s="153" t="str">
        <f>IFERROR(INDEX('Prescriptive Rebate Table'!$M$3:$M$20,MATCH(M29,'Prescriptive Rebate Table'!$L$3:$L$20,0)),"")</f>
        <v/>
      </c>
      <c r="O29" s="158"/>
      <c r="P29" s="154" t="str">
        <f>IFERROR(INDEX('Prescriptive Rebate Table'!$B$2:$H$64, MATCH(O29,'Prescriptive Rebate Table'!$C$2:$C$64,0),7),"")</f>
        <v/>
      </c>
      <c r="Q29" s="155" t="str">
        <f>IFERROR(INDEX('Prescriptive Rebate Table'!$B$2:$I$64, MATCH(O29,'Prescriptive Rebate Table'!$C$2:$C$64,0),8),"")</f>
        <v/>
      </c>
      <c r="R29" s="155" t="str">
        <f>IFERROR(INDEX('Prescriptive Rebate Table'!$B$2:$J$64, MATCH(O29,'Prescriptive Rebate Table'!$C$2:$C$64,0),9),"")</f>
        <v/>
      </c>
      <c r="S29" s="160"/>
      <c r="T29" s="145" t="str">
        <f>IFERROR(INDEX('Fixture Codes'!$M$8:$M$976,MATCH(S29,'Fixture Codes'!$B$8:$B$976,0)),"")</f>
        <v/>
      </c>
      <c r="U29" s="145" t="str">
        <f>IFERROR(INDEX('Fixture Codes'!$B$7:$M$976,MATCH(T29,'Fixture Codes'!$B$7:$B$976,0),5),"")</f>
        <v/>
      </c>
      <c r="V29" s="160"/>
      <c r="W29" s="145" t="str">
        <f>IFERROR(INDEX('Fixture Codes'!$L$8:$L$976,MATCH(T29,'Fixture Codes'!$B$8:$B$976,0)),"")</f>
        <v/>
      </c>
      <c r="X29" s="158"/>
      <c r="Y29" s="159"/>
      <c r="Z29" s="155" t="str">
        <f>IFERROR(INDEX(Lookups!B$68:B$87,MATCH($X29,Lookups!$A$68:$A$87,0)),"")</f>
        <v/>
      </c>
      <c r="AA29" s="150" t="str">
        <f>IFERROR(INDEX(Lookups!B$42:B$62,MATCH($X29,Lookups!$A$42:$A$62,0)),"")</f>
        <v/>
      </c>
      <c r="AB29" s="150" t="str">
        <f>IFERROR(INDEX(Lookups!C$42:C$62,MATCH($X29,Lookups!$A$42:$A$62,0)),"")</f>
        <v/>
      </c>
      <c r="AC29" s="160"/>
      <c r="AD29" s="160"/>
      <c r="AE29" s="150" t="str">
        <f>IFERROR(INDEX('Fixture Codes'!$B$7:$M$976,MATCH(AD29,'Fixture Codes'!$B$7:$B$976,0),5),"")</f>
        <v/>
      </c>
      <c r="AF29" s="160"/>
      <c r="AG29" s="145" t="str">
        <f>IFERROR(INDEX('Fixture Codes'!$L$8:$L$976,MATCH(AD29,'Fixture Codes'!$B$8:$B$976,0)),"")</f>
        <v/>
      </c>
      <c r="AH29" s="158"/>
      <c r="AI29" s="160"/>
      <c r="AJ29" s="150" t="str">
        <f>IFERROR(INDEX(Lookups!B$68:B$87,MATCH($AH29,Lookups!$A$68:$A$87,0)),"")</f>
        <v/>
      </c>
      <c r="AK29" s="150" t="str">
        <f>IFERROR(INDEX(Lookups!B$42:B$62,MATCH($AH29,Lookups!$A$42:$A$62,0)),"")</f>
        <v/>
      </c>
      <c r="AL29" s="150" t="str">
        <f>IFERROR(INDEX(Lookups!C$42:C$62,MATCH($AH29,Lookups!$A$42:$A$62,0)),"")</f>
        <v/>
      </c>
      <c r="AM29" s="150" t="str">
        <f>IFERROR(IF(M29="Exit Signs",8760,IF(INDEX('Fixture Codes'!$C$8:$C$976,MATCH(AD29,'Fixture Codes'!$B$8:$B$976,0))="Exit Sign",8760,INDEX(Lookups!$I$2:$I$428,MATCH(_xlfn.CONCAT(B29,H29),Lookups!$H$2:$H$428,0)))),"")</f>
        <v/>
      </c>
      <c r="AN29" s="153">
        <v>1</v>
      </c>
      <c r="AO29" s="150" t="str">
        <f>IF($D29="Interior",INDEX(Lookups!Q$2:Q$86,MATCH(_xlfn.CONCAT($C29,$L29),Lookups!$P$2:$P$86,0)),IF($D29="Exterior",1,""))</f>
        <v/>
      </c>
      <c r="AP29" s="150">
        <f t="shared" si="19"/>
        <v>1</v>
      </c>
      <c r="AQ29" s="150" t="str">
        <f>IF($D29="Interior",INDEX(Lookups!R$2:R$86,MATCH(_xlfn.CONCAT($C29,$L29),Lookups!$P$2:$P$86,0)),IF($D29="Exterior",1,""))</f>
        <v/>
      </c>
      <c r="AR29" s="150" t="str">
        <f>IF($D29="Interior",INDEX(Lookups!S$2:S$86,MATCH(_xlfn.CONCAT($C29,$L29),Lookups!$P$2:$P$86,0)),IF($D29="Exterior",1,""))</f>
        <v/>
      </c>
      <c r="AS29" s="150" t="str">
        <f>IF($D29="Interior",INDEX(Lookups!T$2:T$86,MATCH(_xlfn.CONCAT($C29,$L29),Lookups!$P$2:$P$86,0)),IF($D29="Exterior",1,""))</f>
        <v/>
      </c>
      <c r="AT29" s="150" t="str">
        <f>IFERROR(IF(M29="Exit Signs",1,IF(INDEX('Fixture Codes'!$C$8:$C$976,MATCH($AD29,'Fixture Codes'!$B$8:$B$976,0))="Exit Sign",1,INDEX(Lookups!J$2:J$428,MATCH(_xlfn.CONCAT($B29,$H29),Lookups!$H$2:$H$428,0)))),"")</f>
        <v/>
      </c>
      <c r="AU29" s="150" t="str">
        <f>IFERROR(IF(M29="Exit Signs",1,IF(INDEX('Fixture Codes'!$C$8:$C$976,MATCH($AD29,'Fixture Codes'!$B$8:$B$976,0))="Exit Sign",1,INDEX(Lookups!K$2:K$428,MATCH(_xlfn.CONCAT($B29,$H29),Lookups!$H$2:$H$428,0)))),"")</f>
        <v/>
      </c>
      <c r="AV29" s="150" t="str">
        <f>IFERROR(IF(M29="Exit Signs",1,IF(INDEX('Fixture Codes'!$C$8:$C$976,MATCH($AD29,'Fixture Codes'!$B$8:$B$976,0))="Exit Sign",1,INDEX(Lookups!L$2:L$428,MATCH(_xlfn.CONCAT($B29,$H29),Lookups!$H$2:$H$428,0)))),"")</f>
        <v/>
      </c>
      <c r="AW29" s="150" t="str">
        <f>IF(ISBLANK(K29),"",IF(K29="Gas",INDEX(Lookups!$AG$2:$AG$63,MATCH(O29,Lookups!$AD$2:$AD$63,0),0),0))</f>
        <v/>
      </c>
      <c r="AX29" s="150" t="str">
        <f>IF(ISBLANK(K29),"",IF(K29="Gas",INDEX(Lookups!$AF$2:$AF$63,MATCH(O29,Lookups!$AD$2:$AD$63,0),0),0))</f>
        <v/>
      </c>
      <c r="AY29" s="150" t="str">
        <f>IF(ISBLANK(K29),"",IF(K29="Gas",INDEX(Lookups!$AH$2:$AH$63,MATCH(O29,Lookups!$AD$2:$AD$63,0),0),0))</f>
        <v/>
      </c>
      <c r="AZ29" s="150" t="str">
        <f>IF(ISBLANK(K29),"",IF(K29="Gas",INDEX(Lookups!$AI$2:$AI$63,MATCH(O29,Lookups!$AD$2:$AD$63,0),0),0))</f>
        <v/>
      </c>
      <c r="BA29" s="150" t="str">
        <f t="shared" si="0"/>
        <v/>
      </c>
      <c r="BB29" s="156" t="str">
        <f>IF(ISBLANK(AH29),"",IF(AH29="None",0,IF(K29="Gas",INDEX(Lookups!$AF$51:$AF$69,MATCH(AH29,Lookups!$AD$51:$AD$69,0),0),0)))</f>
        <v/>
      </c>
      <c r="BC29" s="156" t="str">
        <f>IF(ISBLANK(AH29),"",IF(AH29="None",0,IF(K29="Gas",INDEX(Lookups!$AH$51:$AH$69,MATCH(AH29,Lookups!$AD$51:$AD$69,0),0),0)))</f>
        <v/>
      </c>
      <c r="BD29" s="156" t="str">
        <f>IF(ISBLANK(AH29),"",IF(AH29="None",0,IF(K29="Gas",INDEX(Lookups!$AI$51:$AI$69,MATCH(AH29,Lookups!$AD$51:$AD$69,0),0),0)))</f>
        <v/>
      </c>
      <c r="BE29" s="157"/>
      <c r="BF29" s="157"/>
      <c r="BG29" s="147" t="str">
        <f t="shared" si="20"/>
        <v/>
      </c>
      <c r="BH29" s="147" t="str">
        <f t="shared" si="21"/>
        <v/>
      </c>
      <c r="BI29" s="147" t="str">
        <f t="shared" si="1"/>
        <v/>
      </c>
      <c r="BJ29" s="147" t="str">
        <f t="shared" si="2"/>
        <v/>
      </c>
      <c r="BK29" s="148" t="str">
        <f t="shared" si="22"/>
        <v/>
      </c>
      <c r="BL29" s="147" t="str">
        <f t="shared" si="3"/>
        <v/>
      </c>
      <c r="BM29" s="148" t="str">
        <f t="shared" si="23"/>
        <v/>
      </c>
      <c r="BN29" s="147" t="str">
        <f t="shared" si="24"/>
        <v/>
      </c>
      <c r="BO29" s="147" t="str">
        <f t="shared" si="24"/>
        <v/>
      </c>
      <c r="BP29" s="147" t="str">
        <f t="shared" si="25"/>
        <v/>
      </c>
      <c r="BQ29" s="148" t="str">
        <f t="shared" si="26"/>
        <v/>
      </c>
      <c r="BR29" s="148" t="str">
        <f t="shared" si="27"/>
        <v/>
      </c>
      <c r="BS29" s="148" t="str">
        <f t="shared" si="28"/>
        <v/>
      </c>
      <c r="BT29" s="148" t="str">
        <f t="shared" si="7"/>
        <v/>
      </c>
      <c r="BU29" s="148" t="str">
        <f t="shared" si="8"/>
        <v/>
      </c>
      <c r="BV29" s="148" t="str">
        <f t="shared" si="9"/>
        <v/>
      </c>
      <c r="BW29" s="148" t="str">
        <f t="shared" si="29"/>
        <v/>
      </c>
      <c r="BX29" s="148" t="str">
        <f t="shared" si="10"/>
        <v/>
      </c>
      <c r="BY29" s="148" t="str">
        <f t="shared" si="11"/>
        <v/>
      </c>
      <c r="BZ29" s="149" t="str">
        <f>IFERROR(INDEX('Prescriptive Rebate Table'!$B$2:$E$64,MATCH(O29,'Prescriptive Rebate Table'!$C$2:$C$64,0),3),"")</f>
        <v/>
      </c>
      <c r="CA29" s="145" t="str">
        <f>IFERROR(INDEX('Prescriptive Rebate Table'!$B$2:$E$64,MATCH(O29,'Prescriptive Rebate Table'!$C$2:$C$64,0),4),"")</f>
        <v/>
      </c>
      <c r="CB29" s="149" t="str">
        <f t="shared" si="30"/>
        <v/>
      </c>
      <c r="CC29" s="145" t="str">
        <f t="shared" si="31"/>
        <v/>
      </c>
      <c r="CD29" s="149" t="str">
        <f t="shared" si="12"/>
        <v/>
      </c>
      <c r="CE29" s="149" t="str">
        <f t="shared" si="13"/>
        <v/>
      </c>
      <c r="CF29" s="149" t="str">
        <f>IF(BK29&lt;=0,0,IFERROR(IF(OR(ISBLANK(AC29),ISBLANK(CD29))=TRUE,"",IF(CA29="Per Foot",INDEX('Fixture Codes'!$I$8:$I$976,MATCH(AD29,'Fixture Codes'!$B$8:$B$976,0))/12*AF29*BZ29,IF(CA29="Lamp",INDEX('Fixture Codes'!$J$8:$J$976,MATCH(AD29,'Fixture Codes'!$B$8:$B$976,0))*AF29*BZ29,IF(CA29="Fixture",AF29*BZ29,IF(CA29="kWh",BK29*BZ29,0))))),""))</f>
        <v/>
      </c>
      <c r="CG29" s="149" t="str">
        <f t="shared" si="32"/>
        <v/>
      </c>
      <c r="CH29" s="149" t="str">
        <f t="shared" si="33"/>
        <v/>
      </c>
      <c r="CI29" s="152"/>
      <c r="CJ29" s="146"/>
      <c r="CK29" s="241">
        <f>IFERROR(IF(CL29="Yes",'Prescriptive Rebate Table'!$D$69,IF(ISBLANK(AI29),0,IF(AND(AH29=Lookups!$A$62,BK29&gt;0),'Prescriptive Rebate Table'!$D$68,IF(AND(BK29&gt;0,CJ29=AF29),'Prescriptive Rebate Table'!$D$67,IF(AND(BK29&gt;0,CJ29&lt;&gt;AF29),'Prescriptive Rebate Table'!D88,0))))),"")</f>
        <v>0</v>
      </c>
      <c r="CL29" s="240" t="s">
        <v>2712</v>
      </c>
      <c r="CM29" s="152"/>
      <c r="CN29" s="152"/>
      <c r="CO29" s="152"/>
      <c r="CP29" s="146">
        <f t="shared" si="14"/>
        <v>0</v>
      </c>
      <c r="CQ29" s="153">
        <f>IF(D29="Interior",ROUND(($AG29*AF29)/1000*$AM29*(Lookups!$B$54-$AA29)*$AN29*$AO29,3),0)</f>
        <v>0</v>
      </c>
      <c r="CR29" s="153">
        <f>IFERROR(IF(D29="Interior",ROUND(($AG29*$AF29)/1000*(Lookups!$C$54-$AB29)*$AN29*AQ29*AT29,6),0),"")</f>
        <v>0</v>
      </c>
      <c r="CS29" s="165">
        <f t="shared" si="34"/>
        <v>0</v>
      </c>
      <c r="CT29" s="165">
        <f t="shared" si="35"/>
        <v>0</v>
      </c>
      <c r="CV29" s="153">
        <f>IF(D29="Interior",ROUND(($AG29*AF29)/1000*$AM29*(Lookups!$B$43-$AA29)*$AN29*$AO29,3),0)</f>
        <v>0</v>
      </c>
      <c r="CW29" s="153">
        <f>IFERROR(IF(D29="Interior",ROUND(($AG29*$AF29)/1000*(Lookups!$C$43-$AB29)*$AN29*AQ29*AT29,6),0),"")</f>
        <v>0</v>
      </c>
      <c r="CX29" s="165">
        <f t="shared" si="15"/>
        <v>0</v>
      </c>
      <c r="CY29" s="165">
        <f t="shared" si="16"/>
        <v>0</v>
      </c>
      <c r="DA29" s="153">
        <f>IF(D29="Interior",ROUND(($AG29*AF29*(1-0.15))/1000*$AM29*(Lookups!$B$43+0.097-$AA29)*$AN29*$AO29+((W29*V29)/1000*AN29*AM29*AO29*0.15),3),0)</f>
        <v>0</v>
      </c>
      <c r="DB29" s="153">
        <f>IFERROR(IF(D29="Interior",ROUND(($AG29*$AF29)/1000*(Lookups!$C$43+0.097-$AB29)*$AN29*AQ29*AT29+(($AG29*$AF29)/1000*$AN29*AQ29*AT29*0.15),6),0),"")</f>
        <v>0</v>
      </c>
      <c r="DC29" s="165">
        <f t="shared" si="17"/>
        <v>0</v>
      </c>
      <c r="DD29" s="165">
        <f t="shared" si="18"/>
        <v>0</v>
      </c>
    </row>
    <row r="30" spans="1:108" s="164" customFormat="1">
      <c r="A30" s="150">
        <v>26</v>
      </c>
      <c r="B30" s="153" t="str">
        <f>IFERROR(INDEX(Lookups!$B$2:$B$38,MATCH('Project Info &amp; Summary'!$C$19,Lookups!$A$2:$A$38,0)),"")</f>
        <v/>
      </c>
      <c r="C30" s="153" t="str">
        <f>IFERROR(INDEX(Lookups!$C$2:$C$38,MATCH('Project Info &amp; Summary'!$C$19,Lookups!$A$2:$A$38,0)),"")</f>
        <v/>
      </c>
      <c r="D30" s="163"/>
      <c r="E30" s="160"/>
      <c r="F30" s="158"/>
      <c r="G30" s="158"/>
      <c r="H30" s="158"/>
      <c r="I30" s="158"/>
      <c r="J30" s="154" t="str">
        <f>IFERROR(INDEX(Lookups!$W$21:$W$26,MATCH(I30,Lookups!$V$21:$V$26,0)),"")</f>
        <v/>
      </c>
      <c r="K30" s="158"/>
      <c r="L30" s="162" t="str">
        <f>IFERROR(INDEX(Lookups!$Y$2:$Y$19,MATCH(_xlfn.CONCAT(I30,K30),Lookups!$X$2:$X$19,0)),"")</f>
        <v/>
      </c>
      <c r="M30" s="158"/>
      <c r="N30" s="153" t="str">
        <f>IFERROR(INDEX('Prescriptive Rebate Table'!$M$3:$M$20,MATCH(M30,'Prescriptive Rebate Table'!$L$3:$L$20,0)),"")</f>
        <v/>
      </c>
      <c r="O30" s="158"/>
      <c r="P30" s="154" t="str">
        <f>IFERROR(INDEX('Prescriptive Rebate Table'!$B$2:$H$64, MATCH(O30,'Prescriptive Rebate Table'!$C$2:$C$64,0),7),"")</f>
        <v/>
      </c>
      <c r="Q30" s="155" t="str">
        <f>IFERROR(INDEX('Prescriptive Rebate Table'!$B$2:$I$64, MATCH(O30,'Prescriptive Rebate Table'!$C$2:$C$64,0),8),"")</f>
        <v/>
      </c>
      <c r="R30" s="155" t="str">
        <f>IFERROR(INDEX('Prescriptive Rebate Table'!$B$2:$J$64, MATCH(O30,'Prescriptive Rebate Table'!$C$2:$C$64,0),9),"")</f>
        <v/>
      </c>
      <c r="S30" s="160"/>
      <c r="T30" s="145" t="str">
        <f>IFERROR(INDEX('Fixture Codes'!$M$8:$M$976,MATCH(S30,'Fixture Codes'!$B$8:$B$976,0)),"")</f>
        <v/>
      </c>
      <c r="U30" s="145" t="str">
        <f>IFERROR(INDEX('Fixture Codes'!$B$7:$M$976,MATCH(T30,'Fixture Codes'!$B$7:$B$976,0),5),"")</f>
        <v/>
      </c>
      <c r="V30" s="160"/>
      <c r="W30" s="145" t="str">
        <f>IFERROR(INDEX('Fixture Codes'!$L$8:$L$976,MATCH(T30,'Fixture Codes'!$B$8:$B$976,0)),"")</f>
        <v/>
      </c>
      <c r="X30" s="158"/>
      <c r="Y30" s="159"/>
      <c r="Z30" s="155" t="str">
        <f>IFERROR(INDEX(Lookups!B$68:B$87,MATCH($X30,Lookups!$A$68:$A$87,0)),"")</f>
        <v/>
      </c>
      <c r="AA30" s="150" t="str">
        <f>IFERROR(INDEX(Lookups!B$42:B$62,MATCH($X30,Lookups!$A$42:$A$62,0)),"")</f>
        <v/>
      </c>
      <c r="AB30" s="150" t="str">
        <f>IFERROR(INDEX(Lookups!C$42:C$62,MATCH($X30,Lookups!$A$42:$A$62,0)),"")</f>
        <v/>
      </c>
      <c r="AC30" s="160"/>
      <c r="AD30" s="160"/>
      <c r="AE30" s="150" t="str">
        <f>IFERROR(INDEX('Fixture Codes'!$B$7:$M$976,MATCH(AD30,'Fixture Codes'!$B$7:$B$976,0),5),"")</f>
        <v/>
      </c>
      <c r="AF30" s="160"/>
      <c r="AG30" s="145" t="str">
        <f>IFERROR(INDEX('Fixture Codes'!$L$8:$L$976,MATCH(AD30,'Fixture Codes'!$B$8:$B$976,0)),"")</f>
        <v/>
      </c>
      <c r="AH30" s="158"/>
      <c r="AI30" s="160"/>
      <c r="AJ30" s="150" t="str">
        <f>IFERROR(INDEX(Lookups!B$68:B$87,MATCH($AH30,Lookups!$A$68:$A$87,0)),"")</f>
        <v/>
      </c>
      <c r="AK30" s="150" t="str">
        <f>IFERROR(INDEX(Lookups!B$42:B$62,MATCH($AH30,Lookups!$A$42:$A$62,0)),"")</f>
        <v/>
      </c>
      <c r="AL30" s="150" t="str">
        <f>IFERROR(INDEX(Lookups!C$42:C$62,MATCH($AH30,Lookups!$A$42:$A$62,0)),"")</f>
        <v/>
      </c>
      <c r="AM30" s="150" t="str">
        <f>IFERROR(IF(M30="Exit Signs",8760,IF(INDEX('Fixture Codes'!$C$8:$C$976,MATCH(AD30,'Fixture Codes'!$B$8:$B$976,0))="Exit Sign",8760,INDEX(Lookups!$I$2:$I$428,MATCH(_xlfn.CONCAT(B30,H30),Lookups!$H$2:$H$428,0)))),"")</f>
        <v/>
      </c>
      <c r="AN30" s="153">
        <v>1</v>
      </c>
      <c r="AO30" s="150" t="str">
        <f>IF($D30="Interior",INDEX(Lookups!Q$2:Q$86,MATCH(_xlfn.CONCAT($C30,$L30),Lookups!$P$2:$P$86,0)),IF($D30="Exterior",1,""))</f>
        <v/>
      </c>
      <c r="AP30" s="150">
        <f t="shared" si="19"/>
        <v>1</v>
      </c>
      <c r="AQ30" s="150" t="str">
        <f>IF($D30="Interior",INDEX(Lookups!R$2:R$86,MATCH(_xlfn.CONCAT($C30,$L30),Lookups!$P$2:$P$86,0)),IF($D30="Exterior",1,""))</f>
        <v/>
      </c>
      <c r="AR30" s="150" t="str">
        <f>IF($D30="Interior",INDEX(Lookups!S$2:S$86,MATCH(_xlfn.CONCAT($C30,$L30),Lookups!$P$2:$P$86,0)),IF($D30="Exterior",1,""))</f>
        <v/>
      </c>
      <c r="AS30" s="150" t="str">
        <f>IF($D30="Interior",INDEX(Lookups!T$2:T$86,MATCH(_xlfn.CONCAT($C30,$L30),Lookups!$P$2:$P$86,0)),IF($D30="Exterior",1,""))</f>
        <v/>
      </c>
      <c r="AT30" s="150" t="str">
        <f>IFERROR(IF(M30="Exit Signs",1,IF(INDEX('Fixture Codes'!$C$8:$C$976,MATCH($AD30,'Fixture Codes'!$B$8:$B$976,0))="Exit Sign",1,INDEX(Lookups!J$2:J$428,MATCH(_xlfn.CONCAT($B30,$H30),Lookups!$H$2:$H$428,0)))),"")</f>
        <v/>
      </c>
      <c r="AU30" s="150" t="str">
        <f>IFERROR(IF(M30="Exit Signs",1,IF(INDEX('Fixture Codes'!$C$8:$C$976,MATCH($AD30,'Fixture Codes'!$B$8:$B$976,0))="Exit Sign",1,INDEX(Lookups!K$2:K$428,MATCH(_xlfn.CONCAT($B30,$H30),Lookups!$H$2:$H$428,0)))),"")</f>
        <v/>
      </c>
      <c r="AV30" s="150" t="str">
        <f>IFERROR(IF(M30="Exit Signs",1,IF(INDEX('Fixture Codes'!$C$8:$C$976,MATCH($AD30,'Fixture Codes'!$B$8:$B$976,0))="Exit Sign",1,INDEX(Lookups!L$2:L$428,MATCH(_xlfn.CONCAT($B30,$H30),Lookups!$H$2:$H$428,0)))),"")</f>
        <v/>
      </c>
      <c r="AW30" s="150" t="str">
        <f>IF(ISBLANK(K30),"",IF(K30="Gas",INDEX(Lookups!$AG$2:$AG$63,MATCH(O30,Lookups!$AD$2:$AD$63,0),0),0))</f>
        <v/>
      </c>
      <c r="AX30" s="150" t="str">
        <f>IF(ISBLANK(K30),"",IF(K30="Gas",INDEX(Lookups!$AF$2:$AF$63,MATCH(O30,Lookups!$AD$2:$AD$63,0),0),0))</f>
        <v/>
      </c>
      <c r="AY30" s="150" t="str">
        <f>IF(ISBLANK(K30),"",IF(K30="Gas",INDEX(Lookups!$AH$2:$AH$63,MATCH(O30,Lookups!$AD$2:$AD$63,0),0),0))</f>
        <v/>
      </c>
      <c r="AZ30" s="150" t="str">
        <f>IF(ISBLANK(K30),"",IF(K30="Gas",INDEX(Lookups!$AI$2:$AI$63,MATCH(O30,Lookups!$AD$2:$AD$63,0),0),0))</f>
        <v/>
      </c>
      <c r="BA30" s="150" t="str">
        <f t="shared" si="0"/>
        <v/>
      </c>
      <c r="BB30" s="156" t="str">
        <f>IF(ISBLANK(AH30),"",IF(AH30="None",0,IF(K30="Gas",INDEX(Lookups!$AF$51:$AF$69,MATCH(AH30,Lookups!$AD$51:$AD$69,0),0),0)))</f>
        <v/>
      </c>
      <c r="BC30" s="156" t="str">
        <f>IF(ISBLANK(AH30),"",IF(AH30="None",0,IF(K30="Gas",INDEX(Lookups!$AH$51:$AH$69,MATCH(AH30,Lookups!$AD$51:$AD$69,0),0),0)))</f>
        <v/>
      </c>
      <c r="BD30" s="156" t="str">
        <f>IF(ISBLANK(AH30),"",IF(AH30="None",0,IF(K30="Gas",INDEX(Lookups!$AI$51:$AI$69,MATCH(AH30,Lookups!$AD$51:$AD$69,0),0),0)))</f>
        <v/>
      </c>
      <c r="BE30" s="157"/>
      <c r="BF30" s="157"/>
      <c r="BG30" s="147" t="str">
        <f t="shared" si="20"/>
        <v/>
      </c>
      <c r="BH30" s="147" t="str">
        <f t="shared" si="21"/>
        <v/>
      </c>
      <c r="BI30" s="147" t="str">
        <f t="shared" si="1"/>
        <v/>
      </c>
      <c r="BJ30" s="147" t="str">
        <f t="shared" si="2"/>
        <v/>
      </c>
      <c r="BK30" s="148" t="str">
        <f t="shared" si="22"/>
        <v/>
      </c>
      <c r="BL30" s="147" t="str">
        <f t="shared" si="3"/>
        <v/>
      </c>
      <c r="BM30" s="148" t="str">
        <f t="shared" si="23"/>
        <v/>
      </c>
      <c r="BN30" s="147" t="str">
        <f t="shared" si="24"/>
        <v/>
      </c>
      <c r="BO30" s="147" t="str">
        <f t="shared" si="24"/>
        <v/>
      </c>
      <c r="BP30" s="147" t="str">
        <f t="shared" si="25"/>
        <v/>
      </c>
      <c r="BQ30" s="148" t="str">
        <f t="shared" si="26"/>
        <v/>
      </c>
      <c r="BR30" s="148" t="str">
        <f t="shared" si="27"/>
        <v/>
      </c>
      <c r="BS30" s="148" t="str">
        <f t="shared" si="28"/>
        <v/>
      </c>
      <c r="BT30" s="148" t="str">
        <f t="shared" si="7"/>
        <v/>
      </c>
      <c r="BU30" s="148" t="str">
        <f t="shared" si="8"/>
        <v/>
      </c>
      <c r="BV30" s="148" t="str">
        <f t="shared" si="9"/>
        <v/>
      </c>
      <c r="BW30" s="148" t="str">
        <f t="shared" si="29"/>
        <v/>
      </c>
      <c r="BX30" s="148" t="str">
        <f t="shared" si="10"/>
        <v/>
      </c>
      <c r="BY30" s="148" t="str">
        <f t="shared" si="11"/>
        <v/>
      </c>
      <c r="BZ30" s="149" t="str">
        <f>IFERROR(INDEX('Prescriptive Rebate Table'!$B$2:$E$64,MATCH(O30,'Prescriptive Rebate Table'!$C$2:$C$64,0),3),"")</f>
        <v/>
      </c>
      <c r="CA30" s="145" t="str">
        <f>IFERROR(INDEX('Prescriptive Rebate Table'!$B$2:$E$64,MATCH(O30,'Prescriptive Rebate Table'!$C$2:$C$64,0),4),"")</f>
        <v/>
      </c>
      <c r="CB30" s="149" t="str">
        <f t="shared" si="30"/>
        <v/>
      </c>
      <c r="CC30" s="145" t="str">
        <f t="shared" si="31"/>
        <v/>
      </c>
      <c r="CD30" s="149" t="str">
        <f t="shared" si="12"/>
        <v/>
      </c>
      <c r="CE30" s="149" t="str">
        <f t="shared" si="13"/>
        <v/>
      </c>
      <c r="CF30" s="149" t="str">
        <f>IF(BK30&lt;=0,0,IFERROR(IF(OR(ISBLANK(AC30),ISBLANK(CD30))=TRUE,"",IF(CA30="Per Foot",INDEX('Fixture Codes'!$I$8:$I$976,MATCH(AD30,'Fixture Codes'!$B$8:$B$976,0))/12*AF30*BZ30,IF(CA30="Lamp",INDEX('Fixture Codes'!$J$8:$J$976,MATCH(AD30,'Fixture Codes'!$B$8:$B$976,0))*AF30*BZ30,IF(CA30="Fixture",AF30*BZ30,IF(CA30="kWh",BK30*BZ30,0))))),""))</f>
        <v/>
      </c>
      <c r="CG30" s="149" t="str">
        <f t="shared" si="32"/>
        <v/>
      </c>
      <c r="CH30" s="149" t="str">
        <f t="shared" si="33"/>
        <v/>
      </c>
      <c r="CI30" s="152"/>
      <c r="CJ30" s="146"/>
      <c r="CK30" s="241">
        <f>IFERROR(IF(CL30="Yes",'Prescriptive Rebate Table'!$D$69,IF(ISBLANK(AI30),0,IF(AND(AH30=Lookups!$A$62,BK30&gt;0),'Prescriptive Rebate Table'!$D$68,IF(AND(BK30&gt;0,CJ30=AF30),'Prescriptive Rebate Table'!$D$67,IF(AND(BK30&gt;0,CJ30&lt;&gt;AF30),'Prescriptive Rebate Table'!D89,0))))),"")</f>
        <v>0</v>
      </c>
      <c r="CL30" s="240" t="s">
        <v>2712</v>
      </c>
      <c r="CM30" s="152"/>
      <c r="CN30" s="152"/>
      <c r="CO30" s="152"/>
      <c r="CP30" s="146">
        <f t="shared" si="14"/>
        <v>0</v>
      </c>
      <c r="CQ30" s="153">
        <f>IF(D30="Interior",ROUND(($AG30*AF30)/1000*$AM30*(Lookups!$B$54-$AA30)*$AN30*$AO30,3),0)</f>
        <v>0</v>
      </c>
      <c r="CR30" s="153">
        <f>IFERROR(IF(D30="Interior",ROUND(($AG30*$AF30)/1000*(Lookups!$C$54-$AB30)*$AN30*AQ30*AT30,6),0),"")</f>
        <v>0</v>
      </c>
      <c r="CS30" s="165">
        <f t="shared" si="34"/>
        <v>0</v>
      </c>
      <c r="CT30" s="165">
        <f t="shared" si="35"/>
        <v>0</v>
      </c>
      <c r="CV30" s="153">
        <f>IF(D30="Interior",ROUND(($AG30*AF30)/1000*$AM30*(Lookups!$B$43-$AA30)*$AN30*$AO30,3),0)</f>
        <v>0</v>
      </c>
      <c r="CW30" s="153">
        <f>IFERROR(IF(D30="Interior",ROUND(($AG30*$AF30)/1000*(Lookups!$C$43-$AB30)*$AN30*AQ30*AT30,6),0),"")</f>
        <v>0</v>
      </c>
      <c r="CX30" s="165">
        <f t="shared" si="15"/>
        <v>0</v>
      </c>
      <c r="CY30" s="165">
        <f t="shared" si="16"/>
        <v>0</v>
      </c>
      <c r="DA30" s="153">
        <f>IF(D30="Interior",ROUND(($AG30*AF30*(1-0.15))/1000*$AM30*(Lookups!$B$43+0.097-$AA30)*$AN30*$AO30+((W30*V30)/1000*AN30*AM30*AO30*0.15),3),0)</f>
        <v>0</v>
      </c>
      <c r="DB30" s="153">
        <f>IFERROR(IF(D30="Interior",ROUND(($AG30*$AF30)/1000*(Lookups!$C$43+0.097-$AB30)*$AN30*AQ30*AT30+(($AG30*$AF30)/1000*$AN30*AQ30*AT30*0.15),6),0),"")</f>
        <v>0</v>
      </c>
      <c r="DC30" s="165">
        <f t="shared" si="17"/>
        <v>0</v>
      </c>
      <c r="DD30" s="165">
        <f t="shared" si="18"/>
        <v>0</v>
      </c>
    </row>
    <row r="31" spans="1:108" s="164" customFormat="1">
      <c r="A31" s="150">
        <v>27</v>
      </c>
      <c r="B31" s="153" t="str">
        <f>IFERROR(INDEX(Lookups!$B$2:$B$38,MATCH('Project Info &amp; Summary'!$C$19,Lookups!$A$2:$A$38,0)),"")</f>
        <v/>
      </c>
      <c r="C31" s="153" t="str">
        <f>IFERROR(INDEX(Lookups!$C$2:$C$38,MATCH('Project Info &amp; Summary'!$C$19,Lookups!$A$2:$A$38,0)),"")</f>
        <v/>
      </c>
      <c r="D31" s="163"/>
      <c r="E31" s="160"/>
      <c r="F31" s="158"/>
      <c r="G31" s="158"/>
      <c r="H31" s="158"/>
      <c r="I31" s="158"/>
      <c r="J31" s="154" t="str">
        <f>IFERROR(INDEX(Lookups!$W$21:$W$26,MATCH(I31,Lookups!$V$21:$V$26,0)),"")</f>
        <v/>
      </c>
      <c r="K31" s="158"/>
      <c r="L31" s="162" t="str">
        <f>IFERROR(INDEX(Lookups!$Y$2:$Y$19,MATCH(_xlfn.CONCAT(I31,K31),Lookups!$X$2:$X$19,0)),"")</f>
        <v/>
      </c>
      <c r="M31" s="158"/>
      <c r="N31" s="153" t="str">
        <f>IFERROR(INDEX('Prescriptive Rebate Table'!$M$3:$M$20,MATCH(M31,'Prescriptive Rebate Table'!$L$3:$L$20,0)),"")</f>
        <v/>
      </c>
      <c r="O31" s="158"/>
      <c r="P31" s="154" t="str">
        <f>IFERROR(INDEX('Prescriptive Rebate Table'!$B$2:$H$64, MATCH(O31,'Prescriptive Rebate Table'!$C$2:$C$64,0),7),"")</f>
        <v/>
      </c>
      <c r="Q31" s="155" t="str">
        <f>IFERROR(INDEX('Prescriptive Rebate Table'!$B$2:$I$64, MATCH(O31,'Prescriptive Rebate Table'!$C$2:$C$64,0),8),"")</f>
        <v/>
      </c>
      <c r="R31" s="155" t="str">
        <f>IFERROR(INDEX('Prescriptive Rebate Table'!$B$2:$J$64, MATCH(O31,'Prescriptive Rebate Table'!$C$2:$C$64,0),9),"")</f>
        <v/>
      </c>
      <c r="S31" s="160"/>
      <c r="T31" s="145" t="str">
        <f>IFERROR(INDEX('Fixture Codes'!$M$8:$M$976,MATCH(S31,'Fixture Codes'!$B$8:$B$976,0)),"")</f>
        <v/>
      </c>
      <c r="U31" s="145" t="str">
        <f>IFERROR(INDEX('Fixture Codes'!$B$7:$M$976,MATCH(T31,'Fixture Codes'!$B$7:$B$976,0),5),"")</f>
        <v/>
      </c>
      <c r="V31" s="160"/>
      <c r="W31" s="145" t="str">
        <f>IFERROR(INDEX('Fixture Codes'!$L$8:$L$976,MATCH(T31,'Fixture Codes'!$B$8:$B$976,0)),"")</f>
        <v/>
      </c>
      <c r="X31" s="158"/>
      <c r="Y31" s="159"/>
      <c r="Z31" s="155" t="str">
        <f>IFERROR(INDEX(Lookups!B$68:B$87,MATCH($X31,Lookups!$A$68:$A$87,0)),"")</f>
        <v/>
      </c>
      <c r="AA31" s="150" t="str">
        <f>IFERROR(INDEX(Lookups!B$42:B$62,MATCH($X31,Lookups!$A$42:$A$62,0)),"")</f>
        <v/>
      </c>
      <c r="AB31" s="150" t="str">
        <f>IFERROR(INDEX(Lookups!C$42:C$62,MATCH($X31,Lookups!$A$42:$A$62,0)),"")</f>
        <v/>
      </c>
      <c r="AC31" s="160"/>
      <c r="AD31" s="160"/>
      <c r="AE31" s="150" t="str">
        <f>IFERROR(INDEX('Fixture Codes'!$B$7:$M$976,MATCH(AD31,'Fixture Codes'!$B$7:$B$976,0),5),"")</f>
        <v/>
      </c>
      <c r="AF31" s="160"/>
      <c r="AG31" s="145" t="str">
        <f>IFERROR(INDEX('Fixture Codes'!$L$8:$L$976,MATCH(AD31,'Fixture Codes'!$B$8:$B$976,0)),"")</f>
        <v/>
      </c>
      <c r="AH31" s="158"/>
      <c r="AI31" s="160"/>
      <c r="AJ31" s="150" t="str">
        <f>IFERROR(INDEX(Lookups!B$68:B$87,MATCH($AH31,Lookups!$A$68:$A$87,0)),"")</f>
        <v/>
      </c>
      <c r="AK31" s="150" t="str">
        <f>IFERROR(INDEX(Lookups!B$42:B$62,MATCH($AH31,Lookups!$A$42:$A$62,0)),"")</f>
        <v/>
      </c>
      <c r="AL31" s="150" t="str">
        <f>IFERROR(INDEX(Lookups!C$42:C$62,MATCH($AH31,Lookups!$A$42:$A$62,0)),"")</f>
        <v/>
      </c>
      <c r="AM31" s="150" t="str">
        <f>IFERROR(IF(M31="Exit Signs",8760,IF(INDEX('Fixture Codes'!$C$8:$C$976,MATCH(AD31,'Fixture Codes'!$B$8:$B$976,0))="Exit Sign",8760,INDEX(Lookups!$I$2:$I$428,MATCH(_xlfn.CONCAT(B31,H31),Lookups!$H$2:$H$428,0)))),"")</f>
        <v/>
      </c>
      <c r="AN31" s="153">
        <v>1</v>
      </c>
      <c r="AO31" s="150" t="str">
        <f>IF($D31="Interior",INDEX(Lookups!Q$2:Q$86,MATCH(_xlfn.CONCAT($C31,$L31),Lookups!$P$2:$P$86,0)),IF($D31="Exterior",1,""))</f>
        <v/>
      </c>
      <c r="AP31" s="150">
        <f t="shared" si="19"/>
        <v>1</v>
      </c>
      <c r="AQ31" s="150" t="str">
        <f>IF($D31="Interior",INDEX(Lookups!R$2:R$86,MATCH(_xlfn.CONCAT($C31,$L31),Lookups!$P$2:$P$86,0)),IF($D31="Exterior",1,""))</f>
        <v/>
      </c>
      <c r="AR31" s="150" t="str">
        <f>IF($D31="Interior",INDEX(Lookups!S$2:S$86,MATCH(_xlfn.CONCAT($C31,$L31),Lookups!$P$2:$P$86,0)),IF($D31="Exterior",1,""))</f>
        <v/>
      </c>
      <c r="AS31" s="150" t="str">
        <f>IF($D31="Interior",INDEX(Lookups!T$2:T$86,MATCH(_xlfn.CONCAT($C31,$L31),Lookups!$P$2:$P$86,0)),IF($D31="Exterior",1,""))</f>
        <v/>
      </c>
      <c r="AT31" s="150" t="str">
        <f>IFERROR(IF(M31="Exit Signs",1,IF(INDEX('Fixture Codes'!$C$8:$C$976,MATCH($AD31,'Fixture Codes'!$B$8:$B$976,0))="Exit Sign",1,INDEX(Lookups!J$2:J$428,MATCH(_xlfn.CONCAT($B31,$H31),Lookups!$H$2:$H$428,0)))),"")</f>
        <v/>
      </c>
      <c r="AU31" s="150" t="str">
        <f>IFERROR(IF(M31="Exit Signs",1,IF(INDEX('Fixture Codes'!$C$8:$C$976,MATCH($AD31,'Fixture Codes'!$B$8:$B$976,0))="Exit Sign",1,INDEX(Lookups!K$2:K$428,MATCH(_xlfn.CONCAT($B31,$H31),Lookups!$H$2:$H$428,0)))),"")</f>
        <v/>
      </c>
      <c r="AV31" s="150" t="str">
        <f>IFERROR(IF(M31="Exit Signs",1,IF(INDEX('Fixture Codes'!$C$8:$C$976,MATCH($AD31,'Fixture Codes'!$B$8:$B$976,0))="Exit Sign",1,INDEX(Lookups!L$2:L$428,MATCH(_xlfn.CONCAT($B31,$H31),Lookups!$H$2:$H$428,0)))),"")</f>
        <v/>
      </c>
      <c r="AW31" s="150" t="str">
        <f>IF(ISBLANK(K31),"",IF(K31="Gas",INDEX(Lookups!$AG$2:$AG$63,MATCH(O31,Lookups!$AD$2:$AD$63,0),0),0))</f>
        <v/>
      </c>
      <c r="AX31" s="150" t="str">
        <f>IF(ISBLANK(K31),"",IF(K31="Gas",INDEX(Lookups!$AF$2:$AF$63,MATCH(O31,Lookups!$AD$2:$AD$63,0),0),0))</f>
        <v/>
      </c>
      <c r="AY31" s="150" t="str">
        <f>IF(ISBLANK(K31),"",IF(K31="Gas",INDEX(Lookups!$AH$2:$AH$63,MATCH(O31,Lookups!$AD$2:$AD$63,0),0),0))</f>
        <v/>
      </c>
      <c r="AZ31" s="150" t="str">
        <f>IF(ISBLANK(K31),"",IF(K31="Gas",INDEX(Lookups!$AI$2:$AI$63,MATCH(O31,Lookups!$AD$2:$AD$63,0),0),0))</f>
        <v/>
      </c>
      <c r="BA31" s="150" t="str">
        <f t="shared" si="0"/>
        <v/>
      </c>
      <c r="BB31" s="156" t="str">
        <f>IF(ISBLANK(AH31),"",IF(AH31="None",0,IF(K31="Gas",INDEX(Lookups!$AF$51:$AF$69,MATCH(AH31,Lookups!$AD$51:$AD$69,0),0),0)))</f>
        <v/>
      </c>
      <c r="BC31" s="156" t="str">
        <f>IF(ISBLANK(AH31),"",IF(AH31="None",0,IF(K31="Gas",INDEX(Lookups!$AH$51:$AH$69,MATCH(AH31,Lookups!$AD$51:$AD$69,0),0),0)))</f>
        <v/>
      </c>
      <c r="BD31" s="156" t="str">
        <f>IF(ISBLANK(AH31),"",IF(AH31="None",0,IF(K31="Gas",INDEX(Lookups!$AI$51:$AI$69,MATCH(AH31,Lookups!$AD$51:$AD$69,0),0),0)))</f>
        <v/>
      </c>
      <c r="BE31" s="157"/>
      <c r="BF31" s="157"/>
      <c r="BG31" s="147" t="str">
        <f t="shared" si="20"/>
        <v/>
      </c>
      <c r="BH31" s="147" t="str">
        <f t="shared" si="21"/>
        <v/>
      </c>
      <c r="BI31" s="147" t="str">
        <f t="shared" si="1"/>
        <v/>
      </c>
      <c r="BJ31" s="147" t="str">
        <f t="shared" si="2"/>
        <v/>
      </c>
      <c r="BK31" s="148" t="str">
        <f t="shared" si="22"/>
        <v/>
      </c>
      <c r="BL31" s="147" t="str">
        <f t="shared" si="3"/>
        <v/>
      </c>
      <c r="BM31" s="148" t="str">
        <f t="shared" si="23"/>
        <v/>
      </c>
      <c r="BN31" s="147" t="str">
        <f t="shared" si="24"/>
        <v/>
      </c>
      <c r="BO31" s="147" t="str">
        <f t="shared" si="24"/>
        <v/>
      </c>
      <c r="BP31" s="147" t="str">
        <f t="shared" si="25"/>
        <v/>
      </c>
      <c r="BQ31" s="148" t="str">
        <f t="shared" si="26"/>
        <v/>
      </c>
      <c r="BR31" s="148" t="str">
        <f t="shared" si="27"/>
        <v/>
      </c>
      <c r="BS31" s="148" t="str">
        <f t="shared" si="28"/>
        <v/>
      </c>
      <c r="BT31" s="148" t="str">
        <f t="shared" si="7"/>
        <v/>
      </c>
      <c r="BU31" s="148" t="str">
        <f t="shared" si="8"/>
        <v/>
      </c>
      <c r="BV31" s="148" t="str">
        <f t="shared" si="9"/>
        <v/>
      </c>
      <c r="BW31" s="148" t="str">
        <f t="shared" si="29"/>
        <v/>
      </c>
      <c r="BX31" s="148" t="str">
        <f t="shared" si="10"/>
        <v/>
      </c>
      <c r="BY31" s="148" t="str">
        <f t="shared" si="11"/>
        <v/>
      </c>
      <c r="BZ31" s="149" t="str">
        <f>IFERROR(INDEX('Prescriptive Rebate Table'!$B$2:$E$64,MATCH(O31,'Prescriptive Rebate Table'!$C$2:$C$64,0),3),"")</f>
        <v/>
      </c>
      <c r="CA31" s="145" t="str">
        <f>IFERROR(INDEX('Prescriptive Rebate Table'!$B$2:$E$64,MATCH(O31,'Prescriptive Rebate Table'!$C$2:$C$64,0),4),"")</f>
        <v/>
      </c>
      <c r="CB31" s="149" t="str">
        <f t="shared" si="30"/>
        <v/>
      </c>
      <c r="CC31" s="145" t="str">
        <f t="shared" si="31"/>
        <v/>
      </c>
      <c r="CD31" s="149" t="str">
        <f t="shared" si="12"/>
        <v/>
      </c>
      <c r="CE31" s="149" t="str">
        <f t="shared" si="13"/>
        <v/>
      </c>
      <c r="CF31" s="149" t="str">
        <f>IF(BK31&lt;=0,0,IFERROR(IF(OR(ISBLANK(AC31),ISBLANK(CD31))=TRUE,"",IF(CA31="Per Foot",INDEX('Fixture Codes'!$I$8:$I$976,MATCH(AD31,'Fixture Codes'!$B$8:$B$976,0))/12*AF31*BZ31,IF(CA31="Lamp",INDEX('Fixture Codes'!$J$8:$J$976,MATCH(AD31,'Fixture Codes'!$B$8:$B$976,0))*AF31*BZ31,IF(CA31="Fixture",AF31*BZ31,IF(CA31="kWh",BK31*BZ31,0))))),""))</f>
        <v/>
      </c>
      <c r="CG31" s="149" t="str">
        <f t="shared" si="32"/>
        <v/>
      </c>
      <c r="CH31" s="149" t="str">
        <f t="shared" si="33"/>
        <v/>
      </c>
      <c r="CI31" s="152"/>
      <c r="CJ31" s="146"/>
      <c r="CK31" s="241">
        <f>IFERROR(IF(CL31="Yes",'Prescriptive Rebate Table'!$D$69,IF(ISBLANK(AI31),0,IF(AND(AH31=Lookups!$A$62,BK31&gt;0),'Prescriptive Rebate Table'!$D$68,IF(AND(BK31&gt;0,CJ31=AF31),'Prescriptive Rebate Table'!$D$67,IF(AND(BK31&gt;0,CJ31&lt;&gt;AF31),'Prescriptive Rebate Table'!D90,0))))),"")</f>
        <v>0</v>
      </c>
      <c r="CL31" s="240" t="s">
        <v>2712</v>
      </c>
      <c r="CM31" s="152"/>
      <c r="CN31" s="152"/>
      <c r="CO31" s="152"/>
      <c r="CP31" s="146">
        <f t="shared" si="14"/>
        <v>0</v>
      </c>
      <c r="CQ31" s="153">
        <f>IF(D31="Interior",ROUND(($AG31*AF31)/1000*$AM31*(Lookups!$B$54-$AA31)*$AN31*$AO31,3),0)</f>
        <v>0</v>
      </c>
      <c r="CR31" s="153">
        <f>IFERROR(IF(D31="Interior",ROUND(($AG31*$AF31)/1000*(Lookups!$C$54-$AB31)*$AN31*AQ31*AT31,6),0),"")</f>
        <v>0</v>
      </c>
      <c r="CS31" s="165">
        <f t="shared" si="34"/>
        <v>0</v>
      </c>
      <c r="CT31" s="165">
        <f t="shared" si="35"/>
        <v>0</v>
      </c>
      <c r="CV31" s="153">
        <f>IF(D31="Interior",ROUND(($AG31*AF31)/1000*$AM31*(Lookups!$B$43-$AA31)*$AN31*$AO31,3),0)</f>
        <v>0</v>
      </c>
      <c r="CW31" s="153">
        <f>IFERROR(IF(D31="Interior",ROUND(($AG31*$AF31)/1000*(Lookups!$C$43-$AB31)*$AN31*AQ31*AT31,6),0),"")</f>
        <v>0</v>
      </c>
      <c r="CX31" s="165">
        <f t="shared" si="15"/>
        <v>0</v>
      </c>
      <c r="CY31" s="165">
        <f t="shared" si="16"/>
        <v>0</v>
      </c>
      <c r="DA31" s="153">
        <f>IF(D31="Interior",ROUND(($AG31*AF31*(1-0.15))/1000*$AM31*(Lookups!$B$43+0.097-$AA31)*$AN31*$AO31+((W31*V31)/1000*AN31*AM31*AO31*0.15),3),0)</f>
        <v>0</v>
      </c>
      <c r="DB31" s="153">
        <f>IFERROR(IF(D31="Interior",ROUND(($AG31*$AF31)/1000*(Lookups!$C$43+0.097-$AB31)*$AN31*AQ31*AT31+(($AG31*$AF31)/1000*$AN31*AQ31*AT31*0.15),6),0),"")</f>
        <v>0</v>
      </c>
      <c r="DC31" s="165">
        <f t="shared" si="17"/>
        <v>0</v>
      </c>
      <c r="DD31" s="165">
        <f t="shared" si="18"/>
        <v>0</v>
      </c>
    </row>
    <row r="32" spans="1:108" s="164" customFormat="1">
      <c r="A32" s="150">
        <v>28</v>
      </c>
      <c r="B32" s="153" t="str">
        <f>IFERROR(INDEX(Lookups!$B$2:$B$38,MATCH('Project Info &amp; Summary'!$C$19,Lookups!$A$2:$A$38,0)),"")</f>
        <v/>
      </c>
      <c r="C32" s="153" t="str">
        <f>IFERROR(INDEX(Lookups!$C$2:$C$38,MATCH('Project Info &amp; Summary'!$C$19,Lookups!$A$2:$A$38,0)),"")</f>
        <v/>
      </c>
      <c r="D32" s="163"/>
      <c r="E32" s="160"/>
      <c r="F32" s="158"/>
      <c r="G32" s="158"/>
      <c r="H32" s="158"/>
      <c r="I32" s="158"/>
      <c r="J32" s="154" t="str">
        <f>IFERROR(INDEX(Lookups!$W$21:$W$26,MATCH(I32,Lookups!$V$21:$V$26,0)),"")</f>
        <v/>
      </c>
      <c r="K32" s="158"/>
      <c r="L32" s="162" t="str">
        <f>IFERROR(INDEX(Lookups!$Y$2:$Y$19,MATCH(_xlfn.CONCAT(I32,K32),Lookups!$X$2:$X$19,0)),"")</f>
        <v/>
      </c>
      <c r="M32" s="158"/>
      <c r="N32" s="153" t="str">
        <f>IFERROR(INDEX('Prescriptive Rebate Table'!$M$3:$M$20,MATCH(M32,'Prescriptive Rebate Table'!$L$3:$L$20,0)),"")</f>
        <v/>
      </c>
      <c r="O32" s="158"/>
      <c r="P32" s="154" t="str">
        <f>IFERROR(INDEX('Prescriptive Rebate Table'!$B$2:$H$64, MATCH(O32,'Prescriptive Rebate Table'!$C$2:$C$64,0),7),"")</f>
        <v/>
      </c>
      <c r="Q32" s="155" t="str">
        <f>IFERROR(INDEX('Prescriptive Rebate Table'!$B$2:$I$64, MATCH(O32,'Prescriptive Rebate Table'!$C$2:$C$64,0),8),"")</f>
        <v/>
      </c>
      <c r="R32" s="155" t="str">
        <f>IFERROR(INDEX('Prescriptive Rebate Table'!$B$2:$J$64, MATCH(O32,'Prescriptive Rebate Table'!$C$2:$C$64,0),9),"")</f>
        <v/>
      </c>
      <c r="S32" s="160"/>
      <c r="T32" s="145" t="str">
        <f>IFERROR(INDEX('Fixture Codes'!$M$8:$M$976,MATCH(S32,'Fixture Codes'!$B$8:$B$976,0)),"")</f>
        <v/>
      </c>
      <c r="U32" s="145" t="str">
        <f>IFERROR(INDEX('Fixture Codes'!$B$7:$M$976,MATCH(T32,'Fixture Codes'!$B$7:$B$976,0),5),"")</f>
        <v/>
      </c>
      <c r="V32" s="160"/>
      <c r="W32" s="145" t="str">
        <f>IFERROR(INDEX('Fixture Codes'!$L$8:$L$976,MATCH(T32,'Fixture Codes'!$B$8:$B$976,0)),"")</f>
        <v/>
      </c>
      <c r="X32" s="158"/>
      <c r="Y32" s="159"/>
      <c r="Z32" s="155" t="str">
        <f>IFERROR(INDEX(Lookups!B$68:B$87,MATCH($X32,Lookups!$A$68:$A$87,0)),"")</f>
        <v/>
      </c>
      <c r="AA32" s="150" t="str">
        <f>IFERROR(INDEX(Lookups!B$42:B$62,MATCH($X32,Lookups!$A$42:$A$62,0)),"")</f>
        <v/>
      </c>
      <c r="AB32" s="150" t="str">
        <f>IFERROR(INDEX(Lookups!C$42:C$62,MATCH($X32,Lookups!$A$42:$A$62,0)),"")</f>
        <v/>
      </c>
      <c r="AC32" s="160"/>
      <c r="AD32" s="160"/>
      <c r="AE32" s="150" t="str">
        <f>IFERROR(INDEX('Fixture Codes'!$B$7:$M$976,MATCH(AD32,'Fixture Codes'!$B$7:$B$976,0),5),"")</f>
        <v/>
      </c>
      <c r="AF32" s="160"/>
      <c r="AG32" s="145" t="str">
        <f>IFERROR(INDEX('Fixture Codes'!$L$8:$L$976,MATCH(AD32,'Fixture Codes'!$B$8:$B$976,0)),"")</f>
        <v/>
      </c>
      <c r="AH32" s="158"/>
      <c r="AI32" s="160"/>
      <c r="AJ32" s="150" t="str">
        <f>IFERROR(INDEX(Lookups!B$68:B$87,MATCH($AH32,Lookups!$A$68:$A$87,0)),"")</f>
        <v/>
      </c>
      <c r="AK32" s="150" t="str">
        <f>IFERROR(INDEX(Lookups!B$42:B$62,MATCH($AH32,Lookups!$A$42:$A$62,0)),"")</f>
        <v/>
      </c>
      <c r="AL32" s="150" t="str">
        <f>IFERROR(INDEX(Lookups!C$42:C$62,MATCH($AH32,Lookups!$A$42:$A$62,0)),"")</f>
        <v/>
      </c>
      <c r="AM32" s="150" t="str">
        <f>IFERROR(IF(M32="Exit Signs",8760,IF(INDEX('Fixture Codes'!$C$8:$C$976,MATCH(AD32,'Fixture Codes'!$B$8:$B$976,0))="Exit Sign",8760,INDEX(Lookups!$I$2:$I$428,MATCH(_xlfn.CONCAT(B32,H32),Lookups!$H$2:$H$428,0)))),"")</f>
        <v/>
      </c>
      <c r="AN32" s="153">
        <v>1</v>
      </c>
      <c r="AO32" s="150" t="str">
        <f>IF($D32="Interior",INDEX(Lookups!Q$2:Q$86,MATCH(_xlfn.CONCAT($C32,$L32),Lookups!$P$2:$P$86,0)),IF($D32="Exterior",1,""))</f>
        <v/>
      </c>
      <c r="AP32" s="150">
        <f t="shared" si="19"/>
        <v>1</v>
      </c>
      <c r="AQ32" s="150" t="str">
        <f>IF($D32="Interior",INDEX(Lookups!R$2:R$86,MATCH(_xlfn.CONCAT($C32,$L32),Lookups!$P$2:$P$86,0)),IF($D32="Exterior",1,""))</f>
        <v/>
      </c>
      <c r="AR32" s="150" t="str">
        <f>IF($D32="Interior",INDEX(Lookups!S$2:S$86,MATCH(_xlfn.CONCAT($C32,$L32),Lookups!$P$2:$P$86,0)),IF($D32="Exterior",1,""))</f>
        <v/>
      </c>
      <c r="AS32" s="150" t="str">
        <f>IF($D32="Interior",INDEX(Lookups!T$2:T$86,MATCH(_xlfn.CONCAT($C32,$L32),Lookups!$P$2:$P$86,0)),IF($D32="Exterior",1,""))</f>
        <v/>
      </c>
      <c r="AT32" s="150" t="str">
        <f>IFERROR(IF(M32="Exit Signs",1,IF(INDEX('Fixture Codes'!$C$8:$C$976,MATCH($AD32,'Fixture Codes'!$B$8:$B$976,0))="Exit Sign",1,INDEX(Lookups!J$2:J$428,MATCH(_xlfn.CONCAT($B32,$H32),Lookups!$H$2:$H$428,0)))),"")</f>
        <v/>
      </c>
      <c r="AU32" s="150" t="str">
        <f>IFERROR(IF(M32="Exit Signs",1,IF(INDEX('Fixture Codes'!$C$8:$C$976,MATCH($AD32,'Fixture Codes'!$B$8:$B$976,0))="Exit Sign",1,INDEX(Lookups!K$2:K$428,MATCH(_xlfn.CONCAT($B32,$H32),Lookups!$H$2:$H$428,0)))),"")</f>
        <v/>
      </c>
      <c r="AV32" s="150" t="str">
        <f>IFERROR(IF(M32="Exit Signs",1,IF(INDEX('Fixture Codes'!$C$8:$C$976,MATCH($AD32,'Fixture Codes'!$B$8:$B$976,0))="Exit Sign",1,INDEX(Lookups!L$2:L$428,MATCH(_xlfn.CONCAT($B32,$H32),Lookups!$H$2:$H$428,0)))),"")</f>
        <v/>
      </c>
      <c r="AW32" s="150" t="str">
        <f>IF(ISBLANK(K32),"",IF(K32="Gas",INDEX(Lookups!$AG$2:$AG$63,MATCH(O32,Lookups!$AD$2:$AD$63,0),0),0))</f>
        <v/>
      </c>
      <c r="AX32" s="150" t="str">
        <f>IF(ISBLANK(K32),"",IF(K32="Gas",INDEX(Lookups!$AF$2:$AF$63,MATCH(O32,Lookups!$AD$2:$AD$63,0),0),0))</f>
        <v/>
      </c>
      <c r="AY32" s="150" t="str">
        <f>IF(ISBLANK(K32),"",IF(K32="Gas",INDEX(Lookups!$AH$2:$AH$63,MATCH(O32,Lookups!$AD$2:$AD$63,0),0),0))</f>
        <v/>
      </c>
      <c r="AZ32" s="150" t="str">
        <f>IF(ISBLANK(K32),"",IF(K32="Gas",INDEX(Lookups!$AI$2:$AI$63,MATCH(O32,Lookups!$AD$2:$AD$63,0),0),0))</f>
        <v/>
      </c>
      <c r="BA32" s="150" t="str">
        <f t="shared" si="0"/>
        <v/>
      </c>
      <c r="BB32" s="156" t="str">
        <f>IF(ISBLANK(AH32),"",IF(AH32="None",0,IF(K32="Gas",INDEX(Lookups!$AF$51:$AF$69,MATCH(AH32,Lookups!$AD$51:$AD$69,0),0),0)))</f>
        <v/>
      </c>
      <c r="BC32" s="156" t="str">
        <f>IF(ISBLANK(AH32),"",IF(AH32="None",0,IF(K32="Gas",INDEX(Lookups!$AH$51:$AH$69,MATCH(AH32,Lookups!$AD$51:$AD$69,0),0),0)))</f>
        <v/>
      </c>
      <c r="BD32" s="156" t="str">
        <f>IF(ISBLANK(AH32),"",IF(AH32="None",0,IF(K32="Gas",INDEX(Lookups!$AI$51:$AI$69,MATCH(AH32,Lookups!$AD$51:$AD$69,0),0),0)))</f>
        <v/>
      </c>
      <c r="BE32" s="157"/>
      <c r="BF32" s="157"/>
      <c r="BG32" s="147" t="str">
        <f t="shared" si="20"/>
        <v/>
      </c>
      <c r="BH32" s="147" t="str">
        <f t="shared" si="21"/>
        <v/>
      </c>
      <c r="BI32" s="147" t="str">
        <f t="shared" si="1"/>
        <v/>
      </c>
      <c r="BJ32" s="147" t="str">
        <f t="shared" si="2"/>
        <v/>
      </c>
      <c r="BK32" s="148" t="str">
        <f t="shared" si="22"/>
        <v/>
      </c>
      <c r="BL32" s="147" t="str">
        <f t="shared" si="3"/>
        <v/>
      </c>
      <c r="BM32" s="148" t="str">
        <f t="shared" si="23"/>
        <v/>
      </c>
      <c r="BN32" s="147" t="str">
        <f t="shared" si="24"/>
        <v/>
      </c>
      <c r="BO32" s="147" t="str">
        <f t="shared" si="24"/>
        <v/>
      </c>
      <c r="BP32" s="147" t="str">
        <f t="shared" si="25"/>
        <v/>
      </c>
      <c r="BQ32" s="148" t="str">
        <f t="shared" si="26"/>
        <v/>
      </c>
      <c r="BR32" s="148" t="str">
        <f t="shared" si="27"/>
        <v/>
      </c>
      <c r="BS32" s="148" t="str">
        <f t="shared" si="28"/>
        <v/>
      </c>
      <c r="BT32" s="148" t="str">
        <f t="shared" si="7"/>
        <v/>
      </c>
      <c r="BU32" s="148" t="str">
        <f t="shared" si="8"/>
        <v/>
      </c>
      <c r="BV32" s="148" t="str">
        <f t="shared" si="9"/>
        <v/>
      </c>
      <c r="BW32" s="148" t="str">
        <f t="shared" si="29"/>
        <v/>
      </c>
      <c r="BX32" s="148" t="str">
        <f t="shared" si="10"/>
        <v/>
      </c>
      <c r="BY32" s="148" t="str">
        <f t="shared" si="11"/>
        <v/>
      </c>
      <c r="BZ32" s="149" t="str">
        <f>IFERROR(INDEX('Prescriptive Rebate Table'!$B$2:$E$64,MATCH(O32,'Prescriptive Rebate Table'!$C$2:$C$64,0),3),"")</f>
        <v/>
      </c>
      <c r="CA32" s="145" t="str">
        <f>IFERROR(INDEX('Prescriptive Rebate Table'!$B$2:$E$64,MATCH(O32,'Prescriptive Rebate Table'!$C$2:$C$64,0),4),"")</f>
        <v/>
      </c>
      <c r="CB32" s="149" t="str">
        <f t="shared" si="30"/>
        <v/>
      </c>
      <c r="CC32" s="145" t="str">
        <f t="shared" si="31"/>
        <v/>
      </c>
      <c r="CD32" s="149" t="str">
        <f t="shared" si="12"/>
        <v/>
      </c>
      <c r="CE32" s="149" t="str">
        <f t="shared" si="13"/>
        <v/>
      </c>
      <c r="CF32" s="149" t="str">
        <f>IF(BK32&lt;=0,0,IFERROR(IF(OR(ISBLANK(AC32),ISBLANK(CD32))=TRUE,"",IF(CA32="Per Foot",INDEX('Fixture Codes'!$I$8:$I$976,MATCH(AD32,'Fixture Codes'!$B$8:$B$976,0))/12*AF32*BZ32,IF(CA32="Lamp",INDEX('Fixture Codes'!$J$8:$J$976,MATCH(AD32,'Fixture Codes'!$B$8:$B$976,0))*AF32*BZ32,IF(CA32="Fixture",AF32*BZ32,IF(CA32="kWh",BK32*BZ32,0))))),""))</f>
        <v/>
      </c>
      <c r="CG32" s="149" t="str">
        <f t="shared" si="32"/>
        <v/>
      </c>
      <c r="CH32" s="149" t="str">
        <f t="shared" si="33"/>
        <v/>
      </c>
      <c r="CI32" s="152"/>
      <c r="CJ32" s="146"/>
      <c r="CK32" s="241">
        <f>IFERROR(IF(CL32="Yes",'Prescriptive Rebate Table'!$D$69,IF(ISBLANK(AI32),0,IF(AND(AH32=Lookups!$A$62,BK32&gt;0),'Prescriptive Rebate Table'!$D$68,IF(AND(BK32&gt;0,CJ32=AF32),'Prescriptive Rebate Table'!$D$67,IF(AND(BK32&gt;0,CJ32&lt;&gt;AF32),'Prescriptive Rebate Table'!D91,0))))),"")</f>
        <v>0</v>
      </c>
      <c r="CL32" s="240" t="s">
        <v>2712</v>
      </c>
      <c r="CM32" s="152"/>
      <c r="CN32" s="152"/>
      <c r="CO32" s="152"/>
      <c r="CP32" s="146">
        <f t="shared" si="14"/>
        <v>0</v>
      </c>
      <c r="CQ32" s="153">
        <f>IF(D32="Interior",ROUND(($AG32*AF32)/1000*$AM32*(Lookups!$B$54-$AA32)*$AN32*$AO32,3),0)</f>
        <v>0</v>
      </c>
      <c r="CR32" s="153">
        <f>IFERROR(IF(D32="Interior",ROUND(($AG32*$AF32)/1000*(Lookups!$C$54-$AB32)*$AN32*AQ32*AT32,6),0),"")</f>
        <v>0</v>
      </c>
      <c r="CS32" s="165">
        <f t="shared" si="34"/>
        <v>0</v>
      </c>
      <c r="CT32" s="165">
        <f t="shared" si="35"/>
        <v>0</v>
      </c>
      <c r="CV32" s="153">
        <f>IF(D32="Interior",ROUND(($AG32*AF32)/1000*$AM32*(Lookups!$B$43-$AA32)*$AN32*$AO32,3),0)</f>
        <v>0</v>
      </c>
      <c r="CW32" s="153">
        <f>IFERROR(IF(D32="Interior",ROUND(($AG32*$AF32)/1000*(Lookups!$C$43-$AB32)*$AN32*AQ32*AT32,6),0),"")</f>
        <v>0</v>
      </c>
      <c r="CX32" s="165">
        <f t="shared" si="15"/>
        <v>0</v>
      </c>
      <c r="CY32" s="165">
        <f t="shared" si="16"/>
        <v>0</v>
      </c>
      <c r="DA32" s="153">
        <f>IF(D32="Interior",ROUND(($AG32*AF32*(1-0.15))/1000*$AM32*(Lookups!$B$43+0.097-$AA32)*$AN32*$AO32+((W32*V32)/1000*AN32*AM32*AO32*0.15),3),0)</f>
        <v>0</v>
      </c>
      <c r="DB32" s="153">
        <f>IFERROR(IF(D32="Interior",ROUND(($AG32*$AF32)/1000*(Lookups!$C$43+0.097-$AB32)*$AN32*AQ32*AT32+(($AG32*$AF32)/1000*$AN32*AQ32*AT32*0.15),6),0),"")</f>
        <v>0</v>
      </c>
      <c r="DC32" s="165">
        <f t="shared" si="17"/>
        <v>0</v>
      </c>
      <c r="DD32" s="165">
        <f t="shared" si="18"/>
        <v>0</v>
      </c>
    </row>
    <row r="33" spans="1:108" s="164" customFormat="1">
      <c r="A33" s="150">
        <v>29</v>
      </c>
      <c r="B33" s="153" t="str">
        <f>IFERROR(INDEX(Lookups!$B$2:$B$38,MATCH('Project Info &amp; Summary'!$C$19,Lookups!$A$2:$A$38,0)),"")</f>
        <v/>
      </c>
      <c r="C33" s="153" t="str">
        <f>IFERROR(INDEX(Lookups!$C$2:$C$38,MATCH('Project Info &amp; Summary'!$C$19,Lookups!$A$2:$A$38,0)),"")</f>
        <v/>
      </c>
      <c r="D33" s="163"/>
      <c r="E33" s="160"/>
      <c r="F33" s="158"/>
      <c r="G33" s="158"/>
      <c r="H33" s="158"/>
      <c r="I33" s="158"/>
      <c r="J33" s="154" t="str">
        <f>IFERROR(INDEX(Lookups!$W$21:$W$26,MATCH(I33,Lookups!$V$21:$V$26,0)),"")</f>
        <v/>
      </c>
      <c r="K33" s="158"/>
      <c r="L33" s="162" t="str">
        <f>IFERROR(INDEX(Lookups!$Y$2:$Y$19,MATCH(_xlfn.CONCAT(I33,K33),Lookups!$X$2:$X$19,0)),"")</f>
        <v/>
      </c>
      <c r="M33" s="158"/>
      <c r="N33" s="153" t="str">
        <f>IFERROR(INDEX('Prescriptive Rebate Table'!$M$3:$M$20,MATCH(M33,'Prescriptive Rebate Table'!$L$3:$L$20,0)),"")</f>
        <v/>
      </c>
      <c r="O33" s="158"/>
      <c r="P33" s="154" t="str">
        <f>IFERROR(INDEX('Prescriptive Rebate Table'!$B$2:$H$64, MATCH(O33,'Prescriptive Rebate Table'!$C$2:$C$64,0),7),"")</f>
        <v/>
      </c>
      <c r="Q33" s="155" t="str">
        <f>IFERROR(INDEX('Prescriptive Rebate Table'!$B$2:$I$64, MATCH(O33,'Prescriptive Rebate Table'!$C$2:$C$64,0),8),"")</f>
        <v/>
      </c>
      <c r="R33" s="155" t="str">
        <f>IFERROR(INDEX('Prescriptive Rebate Table'!$B$2:$J$64, MATCH(O33,'Prescriptive Rebate Table'!$C$2:$C$64,0),9),"")</f>
        <v/>
      </c>
      <c r="S33" s="160"/>
      <c r="T33" s="145" t="str">
        <f>IFERROR(INDEX('Fixture Codes'!$M$8:$M$976,MATCH(S33,'Fixture Codes'!$B$8:$B$976,0)),"")</f>
        <v/>
      </c>
      <c r="U33" s="145" t="str">
        <f>IFERROR(INDEX('Fixture Codes'!$B$7:$M$976,MATCH(T33,'Fixture Codes'!$B$7:$B$976,0),5),"")</f>
        <v/>
      </c>
      <c r="V33" s="160"/>
      <c r="W33" s="145" t="str">
        <f>IFERROR(INDEX('Fixture Codes'!$L$8:$L$976,MATCH(T33,'Fixture Codes'!$B$8:$B$976,0)),"")</f>
        <v/>
      </c>
      <c r="X33" s="158"/>
      <c r="Y33" s="159"/>
      <c r="Z33" s="155" t="str">
        <f>IFERROR(INDEX(Lookups!B$68:B$87,MATCH($X33,Lookups!$A$68:$A$87,0)),"")</f>
        <v/>
      </c>
      <c r="AA33" s="150" t="str">
        <f>IFERROR(INDEX(Lookups!B$42:B$62,MATCH($X33,Lookups!$A$42:$A$62,0)),"")</f>
        <v/>
      </c>
      <c r="AB33" s="150" t="str">
        <f>IFERROR(INDEX(Lookups!C$42:C$62,MATCH($X33,Lookups!$A$42:$A$62,0)),"")</f>
        <v/>
      </c>
      <c r="AC33" s="160"/>
      <c r="AD33" s="160"/>
      <c r="AE33" s="150" t="str">
        <f>IFERROR(INDEX('Fixture Codes'!$B$7:$M$976,MATCH(AD33,'Fixture Codes'!$B$7:$B$976,0),5),"")</f>
        <v/>
      </c>
      <c r="AF33" s="160"/>
      <c r="AG33" s="145" t="str">
        <f>IFERROR(INDEX('Fixture Codes'!$L$8:$L$976,MATCH(AD33,'Fixture Codes'!$B$8:$B$976,0)),"")</f>
        <v/>
      </c>
      <c r="AH33" s="158"/>
      <c r="AI33" s="160"/>
      <c r="AJ33" s="150" t="str">
        <f>IFERROR(INDEX(Lookups!B$68:B$87,MATCH($AH33,Lookups!$A$68:$A$87,0)),"")</f>
        <v/>
      </c>
      <c r="AK33" s="150" t="str">
        <f>IFERROR(INDEX(Lookups!B$42:B$62,MATCH($AH33,Lookups!$A$42:$A$62,0)),"")</f>
        <v/>
      </c>
      <c r="AL33" s="150" t="str">
        <f>IFERROR(INDEX(Lookups!C$42:C$62,MATCH($AH33,Lookups!$A$42:$A$62,0)),"")</f>
        <v/>
      </c>
      <c r="AM33" s="150" t="str">
        <f>IFERROR(IF(M33="Exit Signs",8760,IF(INDEX('Fixture Codes'!$C$8:$C$976,MATCH(AD33,'Fixture Codes'!$B$8:$B$976,0))="Exit Sign",8760,INDEX(Lookups!$I$2:$I$428,MATCH(_xlfn.CONCAT(B33,H33),Lookups!$H$2:$H$428,0)))),"")</f>
        <v/>
      </c>
      <c r="AN33" s="153">
        <v>1</v>
      </c>
      <c r="AO33" s="150" t="str">
        <f>IF($D33="Interior",INDEX(Lookups!Q$2:Q$86,MATCH(_xlfn.CONCAT($C33,$L33),Lookups!$P$2:$P$86,0)),IF($D33="Exterior",1,""))</f>
        <v/>
      </c>
      <c r="AP33" s="150">
        <f t="shared" si="19"/>
        <v>1</v>
      </c>
      <c r="AQ33" s="150" t="str">
        <f>IF($D33="Interior",INDEX(Lookups!R$2:R$86,MATCH(_xlfn.CONCAT($C33,$L33),Lookups!$P$2:$P$86,0)),IF($D33="Exterior",1,""))</f>
        <v/>
      </c>
      <c r="AR33" s="150" t="str">
        <f>IF($D33="Interior",INDEX(Lookups!S$2:S$86,MATCH(_xlfn.CONCAT($C33,$L33),Lookups!$P$2:$P$86,0)),IF($D33="Exterior",1,""))</f>
        <v/>
      </c>
      <c r="AS33" s="150" t="str">
        <f>IF($D33="Interior",INDEX(Lookups!T$2:T$86,MATCH(_xlfn.CONCAT($C33,$L33),Lookups!$P$2:$P$86,0)),IF($D33="Exterior",1,""))</f>
        <v/>
      </c>
      <c r="AT33" s="150" t="str">
        <f>IFERROR(IF(M33="Exit Signs",1,IF(INDEX('Fixture Codes'!$C$8:$C$976,MATCH($AD33,'Fixture Codes'!$B$8:$B$976,0))="Exit Sign",1,INDEX(Lookups!J$2:J$428,MATCH(_xlfn.CONCAT($B33,$H33),Lookups!$H$2:$H$428,0)))),"")</f>
        <v/>
      </c>
      <c r="AU33" s="150" t="str">
        <f>IFERROR(IF(M33="Exit Signs",1,IF(INDEX('Fixture Codes'!$C$8:$C$976,MATCH($AD33,'Fixture Codes'!$B$8:$B$976,0))="Exit Sign",1,INDEX(Lookups!K$2:K$428,MATCH(_xlfn.CONCAT($B33,$H33),Lookups!$H$2:$H$428,0)))),"")</f>
        <v/>
      </c>
      <c r="AV33" s="150" t="str">
        <f>IFERROR(IF(M33="Exit Signs",1,IF(INDEX('Fixture Codes'!$C$8:$C$976,MATCH($AD33,'Fixture Codes'!$B$8:$B$976,0))="Exit Sign",1,INDEX(Lookups!L$2:L$428,MATCH(_xlfn.CONCAT($B33,$H33),Lookups!$H$2:$H$428,0)))),"")</f>
        <v/>
      </c>
      <c r="AW33" s="150" t="str">
        <f>IF(ISBLANK(K33),"",IF(K33="Gas",INDEX(Lookups!$AG$2:$AG$63,MATCH(O33,Lookups!$AD$2:$AD$63,0),0),0))</f>
        <v/>
      </c>
      <c r="AX33" s="150" t="str">
        <f>IF(ISBLANK(K33),"",IF(K33="Gas",INDEX(Lookups!$AF$2:$AF$63,MATCH(O33,Lookups!$AD$2:$AD$63,0),0),0))</f>
        <v/>
      </c>
      <c r="AY33" s="150" t="str">
        <f>IF(ISBLANK(K33),"",IF(K33="Gas",INDEX(Lookups!$AH$2:$AH$63,MATCH(O33,Lookups!$AD$2:$AD$63,0),0),0))</f>
        <v/>
      </c>
      <c r="AZ33" s="150" t="str">
        <f>IF(ISBLANK(K33),"",IF(K33="Gas",INDEX(Lookups!$AI$2:$AI$63,MATCH(O33,Lookups!$AD$2:$AD$63,0),0),0))</f>
        <v/>
      </c>
      <c r="BA33" s="150" t="str">
        <f t="shared" si="0"/>
        <v/>
      </c>
      <c r="BB33" s="156" t="str">
        <f>IF(ISBLANK(AH33),"",IF(AH33="None",0,IF(K33="Gas",INDEX(Lookups!$AF$51:$AF$69,MATCH(AH33,Lookups!$AD$51:$AD$69,0),0),0)))</f>
        <v/>
      </c>
      <c r="BC33" s="156" t="str">
        <f>IF(ISBLANK(AH33),"",IF(AH33="None",0,IF(K33="Gas",INDEX(Lookups!$AH$51:$AH$69,MATCH(AH33,Lookups!$AD$51:$AD$69,0),0),0)))</f>
        <v/>
      </c>
      <c r="BD33" s="156" t="str">
        <f>IF(ISBLANK(AH33),"",IF(AH33="None",0,IF(K33="Gas",INDEX(Lookups!$AI$51:$AI$69,MATCH(AH33,Lookups!$AD$51:$AD$69,0),0),0)))</f>
        <v/>
      </c>
      <c r="BE33" s="157"/>
      <c r="BF33" s="157"/>
      <c r="BG33" s="147" t="str">
        <f t="shared" si="20"/>
        <v/>
      </c>
      <c r="BH33" s="147" t="str">
        <f t="shared" si="21"/>
        <v/>
      </c>
      <c r="BI33" s="147" t="str">
        <f t="shared" si="1"/>
        <v/>
      </c>
      <c r="BJ33" s="147" t="str">
        <f t="shared" si="2"/>
        <v/>
      </c>
      <c r="BK33" s="148" t="str">
        <f t="shared" si="22"/>
        <v/>
      </c>
      <c r="BL33" s="147" t="str">
        <f t="shared" si="3"/>
        <v/>
      </c>
      <c r="BM33" s="148" t="str">
        <f t="shared" si="23"/>
        <v/>
      </c>
      <c r="BN33" s="147" t="str">
        <f t="shared" si="24"/>
        <v/>
      </c>
      <c r="BO33" s="147" t="str">
        <f t="shared" si="24"/>
        <v/>
      </c>
      <c r="BP33" s="147" t="str">
        <f t="shared" si="25"/>
        <v/>
      </c>
      <c r="BQ33" s="148" t="str">
        <f t="shared" si="26"/>
        <v/>
      </c>
      <c r="BR33" s="148" t="str">
        <f t="shared" si="27"/>
        <v/>
      </c>
      <c r="BS33" s="148" t="str">
        <f t="shared" si="28"/>
        <v/>
      </c>
      <c r="BT33" s="148" t="str">
        <f t="shared" si="7"/>
        <v/>
      </c>
      <c r="BU33" s="148" t="str">
        <f t="shared" si="8"/>
        <v/>
      </c>
      <c r="BV33" s="148" t="str">
        <f t="shared" si="9"/>
        <v/>
      </c>
      <c r="BW33" s="148" t="str">
        <f t="shared" si="29"/>
        <v/>
      </c>
      <c r="BX33" s="148" t="str">
        <f t="shared" si="10"/>
        <v/>
      </c>
      <c r="BY33" s="148" t="str">
        <f t="shared" si="11"/>
        <v/>
      </c>
      <c r="BZ33" s="149" t="str">
        <f>IFERROR(INDEX('Prescriptive Rebate Table'!$B$2:$E$64,MATCH(O33,'Prescriptive Rebate Table'!$C$2:$C$64,0),3),"")</f>
        <v/>
      </c>
      <c r="CA33" s="145" t="str">
        <f>IFERROR(INDEX('Prescriptive Rebate Table'!$B$2:$E$64,MATCH(O33,'Prescriptive Rebate Table'!$C$2:$C$64,0),4),"")</f>
        <v/>
      </c>
      <c r="CB33" s="149" t="str">
        <f t="shared" si="30"/>
        <v/>
      </c>
      <c r="CC33" s="145" t="str">
        <f t="shared" si="31"/>
        <v/>
      </c>
      <c r="CD33" s="149" t="str">
        <f t="shared" si="12"/>
        <v/>
      </c>
      <c r="CE33" s="149" t="str">
        <f t="shared" si="13"/>
        <v/>
      </c>
      <c r="CF33" s="149" t="str">
        <f>IF(BK33&lt;=0,0,IFERROR(IF(OR(ISBLANK(AC33),ISBLANK(CD33))=TRUE,"",IF(CA33="Per Foot",INDEX('Fixture Codes'!$I$8:$I$976,MATCH(AD33,'Fixture Codes'!$B$8:$B$976,0))/12*AF33*BZ33,IF(CA33="Lamp",INDEX('Fixture Codes'!$J$8:$J$976,MATCH(AD33,'Fixture Codes'!$B$8:$B$976,0))*AF33*BZ33,IF(CA33="Fixture",AF33*BZ33,IF(CA33="kWh",BK33*BZ33,0))))),""))</f>
        <v/>
      </c>
      <c r="CG33" s="149" t="str">
        <f t="shared" si="32"/>
        <v/>
      </c>
      <c r="CH33" s="149" t="str">
        <f t="shared" si="33"/>
        <v/>
      </c>
      <c r="CI33" s="152"/>
      <c r="CJ33" s="146"/>
      <c r="CK33" s="241">
        <f>IFERROR(IF(CL33="Yes",'Prescriptive Rebate Table'!$D$69,IF(ISBLANK(AI33),0,IF(AND(AH33=Lookups!$A$62,BK33&gt;0),'Prescriptive Rebate Table'!$D$68,IF(AND(BK33&gt;0,CJ33=AF33),'Prescriptive Rebate Table'!$D$67,IF(AND(BK33&gt;0,CJ33&lt;&gt;AF33),'Prescriptive Rebate Table'!D92,0))))),"")</f>
        <v>0</v>
      </c>
      <c r="CL33" s="240" t="s">
        <v>2712</v>
      </c>
      <c r="CM33" s="152"/>
      <c r="CN33" s="152"/>
      <c r="CO33" s="152"/>
      <c r="CP33" s="146">
        <f t="shared" si="14"/>
        <v>0</v>
      </c>
      <c r="CQ33" s="153">
        <f>IF(D33="Interior",ROUND(($AG33*AF33)/1000*$AM33*(Lookups!$B$54-$AA33)*$AN33*$AO33,3),0)</f>
        <v>0</v>
      </c>
      <c r="CR33" s="153">
        <f>IFERROR(IF(D33="Interior",ROUND(($AG33*$AF33)/1000*(Lookups!$C$54-$AB33)*$AN33*AQ33*AT33,6),0),"")</f>
        <v>0</v>
      </c>
      <c r="CS33" s="165">
        <f t="shared" si="34"/>
        <v>0</v>
      </c>
      <c r="CT33" s="165">
        <f t="shared" si="35"/>
        <v>0</v>
      </c>
      <c r="CV33" s="153">
        <f>IF(D33="Interior",ROUND(($AG33*AF33)/1000*$AM33*(Lookups!$B$43-$AA33)*$AN33*$AO33,3),0)</f>
        <v>0</v>
      </c>
      <c r="CW33" s="153">
        <f>IFERROR(IF(D33="Interior",ROUND(($AG33*$AF33)/1000*(Lookups!$C$43-$AB33)*$AN33*AQ33*AT33,6),0),"")</f>
        <v>0</v>
      </c>
      <c r="CX33" s="165">
        <f t="shared" si="15"/>
        <v>0</v>
      </c>
      <c r="CY33" s="165">
        <f t="shared" si="16"/>
        <v>0</v>
      </c>
      <c r="DA33" s="153">
        <f>IF(D33="Interior",ROUND(($AG33*AF33*(1-0.15))/1000*$AM33*(Lookups!$B$43+0.097-$AA33)*$AN33*$AO33+((W33*V33)/1000*AN33*AM33*AO33*0.15),3),0)</f>
        <v>0</v>
      </c>
      <c r="DB33" s="153">
        <f>IFERROR(IF(D33="Interior",ROUND(($AG33*$AF33)/1000*(Lookups!$C$43+0.097-$AB33)*$AN33*AQ33*AT33+(($AG33*$AF33)/1000*$AN33*AQ33*AT33*0.15),6),0),"")</f>
        <v>0</v>
      </c>
      <c r="DC33" s="165">
        <f t="shared" si="17"/>
        <v>0</v>
      </c>
      <c r="DD33" s="165">
        <f t="shared" si="18"/>
        <v>0</v>
      </c>
    </row>
    <row r="34" spans="1:108" s="164" customFormat="1">
      <c r="A34" s="150">
        <v>30</v>
      </c>
      <c r="B34" s="153" t="str">
        <f>IFERROR(INDEX(Lookups!$B$2:$B$38,MATCH('Project Info &amp; Summary'!$C$19,Lookups!$A$2:$A$38,0)),"")</f>
        <v/>
      </c>
      <c r="C34" s="153" t="str">
        <f>IFERROR(INDEX(Lookups!$C$2:$C$38,MATCH('Project Info &amp; Summary'!$C$19,Lookups!$A$2:$A$38,0)),"")</f>
        <v/>
      </c>
      <c r="D34" s="163"/>
      <c r="E34" s="160"/>
      <c r="F34" s="158"/>
      <c r="G34" s="158"/>
      <c r="H34" s="158"/>
      <c r="I34" s="158"/>
      <c r="J34" s="154" t="str">
        <f>IFERROR(INDEX(Lookups!$W$21:$W$26,MATCH(I34,Lookups!$V$21:$V$26,0)),"")</f>
        <v/>
      </c>
      <c r="K34" s="158"/>
      <c r="L34" s="162" t="str">
        <f>IFERROR(INDEX(Lookups!$Y$2:$Y$19,MATCH(_xlfn.CONCAT(I34,K34),Lookups!$X$2:$X$19,0)),"")</f>
        <v/>
      </c>
      <c r="M34" s="158"/>
      <c r="N34" s="153" t="str">
        <f>IFERROR(INDEX('Prescriptive Rebate Table'!$M$3:$M$20,MATCH(M34,'Prescriptive Rebate Table'!$L$3:$L$20,0)),"")</f>
        <v/>
      </c>
      <c r="O34" s="158"/>
      <c r="P34" s="154" t="str">
        <f>IFERROR(INDEX('Prescriptive Rebate Table'!$B$2:$H$64, MATCH(O34,'Prescriptive Rebate Table'!$C$2:$C$64,0),7),"")</f>
        <v/>
      </c>
      <c r="Q34" s="155" t="str">
        <f>IFERROR(INDEX('Prescriptive Rebate Table'!$B$2:$I$64, MATCH(O34,'Prescriptive Rebate Table'!$C$2:$C$64,0),8),"")</f>
        <v/>
      </c>
      <c r="R34" s="155" t="str">
        <f>IFERROR(INDEX('Prescriptive Rebate Table'!$B$2:$J$64, MATCH(O34,'Prescriptive Rebate Table'!$C$2:$C$64,0),9),"")</f>
        <v/>
      </c>
      <c r="S34" s="160"/>
      <c r="T34" s="145" t="str">
        <f>IFERROR(INDEX('Fixture Codes'!$M$8:$M$976,MATCH(S34,'Fixture Codes'!$B$8:$B$976,0)),"")</f>
        <v/>
      </c>
      <c r="U34" s="145" t="str">
        <f>IFERROR(INDEX('Fixture Codes'!$B$7:$M$976,MATCH(T34,'Fixture Codes'!$B$7:$B$976,0),5),"")</f>
        <v/>
      </c>
      <c r="V34" s="160"/>
      <c r="W34" s="145" t="str">
        <f>IFERROR(INDEX('Fixture Codes'!$L$8:$L$976,MATCH(T34,'Fixture Codes'!$B$8:$B$976,0)),"")</f>
        <v/>
      </c>
      <c r="X34" s="158"/>
      <c r="Y34" s="159"/>
      <c r="Z34" s="155" t="str">
        <f>IFERROR(INDEX(Lookups!B$68:B$87,MATCH($X34,Lookups!$A$68:$A$87,0)),"")</f>
        <v/>
      </c>
      <c r="AA34" s="150" t="str">
        <f>IFERROR(INDEX(Lookups!B$42:B$62,MATCH($X34,Lookups!$A$42:$A$62,0)),"")</f>
        <v/>
      </c>
      <c r="AB34" s="150" t="str">
        <f>IFERROR(INDEX(Lookups!C$42:C$62,MATCH($X34,Lookups!$A$42:$A$62,0)),"")</f>
        <v/>
      </c>
      <c r="AC34" s="160"/>
      <c r="AD34" s="160"/>
      <c r="AE34" s="150" t="str">
        <f>IFERROR(INDEX('Fixture Codes'!$B$7:$M$976,MATCH(AD34,'Fixture Codes'!$B$7:$B$976,0),5),"")</f>
        <v/>
      </c>
      <c r="AF34" s="160"/>
      <c r="AG34" s="145" t="str">
        <f>IFERROR(INDEX('Fixture Codes'!$L$8:$L$976,MATCH(AD34,'Fixture Codes'!$B$8:$B$976,0)),"")</f>
        <v/>
      </c>
      <c r="AH34" s="158"/>
      <c r="AI34" s="160"/>
      <c r="AJ34" s="150" t="str">
        <f>IFERROR(INDEX(Lookups!B$68:B$87,MATCH($AH34,Lookups!$A$68:$A$87,0)),"")</f>
        <v/>
      </c>
      <c r="AK34" s="150" t="str">
        <f>IFERROR(INDEX(Lookups!B$42:B$62,MATCH($AH34,Lookups!$A$42:$A$62,0)),"")</f>
        <v/>
      </c>
      <c r="AL34" s="150" t="str">
        <f>IFERROR(INDEX(Lookups!C$42:C$62,MATCH($AH34,Lookups!$A$42:$A$62,0)),"")</f>
        <v/>
      </c>
      <c r="AM34" s="150" t="str">
        <f>IFERROR(IF(M34="Exit Signs",8760,IF(INDEX('Fixture Codes'!$C$8:$C$976,MATCH(AD34,'Fixture Codes'!$B$8:$B$976,0))="Exit Sign",8760,INDEX(Lookups!$I$2:$I$428,MATCH(_xlfn.CONCAT(B34,H34),Lookups!$H$2:$H$428,0)))),"")</f>
        <v/>
      </c>
      <c r="AN34" s="153">
        <v>1</v>
      </c>
      <c r="AO34" s="150" t="str">
        <f>IF($D34="Interior",INDEX(Lookups!Q$2:Q$86,MATCH(_xlfn.CONCAT($C34,$L34),Lookups!$P$2:$P$86,0)),IF($D34="Exterior",1,""))</f>
        <v/>
      </c>
      <c r="AP34" s="150">
        <f t="shared" si="19"/>
        <v>1</v>
      </c>
      <c r="AQ34" s="150" t="str">
        <f>IF($D34="Interior",INDEX(Lookups!R$2:R$86,MATCH(_xlfn.CONCAT($C34,$L34),Lookups!$P$2:$P$86,0)),IF($D34="Exterior",1,""))</f>
        <v/>
      </c>
      <c r="AR34" s="150" t="str">
        <f>IF($D34="Interior",INDEX(Lookups!S$2:S$86,MATCH(_xlfn.CONCAT($C34,$L34),Lookups!$P$2:$P$86,0)),IF($D34="Exterior",1,""))</f>
        <v/>
      </c>
      <c r="AS34" s="150" t="str">
        <f>IF($D34="Interior",INDEX(Lookups!T$2:T$86,MATCH(_xlfn.CONCAT($C34,$L34),Lookups!$P$2:$P$86,0)),IF($D34="Exterior",1,""))</f>
        <v/>
      </c>
      <c r="AT34" s="150" t="str">
        <f>IFERROR(IF(M34="Exit Signs",1,IF(INDEX('Fixture Codes'!$C$8:$C$976,MATCH($AD34,'Fixture Codes'!$B$8:$B$976,0))="Exit Sign",1,INDEX(Lookups!J$2:J$428,MATCH(_xlfn.CONCAT($B34,$H34),Lookups!$H$2:$H$428,0)))),"")</f>
        <v/>
      </c>
      <c r="AU34" s="150" t="str">
        <f>IFERROR(IF(M34="Exit Signs",1,IF(INDEX('Fixture Codes'!$C$8:$C$976,MATCH($AD34,'Fixture Codes'!$B$8:$B$976,0))="Exit Sign",1,INDEX(Lookups!K$2:K$428,MATCH(_xlfn.CONCAT($B34,$H34),Lookups!$H$2:$H$428,0)))),"")</f>
        <v/>
      </c>
      <c r="AV34" s="150" t="str">
        <f>IFERROR(IF(M34="Exit Signs",1,IF(INDEX('Fixture Codes'!$C$8:$C$976,MATCH($AD34,'Fixture Codes'!$B$8:$B$976,0))="Exit Sign",1,INDEX(Lookups!L$2:L$428,MATCH(_xlfn.CONCAT($B34,$H34),Lookups!$H$2:$H$428,0)))),"")</f>
        <v/>
      </c>
      <c r="AW34" s="150" t="str">
        <f>IF(ISBLANK(K34),"",IF(K34="Gas",INDEX(Lookups!$AG$2:$AG$63,MATCH(O34,Lookups!$AD$2:$AD$63,0),0),0))</f>
        <v/>
      </c>
      <c r="AX34" s="150" t="str">
        <f>IF(ISBLANK(K34),"",IF(K34="Gas",INDEX(Lookups!$AF$2:$AF$63,MATCH(O34,Lookups!$AD$2:$AD$63,0),0),0))</f>
        <v/>
      </c>
      <c r="AY34" s="150" t="str">
        <f>IF(ISBLANK(K34),"",IF(K34="Gas",INDEX(Lookups!$AH$2:$AH$63,MATCH(O34,Lookups!$AD$2:$AD$63,0),0),0))</f>
        <v/>
      </c>
      <c r="AZ34" s="150" t="str">
        <f>IF(ISBLANK(K34),"",IF(K34="Gas",INDEX(Lookups!$AI$2:$AI$63,MATCH(O34,Lookups!$AD$2:$AD$63,0),0),0))</f>
        <v/>
      </c>
      <c r="BA34" s="150" t="str">
        <f t="shared" si="0"/>
        <v/>
      </c>
      <c r="BB34" s="156" t="str">
        <f>IF(ISBLANK(AH34),"",IF(AH34="None",0,IF(K34="Gas",INDEX(Lookups!$AF$51:$AF$69,MATCH(AH34,Lookups!$AD$51:$AD$69,0),0),0)))</f>
        <v/>
      </c>
      <c r="BC34" s="156" t="str">
        <f>IF(ISBLANK(AH34),"",IF(AH34="None",0,IF(K34="Gas",INDEX(Lookups!$AH$51:$AH$69,MATCH(AH34,Lookups!$AD$51:$AD$69,0),0),0)))</f>
        <v/>
      </c>
      <c r="BD34" s="156" t="str">
        <f>IF(ISBLANK(AH34),"",IF(AH34="None",0,IF(K34="Gas",INDEX(Lookups!$AI$51:$AI$69,MATCH(AH34,Lookups!$AD$51:$AD$69,0),0),0)))</f>
        <v/>
      </c>
      <c r="BE34" s="157"/>
      <c r="BF34" s="157"/>
      <c r="BG34" s="147" t="str">
        <f t="shared" si="20"/>
        <v/>
      </c>
      <c r="BH34" s="147" t="str">
        <f t="shared" si="21"/>
        <v/>
      </c>
      <c r="BI34" s="147" t="str">
        <f t="shared" si="1"/>
        <v/>
      </c>
      <c r="BJ34" s="147" t="str">
        <f t="shared" si="2"/>
        <v/>
      </c>
      <c r="BK34" s="148" t="str">
        <f t="shared" si="22"/>
        <v/>
      </c>
      <c r="BL34" s="147" t="str">
        <f t="shared" si="3"/>
        <v/>
      </c>
      <c r="BM34" s="148" t="str">
        <f t="shared" si="23"/>
        <v/>
      </c>
      <c r="BN34" s="147" t="str">
        <f t="shared" si="24"/>
        <v/>
      </c>
      <c r="BO34" s="147" t="str">
        <f t="shared" si="24"/>
        <v/>
      </c>
      <c r="BP34" s="147" t="str">
        <f t="shared" si="25"/>
        <v/>
      </c>
      <c r="BQ34" s="148" t="str">
        <f t="shared" si="26"/>
        <v/>
      </c>
      <c r="BR34" s="148" t="str">
        <f t="shared" si="27"/>
        <v/>
      </c>
      <c r="BS34" s="148" t="str">
        <f t="shared" si="28"/>
        <v/>
      </c>
      <c r="BT34" s="148" t="str">
        <f t="shared" si="7"/>
        <v/>
      </c>
      <c r="BU34" s="148" t="str">
        <f t="shared" si="8"/>
        <v/>
      </c>
      <c r="BV34" s="148" t="str">
        <f t="shared" si="9"/>
        <v/>
      </c>
      <c r="BW34" s="148" t="str">
        <f t="shared" si="29"/>
        <v/>
      </c>
      <c r="BX34" s="148" t="str">
        <f t="shared" si="10"/>
        <v/>
      </c>
      <c r="BY34" s="148" t="str">
        <f t="shared" si="11"/>
        <v/>
      </c>
      <c r="BZ34" s="149" t="str">
        <f>IFERROR(INDEX('Prescriptive Rebate Table'!$B$2:$E$64,MATCH(O34,'Prescriptive Rebate Table'!$C$2:$C$64,0),3),"")</f>
        <v/>
      </c>
      <c r="CA34" s="145" t="str">
        <f>IFERROR(INDEX('Prescriptive Rebate Table'!$B$2:$E$64,MATCH(O34,'Prescriptive Rebate Table'!$C$2:$C$64,0),4),"")</f>
        <v/>
      </c>
      <c r="CB34" s="149" t="str">
        <f t="shared" si="30"/>
        <v/>
      </c>
      <c r="CC34" s="145" t="str">
        <f t="shared" si="31"/>
        <v/>
      </c>
      <c r="CD34" s="149" t="str">
        <f t="shared" si="12"/>
        <v/>
      </c>
      <c r="CE34" s="149" t="str">
        <f t="shared" si="13"/>
        <v/>
      </c>
      <c r="CF34" s="149" t="str">
        <f>IF(BK34&lt;=0,0,IFERROR(IF(OR(ISBLANK(AC34),ISBLANK(CD34))=TRUE,"",IF(CA34="Per Foot",INDEX('Fixture Codes'!$I$8:$I$976,MATCH(AD34,'Fixture Codes'!$B$8:$B$976,0))/12*AF34*BZ34,IF(CA34="Lamp",INDEX('Fixture Codes'!$J$8:$J$976,MATCH(AD34,'Fixture Codes'!$B$8:$B$976,0))*AF34*BZ34,IF(CA34="Fixture",AF34*BZ34,IF(CA34="kWh",BK34*BZ34,0))))),""))</f>
        <v/>
      </c>
      <c r="CG34" s="149" t="str">
        <f t="shared" si="32"/>
        <v/>
      </c>
      <c r="CH34" s="149" t="str">
        <f t="shared" si="33"/>
        <v/>
      </c>
      <c r="CI34" s="152"/>
      <c r="CJ34" s="146"/>
      <c r="CK34" s="241">
        <f>IFERROR(IF(CL34="Yes",'Prescriptive Rebate Table'!$D$69,IF(ISBLANK(AI34),0,IF(AND(AH34=Lookups!$A$62,BK34&gt;0),'Prescriptive Rebate Table'!$D$68,IF(AND(BK34&gt;0,CJ34=AF34),'Prescriptive Rebate Table'!$D$67,IF(AND(BK34&gt;0,CJ34&lt;&gt;AF34),'Prescriptive Rebate Table'!D93,0))))),"")</f>
        <v>0</v>
      </c>
      <c r="CL34" s="240" t="s">
        <v>2712</v>
      </c>
      <c r="CM34" s="152"/>
      <c r="CN34" s="152"/>
      <c r="CO34" s="152"/>
      <c r="CP34" s="146">
        <f t="shared" si="14"/>
        <v>0</v>
      </c>
      <c r="CQ34" s="153">
        <f>IF(D34="Interior",ROUND(($AG34*AF34)/1000*$AM34*(Lookups!$B$54-$AA34)*$AN34*$AO34,3),0)</f>
        <v>0</v>
      </c>
      <c r="CR34" s="153">
        <f>IFERROR(IF(D34="Interior",ROUND(($AG34*$AF34)/1000*(Lookups!$C$54-$AB34)*$AN34*AQ34*AT34,6),0),"")</f>
        <v>0</v>
      </c>
      <c r="CS34" s="165">
        <f t="shared" si="34"/>
        <v>0</v>
      </c>
      <c r="CT34" s="165">
        <f t="shared" si="35"/>
        <v>0</v>
      </c>
      <c r="CV34" s="153">
        <f>IF(D34="Interior",ROUND(($AG34*AF34)/1000*$AM34*(Lookups!$B$43-$AA34)*$AN34*$AO34,3),0)</f>
        <v>0</v>
      </c>
      <c r="CW34" s="153">
        <f>IFERROR(IF(D34="Interior",ROUND(($AG34*$AF34)/1000*(Lookups!$C$43-$AB34)*$AN34*AQ34*AT34,6),0),"")</f>
        <v>0</v>
      </c>
      <c r="CX34" s="165">
        <f t="shared" si="15"/>
        <v>0</v>
      </c>
      <c r="CY34" s="165">
        <f t="shared" si="16"/>
        <v>0</v>
      </c>
      <c r="DA34" s="153">
        <f>IF(D34="Interior",ROUND(($AG34*AF34*(1-0.15))/1000*$AM34*(Lookups!$B$43+0.097-$AA34)*$AN34*$AO34+((W34*V34)/1000*AN34*AM34*AO34*0.15),3),0)</f>
        <v>0</v>
      </c>
      <c r="DB34" s="153">
        <f>IFERROR(IF(D34="Interior",ROUND(($AG34*$AF34)/1000*(Lookups!$C$43+0.097-$AB34)*$AN34*AQ34*AT34+(($AG34*$AF34)/1000*$AN34*AQ34*AT34*0.15),6),0),"")</f>
        <v>0</v>
      </c>
      <c r="DC34" s="165">
        <f t="shared" si="17"/>
        <v>0</v>
      </c>
      <c r="DD34" s="165">
        <f t="shared" si="18"/>
        <v>0</v>
      </c>
    </row>
    <row r="35" spans="1:108" s="164" customFormat="1">
      <c r="A35" s="150">
        <v>31</v>
      </c>
      <c r="B35" s="153" t="str">
        <f>IFERROR(INDEX(Lookups!$B$2:$B$38,MATCH('Project Info &amp; Summary'!$C$19,Lookups!$A$2:$A$38,0)),"")</f>
        <v/>
      </c>
      <c r="C35" s="153" t="str">
        <f>IFERROR(INDEX(Lookups!$C$2:$C$38,MATCH('Project Info &amp; Summary'!$C$19,Lookups!$A$2:$A$38,0)),"")</f>
        <v/>
      </c>
      <c r="D35" s="163"/>
      <c r="E35" s="160"/>
      <c r="F35" s="158"/>
      <c r="G35" s="158"/>
      <c r="H35" s="158"/>
      <c r="I35" s="158"/>
      <c r="J35" s="154" t="str">
        <f>IFERROR(INDEX(Lookups!$W$21:$W$26,MATCH(I35,Lookups!$V$21:$V$26,0)),"")</f>
        <v/>
      </c>
      <c r="K35" s="158"/>
      <c r="L35" s="162" t="str">
        <f>IFERROR(INDEX(Lookups!$Y$2:$Y$19,MATCH(_xlfn.CONCAT(I35,K35),Lookups!$X$2:$X$19,0)),"")</f>
        <v/>
      </c>
      <c r="M35" s="158"/>
      <c r="N35" s="153" t="str">
        <f>IFERROR(INDEX('Prescriptive Rebate Table'!$M$3:$M$20,MATCH(M35,'Prescriptive Rebate Table'!$L$3:$L$20,0)),"")</f>
        <v/>
      </c>
      <c r="O35" s="158"/>
      <c r="P35" s="154" t="str">
        <f>IFERROR(INDEX('Prescriptive Rebate Table'!$B$2:$H$64, MATCH(O35,'Prescriptive Rebate Table'!$C$2:$C$64,0),7),"")</f>
        <v/>
      </c>
      <c r="Q35" s="155" t="str">
        <f>IFERROR(INDEX('Prescriptive Rebate Table'!$B$2:$I$64, MATCH(O35,'Prescriptive Rebate Table'!$C$2:$C$64,0),8),"")</f>
        <v/>
      </c>
      <c r="R35" s="155" t="str">
        <f>IFERROR(INDEX('Prescriptive Rebate Table'!$B$2:$J$64, MATCH(O35,'Prescriptive Rebate Table'!$C$2:$C$64,0),9),"")</f>
        <v/>
      </c>
      <c r="S35" s="160"/>
      <c r="T35" s="145" t="str">
        <f>IFERROR(INDEX('Fixture Codes'!$M$8:$M$976,MATCH(S35,'Fixture Codes'!$B$8:$B$976,0)),"")</f>
        <v/>
      </c>
      <c r="U35" s="145" t="str">
        <f>IFERROR(INDEX('Fixture Codes'!$B$7:$M$976,MATCH(T35,'Fixture Codes'!$B$7:$B$976,0),5),"")</f>
        <v/>
      </c>
      <c r="V35" s="160"/>
      <c r="W35" s="145" t="str">
        <f>IFERROR(INDEX('Fixture Codes'!$L$8:$L$976,MATCH(T35,'Fixture Codes'!$B$8:$B$976,0)),"")</f>
        <v/>
      </c>
      <c r="X35" s="158"/>
      <c r="Y35" s="159"/>
      <c r="Z35" s="155" t="str">
        <f>IFERROR(INDEX(Lookups!B$68:B$87,MATCH($X35,Lookups!$A$68:$A$87,0)),"")</f>
        <v/>
      </c>
      <c r="AA35" s="150" t="str">
        <f>IFERROR(INDEX(Lookups!B$42:B$62,MATCH($X35,Lookups!$A$42:$A$62,0)),"")</f>
        <v/>
      </c>
      <c r="AB35" s="150" t="str">
        <f>IFERROR(INDEX(Lookups!C$42:C$62,MATCH($X35,Lookups!$A$42:$A$62,0)),"")</f>
        <v/>
      </c>
      <c r="AC35" s="160"/>
      <c r="AD35" s="160"/>
      <c r="AE35" s="150" t="str">
        <f>IFERROR(INDEX('Fixture Codes'!$B$7:$M$976,MATCH(AD35,'Fixture Codes'!$B$7:$B$976,0),5),"")</f>
        <v/>
      </c>
      <c r="AF35" s="160"/>
      <c r="AG35" s="145" t="str">
        <f>IFERROR(INDEX('Fixture Codes'!$L$8:$L$976,MATCH(AD35,'Fixture Codes'!$B$8:$B$976,0)),"")</f>
        <v/>
      </c>
      <c r="AH35" s="158"/>
      <c r="AI35" s="160"/>
      <c r="AJ35" s="150" t="str">
        <f>IFERROR(INDEX(Lookups!B$68:B$87,MATCH($AH35,Lookups!$A$68:$A$87,0)),"")</f>
        <v/>
      </c>
      <c r="AK35" s="150" t="str">
        <f>IFERROR(INDEX(Lookups!B$42:B$62,MATCH($AH35,Lookups!$A$42:$A$62,0)),"")</f>
        <v/>
      </c>
      <c r="AL35" s="150" t="str">
        <f>IFERROR(INDEX(Lookups!C$42:C$62,MATCH($AH35,Lookups!$A$42:$A$62,0)),"")</f>
        <v/>
      </c>
      <c r="AM35" s="150" t="str">
        <f>IFERROR(IF(M35="Exit Signs",8760,IF(INDEX('Fixture Codes'!$C$8:$C$976,MATCH(AD35,'Fixture Codes'!$B$8:$B$976,0))="Exit Sign",8760,INDEX(Lookups!$I$2:$I$428,MATCH(_xlfn.CONCAT(B35,H35),Lookups!$H$2:$H$428,0)))),"")</f>
        <v/>
      </c>
      <c r="AN35" s="153">
        <v>1</v>
      </c>
      <c r="AO35" s="150" t="str">
        <f>IF($D35="Interior",INDEX(Lookups!Q$2:Q$86,MATCH(_xlfn.CONCAT($C35,$L35),Lookups!$P$2:$P$86,0)),IF($D35="Exterior",1,""))</f>
        <v/>
      </c>
      <c r="AP35" s="150">
        <f t="shared" si="19"/>
        <v>1</v>
      </c>
      <c r="AQ35" s="150" t="str">
        <f>IF($D35="Interior",INDEX(Lookups!R$2:R$86,MATCH(_xlfn.CONCAT($C35,$L35),Lookups!$P$2:$P$86,0)),IF($D35="Exterior",1,""))</f>
        <v/>
      </c>
      <c r="AR35" s="150" t="str">
        <f>IF($D35="Interior",INDEX(Lookups!S$2:S$86,MATCH(_xlfn.CONCAT($C35,$L35),Lookups!$P$2:$P$86,0)),IF($D35="Exterior",1,""))</f>
        <v/>
      </c>
      <c r="AS35" s="150" t="str">
        <f>IF($D35="Interior",INDEX(Lookups!T$2:T$86,MATCH(_xlfn.CONCAT($C35,$L35),Lookups!$P$2:$P$86,0)),IF($D35="Exterior",1,""))</f>
        <v/>
      </c>
      <c r="AT35" s="150" t="str">
        <f>IFERROR(IF(M35="Exit Signs",1,IF(INDEX('Fixture Codes'!$C$8:$C$976,MATCH($AD35,'Fixture Codes'!$B$8:$B$976,0))="Exit Sign",1,INDEX(Lookups!J$2:J$428,MATCH(_xlfn.CONCAT($B35,$H35),Lookups!$H$2:$H$428,0)))),"")</f>
        <v/>
      </c>
      <c r="AU35" s="150" t="str">
        <f>IFERROR(IF(M35="Exit Signs",1,IF(INDEX('Fixture Codes'!$C$8:$C$976,MATCH($AD35,'Fixture Codes'!$B$8:$B$976,0))="Exit Sign",1,INDEX(Lookups!K$2:K$428,MATCH(_xlfn.CONCAT($B35,$H35),Lookups!$H$2:$H$428,0)))),"")</f>
        <v/>
      </c>
      <c r="AV35" s="150" t="str">
        <f>IFERROR(IF(M35="Exit Signs",1,IF(INDEX('Fixture Codes'!$C$8:$C$976,MATCH($AD35,'Fixture Codes'!$B$8:$B$976,0))="Exit Sign",1,INDEX(Lookups!L$2:L$428,MATCH(_xlfn.CONCAT($B35,$H35),Lookups!$H$2:$H$428,0)))),"")</f>
        <v/>
      </c>
      <c r="AW35" s="150" t="str">
        <f>IF(ISBLANK(K35),"",IF(K35="Gas",INDEX(Lookups!$AG$2:$AG$63,MATCH(O35,Lookups!$AD$2:$AD$63,0),0),0))</f>
        <v/>
      </c>
      <c r="AX35" s="150" t="str">
        <f>IF(ISBLANK(K35),"",IF(K35="Gas",INDEX(Lookups!$AF$2:$AF$63,MATCH(O35,Lookups!$AD$2:$AD$63,0),0),0))</f>
        <v/>
      </c>
      <c r="AY35" s="150" t="str">
        <f>IF(ISBLANK(K35),"",IF(K35="Gas",INDEX(Lookups!$AH$2:$AH$63,MATCH(O35,Lookups!$AD$2:$AD$63,0),0),0))</f>
        <v/>
      </c>
      <c r="AZ35" s="150" t="str">
        <f>IF(ISBLANK(K35),"",IF(K35="Gas",INDEX(Lookups!$AI$2:$AI$63,MATCH(O35,Lookups!$AD$2:$AD$63,0),0),0))</f>
        <v/>
      </c>
      <c r="BA35" s="150" t="str">
        <f t="shared" si="0"/>
        <v/>
      </c>
      <c r="BB35" s="156" t="str">
        <f>IF(ISBLANK(AH35),"",IF(AH35="None",0,IF(K35="Gas",INDEX(Lookups!$AF$51:$AF$69,MATCH(AH35,Lookups!$AD$51:$AD$69,0),0),0)))</f>
        <v/>
      </c>
      <c r="BC35" s="156" t="str">
        <f>IF(ISBLANK(AH35),"",IF(AH35="None",0,IF(K35="Gas",INDEX(Lookups!$AH$51:$AH$69,MATCH(AH35,Lookups!$AD$51:$AD$69,0),0),0)))</f>
        <v/>
      </c>
      <c r="BD35" s="156" t="str">
        <f>IF(ISBLANK(AH35),"",IF(AH35="None",0,IF(K35="Gas",INDEX(Lookups!$AI$51:$AI$69,MATCH(AH35,Lookups!$AD$51:$AD$69,0),0),0)))</f>
        <v/>
      </c>
      <c r="BE35" s="157"/>
      <c r="BF35" s="157"/>
      <c r="BG35" s="147" t="str">
        <f t="shared" si="20"/>
        <v/>
      </c>
      <c r="BH35" s="147" t="str">
        <f t="shared" si="21"/>
        <v/>
      </c>
      <c r="BI35" s="147" t="str">
        <f t="shared" si="1"/>
        <v/>
      </c>
      <c r="BJ35" s="147" t="str">
        <f t="shared" si="2"/>
        <v/>
      </c>
      <c r="BK35" s="148" t="str">
        <f t="shared" si="22"/>
        <v/>
      </c>
      <c r="BL35" s="147" t="str">
        <f t="shared" si="3"/>
        <v/>
      </c>
      <c r="BM35" s="148" t="str">
        <f t="shared" si="23"/>
        <v/>
      </c>
      <c r="BN35" s="147" t="str">
        <f t="shared" si="24"/>
        <v/>
      </c>
      <c r="BO35" s="147" t="str">
        <f t="shared" si="24"/>
        <v/>
      </c>
      <c r="BP35" s="147" t="str">
        <f t="shared" si="25"/>
        <v/>
      </c>
      <c r="BQ35" s="148" t="str">
        <f t="shared" si="26"/>
        <v/>
      </c>
      <c r="BR35" s="148" t="str">
        <f t="shared" si="27"/>
        <v/>
      </c>
      <c r="BS35" s="148" t="str">
        <f t="shared" si="28"/>
        <v/>
      </c>
      <c r="BT35" s="148" t="str">
        <f t="shared" si="7"/>
        <v/>
      </c>
      <c r="BU35" s="148" t="str">
        <f t="shared" si="8"/>
        <v/>
      </c>
      <c r="BV35" s="148" t="str">
        <f t="shared" si="9"/>
        <v/>
      </c>
      <c r="BW35" s="148" t="str">
        <f t="shared" si="29"/>
        <v/>
      </c>
      <c r="BX35" s="148" t="str">
        <f t="shared" si="10"/>
        <v/>
      </c>
      <c r="BY35" s="148" t="str">
        <f t="shared" si="11"/>
        <v/>
      </c>
      <c r="BZ35" s="149" t="str">
        <f>IFERROR(INDEX('Prescriptive Rebate Table'!$B$2:$E$64,MATCH(O35,'Prescriptive Rebate Table'!$C$2:$C$64,0),3),"")</f>
        <v/>
      </c>
      <c r="CA35" s="145" t="str">
        <f>IFERROR(INDEX('Prescriptive Rebate Table'!$B$2:$E$64,MATCH(O35,'Prescriptive Rebate Table'!$C$2:$C$64,0),4),"")</f>
        <v/>
      </c>
      <c r="CB35" s="149" t="str">
        <f t="shared" si="30"/>
        <v/>
      </c>
      <c r="CC35" s="145" t="str">
        <f t="shared" si="31"/>
        <v/>
      </c>
      <c r="CD35" s="149" t="str">
        <f t="shared" si="12"/>
        <v/>
      </c>
      <c r="CE35" s="149" t="str">
        <f t="shared" si="13"/>
        <v/>
      </c>
      <c r="CF35" s="149" t="str">
        <f>IF(BK35&lt;=0,0,IFERROR(IF(OR(ISBLANK(AC35),ISBLANK(CD35))=TRUE,"",IF(CA35="Per Foot",INDEX('Fixture Codes'!$I$8:$I$976,MATCH(AD35,'Fixture Codes'!$B$8:$B$976,0))/12*AF35*BZ35,IF(CA35="Lamp",INDEX('Fixture Codes'!$J$8:$J$976,MATCH(AD35,'Fixture Codes'!$B$8:$B$976,0))*AF35*BZ35,IF(CA35="Fixture",AF35*BZ35,IF(CA35="kWh",BK35*BZ35,0))))),""))</f>
        <v/>
      </c>
      <c r="CG35" s="149" t="str">
        <f t="shared" si="32"/>
        <v/>
      </c>
      <c r="CH35" s="149" t="str">
        <f t="shared" si="33"/>
        <v/>
      </c>
      <c r="CI35" s="152"/>
      <c r="CJ35" s="146"/>
      <c r="CK35" s="241">
        <f>IFERROR(IF(CL35="Yes",'Prescriptive Rebate Table'!$D$69,IF(ISBLANK(AI35),0,IF(AND(AH35=Lookups!$A$62,BK35&gt;0),'Prescriptive Rebate Table'!$D$68,IF(AND(BK35&gt;0,CJ35=AF35),'Prescriptive Rebate Table'!$D$67,IF(AND(BK35&gt;0,CJ35&lt;&gt;AF35),'Prescriptive Rebate Table'!D94,0))))),"")</f>
        <v>0</v>
      </c>
      <c r="CL35" s="240" t="s">
        <v>2712</v>
      </c>
      <c r="CM35" s="152"/>
      <c r="CN35" s="152"/>
      <c r="CO35" s="152"/>
      <c r="CP35" s="146">
        <f t="shared" si="14"/>
        <v>0</v>
      </c>
      <c r="CQ35" s="153">
        <f>IF(D35="Interior",ROUND(($AG35*AF35)/1000*$AM35*(Lookups!$B$54-$AA35)*$AN35*$AO35,3),0)</f>
        <v>0</v>
      </c>
      <c r="CR35" s="153">
        <f>IFERROR(IF(D35="Interior",ROUND(($AG35*$AF35)/1000*(Lookups!$C$54-$AB35)*$AN35*AQ35*AT35,6),0),"")</f>
        <v>0</v>
      </c>
      <c r="CS35" s="165">
        <f t="shared" si="34"/>
        <v>0</v>
      </c>
      <c r="CT35" s="165">
        <f t="shared" si="35"/>
        <v>0</v>
      </c>
      <c r="CV35" s="153">
        <f>IF(D35="Interior",ROUND(($AG35*AF35)/1000*$AM35*(Lookups!$B$43-$AA35)*$AN35*$AO35,3),0)</f>
        <v>0</v>
      </c>
      <c r="CW35" s="153">
        <f>IFERROR(IF(D35="Interior",ROUND(($AG35*$AF35)/1000*(Lookups!$C$43-$AB35)*$AN35*AQ35*AT35,6),0),"")</f>
        <v>0</v>
      </c>
      <c r="CX35" s="165">
        <f t="shared" si="15"/>
        <v>0</v>
      </c>
      <c r="CY35" s="165">
        <f t="shared" si="16"/>
        <v>0</v>
      </c>
      <c r="DA35" s="153">
        <f>IF(D35="Interior",ROUND(($AG35*AF35*(1-0.15))/1000*$AM35*(Lookups!$B$43+0.097-$AA35)*$AN35*$AO35+((W35*V35)/1000*AN35*AM35*AO35*0.15),3),0)</f>
        <v>0</v>
      </c>
      <c r="DB35" s="153">
        <f>IFERROR(IF(D35="Interior",ROUND(($AG35*$AF35)/1000*(Lookups!$C$43+0.097-$AB35)*$AN35*AQ35*AT35+(($AG35*$AF35)/1000*$AN35*AQ35*AT35*0.15),6),0),"")</f>
        <v>0</v>
      </c>
      <c r="DC35" s="165">
        <f t="shared" si="17"/>
        <v>0</v>
      </c>
      <c r="DD35" s="165">
        <f t="shared" si="18"/>
        <v>0</v>
      </c>
    </row>
    <row r="36" spans="1:108" s="164" customFormat="1">
      <c r="A36" s="150">
        <v>32</v>
      </c>
      <c r="B36" s="153" t="str">
        <f>IFERROR(INDEX(Lookups!$B$2:$B$38,MATCH('Project Info &amp; Summary'!$C$19,Lookups!$A$2:$A$38,0)),"")</f>
        <v/>
      </c>
      <c r="C36" s="153" t="str">
        <f>IFERROR(INDEX(Lookups!$C$2:$C$38,MATCH('Project Info &amp; Summary'!$C$19,Lookups!$A$2:$A$38,0)),"")</f>
        <v/>
      </c>
      <c r="D36" s="163"/>
      <c r="E36" s="160"/>
      <c r="F36" s="158"/>
      <c r="G36" s="158"/>
      <c r="H36" s="158"/>
      <c r="I36" s="158"/>
      <c r="J36" s="154" t="str">
        <f>IFERROR(INDEX(Lookups!$W$21:$W$26,MATCH(I36,Lookups!$V$21:$V$26,0)),"")</f>
        <v/>
      </c>
      <c r="K36" s="158"/>
      <c r="L36" s="162" t="str">
        <f>IFERROR(INDEX(Lookups!$Y$2:$Y$19,MATCH(_xlfn.CONCAT(I36,K36),Lookups!$X$2:$X$19,0)),"")</f>
        <v/>
      </c>
      <c r="M36" s="158"/>
      <c r="N36" s="153" t="str">
        <f>IFERROR(INDEX('Prescriptive Rebate Table'!$M$3:$M$20,MATCH(M36,'Prescriptive Rebate Table'!$L$3:$L$20,0)),"")</f>
        <v/>
      </c>
      <c r="O36" s="158"/>
      <c r="P36" s="154" t="str">
        <f>IFERROR(INDEX('Prescriptive Rebate Table'!$B$2:$H$64, MATCH(O36,'Prescriptive Rebate Table'!$C$2:$C$64,0),7),"")</f>
        <v/>
      </c>
      <c r="Q36" s="155" t="str">
        <f>IFERROR(INDEX('Prescriptive Rebate Table'!$B$2:$I$64, MATCH(O36,'Prescriptive Rebate Table'!$C$2:$C$64,0),8),"")</f>
        <v/>
      </c>
      <c r="R36" s="155" t="str">
        <f>IFERROR(INDEX('Prescriptive Rebate Table'!$B$2:$J$64, MATCH(O36,'Prescriptive Rebate Table'!$C$2:$C$64,0),9),"")</f>
        <v/>
      </c>
      <c r="S36" s="160"/>
      <c r="T36" s="145" t="str">
        <f>IFERROR(INDEX('Fixture Codes'!$M$8:$M$976,MATCH(S36,'Fixture Codes'!$B$8:$B$976,0)),"")</f>
        <v/>
      </c>
      <c r="U36" s="145" t="str">
        <f>IFERROR(INDEX('Fixture Codes'!$B$7:$M$976,MATCH(T36,'Fixture Codes'!$B$7:$B$976,0),5),"")</f>
        <v/>
      </c>
      <c r="V36" s="160"/>
      <c r="W36" s="145" t="str">
        <f>IFERROR(INDEX('Fixture Codes'!$L$8:$L$976,MATCH(T36,'Fixture Codes'!$B$8:$B$976,0)),"")</f>
        <v/>
      </c>
      <c r="X36" s="158"/>
      <c r="Y36" s="159"/>
      <c r="Z36" s="155" t="str">
        <f>IFERROR(INDEX(Lookups!B$68:B$87,MATCH($X36,Lookups!$A$68:$A$87,0)),"")</f>
        <v/>
      </c>
      <c r="AA36" s="150" t="str">
        <f>IFERROR(INDEX(Lookups!B$42:B$62,MATCH($X36,Lookups!$A$42:$A$62,0)),"")</f>
        <v/>
      </c>
      <c r="AB36" s="150" t="str">
        <f>IFERROR(INDEX(Lookups!C$42:C$62,MATCH($X36,Lookups!$A$42:$A$62,0)),"")</f>
        <v/>
      </c>
      <c r="AC36" s="160"/>
      <c r="AD36" s="160"/>
      <c r="AE36" s="150" t="str">
        <f>IFERROR(INDEX('Fixture Codes'!$B$7:$M$976,MATCH(AD36,'Fixture Codes'!$B$7:$B$976,0),5),"")</f>
        <v/>
      </c>
      <c r="AF36" s="160"/>
      <c r="AG36" s="145" t="str">
        <f>IFERROR(INDEX('Fixture Codes'!$L$8:$L$976,MATCH(AD36,'Fixture Codes'!$B$8:$B$976,0)),"")</f>
        <v/>
      </c>
      <c r="AH36" s="158"/>
      <c r="AI36" s="160"/>
      <c r="AJ36" s="150" t="str">
        <f>IFERROR(INDEX(Lookups!B$68:B$87,MATCH($AH36,Lookups!$A$68:$A$87,0)),"")</f>
        <v/>
      </c>
      <c r="AK36" s="150" t="str">
        <f>IFERROR(INDEX(Lookups!B$42:B$62,MATCH($AH36,Lookups!$A$42:$A$62,0)),"")</f>
        <v/>
      </c>
      <c r="AL36" s="150" t="str">
        <f>IFERROR(INDEX(Lookups!C$42:C$62,MATCH($AH36,Lookups!$A$42:$A$62,0)),"")</f>
        <v/>
      </c>
      <c r="AM36" s="150" t="str">
        <f>IFERROR(IF(M36="Exit Signs",8760,IF(INDEX('Fixture Codes'!$C$8:$C$976,MATCH(AD36,'Fixture Codes'!$B$8:$B$976,0))="Exit Sign",8760,INDEX(Lookups!$I$2:$I$428,MATCH(_xlfn.CONCAT(B36,H36),Lookups!$H$2:$H$428,0)))),"")</f>
        <v/>
      </c>
      <c r="AN36" s="153">
        <v>1</v>
      </c>
      <c r="AO36" s="150" t="str">
        <f>IF($D36="Interior",INDEX(Lookups!Q$2:Q$86,MATCH(_xlfn.CONCAT($C36,$L36),Lookups!$P$2:$P$86,0)),IF($D36="Exterior",1,""))</f>
        <v/>
      </c>
      <c r="AP36" s="150">
        <f t="shared" si="19"/>
        <v>1</v>
      </c>
      <c r="AQ36" s="150" t="str">
        <f>IF($D36="Interior",INDEX(Lookups!R$2:R$86,MATCH(_xlfn.CONCAT($C36,$L36),Lookups!$P$2:$P$86,0)),IF($D36="Exterior",1,""))</f>
        <v/>
      </c>
      <c r="AR36" s="150" t="str">
        <f>IF($D36="Interior",INDEX(Lookups!S$2:S$86,MATCH(_xlfn.CONCAT($C36,$L36),Lookups!$P$2:$P$86,0)),IF($D36="Exterior",1,""))</f>
        <v/>
      </c>
      <c r="AS36" s="150" t="str">
        <f>IF($D36="Interior",INDEX(Lookups!T$2:T$86,MATCH(_xlfn.CONCAT($C36,$L36),Lookups!$P$2:$P$86,0)),IF($D36="Exterior",1,""))</f>
        <v/>
      </c>
      <c r="AT36" s="150" t="str">
        <f>IFERROR(IF(M36="Exit Signs",1,IF(INDEX('Fixture Codes'!$C$8:$C$976,MATCH($AD36,'Fixture Codes'!$B$8:$B$976,0))="Exit Sign",1,INDEX(Lookups!J$2:J$428,MATCH(_xlfn.CONCAT($B36,$H36),Lookups!$H$2:$H$428,0)))),"")</f>
        <v/>
      </c>
      <c r="AU36" s="150" t="str">
        <f>IFERROR(IF(M36="Exit Signs",1,IF(INDEX('Fixture Codes'!$C$8:$C$976,MATCH($AD36,'Fixture Codes'!$B$8:$B$976,0))="Exit Sign",1,INDEX(Lookups!K$2:K$428,MATCH(_xlfn.CONCAT($B36,$H36),Lookups!$H$2:$H$428,0)))),"")</f>
        <v/>
      </c>
      <c r="AV36" s="150" t="str">
        <f>IFERROR(IF(M36="Exit Signs",1,IF(INDEX('Fixture Codes'!$C$8:$C$976,MATCH($AD36,'Fixture Codes'!$B$8:$B$976,0))="Exit Sign",1,INDEX(Lookups!L$2:L$428,MATCH(_xlfn.CONCAT($B36,$H36),Lookups!$H$2:$H$428,0)))),"")</f>
        <v/>
      </c>
      <c r="AW36" s="150" t="str">
        <f>IF(ISBLANK(K36),"",IF(K36="Gas",INDEX(Lookups!$AG$2:$AG$63,MATCH(O36,Lookups!$AD$2:$AD$63,0),0),0))</f>
        <v/>
      </c>
      <c r="AX36" s="150" t="str">
        <f>IF(ISBLANK(K36),"",IF(K36="Gas",INDEX(Lookups!$AF$2:$AF$63,MATCH(O36,Lookups!$AD$2:$AD$63,0),0),0))</f>
        <v/>
      </c>
      <c r="AY36" s="150" t="str">
        <f>IF(ISBLANK(K36),"",IF(K36="Gas",INDEX(Lookups!$AH$2:$AH$63,MATCH(O36,Lookups!$AD$2:$AD$63,0),0),0))</f>
        <v/>
      </c>
      <c r="AZ36" s="150" t="str">
        <f>IF(ISBLANK(K36),"",IF(K36="Gas",INDEX(Lookups!$AI$2:$AI$63,MATCH(O36,Lookups!$AD$2:$AD$63,0),0),0))</f>
        <v/>
      </c>
      <c r="BA36" s="150" t="str">
        <f t="shared" si="0"/>
        <v/>
      </c>
      <c r="BB36" s="156" t="str">
        <f>IF(ISBLANK(AH36),"",IF(AH36="None",0,IF(K36="Gas",INDEX(Lookups!$AF$51:$AF$69,MATCH(AH36,Lookups!$AD$51:$AD$69,0),0),0)))</f>
        <v/>
      </c>
      <c r="BC36" s="156" t="str">
        <f>IF(ISBLANK(AH36),"",IF(AH36="None",0,IF(K36="Gas",INDEX(Lookups!$AH$51:$AH$69,MATCH(AH36,Lookups!$AD$51:$AD$69,0),0),0)))</f>
        <v/>
      </c>
      <c r="BD36" s="156" t="str">
        <f>IF(ISBLANK(AH36),"",IF(AH36="None",0,IF(K36="Gas",INDEX(Lookups!$AI$51:$AI$69,MATCH(AH36,Lookups!$AD$51:$AD$69,0),0),0)))</f>
        <v/>
      </c>
      <c r="BE36" s="157"/>
      <c r="BF36" s="157"/>
      <c r="BG36" s="147" t="str">
        <f t="shared" si="20"/>
        <v/>
      </c>
      <c r="BH36" s="147" t="str">
        <f t="shared" si="21"/>
        <v/>
      </c>
      <c r="BI36" s="147" t="str">
        <f t="shared" si="1"/>
        <v/>
      </c>
      <c r="BJ36" s="147" t="str">
        <f t="shared" si="2"/>
        <v/>
      </c>
      <c r="BK36" s="148" t="str">
        <f t="shared" si="22"/>
        <v/>
      </c>
      <c r="BL36" s="147" t="str">
        <f t="shared" si="3"/>
        <v/>
      </c>
      <c r="BM36" s="148" t="str">
        <f t="shared" si="23"/>
        <v/>
      </c>
      <c r="BN36" s="147" t="str">
        <f t="shared" si="24"/>
        <v/>
      </c>
      <c r="BO36" s="147" t="str">
        <f t="shared" si="24"/>
        <v/>
      </c>
      <c r="BP36" s="147" t="str">
        <f t="shared" si="25"/>
        <v/>
      </c>
      <c r="BQ36" s="148" t="str">
        <f t="shared" si="26"/>
        <v/>
      </c>
      <c r="BR36" s="148" t="str">
        <f t="shared" si="27"/>
        <v/>
      </c>
      <c r="BS36" s="148" t="str">
        <f t="shared" si="28"/>
        <v/>
      </c>
      <c r="BT36" s="148" t="str">
        <f t="shared" si="7"/>
        <v/>
      </c>
      <c r="BU36" s="148" t="str">
        <f t="shared" si="8"/>
        <v/>
      </c>
      <c r="BV36" s="148" t="str">
        <f t="shared" si="9"/>
        <v/>
      </c>
      <c r="BW36" s="148" t="str">
        <f t="shared" si="29"/>
        <v/>
      </c>
      <c r="BX36" s="148" t="str">
        <f t="shared" si="10"/>
        <v/>
      </c>
      <c r="BY36" s="148" t="str">
        <f t="shared" si="11"/>
        <v/>
      </c>
      <c r="BZ36" s="149" t="str">
        <f>IFERROR(INDEX('Prescriptive Rebate Table'!$B$2:$E$64,MATCH(O36,'Prescriptive Rebate Table'!$C$2:$C$64,0),3),"")</f>
        <v/>
      </c>
      <c r="CA36" s="145" t="str">
        <f>IFERROR(INDEX('Prescriptive Rebate Table'!$B$2:$E$64,MATCH(O36,'Prescriptive Rebate Table'!$C$2:$C$64,0),4),"")</f>
        <v/>
      </c>
      <c r="CB36" s="149" t="str">
        <f t="shared" si="30"/>
        <v/>
      </c>
      <c r="CC36" s="145" t="str">
        <f t="shared" si="31"/>
        <v/>
      </c>
      <c r="CD36" s="149" t="str">
        <f t="shared" si="12"/>
        <v/>
      </c>
      <c r="CE36" s="149" t="str">
        <f t="shared" si="13"/>
        <v/>
      </c>
      <c r="CF36" s="149" t="str">
        <f>IF(BK36&lt;=0,0,IFERROR(IF(OR(ISBLANK(AC36),ISBLANK(CD36))=TRUE,"",IF(CA36="Per Foot",INDEX('Fixture Codes'!$I$8:$I$976,MATCH(AD36,'Fixture Codes'!$B$8:$B$976,0))/12*AF36*BZ36,IF(CA36="Lamp",INDEX('Fixture Codes'!$J$8:$J$976,MATCH(AD36,'Fixture Codes'!$B$8:$B$976,0))*AF36*BZ36,IF(CA36="Fixture",AF36*BZ36,IF(CA36="kWh",BK36*BZ36,0))))),""))</f>
        <v/>
      </c>
      <c r="CG36" s="149" t="str">
        <f t="shared" si="32"/>
        <v/>
      </c>
      <c r="CH36" s="149" t="str">
        <f t="shared" si="33"/>
        <v/>
      </c>
      <c r="CI36" s="152"/>
      <c r="CJ36" s="146"/>
      <c r="CK36" s="241">
        <f>IFERROR(IF(CL36="Yes",'Prescriptive Rebate Table'!$D$69,IF(ISBLANK(AI36),0,IF(AND(AH36=Lookups!$A$62,BK36&gt;0),'Prescriptive Rebate Table'!$D$68,IF(AND(BK36&gt;0,CJ36=AF36),'Prescriptive Rebate Table'!$D$67,IF(AND(BK36&gt;0,CJ36&lt;&gt;AF36),'Prescriptive Rebate Table'!D95,0))))),"")</f>
        <v>0</v>
      </c>
      <c r="CL36" s="240" t="s">
        <v>2712</v>
      </c>
      <c r="CM36" s="152"/>
      <c r="CN36" s="152"/>
      <c r="CO36" s="152"/>
      <c r="CP36" s="146">
        <f t="shared" si="14"/>
        <v>0</v>
      </c>
      <c r="CQ36" s="153">
        <f>IF(D36="Interior",ROUND(($AG36*AF36)/1000*$AM36*(Lookups!$B$54-$AA36)*$AN36*$AO36,3),0)</f>
        <v>0</v>
      </c>
      <c r="CR36" s="153">
        <f>IFERROR(IF(D36="Interior",ROUND(($AG36*$AF36)/1000*(Lookups!$C$54-$AB36)*$AN36*AQ36*AT36,6),0),"")</f>
        <v>0</v>
      </c>
      <c r="CS36" s="165">
        <f t="shared" si="34"/>
        <v>0</v>
      </c>
      <c r="CT36" s="165">
        <f t="shared" si="35"/>
        <v>0</v>
      </c>
      <c r="CV36" s="153">
        <f>IF(D36="Interior",ROUND(($AG36*AF36)/1000*$AM36*(Lookups!$B$43-$AA36)*$AN36*$AO36,3),0)</f>
        <v>0</v>
      </c>
      <c r="CW36" s="153">
        <f>IFERROR(IF(D36="Interior",ROUND(($AG36*$AF36)/1000*(Lookups!$C$43-$AB36)*$AN36*AQ36*AT36,6),0),"")</f>
        <v>0</v>
      </c>
      <c r="CX36" s="165">
        <f t="shared" si="15"/>
        <v>0</v>
      </c>
      <c r="CY36" s="165">
        <f t="shared" si="16"/>
        <v>0</v>
      </c>
      <c r="DA36" s="153">
        <f>IF(D36="Interior",ROUND(($AG36*AF36*(1-0.15))/1000*$AM36*(Lookups!$B$43+0.097-$AA36)*$AN36*$AO36+((W36*V36)/1000*AN36*AM36*AO36*0.15),3),0)</f>
        <v>0</v>
      </c>
      <c r="DB36" s="153">
        <f>IFERROR(IF(D36="Interior",ROUND(($AG36*$AF36)/1000*(Lookups!$C$43+0.097-$AB36)*$AN36*AQ36*AT36+(($AG36*$AF36)/1000*$AN36*AQ36*AT36*0.15),6),0),"")</f>
        <v>0</v>
      </c>
      <c r="DC36" s="165">
        <f t="shared" si="17"/>
        <v>0</v>
      </c>
      <c r="DD36" s="165">
        <f t="shared" si="18"/>
        <v>0</v>
      </c>
    </row>
    <row r="37" spans="1:108" s="164" customFormat="1">
      <c r="A37" s="150">
        <v>33</v>
      </c>
      <c r="B37" s="153" t="str">
        <f>IFERROR(INDEX(Lookups!$B$2:$B$38,MATCH('Project Info &amp; Summary'!$C$19,Lookups!$A$2:$A$38,0)),"")</f>
        <v/>
      </c>
      <c r="C37" s="153" t="str">
        <f>IFERROR(INDEX(Lookups!$C$2:$C$38,MATCH('Project Info &amp; Summary'!$C$19,Lookups!$A$2:$A$38,0)),"")</f>
        <v/>
      </c>
      <c r="D37" s="163"/>
      <c r="E37" s="160"/>
      <c r="F37" s="158"/>
      <c r="G37" s="158"/>
      <c r="H37" s="158"/>
      <c r="I37" s="158"/>
      <c r="J37" s="154" t="str">
        <f>IFERROR(INDEX(Lookups!$W$21:$W$26,MATCH(I37,Lookups!$V$21:$V$26,0)),"")</f>
        <v/>
      </c>
      <c r="K37" s="158"/>
      <c r="L37" s="162" t="str">
        <f>IFERROR(INDEX(Lookups!$Y$2:$Y$19,MATCH(_xlfn.CONCAT(I37,K37),Lookups!$X$2:$X$19,0)),"")</f>
        <v/>
      </c>
      <c r="M37" s="158"/>
      <c r="N37" s="153" t="str">
        <f>IFERROR(INDEX('Prescriptive Rebate Table'!$M$3:$M$20,MATCH(M37,'Prescriptive Rebate Table'!$L$3:$L$20,0)),"")</f>
        <v/>
      </c>
      <c r="O37" s="158"/>
      <c r="P37" s="154" t="str">
        <f>IFERROR(INDEX('Prescriptive Rebate Table'!$B$2:$H$64, MATCH(O37,'Prescriptive Rebate Table'!$C$2:$C$64,0),7),"")</f>
        <v/>
      </c>
      <c r="Q37" s="155" t="str">
        <f>IFERROR(INDEX('Prescriptive Rebate Table'!$B$2:$I$64, MATCH(O37,'Prescriptive Rebate Table'!$C$2:$C$64,0),8),"")</f>
        <v/>
      </c>
      <c r="R37" s="155" t="str">
        <f>IFERROR(INDEX('Prescriptive Rebate Table'!$B$2:$J$64, MATCH(O37,'Prescriptive Rebate Table'!$C$2:$C$64,0),9),"")</f>
        <v/>
      </c>
      <c r="S37" s="160"/>
      <c r="T37" s="145" t="str">
        <f>IFERROR(INDEX('Fixture Codes'!$M$8:$M$976,MATCH(S37,'Fixture Codes'!$B$8:$B$976,0)),"")</f>
        <v/>
      </c>
      <c r="U37" s="145" t="str">
        <f>IFERROR(INDEX('Fixture Codes'!$B$7:$M$976,MATCH(T37,'Fixture Codes'!$B$7:$B$976,0),5),"")</f>
        <v/>
      </c>
      <c r="V37" s="160"/>
      <c r="W37" s="145" t="str">
        <f>IFERROR(INDEX('Fixture Codes'!$L$8:$L$976,MATCH(T37,'Fixture Codes'!$B$8:$B$976,0)),"")</f>
        <v/>
      </c>
      <c r="X37" s="158"/>
      <c r="Y37" s="159"/>
      <c r="Z37" s="155" t="str">
        <f>IFERROR(INDEX(Lookups!B$68:B$87,MATCH($X37,Lookups!$A$68:$A$87,0)),"")</f>
        <v/>
      </c>
      <c r="AA37" s="150" t="str">
        <f>IFERROR(INDEX(Lookups!B$42:B$62,MATCH($X37,Lookups!$A$42:$A$62,0)),"")</f>
        <v/>
      </c>
      <c r="AB37" s="150" t="str">
        <f>IFERROR(INDEX(Lookups!C$42:C$62,MATCH($X37,Lookups!$A$42:$A$62,0)),"")</f>
        <v/>
      </c>
      <c r="AC37" s="160"/>
      <c r="AD37" s="160"/>
      <c r="AE37" s="150" t="str">
        <f>IFERROR(INDEX('Fixture Codes'!$B$7:$M$976,MATCH(AD37,'Fixture Codes'!$B$7:$B$976,0),5),"")</f>
        <v/>
      </c>
      <c r="AF37" s="160"/>
      <c r="AG37" s="145" t="str">
        <f>IFERROR(INDEX('Fixture Codes'!$L$8:$L$976,MATCH(AD37,'Fixture Codes'!$B$8:$B$976,0)),"")</f>
        <v/>
      </c>
      <c r="AH37" s="158"/>
      <c r="AI37" s="160"/>
      <c r="AJ37" s="150" t="str">
        <f>IFERROR(INDEX(Lookups!B$68:B$87,MATCH($AH37,Lookups!$A$68:$A$87,0)),"")</f>
        <v/>
      </c>
      <c r="AK37" s="150" t="str">
        <f>IFERROR(INDEX(Lookups!B$42:B$62,MATCH($AH37,Lookups!$A$42:$A$62,0)),"")</f>
        <v/>
      </c>
      <c r="AL37" s="150" t="str">
        <f>IFERROR(INDEX(Lookups!C$42:C$62,MATCH($AH37,Lookups!$A$42:$A$62,0)),"")</f>
        <v/>
      </c>
      <c r="AM37" s="150" t="str">
        <f>IFERROR(IF(M37="Exit Signs",8760,IF(INDEX('Fixture Codes'!$C$8:$C$976,MATCH(AD37,'Fixture Codes'!$B$8:$B$976,0))="Exit Sign",8760,INDEX(Lookups!$I$2:$I$428,MATCH(_xlfn.CONCAT(B37,H37),Lookups!$H$2:$H$428,0)))),"")</f>
        <v/>
      </c>
      <c r="AN37" s="153">
        <v>1</v>
      </c>
      <c r="AO37" s="150" t="str">
        <f>IF($D37="Interior",INDEX(Lookups!Q$2:Q$86,MATCH(_xlfn.CONCAT($C37,$L37),Lookups!$P$2:$P$86,0)),IF($D37="Exterior",1,""))</f>
        <v/>
      </c>
      <c r="AP37" s="150">
        <f t="shared" si="19"/>
        <v>1</v>
      </c>
      <c r="AQ37" s="150" t="str">
        <f>IF($D37="Interior",INDEX(Lookups!R$2:R$86,MATCH(_xlfn.CONCAT($C37,$L37),Lookups!$P$2:$P$86,0)),IF($D37="Exterior",1,""))</f>
        <v/>
      </c>
      <c r="AR37" s="150" t="str">
        <f>IF($D37="Interior",INDEX(Lookups!S$2:S$86,MATCH(_xlfn.CONCAT($C37,$L37),Lookups!$P$2:$P$86,0)),IF($D37="Exterior",1,""))</f>
        <v/>
      </c>
      <c r="AS37" s="150" t="str">
        <f>IF($D37="Interior",INDEX(Lookups!T$2:T$86,MATCH(_xlfn.CONCAT($C37,$L37),Lookups!$P$2:$P$86,0)),IF($D37="Exterior",1,""))</f>
        <v/>
      </c>
      <c r="AT37" s="150" t="str">
        <f>IFERROR(IF(M37="Exit Signs",1,IF(INDEX('Fixture Codes'!$C$8:$C$976,MATCH($AD37,'Fixture Codes'!$B$8:$B$976,0))="Exit Sign",1,INDEX(Lookups!J$2:J$428,MATCH(_xlfn.CONCAT($B37,$H37),Lookups!$H$2:$H$428,0)))),"")</f>
        <v/>
      </c>
      <c r="AU37" s="150" t="str">
        <f>IFERROR(IF(M37="Exit Signs",1,IF(INDEX('Fixture Codes'!$C$8:$C$976,MATCH($AD37,'Fixture Codes'!$B$8:$B$976,0))="Exit Sign",1,INDEX(Lookups!K$2:K$428,MATCH(_xlfn.CONCAT($B37,$H37),Lookups!$H$2:$H$428,0)))),"")</f>
        <v/>
      </c>
      <c r="AV37" s="150" t="str">
        <f>IFERROR(IF(M37="Exit Signs",1,IF(INDEX('Fixture Codes'!$C$8:$C$976,MATCH($AD37,'Fixture Codes'!$B$8:$B$976,0))="Exit Sign",1,INDEX(Lookups!L$2:L$428,MATCH(_xlfn.CONCAT($B37,$H37),Lookups!$H$2:$H$428,0)))),"")</f>
        <v/>
      </c>
      <c r="AW37" s="150" t="str">
        <f>IF(ISBLANK(K37),"",IF(K37="Gas",INDEX(Lookups!$AG$2:$AG$63,MATCH(O37,Lookups!$AD$2:$AD$63,0),0),0))</f>
        <v/>
      </c>
      <c r="AX37" s="150" t="str">
        <f>IF(ISBLANK(K37),"",IF(K37="Gas",INDEX(Lookups!$AF$2:$AF$63,MATCH(O37,Lookups!$AD$2:$AD$63,0),0),0))</f>
        <v/>
      </c>
      <c r="AY37" s="150" t="str">
        <f>IF(ISBLANK(K37),"",IF(K37="Gas",INDEX(Lookups!$AH$2:$AH$63,MATCH(O37,Lookups!$AD$2:$AD$63,0),0),0))</f>
        <v/>
      </c>
      <c r="AZ37" s="150" t="str">
        <f>IF(ISBLANK(K37),"",IF(K37="Gas",INDEX(Lookups!$AI$2:$AI$63,MATCH(O37,Lookups!$AD$2:$AD$63,0),0),0))</f>
        <v/>
      </c>
      <c r="BA37" s="150" t="str">
        <f t="shared" si="0"/>
        <v/>
      </c>
      <c r="BB37" s="156" t="str">
        <f>IF(ISBLANK(AH37),"",IF(AH37="None",0,IF(K37="Gas",INDEX(Lookups!$AF$51:$AF$69,MATCH(AH37,Lookups!$AD$51:$AD$69,0),0),0)))</f>
        <v/>
      </c>
      <c r="BC37" s="156" t="str">
        <f>IF(ISBLANK(AH37),"",IF(AH37="None",0,IF(K37="Gas",INDEX(Lookups!$AH$51:$AH$69,MATCH(AH37,Lookups!$AD$51:$AD$69,0),0),0)))</f>
        <v/>
      </c>
      <c r="BD37" s="156" t="str">
        <f>IF(ISBLANK(AH37),"",IF(AH37="None",0,IF(K37="Gas",INDEX(Lookups!$AI$51:$AI$69,MATCH(AH37,Lookups!$AD$51:$AD$69,0),0),0)))</f>
        <v/>
      </c>
      <c r="BE37" s="157"/>
      <c r="BF37" s="157"/>
      <c r="BG37" s="147" t="str">
        <f t="shared" si="20"/>
        <v/>
      </c>
      <c r="BH37" s="147" t="str">
        <f t="shared" si="21"/>
        <v/>
      </c>
      <c r="BI37" s="147" t="str">
        <f t="shared" si="1"/>
        <v/>
      </c>
      <c r="BJ37" s="147" t="str">
        <f t="shared" si="2"/>
        <v/>
      </c>
      <c r="BK37" s="148" t="str">
        <f t="shared" si="22"/>
        <v/>
      </c>
      <c r="BL37" s="147" t="str">
        <f t="shared" si="3"/>
        <v/>
      </c>
      <c r="BM37" s="148" t="str">
        <f t="shared" si="23"/>
        <v/>
      </c>
      <c r="BN37" s="147" t="str">
        <f t="shared" si="24"/>
        <v/>
      </c>
      <c r="BO37" s="147" t="str">
        <f t="shared" si="24"/>
        <v/>
      </c>
      <c r="BP37" s="147" t="str">
        <f t="shared" si="25"/>
        <v/>
      </c>
      <c r="BQ37" s="148" t="str">
        <f t="shared" si="26"/>
        <v/>
      </c>
      <c r="BR37" s="148" t="str">
        <f t="shared" si="27"/>
        <v/>
      </c>
      <c r="BS37" s="148" t="str">
        <f t="shared" si="28"/>
        <v/>
      </c>
      <c r="BT37" s="148" t="str">
        <f t="shared" si="7"/>
        <v/>
      </c>
      <c r="BU37" s="148" t="str">
        <f t="shared" si="8"/>
        <v/>
      </c>
      <c r="BV37" s="148" t="str">
        <f t="shared" si="9"/>
        <v/>
      </c>
      <c r="BW37" s="148" t="str">
        <f t="shared" si="29"/>
        <v/>
      </c>
      <c r="BX37" s="148" t="str">
        <f t="shared" si="10"/>
        <v/>
      </c>
      <c r="BY37" s="148" t="str">
        <f t="shared" si="11"/>
        <v/>
      </c>
      <c r="BZ37" s="149" t="str">
        <f>IFERROR(INDEX('Prescriptive Rebate Table'!$B$2:$E$64,MATCH(O37,'Prescriptive Rebate Table'!$C$2:$C$64,0),3),"")</f>
        <v/>
      </c>
      <c r="CA37" s="145" t="str">
        <f>IFERROR(INDEX('Prescriptive Rebate Table'!$B$2:$E$64,MATCH(O37,'Prescriptive Rebate Table'!$C$2:$C$64,0),4),"")</f>
        <v/>
      </c>
      <c r="CB37" s="149" t="str">
        <f t="shared" si="30"/>
        <v/>
      </c>
      <c r="CC37" s="145" t="str">
        <f t="shared" si="31"/>
        <v/>
      </c>
      <c r="CD37" s="149" t="str">
        <f t="shared" si="12"/>
        <v/>
      </c>
      <c r="CE37" s="149" t="str">
        <f t="shared" si="13"/>
        <v/>
      </c>
      <c r="CF37" s="149" t="str">
        <f>IF(BK37&lt;=0,0,IFERROR(IF(OR(ISBLANK(AC37),ISBLANK(CD37))=TRUE,"",IF(CA37="Per Foot",INDEX('Fixture Codes'!$I$8:$I$976,MATCH(AD37,'Fixture Codes'!$B$8:$B$976,0))/12*AF37*BZ37,IF(CA37="Lamp",INDEX('Fixture Codes'!$J$8:$J$976,MATCH(AD37,'Fixture Codes'!$B$8:$B$976,0))*AF37*BZ37,IF(CA37="Fixture",AF37*BZ37,IF(CA37="kWh",BK37*BZ37,0))))),""))</f>
        <v/>
      </c>
      <c r="CG37" s="149" t="str">
        <f t="shared" si="32"/>
        <v/>
      </c>
      <c r="CH37" s="149" t="str">
        <f t="shared" si="33"/>
        <v/>
      </c>
      <c r="CI37" s="152"/>
      <c r="CJ37" s="146"/>
      <c r="CK37" s="241">
        <f>IFERROR(IF(CL37="Yes",'Prescriptive Rebate Table'!$D$69,IF(ISBLANK(AI37),0,IF(AND(AH37=Lookups!$A$62,BK37&gt;0),'Prescriptive Rebate Table'!$D$68,IF(AND(BK37&gt;0,CJ37=AF37),'Prescriptive Rebate Table'!$D$67,IF(AND(BK37&gt;0,CJ37&lt;&gt;AF37),'Prescriptive Rebate Table'!D96,0))))),"")</f>
        <v>0</v>
      </c>
      <c r="CL37" s="240" t="s">
        <v>2712</v>
      </c>
      <c r="CM37" s="152"/>
      <c r="CN37" s="152"/>
      <c r="CO37" s="152"/>
      <c r="CP37" s="146">
        <f t="shared" si="14"/>
        <v>0</v>
      </c>
      <c r="CQ37" s="153">
        <f>IF(D37="Interior",ROUND(($AG37*AF37)/1000*$AM37*(Lookups!$B$54-$AA37)*$AN37*$AO37,3),0)</f>
        <v>0</v>
      </c>
      <c r="CR37" s="153">
        <f>IFERROR(IF(D37="Interior",ROUND(($AG37*$AF37)/1000*(Lookups!$C$54-$AB37)*$AN37*AQ37*AT37,6),0),"")</f>
        <v>0</v>
      </c>
      <c r="CS37" s="165">
        <f t="shared" si="34"/>
        <v>0</v>
      </c>
      <c r="CT37" s="165">
        <f t="shared" si="35"/>
        <v>0</v>
      </c>
      <c r="CV37" s="153">
        <f>IF(D37="Interior",ROUND(($AG37*AF37)/1000*$AM37*(Lookups!$B$43-$AA37)*$AN37*$AO37,3),0)</f>
        <v>0</v>
      </c>
      <c r="CW37" s="153">
        <f>IFERROR(IF(D37="Interior",ROUND(($AG37*$AF37)/1000*(Lookups!$C$43-$AB37)*$AN37*AQ37*AT37,6),0),"")</f>
        <v>0</v>
      </c>
      <c r="CX37" s="165">
        <f t="shared" ref="CX37:CX64" si="36">IFERROR(IF(D37="Interior",IF(AF37*AG37&gt;200,AF37*AG37*0.6,AF37*50),0),0)</f>
        <v>0</v>
      </c>
      <c r="CY37" s="165">
        <f t="shared" ref="CY37:CY64" si="37">IF(D37="Interior",AF37*49,0)</f>
        <v>0</v>
      </c>
      <c r="DA37" s="153">
        <f>IF(D37="Interior",ROUND(($AG37*AF37*(1-0.15))/1000*$AM37*(Lookups!$B$43+0.097-$AA37)*$AN37*$AO37+((W37*V37)/1000*AN37*AM37*AO37*0.15),3),0)</f>
        <v>0</v>
      </c>
      <c r="DB37" s="153">
        <f>IFERROR(IF(D37="Interior",ROUND(($AG37*$AF37)/1000*(Lookups!$C$43+0.097-$AB37)*$AN37*AQ37*AT37+(($AG37*$AF37)/1000*$AN37*AQ37*AT37*0.15),6),0),"")</f>
        <v>0</v>
      </c>
      <c r="DC37" s="165">
        <f t="shared" ref="DC37:DC68" si="38">IFERROR(IF(D37="Interior",IF(AF37*AG37&gt;200,AF37*AG37*0.6,AF37*50),0),0)</f>
        <v>0</v>
      </c>
      <c r="DD37" s="165">
        <f t="shared" ref="DD37:DD68" si="39">IF(D37="Interior",AF37*49,0)</f>
        <v>0</v>
      </c>
    </row>
    <row r="38" spans="1:108" s="164" customFormat="1">
      <c r="A38" s="150">
        <v>34</v>
      </c>
      <c r="B38" s="153" t="str">
        <f>IFERROR(INDEX(Lookups!$B$2:$B$38,MATCH('Project Info &amp; Summary'!$C$19,Lookups!$A$2:$A$38,0)),"")</f>
        <v/>
      </c>
      <c r="C38" s="153" t="str">
        <f>IFERROR(INDEX(Lookups!$C$2:$C$38,MATCH('Project Info &amp; Summary'!$C$19,Lookups!$A$2:$A$38,0)),"")</f>
        <v/>
      </c>
      <c r="D38" s="163"/>
      <c r="E38" s="160"/>
      <c r="F38" s="158"/>
      <c r="G38" s="158"/>
      <c r="H38" s="158"/>
      <c r="I38" s="158"/>
      <c r="J38" s="154" t="str">
        <f>IFERROR(INDEX(Lookups!$W$21:$W$26,MATCH(I38,Lookups!$V$21:$V$26,0)),"")</f>
        <v/>
      </c>
      <c r="K38" s="158"/>
      <c r="L38" s="162" t="str">
        <f>IFERROR(INDEX(Lookups!$Y$2:$Y$19,MATCH(_xlfn.CONCAT(I38,K38),Lookups!$X$2:$X$19,0)),"")</f>
        <v/>
      </c>
      <c r="M38" s="158"/>
      <c r="N38" s="153" t="str">
        <f>IFERROR(INDEX('Prescriptive Rebate Table'!$M$3:$M$20,MATCH(M38,'Prescriptive Rebate Table'!$L$3:$L$20,0)),"")</f>
        <v/>
      </c>
      <c r="O38" s="158"/>
      <c r="P38" s="154" t="str">
        <f>IFERROR(INDEX('Prescriptive Rebate Table'!$B$2:$H$64, MATCH(O38,'Prescriptive Rebate Table'!$C$2:$C$64,0),7),"")</f>
        <v/>
      </c>
      <c r="Q38" s="155" t="str">
        <f>IFERROR(INDEX('Prescriptive Rebate Table'!$B$2:$I$64, MATCH(O38,'Prescriptive Rebate Table'!$C$2:$C$64,0),8),"")</f>
        <v/>
      </c>
      <c r="R38" s="155" t="str">
        <f>IFERROR(INDEX('Prescriptive Rebate Table'!$B$2:$J$64, MATCH(O38,'Prescriptive Rebate Table'!$C$2:$C$64,0),9),"")</f>
        <v/>
      </c>
      <c r="S38" s="160"/>
      <c r="T38" s="145" t="str">
        <f>IFERROR(INDEX('Fixture Codes'!$M$8:$M$976,MATCH(S38,'Fixture Codes'!$B$8:$B$976,0)),"")</f>
        <v/>
      </c>
      <c r="U38" s="145" t="str">
        <f>IFERROR(INDEX('Fixture Codes'!$B$7:$M$976,MATCH(T38,'Fixture Codes'!$B$7:$B$976,0),5),"")</f>
        <v/>
      </c>
      <c r="V38" s="160"/>
      <c r="W38" s="145" t="str">
        <f>IFERROR(INDEX('Fixture Codes'!$L$8:$L$976,MATCH(T38,'Fixture Codes'!$B$8:$B$976,0)),"")</f>
        <v/>
      </c>
      <c r="X38" s="158"/>
      <c r="Y38" s="159"/>
      <c r="Z38" s="155" t="str">
        <f>IFERROR(INDEX(Lookups!B$68:B$87,MATCH($X38,Lookups!$A$68:$A$87,0)),"")</f>
        <v/>
      </c>
      <c r="AA38" s="150" t="str">
        <f>IFERROR(INDEX(Lookups!B$42:B$62,MATCH($X38,Lookups!$A$42:$A$62,0)),"")</f>
        <v/>
      </c>
      <c r="AB38" s="150" t="str">
        <f>IFERROR(INDEX(Lookups!C$42:C$62,MATCH($X38,Lookups!$A$42:$A$62,0)),"")</f>
        <v/>
      </c>
      <c r="AC38" s="160"/>
      <c r="AD38" s="160"/>
      <c r="AE38" s="150" t="str">
        <f>IFERROR(INDEX('Fixture Codes'!$B$7:$M$976,MATCH(AD38,'Fixture Codes'!$B$7:$B$976,0),5),"")</f>
        <v/>
      </c>
      <c r="AF38" s="160"/>
      <c r="AG38" s="145" t="str">
        <f>IFERROR(INDEX('Fixture Codes'!$L$8:$L$976,MATCH(AD38,'Fixture Codes'!$B$8:$B$976,0)),"")</f>
        <v/>
      </c>
      <c r="AH38" s="158"/>
      <c r="AI38" s="160"/>
      <c r="AJ38" s="150" t="str">
        <f>IFERROR(INDEX(Lookups!B$68:B$87,MATCH($AH38,Lookups!$A$68:$A$87,0)),"")</f>
        <v/>
      </c>
      <c r="AK38" s="150" t="str">
        <f>IFERROR(INDEX(Lookups!B$42:B$62,MATCH($AH38,Lookups!$A$42:$A$62,0)),"")</f>
        <v/>
      </c>
      <c r="AL38" s="150" t="str">
        <f>IFERROR(INDEX(Lookups!C$42:C$62,MATCH($AH38,Lookups!$A$42:$A$62,0)),"")</f>
        <v/>
      </c>
      <c r="AM38" s="150" t="str">
        <f>IFERROR(IF(M38="Exit Signs",8760,IF(INDEX('Fixture Codes'!$C$8:$C$976,MATCH(AD38,'Fixture Codes'!$B$8:$B$976,0))="Exit Sign",8760,INDEX(Lookups!$I$2:$I$428,MATCH(_xlfn.CONCAT(B38,H38),Lookups!$H$2:$H$428,0)))),"")</f>
        <v/>
      </c>
      <c r="AN38" s="153">
        <v>1</v>
      </c>
      <c r="AO38" s="150" t="str">
        <f>IF($D38="Interior",INDEX(Lookups!Q$2:Q$86,MATCH(_xlfn.CONCAT($C38,$L38),Lookups!$P$2:$P$86,0)),IF($D38="Exterior",1,""))</f>
        <v/>
      </c>
      <c r="AP38" s="150">
        <f t="shared" si="19"/>
        <v>1</v>
      </c>
      <c r="AQ38" s="150" t="str">
        <f>IF($D38="Interior",INDEX(Lookups!R$2:R$86,MATCH(_xlfn.CONCAT($C38,$L38),Lookups!$P$2:$P$86,0)),IF($D38="Exterior",1,""))</f>
        <v/>
      </c>
      <c r="AR38" s="150" t="str">
        <f>IF($D38="Interior",INDEX(Lookups!S$2:S$86,MATCH(_xlfn.CONCAT($C38,$L38),Lookups!$P$2:$P$86,0)),IF($D38="Exterior",1,""))</f>
        <v/>
      </c>
      <c r="AS38" s="150" t="str">
        <f>IF($D38="Interior",INDEX(Lookups!T$2:T$86,MATCH(_xlfn.CONCAT($C38,$L38),Lookups!$P$2:$P$86,0)),IF($D38="Exterior",1,""))</f>
        <v/>
      </c>
      <c r="AT38" s="150" t="str">
        <f>IFERROR(IF(M38="Exit Signs",1,IF(INDEX('Fixture Codes'!$C$8:$C$976,MATCH($AD38,'Fixture Codes'!$B$8:$B$976,0))="Exit Sign",1,INDEX(Lookups!J$2:J$428,MATCH(_xlfn.CONCAT($B38,$H38),Lookups!$H$2:$H$428,0)))),"")</f>
        <v/>
      </c>
      <c r="AU38" s="150" t="str">
        <f>IFERROR(IF(M38="Exit Signs",1,IF(INDEX('Fixture Codes'!$C$8:$C$976,MATCH($AD38,'Fixture Codes'!$B$8:$B$976,0))="Exit Sign",1,INDEX(Lookups!K$2:K$428,MATCH(_xlfn.CONCAT($B38,$H38),Lookups!$H$2:$H$428,0)))),"")</f>
        <v/>
      </c>
      <c r="AV38" s="150" t="str">
        <f>IFERROR(IF(M38="Exit Signs",1,IF(INDEX('Fixture Codes'!$C$8:$C$976,MATCH($AD38,'Fixture Codes'!$B$8:$B$976,0))="Exit Sign",1,INDEX(Lookups!L$2:L$428,MATCH(_xlfn.CONCAT($B38,$H38),Lookups!$H$2:$H$428,0)))),"")</f>
        <v/>
      </c>
      <c r="AW38" s="150" t="str">
        <f>IF(ISBLANK(K38),"",IF(K38="Gas",INDEX(Lookups!$AG$2:$AG$63,MATCH(O38,Lookups!$AD$2:$AD$63,0),0),0))</f>
        <v/>
      </c>
      <c r="AX38" s="150" t="str">
        <f>IF(ISBLANK(K38),"",IF(K38="Gas",INDEX(Lookups!$AF$2:$AF$63,MATCH(O38,Lookups!$AD$2:$AD$63,0),0),0))</f>
        <v/>
      </c>
      <c r="AY38" s="150" t="str">
        <f>IF(ISBLANK(K38),"",IF(K38="Gas",INDEX(Lookups!$AH$2:$AH$63,MATCH(O38,Lookups!$AD$2:$AD$63,0),0),0))</f>
        <v/>
      </c>
      <c r="AZ38" s="150" t="str">
        <f>IF(ISBLANK(K38),"",IF(K38="Gas",INDEX(Lookups!$AI$2:$AI$63,MATCH(O38,Lookups!$AD$2:$AD$63,0),0),0))</f>
        <v/>
      </c>
      <c r="BA38" s="150" t="str">
        <f t="shared" si="0"/>
        <v/>
      </c>
      <c r="BB38" s="156" t="str">
        <f>IF(ISBLANK(AH38),"",IF(AH38="None",0,IF(K38="Gas",INDEX(Lookups!$AF$51:$AF$69,MATCH(AH38,Lookups!$AD$51:$AD$69,0),0),0)))</f>
        <v/>
      </c>
      <c r="BC38" s="156" t="str">
        <f>IF(ISBLANK(AH38),"",IF(AH38="None",0,IF(K38="Gas",INDEX(Lookups!$AH$51:$AH$69,MATCH(AH38,Lookups!$AD$51:$AD$69,0),0),0)))</f>
        <v/>
      </c>
      <c r="BD38" s="156" t="str">
        <f>IF(ISBLANK(AH38),"",IF(AH38="None",0,IF(K38="Gas",INDEX(Lookups!$AI$51:$AI$69,MATCH(AH38,Lookups!$AD$51:$AD$69,0),0),0)))</f>
        <v/>
      </c>
      <c r="BE38" s="157"/>
      <c r="BF38" s="157"/>
      <c r="BG38" s="147" t="str">
        <f t="shared" si="20"/>
        <v/>
      </c>
      <c r="BH38" s="147" t="str">
        <f t="shared" si="21"/>
        <v/>
      </c>
      <c r="BI38" s="147" t="str">
        <f t="shared" si="1"/>
        <v/>
      </c>
      <c r="BJ38" s="147" t="str">
        <f t="shared" si="2"/>
        <v/>
      </c>
      <c r="BK38" s="148" t="str">
        <f t="shared" si="22"/>
        <v/>
      </c>
      <c r="BL38" s="147" t="str">
        <f t="shared" si="3"/>
        <v/>
      </c>
      <c r="BM38" s="148" t="str">
        <f t="shared" si="23"/>
        <v/>
      </c>
      <c r="BN38" s="147" t="str">
        <f t="shared" si="24"/>
        <v/>
      </c>
      <c r="BO38" s="147" t="str">
        <f t="shared" si="24"/>
        <v/>
      </c>
      <c r="BP38" s="147" t="str">
        <f t="shared" si="25"/>
        <v/>
      </c>
      <c r="BQ38" s="148" t="str">
        <f t="shared" si="26"/>
        <v/>
      </c>
      <c r="BR38" s="148" t="str">
        <f t="shared" si="27"/>
        <v/>
      </c>
      <c r="BS38" s="148" t="str">
        <f t="shared" si="28"/>
        <v/>
      </c>
      <c r="BT38" s="148" t="str">
        <f t="shared" si="7"/>
        <v/>
      </c>
      <c r="BU38" s="148" t="str">
        <f t="shared" si="8"/>
        <v/>
      </c>
      <c r="BV38" s="148" t="str">
        <f t="shared" si="9"/>
        <v/>
      </c>
      <c r="BW38" s="148" t="str">
        <f t="shared" si="29"/>
        <v/>
      </c>
      <c r="BX38" s="148" t="str">
        <f t="shared" si="10"/>
        <v/>
      </c>
      <c r="BY38" s="148" t="str">
        <f t="shared" si="11"/>
        <v/>
      </c>
      <c r="BZ38" s="149" t="str">
        <f>IFERROR(INDEX('Prescriptive Rebate Table'!$B$2:$E$64,MATCH(O38,'Prescriptive Rebate Table'!$C$2:$C$64,0),3),"")</f>
        <v/>
      </c>
      <c r="CA38" s="145" t="str">
        <f>IFERROR(INDEX('Prescriptive Rebate Table'!$B$2:$E$64,MATCH(O38,'Prescriptive Rebate Table'!$C$2:$C$64,0),4),"")</f>
        <v/>
      </c>
      <c r="CB38" s="149" t="str">
        <f t="shared" si="30"/>
        <v/>
      </c>
      <c r="CC38" s="145" t="str">
        <f t="shared" si="31"/>
        <v/>
      </c>
      <c r="CD38" s="149" t="str">
        <f t="shared" si="12"/>
        <v/>
      </c>
      <c r="CE38" s="149" t="str">
        <f t="shared" si="13"/>
        <v/>
      </c>
      <c r="CF38" s="149" t="str">
        <f>IF(BK38&lt;=0,0,IFERROR(IF(OR(ISBLANK(AC38),ISBLANK(CD38))=TRUE,"",IF(CA38="Per Foot",INDEX('Fixture Codes'!$I$8:$I$976,MATCH(AD38,'Fixture Codes'!$B$8:$B$976,0))/12*AF38*BZ38,IF(CA38="Lamp",INDEX('Fixture Codes'!$J$8:$J$976,MATCH(AD38,'Fixture Codes'!$B$8:$B$976,0))*AF38*BZ38,IF(CA38="Fixture",AF38*BZ38,IF(CA38="kWh",BK38*BZ38,0))))),""))</f>
        <v/>
      </c>
      <c r="CG38" s="149" t="str">
        <f t="shared" si="32"/>
        <v/>
      </c>
      <c r="CH38" s="149" t="str">
        <f t="shared" si="33"/>
        <v/>
      </c>
      <c r="CI38" s="152"/>
      <c r="CJ38" s="146"/>
      <c r="CK38" s="241">
        <f>IFERROR(IF(CL38="Yes",'Prescriptive Rebate Table'!$D$69,IF(ISBLANK(AI38),0,IF(AND(AH38=Lookups!$A$62,BK38&gt;0),'Prescriptive Rebate Table'!$D$68,IF(AND(BK38&gt;0,CJ38=AF38),'Prescriptive Rebate Table'!$D$67,IF(AND(BK38&gt;0,CJ38&lt;&gt;AF38),'Prescriptive Rebate Table'!D97,0))))),"")</f>
        <v>0</v>
      </c>
      <c r="CL38" s="240" t="s">
        <v>2712</v>
      </c>
      <c r="CM38" s="152"/>
      <c r="CN38" s="152"/>
      <c r="CO38" s="152"/>
      <c r="CP38" s="146">
        <f t="shared" si="14"/>
        <v>0</v>
      </c>
      <c r="CQ38" s="153">
        <f>IF(D38="Interior",ROUND(($AG38*AF38)/1000*$AM38*(Lookups!$B$54-$AA38)*$AN38*$AO38,3),0)</f>
        <v>0</v>
      </c>
      <c r="CR38" s="153">
        <f>IFERROR(IF(D38="Interior",ROUND(($AG38*$AF38)/1000*(Lookups!$C$54-$AB38)*$AN38*AQ38*AT38,6),0),"")</f>
        <v>0</v>
      </c>
      <c r="CS38" s="165">
        <f t="shared" si="34"/>
        <v>0</v>
      </c>
      <c r="CT38" s="165">
        <f t="shared" si="35"/>
        <v>0</v>
      </c>
      <c r="CV38" s="153">
        <f>IF(D38="Interior",ROUND(($AG38*AF38)/1000*$AM38*(Lookups!$B$43-$AA38)*$AN38*$AO38,3),0)</f>
        <v>0</v>
      </c>
      <c r="CW38" s="153">
        <f>IFERROR(IF(D38="Interior",ROUND(($AG38*$AF38)/1000*(Lookups!$C$43-$AB38)*$AN38*AQ38*AT38,6),0),"")</f>
        <v>0</v>
      </c>
      <c r="CX38" s="165">
        <f t="shared" si="36"/>
        <v>0</v>
      </c>
      <c r="CY38" s="165">
        <f t="shared" si="37"/>
        <v>0</v>
      </c>
      <c r="DA38" s="153">
        <f>IF(D38="Interior",ROUND(($AG38*AF38*(1-0.15))/1000*$AM38*(Lookups!$B$43+0.097-$AA38)*$AN38*$AO38+((W38*V38)/1000*AN38*AM38*AO38*0.15),3),0)</f>
        <v>0</v>
      </c>
      <c r="DB38" s="153">
        <f>IFERROR(IF(D38="Interior",ROUND(($AG38*$AF38)/1000*(Lookups!$C$43+0.097-$AB38)*$AN38*AQ38*AT38+(($AG38*$AF38)/1000*$AN38*AQ38*AT38*0.15),6),0),"")</f>
        <v>0</v>
      </c>
      <c r="DC38" s="165">
        <f t="shared" si="38"/>
        <v>0</v>
      </c>
      <c r="DD38" s="165">
        <f t="shared" si="39"/>
        <v>0</v>
      </c>
    </row>
    <row r="39" spans="1:108" s="164" customFormat="1">
      <c r="A39" s="150">
        <v>35</v>
      </c>
      <c r="B39" s="153" t="str">
        <f>IFERROR(INDEX(Lookups!$B$2:$B$38,MATCH('Project Info &amp; Summary'!$C$19,Lookups!$A$2:$A$38,0)),"")</f>
        <v/>
      </c>
      <c r="C39" s="153" t="str">
        <f>IFERROR(INDEX(Lookups!$C$2:$C$38,MATCH('Project Info &amp; Summary'!$C$19,Lookups!$A$2:$A$38,0)),"")</f>
        <v/>
      </c>
      <c r="D39" s="163"/>
      <c r="E39" s="160"/>
      <c r="F39" s="158"/>
      <c r="G39" s="158"/>
      <c r="H39" s="158"/>
      <c r="I39" s="158"/>
      <c r="J39" s="154" t="str">
        <f>IFERROR(INDEX(Lookups!$W$21:$W$26,MATCH(I39,Lookups!$V$21:$V$26,0)),"")</f>
        <v/>
      </c>
      <c r="K39" s="158"/>
      <c r="L39" s="162" t="str">
        <f>IFERROR(INDEX(Lookups!$Y$2:$Y$19,MATCH(_xlfn.CONCAT(I39,K39),Lookups!$X$2:$X$19,0)),"")</f>
        <v/>
      </c>
      <c r="M39" s="158"/>
      <c r="N39" s="153" t="str">
        <f>IFERROR(INDEX('Prescriptive Rebate Table'!$M$3:$M$20,MATCH(M39,'Prescriptive Rebate Table'!$L$3:$L$20,0)),"")</f>
        <v/>
      </c>
      <c r="O39" s="158"/>
      <c r="P39" s="154" t="str">
        <f>IFERROR(INDEX('Prescriptive Rebate Table'!$B$2:$H$64, MATCH(O39,'Prescriptive Rebate Table'!$C$2:$C$64,0),7),"")</f>
        <v/>
      </c>
      <c r="Q39" s="155" t="str">
        <f>IFERROR(INDEX('Prescriptive Rebate Table'!$B$2:$I$64, MATCH(O39,'Prescriptive Rebate Table'!$C$2:$C$64,0),8),"")</f>
        <v/>
      </c>
      <c r="R39" s="155" t="str">
        <f>IFERROR(INDEX('Prescriptive Rebate Table'!$B$2:$J$64, MATCH(O39,'Prescriptive Rebate Table'!$C$2:$C$64,0),9),"")</f>
        <v/>
      </c>
      <c r="S39" s="160"/>
      <c r="T39" s="145" t="str">
        <f>IFERROR(INDEX('Fixture Codes'!$M$8:$M$976,MATCH(S39,'Fixture Codes'!$B$8:$B$976,0)),"")</f>
        <v/>
      </c>
      <c r="U39" s="145" t="str">
        <f>IFERROR(INDEX('Fixture Codes'!$B$7:$M$976,MATCH(T39,'Fixture Codes'!$B$7:$B$976,0),5),"")</f>
        <v/>
      </c>
      <c r="V39" s="160"/>
      <c r="W39" s="145" t="str">
        <f>IFERROR(INDEX('Fixture Codes'!$L$8:$L$976,MATCH(T39,'Fixture Codes'!$B$8:$B$976,0)),"")</f>
        <v/>
      </c>
      <c r="X39" s="158"/>
      <c r="Y39" s="159"/>
      <c r="Z39" s="155" t="str">
        <f>IFERROR(INDEX(Lookups!B$68:B$87,MATCH($X39,Lookups!$A$68:$A$87,0)),"")</f>
        <v/>
      </c>
      <c r="AA39" s="150" t="str">
        <f>IFERROR(INDEX(Lookups!B$42:B$62,MATCH($X39,Lookups!$A$42:$A$62,0)),"")</f>
        <v/>
      </c>
      <c r="AB39" s="150" t="str">
        <f>IFERROR(INDEX(Lookups!C$42:C$62,MATCH($X39,Lookups!$A$42:$A$62,0)),"")</f>
        <v/>
      </c>
      <c r="AC39" s="160"/>
      <c r="AD39" s="160"/>
      <c r="AE39" s="150" t="str">
        <f>IFERROR(INDEX('Fixture Codes'!$B$7:$M$976,MATCH(AD39,'Fixture Codes'!$B$7:$B$976,0),5),"")</f>
        <v/>
      </c>
      <c r="AF39" s="160"/>
      <c r="AG39" s="145" t="str">
        <f>IFERROR(INDEX('Fixture Codes'!$L$8:$L$976,MATCH(AD39,'Fixture Codes'!$B$8:$B$976,0)),"")</f>
        <v/>
      </c>
      <c r="AH39" s="158"/>
      <c r="AI39" s="160"/>
      <c r="AJ39" s="150" t="str">
        <f>IFERROR(INDEX(Lookups!B$68:B$87,MATCH($AH39,Lookups!$A$68:$A$87,0)),"")</f>
        <v/>
      </c>
      <c r="AK39" s="150" t="str">
        <f>IFERROR(INDEX(Lookups!B$42:B$62,MATCH($AH39,Lookups!$A$42:$A$62,0)),"")</f>
        <v/>
      </c>
      <c r="AL39" s="150" t="str">
        <f>IFERROR(INDEX(Lookups!C$42:C$62,MATCH($AH39,Lookups!$A$42:$A$62,0)),"")</f>
        <v/>
      </c>
      <c r="AM39" s="150" t="str">
        <f>IFERROR(IF(M39="Exit Signs",8760,IF(INDEX('Fixture Codes'!$C$8:$C$976,MATCH(AD39,'Fixture Codes'!$B$8:$B$976,0))="Exit Sign",8760,INDEX(Lookups!$I$2:$I$428,MATCH(_xlfn.CONCAT(B39,H39),Lookups!$H$2:$H$428,0)))),"")</f>
        <v/>
      </c>
      <c r="AN39" s="153">
        <v>1</v>
      </c>
      <c r="AO39" s="150" t="str">
        <f>IF($D39="Interior",INDEX(Lookups!Q$2:Q$86,MATCH(_xlfn.CONCAT($C39,$L39),Lookups!$P$2:$P$86,0)),IF($D39="Exterior",1,""))</f>
        <v/>
      </c>
      <c r="AP39" s="150">
        <f t="shared" si="19"/>
        <v>1</v>
      </c>
      <c r="AQ39" s="150" t="str">
        <f>IF($D39="Interior",INDEX(Lookups!R$2:R$86,MATCH(_xlfn.CONCAT($C39,$L39),Lookups!$P$2:$P$86,0)),IF($D39="Exterior",1,""))</f>
        <v/>
      </c>
      <c r="AR39" s="150" t="str">
        <f>IF($D39="Interior",INDEX(Lookups!S$2:S$86,MATCH(_xlfn.CONCAT($C39,$L39),Lookups!$P$2:$P$86,0)),IF($D39="Exterior",1,""))</f>
        <v/>
      </c>
      <c r="AS39" s="150" t="str">
        <f>IF($D39="Interior",INDEX(Lookups!T$2:T$86,MATCH(_xlfn.CONCAT($C39,$L39),Lookups!$P$2:$P$86,0)),IF($D39="Exterior",1,""))</f>
        <v/>
      </c>
      <c r="AT39" s="150" t="str">
        <f>IFERROR(IF(M39="Exit Signs",1,IF(INDEX('Fixture Codes'!$C$8:$C$976,MATCH($AD39,'Fixture Codes'!$B$8:$B$976,0))="Exit Sign",1,INDEX(Lookups!J$2:J$428,MATCH(_xlfn.CONCAT($B39,$H39),Lookups!$H$2:$H$428,0)))),"")</f>
        <v/>
      </c>
      <c r="AU39" s="150" t="str">
        <f>IFERROR(IF(M39="Exit Signs",1,IF(INDEX('Fixture Codes'!$C$8:$C$976,MATCH($AD39,'Fixture Codes'!$B$8:$B$976,0))="Exit Sign",1,INDEX(Lookups!K$2:K$428,MATCH(_xlfn.CONCAT($B39,$H39),Lookups!$H$2:$H$428,0)))),"")</f>
        <v/>
      </c>
      <c r="AV39" s="150" t="str">
        <f>IFERROR(IF(M39="Exit Signs",1,IF(INDEX('Fixture Codes'!$C$8:$C$976,MATCH($AD39,'Fixture Codes'!$B$8:$B$976,0))="Exit Sign",1,INDEX(Lookups!L$2:L$428,MATCH(_xlfn.CONCAT($B39,$H39),Lookups!$H$2:$H$428,0)))),"")</f>
        <v/>
      </c>
      <c r="AW39" s="150" t="str">
        <f>IF(ISBLANK(K39),"",IF(K39="Gas",INDEX(Lookups!$AG$2:$AG$63,MATCH(O39,Lookups!$AD$2:$AD$63,0),0),0))</f>
        <v/>
      </c>
      <c r="AX39" s="150" t="str">
        <f>IF(ISBLANK(K39),"",IF(K39="Gas",INDEX(Lookups!$AF$2:$AF$63,MATCH(O39,Lookups!$AD$2:$AD$63,0),0),0))</f>
        <v/>
      </c>
      <c r="AY39" s="150" t="str">
        <f>IF(ISBLANK(K39),"",IF(K39="Gas",INDEX(Lookups!$AH$2:$AH$63,MATCH(O39,Lookups!$AD$2:$AD$63,0),0),0))</f>
        <v/>
      </c>
      <c r="AZ39" s="150" t="str">
        <f>IF(ISBLANK(K39),"",IF(K39="Gas",INDEX(Lookups!$AI$2:$AI$63,MATCH(O39,Lookups!$AD$2:$AD$63,0),0),0))</f>
        <v/>
      </c>
      <c r="BA39" s="150" t="str">
        <f t="shared" si="0"/>
        <v/>
      </c>
      <c r="BB39" s="156" t="str">
        <f>IF(ISBLANK(AH39),"",IF(AH39="None",0,IF(K39="Gas",INDEX(Lookups!$AF$51:$AF$69,MATCH(AH39,Lookups!$AD$51:$AD$69,0),0),0)))</f>
        <v/>
      </c>
      <c r="BC39" s="156" t="str">
        <f>IF(ISBLANK(AH39),"",IF(AH39="None",0,IF(K39="Gas",INDEX(Lookups!$AH$51:$AH$69,MATCH(AH39,Lookups!$AD$51:$AD$69,0),0),0)))</f>
        <v/>
      </c>
      <c r="BD39" s="156" t="str">
        <f>IF(ISBLANK(AH39),"",IF(AH39="None",0,IF(K39="Gas",INDEX(Lookups!$AI$51:$AI$69,MATCH(AH39,Lookups!$AD$51:$AD$69,0),0),0)))</f>
        <v/>
      </c>
      <c r="BE39" s="157"/>
      <c r="BF39" s="157"/>
      <c r="BG39" s="147" t="str">
        <f t="shared" si="20"/>
        <v/>
      </c>
      <c r="BH39" s="147" t="str">
        <f t="shared" si="21"/>
        <v/>
      </c>
      <c r="BI39" s="147" t="str">
        <f t="shared" si="1"/>
        <v/>
      </c>
      <c r="BJ39" s="147" t="str">
        <f t="shared" si="2"/>
        <v/>
      </c>
      <c r="BK39" s="148" t="str">
        <f t="shared" si="22"/>
        <v/>
      </c>
      <c r="BL39" s="147" t="str">
        <f t="shared" si="3"/>
        <v/>
      </c>
      <c r="BM39" s="148" t="str">
        <f t="shared" si="23"/>
        <v/>
      </c>
      <c r="BN39" s="147" t="str">
        <f t="shared" si="24"/>
        <v/>
      </c>
      <c r="BO39" s="147" t="str">
        <f t="shared" si="24"/>
        <v/>
      </c>
      <c r="BP39" s="147" t="str">
        <f t="shared" si="25"/>
        <v/>
      </c>
      <c r="BQ39" s="148" t="str">
        <f t="shared" si="26"/>
        <v/>
      </c>
      <c r="BR39" s="148" t="str">
        <f t="shared" si="27"/>
        <v/>
      </c>
      <c r="BS39" s="148" t="str">
        <f t="shared" si="28"/>
        <v/>
      </c>
      <c r="BT39" s="148" t="str">
        <f t="shared" si="7"/>
        <v/>
      </c>
      <c r="BU39" s="148" t="str">
        <f t="shared" si="8"/>
        <v/>
      </c>
      <c r="BV39" s="148" t="str">
        <f t="shared" si="9"/>
        <v/>
      </c>
      <c r="BW39" s="148" t="str">
        <f t="shared" si="29"/>
        <v/>
      </c>
      <c r="BX39" s="148" t="str">
        <f t="shared" si="10"/>
        <v/>
      </c>
      <c r="BY39" s="148" t="str">
        <f t="shared" si="11"/>
        <v/>
      </c>
      <c r="BZ39" s="149" t="str">
        <f>IFERROR(INDEX('Prescriptive Rebate Table'!$B$2:$E$64,MATCH(O39,'Prescriptive Rebate Table'!$C$2:$C$64,0),3),"")</f>
        <v/>
      </c>
      <c r="CA39" s="145" t="str">
        <f>IFERROR(INDEX('Prescriptive Rebate Table'!$B$2:$E$64,MATCH(O39,'Prescriptive Rebate Table'!$C$2:$C$64,0),4),"")</f>
        <v/>
      </c>
      <c r="CB39" s="149" t="str">
        <f t="shared" si="30"/>
        <v/>
      </c>
      <c r="CC39" s="145" t="str">
        <f t="shared" si="31"/>
        <v/>
      </c>
      <c r="CD39" s="149" t="str">
        <f t="shared" si="12"/>
        <v/>
      </c>
      <c r="CE39" s="149" t="str">
        <f t="shared" si="13"/>
        <v/>
      </c>
      <c r="CF39" s="149" t="str">
        <f>IF(BK39&lt;=0,0,IFERROR(IF(OR(ISBLANK(AC39),ISBLANK(CD39))=TRUE,"",IF(CA39="Per Foot",INDEX('Fixture Codes'!$I$8:$I$976,MATCH(AD39,'Fixture Codes'!$B$8:$B$976,0))/12*AF39*BZ39,IF(CA39="Lamp",INDEX('Fixture Codes'!$J$8:$J$976,MATCH(AD39,'Fixture Codes'!$B$8:$B$976,0))*AF39*BZ39,IF(CA39="Fixture",AF39*BZ39,IF(CA39="kWh",BK39*BZ39,0))))),""))</f>
        <v/>
      </c>
      <c r="CG39" s="149" t="str">
        <f t="shared" si="32"/>
        <v/>
      </c>
      <c r="CH39" s="149" t="str">
        <f t="shared" si="33"/>
        <v/>
      </c>
      <c r="CI39" s="152"/>
      <c r="CJ39" s="146"/>
      <c r="CK39" s="241">
        <f>IFERROR(IF(CL39="Yes",'Prescriptive Rebate Table'!$D$69,IF(ISBLANK(AI39),0,IF(AND(AH39=Lookups!$A$62,BK39&gt;0),'Prescriptive Rebate Table'!$D$68,IF(AND(BK39&gt;0,CJ39=AF39),'Prescriptive Rebate Table'!$D$67,IF(AND(BK39&gt;0,CJ39&lt;&gt;AF39),'Prescriptive Rebate Table'!D98,0))))),"")</f>
        <v>0</v>
      </c>
      <c r="CL39" s="240" t="s">
        <v>2712</v>
      </c>
      <c r="CM39" s="152"/>
      <c r="CN39" s="152"/>
      <c r="CO39" s="152"/>
      <c r="CP39" s="146">
        <f t="shared" si="14"/>
        <v>0</v>
      </c>
      <c r="CQ39" s="153">
        <f>IF(D39="Interior",ROUND(($AG39*AF39)/1000*$AM39*(Lookups!$B$54-$AA39)*$AN39*$AO39,3),0)</f>
        <v>0</v>
      </c>
      <c r="CR39" s="153">
        <f>IFERROR(IF(D39="Interior",ROUND(($AG39*$AF39)/1000*(Lookups!$C$54-$AB39)*$AN39*AQ39*AT39,6),0),"")</f>
        <v>0</v>
      </c>
      <c r="CS39" s="165">
        <f t="shared" si="34"/>
        <v>0</v>
      </c>
      <c r="CT39" s="165">
        <f t="shared" si="35"/>
        <v>0</v>
      </c>
      <c r="CV39" s="153">
        <f>IF(D39="Interior",ROUND(($AG39*AF39)/1000*$AM39*(Lookups!$B$43-$AA39)*$AN39*$AO39,3),0)</f>
        <v>0</v>
      </c>
      <c r="CW39" s="153">
        <f>IFERROR(IF(D39="Interior",ROUND(($AG39*$AF39)/1000*(Lookups!$C$43-$AB39)*$AN39*AQ39*AT39,6),0),"")</f>
        <v>0</v>
      </c>
      <c r="CX39" s="165">
        <f t="shared" si="36"/>
        <v>0</v>
      </c>
      <c r="CY39" s="165">
        <f t="shared" si="37"/>
        <v>0</v>
      </c>
      <c r="DA39" s="153">
        <f>IF(D39="Interior",ROUND(($AG39*AF39*(1-0.15))/1000*$AM39*(Lookups!$B$43+0.097-$AA39)*$AN39*$AO39+((W39*V39)/1000*AN39*AM39*AO39*0.15),3),0)</f>
        <v>0</v>
      </c>
      <c r="DB39" s="153">
        <f>IFERROR(IF(D39="Interior",ROUND(($AG39*$AF39)/1000*(Lookups!$C$43+0.097-$AB39)*$AN39*AQ39*AT39+(($AG39*$AF39)/1000*$AN39*AQ39*AT39*0.15),6),0),"")</f>
        <v>0</v>
      </c>
      <c r="DC39" s="165">
        <f t="shared" si="38"/>
        <v>0</v>
      </c>
      <c r="DD39" s="165">
        <f t="shared" si="39"/>
        <v>0</v>
      </c>
    </row>
    <row r="40" spans="1:108" s="164" customFormat="1">
      <c r="A40" s="150">
        <v>36</v>
      </c>
      <c r="B40" s="153" t="str">
        <f>IFERROR(INDEX(Lookups!$B$2:$B$38,MATCH('Project Info &amp; Summary'!$C$19,Lookups!$A$2:$A$38,0)),"")</f>
        <v/>
      </c>
      <c r="C40" s="153" t="str">
        <f>IFERROR(INDEX(Lookups!$C$2:$C$38,MATCH('Project Info &amp; Summary'!$C$19,Lookups!$A$2:$A$38,0)),"")</f>
        <v/>
      </c>
      <c r="D40" s="163"/>
      <c r="E40" s="160"/>
      <c r="F40" s="158"/>
      <c r="G40" s="158"/>
      <c r="H40" s="158"/>
      <c r="I40" s="158"/>
      <c r="J40" s="154" t="str">
        <f>IFERROR(INDEX(Lookups!$W$21:$W$26,MATCH(I40,Lookups!$V$21:$V$26,0)),"")</f>
        <v/>
      </c>
      <c r="K40" s="158"/>
      <c r="L40" s="162" t="str">
        <f>IFERROR(INDEX(Lookups!$Y$2:$Y$19,MATCH(_xlfn.CONCAT(I40,K40),Lookups!$X$2:$X$19,0)),"")</f>
        <v/>
      </c>
      <c r="M40" s="158"/>
      <c r="N40" s="153" t="str">
        <f>IFERROR(INDEX('Prescriptive Rebate Table'!$M$3:$M$20,MATCH(M40,'Prescriptive Rebate Table'!$L$3:$L$20,0)),"")</f>
        <v/>
      </c>
      <c r="O40" s="158"/>
      <c r="P40" s="154" t="str">
        <f>IFERROR(INDEX('Prescriptive Rebate Table'!$B$2:$H$64, MATCH(O40,'Prescriptive Rebate Table'!$C$2:$C$64,0),7),"")</f>
        <v/>
      </c>
      <c r="Q40" s="155" t="str">
        <f>IFERROR(INDEX('Prescriptive Rebate Table'!$B$2:$I$64, MATCH(O40,'Prescriptive Rebate Table'!$C$2:$C$64,0),8),"")</f>
        <v/>
      </c>
      <c r="R40" s="155" t="str">
        <f>IFERROR(INDEX('Prescriptive Rebate Table'!$B$2:$J$64, MATCH(O40,'Prescriptive Rebate Table'!$C$2:$C$64,0),9),"")</f>
        <v/>
      </c>
      <c r="S40" s="160"/>
      <c r="T40" s="145" t="str">
        <f>IFERROR(INDEX('Fixture Codes'!$M$8:$M$976,MATCH(S40,'Fixture Codes'!$B$8:$B$976,0)),"")</f>
        <v/>
      </c>
      <c r="U40" s="145" t="str">
        <f>IFERROR(INDEX('Fixture Codes'!$B$7:$M$976,MATCH(T40,'Fixture Codes'!$B$7:$B$976,0),5),"")</f>
        <v/>
      </c>
      <c r="V40" s="160"/>
      <c r="W40" s="145" t="str">
        <f>IFERROR(INDEX('Fixture Codes'!$L$8:$L$976,MATCH(T40,'Fixture Codes'!$B$8:$B$976,0)),"")</f>
        <v/>
      </c>
      <c r="X40" s="158"/>
      <c r="Y40" s="159"/>
      <c r="Z40" s="155" t="str">
        <f>IFERROR(INDEX(Lookups!B$68:B$87,MATCH($X40,Lookups!$A$68:$A$87,0)),"")</f>
        <v/>
      </c>
      <c r="AA40" s="150" t="str">
        <f>IFERROR(INDEX(Lookups!B$42:B$62,MATCH($X40,Lookups!$A$42:$A$62,0)),"")</f>
        <v/>
      </c>
      <c r="AB40" s="150" t="str">
        <f>IFERROR(INDEX(Lookups!C$42:C$62,MATCH($X40,Lookups!$A$42:$A$62,0)),"")</f>
        <v/>
      </c>
      <c r="AC40" s="160"/>
      <c r="AD40" s="160"/>
      <c r="AE40" s="150" t="str">
        <f>IFERROR(INDEX('Fixture Codes'!$B$7:$M$976,MATCH(AD40,'Fixture Codes'!$B$7:$B$976,0),5),"")</f>
        <v/>
      </c>
      <c r="AF40" s="160"/>
      <c r="AG40" s="145" t="str">
        <f>IFERROR(INDEX('Fixture Codes'!$L$8:$L$976,MATCH(AD40,'Fixture Codes'!$B$8:$B$976,0)),"")</f>
        <v/>
      </c>
      <c r="AH40" s="158"/>
      <c r="AI40" s="160"/>
      <c r="AJ40" s="150" t="str">
        <f>IFERROR(INDEX(Lookups!B$68:B$87,MATCH($AH40,Lookups!$A$68:$A$87,0)),"")</f>
        <v/>
      </c>
      <c r="AK40" s="150" t="str">
        <f>IFERROR(INDEX(Lookups!B$42:B$62,MATCH($AH40,Lookups!$A$42:$A$62,0)),"")</f>
        <v/>
      </c>
      <c r="AL40" s="150" t="str">
        <f>IFERROR(INDEX(Lookups!C$42:C$62,MATCH($AH40,Lookups!$A$42:$A$62,0)),"")</f>
        <v/>
      </c>
      <c r="AM40" s="150" t="str">
        <f>IFERROR(IF(M40="Exit Signs",8760,IF(INDEX('Fixture Codes'!$C$8:$C$976,MATCH(AD40,'Fixture Codes'!$B$8:$B$976,0))="Exit Sign",8760,INDEX(Lookups!$I$2:$I$428,MATCH(_xlfn.CONCAT(B40,H40),Lookups!$H$2:$H$428,0)))),"")</f>
        <v/>
      </c>
      <c r="AN40" s="153">
        <v>1</v>
      </c>
      <c r="AO40" s="150" t="str">
        <f>IF($D40="Interior",INDEX(Lookups!Q$2:Q$86,MATCH(_xlfn.CONCAT($C40,$L40),Lookups!$P$2:$P$86,0)),IF($D40="Exterior",1,""))</f>
        <v/>
      </c>
      <c r="AP40" s="150">
        <f t="shared" si="19"/>
        <v>1</v>
      </c>
      <c r="AQ40" s="150" t="str">
        <f>IF($D40="Interior",INDEX(Lookups!R$2:R$86,MATCH(_xlfn.CONCAT($C40,$L40),Lookups!$P$2:$P$86,0)),IF($D40="Exterior",1,""))</f>
        <v/>
      </c>
      <c r="AR40" s="150" t="str">
        <f>IF($D40="Interior",INDEX(Lookups!S$2:S$86,MATCH(_xlfn.CONCAT($C40,$L40),Lookups!$P$2:$P$86,0)),IF($D40="Exterior",1,""))</f>
        <v/>
      </c>
      <c r="AS40" s="150" t="str">
        <f>IF($D40="Interior",INDEX(Lookups!T$2:T$86,MATCH(_xlfn.CONCAT($C40,$L40),Lookups!$P$2:$P$86,0)),IF($D40="Exterior",1,""))</f>
        <v/>
      </c>
      <c r="AT40" s="150" t="str">
        <f>IFERROR(IF(M40="Exit Signs",1,IF(INDEX('Fixture Codes'!$C$8:$C$976,MATCH($AD40,'Fixture Codes'!$B$8:$B$976,0))="Exit Sign",1,INDEX(Lookups!J$2:J$428,MATCH(_xlfn.CONCAT($B40,$H40),Lookups!$H$2:$H$428,0)))),"")</f>
        <v/>
      </c>
      <c r="AU40" s="150" t="str">
        <f>IFERROR(IF(M40="Exit Signs",1,IF(INDEX('Fixture Codes'!$C$8:$C$976,MATCH($AD40,'Fixture Codes'!$B$8:$B$976,0))="Exit Sign",1,INDEX(Lookups!K$2:K$428,MATCH(_xlfn.CONCAT($B40,$H40),Lookups!$H$2:$H$428,0)))),"")</f>
        <v/>
      </c>
      <c r="AV40" s="150" t="str">
        <f>IFERROR(IF(M40="Exit Signs",1,IF(INDEX('Fixture Codes'!$C$8:$C$976,MATCH($AD40,'Fixture Codes'!$B$8:$B$976,0))="Exit Sign",1,INDEX(Lookups!L$2:L$428,MATCH(_xlfn.CONCAT($B40,$H40),Lookups!$H$2:$H$428,0)))),"")</f>
        <v/>
      </c>
      <c r="AW40" s="150" t="str">
        <f>IF(ISBLANK(K40),"",IF(K40="Gas",INDEX(Lookups!$AG$2:$AG$63,MATCH(O40,Lookups!$AD$2:$AD$63,0),0),0))</f>
        <v/>
      </c>
      <c r="AX40" s="150" t="str">
        <f>IF(ISBLANK(K40),"",IF(K40="Gas",INDEX(Lookups!$AF$2:$AF$63,MATCH(O40,Lookups!$AD$2:$AD$63,0),0),0))</f>
        <v/>
      </c>
      <c r="AY40" s="150" t="str">
        <f>IF(ISBLANK(K40),"",IF(K40="Gas",INDEX(Lookups!$AH$2:$AH$63,MATCH(O40,Lookups!$AD$2:$AD$63,0),0),0))</f>
        <v/>
      </c>
      <c r="AZ40" s="150" t="str">
        <f>IF(ISBLANK(K40),"",IF(K40="Gas",INDEX(Lookups!$AI$2:$AI$63,MATCH(O40,Lookups!$AD$2:$AD$63,0),0),0))</f>
        <v/>
      </c>
      <c r="BA40" s="150" t="str">
        <f t="shared" si="0"/>
        <v/>
      </c>
      <c r="BB40" s="156" t="str">
        <f>IF(ISBLANK(AH40),"",IF(AH40="None",0,IF(K40="Gas",INDEX(Lookups!$AF$51:$AF$69,MATCH(AH40,Lookups!$AD$51:$AD$69,0),0),0)))</f>
        <v/>
      </c>
      <c r="BC40" s="156" t="str">
        <f>IF(ISBLANK(AH40),"",IF(AH40="None",0,IF(K40="Gas",INDEX(Lookups!$AH$51:$AH$69,MATCH(AH40,Lookups!$AD$51:$AD$69,0),0),0)))</f>
        <v/>
      </c>
      <c r="BD40" s="156" t="str">
        <f>IF(ISBLANK(AH40),"",IF(AH40="None",0,IF(K40="Gas",INDEX(Lookups!$AI$51:$AI$69,MATCH(AH40,Lookups!$AD$51:$AD$69,0),0),0)))</f>
        <v/>
      </c>
      <c r="BE40" s="157"/>
      <c r="BF40" s="157"/>
      <c r="BG40" s="147" t="str">
        <f t="shared" si="20"/>
        <v/>
      </c>
      <c r="BH40" s="147" t="str">
        <f t="shared" si="21"/>
        <v/>
      </c>
      <c r="BI40" s="147" t="str">
        <f t="shared" si="1"/>
        <v/>
      </c>
      <c r="BJ40" s="147" t="str">
        <f t="shared" si="2"/>
        <v/>
      </c>
      <c r="BK40" s="148" t="str">
        <f t="shared" si="22"/>
        <v/>
      </c>
      <c r="BL40" s="147" t="str">
        <f t="shared" si="3"/>
        <v/>
      </c>
      <c r="BM40" s="148" t="str">
        <f t="shared" si="23"/>
        <v/>
      </c>
      <c r="BN40" s="147" t="str">
        <f t="shared" si="24"/>
        <v/>
      </c>
      <c r="BO40" s="147" t="str">
        <f t="shared" si="24"/>
        <v/>
      </c>
      <c r="BP40" s="147" t="str">
        <f t="shared" si="25"/>
        <v/>
      </c>
      <c r="BQ40" s="148" t="str">
        <f t="shared" si="26"/>
        <v/>
      </c>
      <c r="BR40" s="148" t="str">
        <f t="shared" si="27"/>
        <v/>
      </c>
      <c r="BS40" s="148" t="str">
        <f t="shared" si="28"/>
        <v/>
      </c>
      <c r="BT40" s="148" t="str">
        <f t="shared" si="7"/>
        <v/>
      </c>
      <c r="BU40" s="148" t="str">
        <f t="shared" si="8"/>
        <v/>
      </c>
      <c r="BV40" s="148" t="str">
        <f t="shared" si="9"/>
        <v/>
      </c>
      <c r="BW40" s="148" t="str">
        <f t="shared" si="29"/>
        <v/>
      </c>
      <c r="BX40" s="148" t="str">
        <f t="shared" si="10"/>
        <v/>
      </c>
      <c r="BY40" s="148" t="str">
        <f t="shared" si="11"/>
        <v/>
      </c>
      <c r="BZ40" s="149" t="str">
        <f>IFERROR(INDEX('Prescriptive Rebate Table'!$B$2:$E$64,MATCH(O40,'Prescriptive Rebate Table'!$C$2:$C$64,0),3),"")</f>
        <v/>
      </c>
      <c r="CA40" s="145" t="str">
        <f>IFERROR(INDEX('Prescriptive Rebate Table'!$B$2:$E$64,MATCH(O40,'Prescriptive Rebate Table'!$C$2:$C$64,0),4),"")</f>
        <v/>
      </c>
      <c r="CB40" s="149" t="str">
        <f t="shared" si="30"/>
        <v/>
      </c>
      <c r="CC40" s="145" t="str">
        <f t="shared" si="31"/>
        <v/>
      </c>
      <c r="CD40" s="149" t="str">
        <f t="shared" si="12"/>
        <v/>
      </c>
      <c r="CE40" s="149" t="str">
        <f t="shared" si="13"/>
        <v/>
      </c>
      <c r="CF40" s="149" t="str">
        <f>IF(BK40&lt;=0,0,IFERROR(IF(OR(ISBLANK(AC40),ISBLANK(CD40))=TRUE,"",IF(CA40="Per Foot",INDEX('Fixture Codes'!$I$8:$I$976,MATCH(AD40,'Fixture Codes'!$B$8:$B$976,0))/12*AF40*BZ40,IF(CA40="Lamp",INDEX('Fixture Codes'!$J$8:$J$976,MATCH(AD40,'Fixture Codes'!$B$8:$B$976,0))*AF40*BZ40,IF(CA40="Fixture",AF40*BZ40,IF(CA40="kWh",BK40*BZ40,0))))),""))</f>
        <v/>
      </c>
      <c r="CG40" s="149" t="str">
        <f t="shared" si="32"/>
        <v/>
      </c>
      <c r="CH40" s="149" t="str">
        <f t="shared" si="33"/>
        <v/>
      </c>
      <c r="CI40" s="152"/>
      <c r="CJ40" s="146"/>
      <c r="CK40" s="241">
        <f>IFERROR(IF(CL40="Yes",'Prescriptive Rebate Table'!$D$69,IF(ISBLANK(AI40),0,IF(AND(AH40=Lookups!$A$62,BK40&gt;0),'Prescriptive Rebate Table'!$D$68,IF(AND(BK40&gt;0,CJ40=AF40),'Prescriptive Rebate Table'!$D$67,IF(AND(BK40&gt;0,CJ40&lt;&gt;AF40),'Prescriptive Rebate Table'!D99,0))))),"")</f>
        <v>0</v>
      </c>
      <c r="CL40" s="240" t="s">
        <v>2712</v>
      </c>
      <c r="CM40" s="152"/>
      <c r="CN40" s="152"/>
      <c r="CO40" s="152"/>
      <c r="CP40" s="146">
        <f t="shared" si="14"/>
        <v>0</v>
      </c>
      <c r="CQ40" s="153">
        <f>IF(D40="Interior",ROUND(($AG40*AF40)/1000*$AM40*(Lookups!$B$54-$AA40)*$AN40*$AO40,3),0)</f>
        <v>0</v>
      </c>
      <c r="CR40" s="153">
        <f>IFERROR(IF(D40="Interior",ROUND(($AG40*$AF40)/1000*(Lookups!$C$54-$AB40)*$AN40*AQ40*AT40,6),0),"")</f>
        <v>0</v>
      </c>
      <c r="CS40" s="165">
        <f t="shared" si="34"/>
        <v>0</v>
      </c>
      <c r="CT40" s="165">
        <f t="shared" si="35"/>
        <v>0</v>
      </c>
      <c r="CV40" s="153">
        <f>IF(D40="Interior",ROUND(($AG40*AF40)/1000*$AM40*(Lookups!$B$43-$AA40)*$AN40*$AO40,3),0)</f>
        <v>0</v>
      </c>
      <c r="CW40" s="153">
        <f>IFERROR(IF(D40="Interior",ROUND(($AG40*$AF40)/1000*(Lookups!$C$43-$AB40)*$AN40*AQ40*AT40,6),0),"")</f>
        <v>0</v>
      </c>
      <c r="CX40" s="165">
        <f t="shared" si="36"/>
        <v>0</v>
      </c>
      <c r="CY40" s="165">
        <f t="shared" si="37"/>
        <v>0</v>
      </c>
      <c r="DA40" s="153">
        <f>IF(D40="Interior",ROUND(($AG40*AF40*(1-0.15))/1000*$AM40*(Lookups!$B$43+0.097-$AA40)*$AN40*$AO40+((W40*V40)/1000*AN40*AM40*AO40*0.15),3),0)</f>
        <v>0</v>
      </c>
      <c r="DB40" s="153">
        <f>IFERROR(IF(D40="Interior",ROUND(($AG40*$AF40)/1000*(Lookups!$C$43+0.097-$AB40)*$AN40*AQ40*AT40+(($AG40*$AF40)/1000*$AN40*AQ40*AT40*0.15),6),0),"")</f>
        <v>0</v>
      </c>
      <c r="DC40" s="165">
        <f t="shared" si="38"/>
        <v>0</v>
      </c>
      <c r="DD40" s="165">
        <f t="shared" si="39"/>
        <v>0</v>
      </c>
    </row>
    <row r="41" spans="1:108" s="164" customFormat="1">
      <c r="A41" s="150">
        <v>37</v>
      </c>
      <c r="B41" s="153" t="str">
        <f>IFERROR(INDEX(Lookups!$B$2:$B$38,MATCH('Project Info &amp; Summary'!$C$19,Lookups!$A$2:$A$38,0)),"")</f>
        <v/>
      </c>
      <c r="C41" s="153" t="str">
        <f>IFERROR(INDEX(Lookups!$C$2:$C$38,MATCH('Project Info &amp; Summary'!$C$19,Lookups!$A$2:$A$38,0)),"")</f>
        <v/>
      </c>
      <c r="D41" s="163"/>
      <c r="E41" s="160"/>
      <c r="F41" s="158"/>
      <c r="G41" s="158"/>
      <c r="H41" s="158"/>
      <c r="I41" s="158"/>
      <c r="J41" s="154" t="str">
        <f>IFERROR(INDEX(Lookups!$W$21:$W$26,MATCH(I41,Lookups!$V$21:$V$26,0)),"")</f>
        <v/>
      </c>
      <c r="K41" s="158"/>
      <c r="L41" s="162" t="str">
        <f>IFERROR(INDEX(Lookups!$Y$2:$Y$19,MATCH(_xlfn.CONCAT(I41,K41),Lookups!$X$2:$X$19,0)),"")</f>
        <v/>
      </c>
      <c r="M41" s="158"/>
      <c r="N41" s="153" t="str">
        <f>IFERROR(INDEX('Prescriptive Rebate Table'!$M$3:$M$20,MATCH(M41,'Prescriptive Rebate Table'!$L$3:$L$20,0)),"")</f>
        <v/>
      </c>
      <c r="O41" s="158"/>
      <c r="P41" s="154" t="str">
        <f>IFERROR(INDEX('Prescriptive Rebate Table'!$B$2:$H$64, MATCH(O41,'Prescriptive Rebate Table'!$C$2:$C$64,0),7),"")</f>
        <v/>
      </c>
      <c r="Q41" s="155" t="str">
        <f>IFERROR(INDEX('Prescriptive Rebate Table'!$B$2:$I$64, MATCH(O41,'Prescriptive Rebate Table'!$C$2:$C$64,0),8),"")</f>
        <v/>
      </c>
      <c r="R41" s="155" t="str">
        <f>IFERROR(INDEX('Prescriptive Rebate Table'!$B$2:$J$64, MATCH(O41,'Prescriptive Rebate Table'!$C$2:$C$64,0),9),"")</f>
        <v/>
      </c>
      <c r="S41" s="160"/>
      <c r="T41" s="145" t="str">
        <f>IFERROR(INDEX('Fixture Codes'!$M$8:$M$976,MATCH(S41,'Fixture Codes'!$B$8:$B$976,0)),"")</f>
        <v/>
      </c>
      <c r="U41" s="145" t="str">
        <f>IFERROR(INDEX('Fixture Codes'!$B$7:$M$976,MATCH(T41,'Fixture Codes'!$B$7:$B$976,0),5),"")</f>
        <v/>
      </c>
      <c r="V41" s="160"/>
      <c r="W41" s="145" t="str">
        <f>IFERROR(INDEX('Fixture Codes'!$L$8:$L$976,MATCH(T41,'Fixture Codes'!$B$8:$B$976,0)),"")</f>
        <v/>
      </c>
      <c r="X41" s="158"/>
      <c r="Y41" s="159"/>
      <c r="Z41" s="155" t="str">
        <f>IFERROR(INDEX(Lookups!B$68:B$87,MATCH($X41,Lookups!$A$68:$A$87,0)),"")</f>
        <v/>
      </c>
      <c r="AA41" s="150" t="str">
        <f>IFERROR(INDEX(Lookups!B$42:B$62,MATCH($X41,Lookups!$A$42:$A$62,0)),"")</f>
        <v/>
      </c>
      <c r="AB41" s="150" t="str">
        <f>IFERROR(INDEX(Lookups!C$42:C$62,MATCH($X41,Lookups!$A$42:$A$62,0)),"")</f>
        <v/>
      </c>
      <c r="AC41" s="160"/>
      <c r="AD41" s="160"/>
      <c r="AE41" s="150" t="str">
        <f>IFERROR(INDEX('Fixture Codes'!$B$7:$M$976,MATCH(AD41,'Fixture Codes'!$B$7:$B$976,0),5),"")</f>
        <v/>
      </c>
      <c r="AF41" s="160"/>
      <c r="AG41" s="145" t="str">
        <f>IFERROR(INDEX('Fixture Codes'!$L$8:$L$976,MATCH(AD41,'Fixture Codes'!$B$8:$B$976,0)),"")</f>
        <v/>
      </c>
      <c r="AH41" s="158"/>
      <c r="AI41" s="160"/>
      <c r="AJ41" s="150" t="str">
        <f>IFERROR(INDEX(Lookups!B$68:B$87,MATCH($AH41,Lookups!$A$68:$A$87,0)),"")</f>
        <v/>
      </c>
      <c r="AK41" s="150" t="str">
        <f>IFERROR(INDEX(Lookups!B$42:B$62,MATCH($AH41,Lookups!$A$42:$A$62,0)),"")</f>
        <v/>
      </c>
      <c r="AL41" s="150" t="str">
        <f>IFERROR(INDEX(Lookups!C$42:C$62,MATCH($AH41,Lookups!$A$42:$A$62,0)),"")</f>
        <v/>
      </c>
      <c r="AM41" s="150" t="str">
        <f>IFERROR(IF(M41="Exit Signs",8760,IF(INDEX('Fixture Codes'!$C$8:$C$976,MATCH(AD41,'Fixture Codes'!$B$8:$B$976,0))="Exit Sign",8760,INDEX(Lookups!$I$2:$I$428,MATCH(_xlfn.CONCAT(B41,H41),Lookups!$H$2:$H$428,0)))),"")</f>
        <v/>
      </c>
      <c r="AN41" s="153">
        <v>1</v>
      </c>
      <c r="AO41" s="150" t="str">
        <f>IF($D41="Interior",INDEX(Lookups!Q$2:Q$86,MATCH(_xlfn.CONCAT($C41,$L41),Lookups!$P$2:$P$86,0)),IF($D41="Exterior",1,""))</f>
        <v/>
      </c>
      <c r="AP41" s="150">
        <f t="shared" si="19"/>
        <v>1</v>
      </c>
      <c r="AQ41" s="150" t="str">
        <f>IF($D41="Interior",INDEX(Lookups!R$2:R$86,MATCH(_xlfn.CONCAT($C41,$L41),Lookups!$P$2:$P$86,0)),IF($D41="Exterior",1,""))</f>
        <v/>
      </c>
      <c r="AR41" s="150" t="str">
        <f>IF($D41="Interior",INDEX(Lookups!S$2:S$86,MATCH(_xlfn.CONCAT($C41,$L41),Lookups!$P$2:$P$86,0)),IF($D41="Exterior",1,""))</f>
        <v/>
      </c>
      <c r="AS41" s="150" t="str">
        <f>IF($D41="Interior",INDEX(Lookups!T$2:T$86,MATCH(_xlfn.CONCAT($C41,$L41),Lookups!$P$2:$P$86,0)),IF($D41="Exterior",1,""))</f>
        <v/>
      </c>
      <c r="AT41" s="150" t="str">
        <f>IFERROR(IF(M41="Exit Signs",1,IF(INDEX('Fixture Codes'!$C$8:$C$976,MATCH($AD41,'Fixture Codes'!$B$8:$B$976,0))="Exit Sign",1,INDEX(Lookups!J$2:J$428,MATCH(_xlfn.CONCAT($B41,$H41),Lookups!$H$2:$H$428,0)))),"")</f>
        <v/>
      </c>
      <c r="AU41" s="150" t="str">
        <f>IFERROR(IF(M41="Exit Signs",1,IF(INDEX('Fixture Codes'!$C$8:$C$976,MATCH($AD41,'Fixture Codes'!$B$8:$B$976,0))="Exit Sign",1,INDEX(Lookups!K$2:K$428,MATCH(_xlfn.CONCAT($B41,$H41),Lookups!$H$2:$H$428,0)))),"")</f>
        <v/>
      </c>
      <c r="AV41" s="150" t="str">
        <f>IFERROR(IF(M41="Exit Signs",1,IF(INDEX('Fixture Codes'!$C$8:$C$976,MATCH($AD41,'Fixture Codes'!$B$8:$B$976,0))="Exit Sign",1,INDEX(Lookups!L$2:L$428,MATCH(_xlfn.CONCAT($B41,$H41),Lookups!$H$2:$H$428,0)))),"")</f>
        <v/>
      </c>
      <c r="AW41" s="150" t="str">
        <f>IF(ISBLANK(K41),"",IF(K41="Gas",INDEX(Lookups!$AG$2:$AG$63,MATCH(O41,Lookups!$AD$2:$AD$63,0),0),0))</f>
        <v/>
      </c>
      <c r="AX41" s="150" t="str">
        <f>IF(ISBLANK(K41),"",IF(K41="Gas",INDEX(Lookups!$AF$2:$AF$63,MATCH(O41,Lookups!$AD$2:$AD$63,0),0),0))</f>
        <v/>
      </c>
      <c r="AY41" s="150" t="str">
        <f>IF(ISBLANK(K41),"",IF(K41="Gas",INDEX(Lookups!$AH$2:$AH$63,MATCH(O41,Lookups!$AD$2:$AD$63,0),0),0))</f>
        <v/>
      </c>
      <c r="AZ41" s="150" t="str">
        <f>IF(ISBLANK(K41),"",IF(K41="Gas",INDEX(Lookups!$AI$2:$AI$63,MATCH(O41,Lookups!$AD$2:$AD$63,0),0),0))</f>
        <v/>
      </c>
      <c r="BA41" s="150" t="str">
        <f t="shared" si="0"/>
        <v/>
      </c>
      <c r="BB41" s="156" t="str">
        <f>IF(ISBLANK(AH41),"",IF(AH41="None",0,IF(K41="Gas",INDEX(Lookups!$AF$51:$AF$69,MATCH(AH41,Lookups!$AD$51:$AD$69,0),0),0)))</f>
        <v/>
      </c>
      <c r="BC41" s="156" t="str">
        <f>IF(ISBLANK(AH41),"",IF(AH41="None",0,IF(K41="Gas",INDEX(Lookups!$AH$51:$AH$69,MATCH(AH41,Lookups!$AD$51:$AD$69,0),0),0)))</f>
        <v/>
      </c>
      <c r="BD41" s="156" t="str">
        <f>IF(ISBLANK(AH41),"",IF(AH41="None",0,IF(K41="Gas",INDEX(Lookups!$AI$51:$AI$69,MATCH(AH41,Lookups!$AD$51:$AD$69,0),0),0)))</f>
        <v/>
      </c>
      <c r="BE41" s="157"/>
      <c r="BF41" s="157"/>
      <c r="BG41" s="147" t="str">
        <f t="shared" si="20"/>
        <v/>
      </c>
      <c r="BH41" s="147" t="str">
        <f t="shared" si="21"/>
        <v/>
      </c>
      <c r="BI41" s="147" t="str">
        <f t="shared" si="1"/>
        <v/>
      </c>
      <c r="BJ41" s="147" t="str">
        <f t="shared" si="2"/>
        <v/>
      </c>
      <c r="BK41" s="148" t="str">
        <f t="shared" si="22"/>
        <v/>
      </c>
      <c r="BL41" s="147" t="str">
        <f t="shared" si="3"/>
        <v/>
      </c>
      <c r="BM41" s="148" t="str">
        <f t="shared" si="23"/>
        <v/>
      </c>
      <c r="BN41" s="147" t="str">
        <f t="shared" si="24"/>
        <v/>
      </c>
      <c r="BO41" s="147" t="str">
        <f t="shared" si="24"/>
        <v/>
      </c>
      <c r="BP41" s="147" t="str">
        <f t="shared" si="25"/>
        <v/>
      </c>
      <c r="BQ41" s="148" t="str">
        <f t="shared" si="26"/>
        <v/>
      </c>
      <c r="BR41" s="148" t="str">
        <f t="shared" si="27"/>
        <v/>
      </c>
      <c r="BS41" s="148" t="str">
        <f t="shared" si="28"/>
        <v/>
      </c>
      <c r="BT41" s="148" t="str">
        <f t="shared" si="7"/>
        <v/>
      </c>
      <c r="BU41" s="148" t="str">
        <f t="shared" si="8"/>
        <v/>
      </c>
      <c r="BV41" s="148" t="str">
        <f t="shared" si="9"/>
        <v/>
      </c>
      <c r="BW41" s="148" t="str">
        <f t="shared" si="29"/>
        <v/>
      </c>
      <c r="BX41" s="148" t="str">
        <f t="shared" si="10"/>
        <v/>
      </c>
      <c r="BY41" s="148" t="str">
        <f t="shared" si="11"/>
        <v/>
      </c>
      <c r="BZ41" s="149" t="str">
        <f>IFERROR(INDEX('Prescriptive Rebate Table'!$B$2:$E$64,MATCH(O41,'Prescriptive Rebate Table'!$C$2:$C$64,0),3),"")</f>
        <v/>
      </c>
      <c r="CA41" s="145" t="str">
        <f>IFERROR(INDEX('Prescriptive Rebate Table'!$B$2:$E$64,MATCH(O41,'Prescriptive Rebate Table'!$C$2:$C$64,0),4),"")</f>
        <v/>
      </c>
      <c r="CB41" s="149" t="str">
        <f t="shared" si="30"/>
        <v/>
      </c>
      <c r="CC41" s="145" t="str">
        <f t="shared" si="31"/>
        <v/>
      </c>
      <c r="CD41" s="149" t="str">
        <f t="shared" si="12"/>
        <v/>
      </c>
      <c r="CE41" s="149" t="str">
        <f t="shared" si="13"/>
        <v/>
      </c>
      <c r="CF41" s="149" t="str">
        <f>IF(BK41&lt;=0,0,IFERROR(IF(OR(ISBLANK(AC41),ISBLANK(CD41))=TRUE,"",IF(CA41="Per Foot",INDEX('Fixture Codes'!$I$8:$I$976,MATCH(AD41,'Fixture Codes'!$B$8:$B$976,0))/12*AF41*BZ41,IF(CA41="Lamp",INDEX('Fixture Codes'!$J$8:$J$976,MATCH(AD41,'Fixture Codes'!$B$8:$B$976,0))*AF41*BZ41,IF(CA41="Fixture",AF41*BZ41,IF(CA41="kWh",BK41*BZ41,0))))),""))</f>
        <v/>
      </c>
      <c r="CG41" s="149" t="str">
        <f t="shared" si="32"/>
        <v/>
      </c>
      <c r="CH41" s="149" t="str">
        <f t="shared" si="33"/>
        <v/>
      </c>
      <c r="CI41" s="152"/>
      <c r="CJ41" s="146"/>
      <c r="CK41" s="241">
        <f>IFERROR(IF(CL41="Yes",'Prescriptive Rebate Table'!$D$69,IF(ISBLANK(AI41),0,IF(AND(AH41=Lookups!$A$62,BK41&gt;0),'Prescriptive Rebate Table'!$D$68,IF(AND(BK41&gt;0,CJ41=AF41),'Prescriptive Rebate Table'!$D$67,IF(AND(BK41&gt;0,CJ41&lt;&gt;AF41),'Prescriptive Rebate Table'!D100,0))))),"")</f>
        <v>0</v>
      </c>
      <c r="CL41" s="240" t="s">
        <v>2712</v>
      </c>
      <c r="CM41" s="152"/>
      <c r="CN41" s="152"/>
      <c r="CO41" s="152"/>
      <c r="CP41" s="146">
        <f t="shared" si="14"/>
        <v>0</v>
      </c>
      <c r="CQ41" s="153">
        <f>IF(D41="Interior",ROUND(($AG41*AF41)/1000*$AM41*(Lookups!$B$54-$AA41)*$AN41*$AO41,3),0)</f>
        <v>0</v>
      </c>
      <c r="CR41" s="153">
        <f>IFERROR(IF(D41="Interior",ROUND(($AG41*$AF41)/1000*(Lookups!$C$54-$AB41)*$AN41*AQ41*AT41,6),0),"")</f>
        <v>0</v>
      </c>
      <c r="CS41" s="165">
        <f t="shared" si="34"/>
        <v>0</v>
      </c>
      <c r="CT41" s="165">
        <f t="shared" si="35"/>
        <v>0</v>
      </c>
      <c r="CV41" s="153">
        <f>IF(D41="Interior",ROUND(($AG41*AF41)/1000*$AM41*(Lookups!$B$43-$AA41)*$AN41*$AO41,3),0)</f>
        <v>0</v>
      </c>
      <c r="CW41" s="153">
        <f>IFERROR(IF(D41="Interior",ROUND(($AG41*$AF41)/1000*(Lookups!$C$43-$AB41)*$AN41*AQ41*AT41,6),0),"")</f>
        <v>0</v>
      </c>
      <c r="CX41" s="165">
        <f t="shared" si="36"/>
        <v>0</v>
      </c>
      <c r="CY41" s="165">
        <f t="shared" si="37"/>
        <v>0</v>
      </c>
      <c r="DA41" s="153">
        <f>IF(D41="Interior",ROUND(($AG41*AF41*(1-0.15))/1000*$AM41*(Lookups!$B$43+0.097-$AA41)*$AN41*$AO41+((W41*V41)/1000*AN41*AM41*AO41*0.15),3),0)</f>
        <v>0</v>
      </c>
      <c r="DB41" s="153">
        <f>IFERROR(IF(D41="Interior",ROUND(($AG41*$AF41)/1000*(Lookups!$C$43+0.097-$AB41)*$AN41*AQ41*AT41+(($AG41*$AF41)/1000*$AN41*AQ41*AT41*0.15),6),0),"")</f>
        <v>0</v>
      </c>
      <c r="DC41" s="165">
        <f t="shared" si="38"/>
        <v>0</v>
      </c>
      <c r="DD41" s="165">
        <f t="shared" si="39"/>
        <v>0</v>
      </c>
    </row>
    <row r="42" spans="1:108" s="164" customFormat="1">
      <c r="A42" s="150">
        <v>38</v>
      </c>
      <c r="B42" s="153" t="str">
        <f>IFERROR(INDEX(Lookups!$B$2:$B$38,MATCH('Project Info &amp; Summary'!$C$19,Lookups!$A$2:$A$38,0)),"")</f>
        <v/>
      </c>
      <c r="C42" s="153" t="str">
        <f>IFERROR(INDEX(Lookups!$C$2:$C$38,MATCH('Project Info &amp; Summary'!$C$19,Lookups!$A$2:$A$38,0)),"")</f>
        <v/>
      </c>
      <c r="D42" s="163"/>
      <c r="E42" s="160"/>
      <c r="F42" s="158"/>
      <c r="G42" s="158"/>
      <c r="H42" s="158"/>
      <c r="I42" s="158"/>
      <c r="J42" s="154" t="str">
        <f>IFERROR(INDEX(Lookups!$W$21:$W$26,MATCH(I42,Lookups!$V$21:$V$26,0)),"")</f>
        <v/>
      </c>
      <c r="K42" s="158"/>
      <c r="L42" s="162" t="str">
        <f>IFERROR(INDEX(Lookups!$Y$2:$Y$19,MATCH(_xlfn.CONCAT(I42,K42),Lookups!$X$2:$X$19,0)),"")</f>
        <v/>
      </c>
      <c r="M42" s="158"/>
      <c r="N42" s="153" t="str">
        <f>IFERROR(INDEX('Prescriptive Rebate Table'!$M$3:$M$20,MATCH(M42,'Prescriptive Rebate Table'!$L$3:$L$20,0)),"")</f>
        <v/>
      </c>
      <c r="O42" s="158"/>
      <c r="P42" s="154" t="str">
        <f>IFERROR(INDEX('Prescriptive Rebate Table'!$B$2:$H$64, MATCH(O42,'Prescriptive Rebate Table'!$C$2:$C$64,0),7),"")</f>
        <v/>
      </c>
      <c r="Q42" s="155" t="str">
        <f>IFERROR(INDEX('Prescriptive Rebate Table'!$B$2:$I$64, MATCH(O42,'Prescriptive Rebate Table'!$C$2:$C$64,0),8),"")</f>
        <v/>
      </c>
      <c r="R42" s="155" t="str">
        <f>IFERROR(INDEX('Prescriptive Rebate Table'!$B$2:$J$64, MATCH(O42,'Prescriptive Rebate Table'!$C$2:$C$64,0),9),"")</f>
        <v/>
      </c>
      <c r="S42" s="160"/>
      <c r="T42" s="145" t="str">
        <f>IFERROR(INDEX('Fixture Codes'!$M$8:$M$976,MATCH(S42,'Fixture Codes'!$B$8:$B$976,0)),"")</f>
        <v/>
      </c>
      <c r="U42" s="145" t="str">
        <f>IFERROR(INDEX('Fixture Codes'!$B$7:$M$976,MATCH(T42,'Fixture Codes'!$B$7:$B$976,0),5),"")</f>
        <v/>
      </c>
      <c r="V42" s="160"/>
      <c r="W42" s="145" t="str">
        <f>IFERROR(INDEX('Fixture Codes'!$L$8:$L$976,MATCH(T42,'Fixture Codes'!$B$8:$B$976,0)),"")</f>
        <v/>
      </c>
      <c r="X42" s="158"/>
      <c r="Y42" s="159"/>
      <c r="Z42" s="155" t="str">
        <f>IFERROR(INDEX(Lookups!B$68:B$87,MATCH($X42,Lookups!$A$68:$A$87,0)),"")</f>
        <v/>
      </c>
      <c r="AA42" s="150" t="str">
        <f>IFERROR(INDEX(Lookups!B$42:B$62,MATCH($X42,Lookups!$A$42:$A$62,0)),"")</f>
        <v/>
      </c>
      <c r="AB42" s="150" t="str">
        <f>IFERROR(INDEX(Lookups!C$42:C$62,MATCH($X42,Lookups!$A$42:$A$62,0)),"")</f>
        <v/>
      </c>
      <c r="AC42" s="160"/>
      <c r="AD42" s="160"/>
      <c r="AE42" s="150" t="str">
        <f>IFERROR(INDEX('Fixture Codes'!$B$7:$M$976,MATCH(AD42,'Fixture Codes'!$B$7:$B$976,0),5),"")</f>
        <v/>
      </c>
      <c r="AF42" s="160"/>
      <c r="AG42" s="145" t="str">
        <f>IFERROR(INDEX('Fixture Codes'!$L$8:$L$976,MATCH(AD42,'Fixture Codes'!$B$8:$B$976,0)),"")</f>
        <v/>
      </c>
      <c r="AH42" s="158"/>
      <c r="AI42" s="160"/>
      <c r="AJ42" s="150" t="str">
        <f>IFERROR(INDEX(Lookups!B$68:B$87,MATCH($AH42,Lookups!$A$68:$A$87,0)),"")</f>
        <v/>
      </c>
      <c r="AK42" s="150" t="str">
        <f>IFERROR(INDEX(Lookups!B$42:B$62,MATCH($AH42,Lookups!$A$42:$A$62,0)),"")</f>
        <v/>
      </c>
      <c r="AL42" s="150" t="str">
        <f>IFERROR(INDEX(Lookups!C$42:C$62,MATCH($AH42,Lookups!$A$42:$A$62,0)),"")</f>
        <v/>
      </c>
      <c r="AM42" s="150" t="str">
        <f>IFERROR(IF(M42="Exit Signs",8760,IF(INDEX('Fixture Codes'!$C$8:$C$976,MATCH(AD42,'Fixture Codes'!$B$8:$B$976,0))="Exit Sign",8760,INDEX(Lookups!$I$2:$I$428,MATCH(_xlfn.CONCAT(B42,H42),Lookups!$H$2:$H$428,0)))),"")</f>
        <v/>
      </c>
      <c r="AN42" s="153">
        <v>1</v>
      </c>
      <c r="AO42" s="150" t="str">
        <f>IF($D42="Interior",INDEX(Lookups!Q$2:Q$86,MATCH(_xlfn.CONCAT($C42,$L42),Lookups!$P$2:$P$86,0)),IF($D42="Exterior",1,""))</f>
        <v/>
      </c>
      <c r="AP42" s="150">
        <f t="shared" si="19"/>
        <v>1</v>
      </c>
      <c r="AQ42" s="150" t="str">
        <f>IF($D42="Interior",INDEX(Lookups!R$2:R$86,MATCH(_xlfn.CONCAT($C42,$L42),Lookups!$P$2:$P$86,0)),IF($D42="Exterior",1,""))</f>
        <v/>
      </c>
      <c r="AR42" s="150" t="str">
        <f>IF($D42="Interior",INDEX(Lookups!S$2:S$86,MATCH(_xlfn.CONCAT($C42,$L42),Lookups!$P$2:$P$86,0)),IF($D42="Exterior",1,""))</f>
        <v/>
      </c>
      <c r="AS42" s="150" t="str">
        <f>IF($D42="Interior",INDEX(Lookups!T$2:T$86,MATCH(_xlfn.CONCAT($C42,$L42),Lookups!$P$2:$P$86,0)),IF($D42="Exterior",1,""))</f>
        <v/>
      </c>
      <c r="AT42" s="150" t="str">
        <f>IFERROR(IF(M42="Exit Signs",1,IF(INDEX('Fixture Codes'!$C$8:$C$976,MATCH($AD42,'Fixture Codes'!$B$8:$B$976,0))="Exit Sign",1,INDEX(Lookups!J$2:J$428,MATCH(_xlfn.CONCAT($B42,$H42),Lookups!$H$2:$H$428,0)))),"")</f>
        <v/>
      </c>
      <c r="AU42" s="150" t="str">
        <f>IFERROR(IF(M42="Exit Signs",1,IF(INDEX('Fixture Codes'!$C$8:$C$976,MATCH($AD42,'Fixture Codes'!$B$8:$B$976,0))="Exit Sign",1,INDEX(Lookups!K$2:K$428,MATCH(_xlfn.CONCAT($B42,$H42),Lookups!$H$2:$H$428,0)))),"")</f>
        <v/>
      </c>
      <c r="AV42" s="150" t="str">
        <f>IFERROR(IF(M42="Exit Signs",1,IF(INDEX('Fixture Codes'!$C$8:$C$976,MATCH($AD42,'Fixture Codes'!$B$8:$B$976,0))="Exit Sign",1,INDEX(Lookups!L$2:L$428,MATCH(_xlfn.CONCAT($B42,$H42),Lookups!$H$2:$H$428,0)))),"")</f>
        <v/>
      </c>
      <c r="AW42" s="150" t="str">
        <f>IF(ISBLANK(K42),"",IF(K42="Gas",INDEX(Lookups!$AG$2:$AG$63,MATCH(O42,Lookups!$AD$2:$AD$63,0),0),0))</f>
        <v/>
      </c>
      <c r="AX42" s="150" t="str">
        <f>IF(ISBLANK(K42),"",IF(K42="Gas",INDEX(Lookups!$AF$2:$AF$63,MATCH(O42,Lookups!$AD$2:$AD$63,0),0),0))</f>
        <v/>
      </c>
      <c r="AY42" s="150" t="str">
        <f>IF(ISBLANK(K42),"",IF(K42="Gas",INDEX(Lookups!$AH$2:$AH$63,MATCH(O42,Lookups!$AD$2:$AD$63,0),0),0))</f>
        <v/>
      </c>
      <c r="AZ42" s="150" t="str">
        <f>IF(ISBLANK(K42),"",IF(K42="Gas",INDEX(Lookups!$AI$2:$AI$63,MATCH(O42,Lookups!$AD$2:$AD$63,0),0),0))</f>
        <v/>
      </c>
      <c r="BA42" s="150" t="str">
        <f t="shared" si="0"/>
        <v/>
      </c>
      <c r="BB42" s="156" t="str">
        <f>IF(ISBLANK(AH42),"",IF(AH42="None",0,IF(K42="Gas",INDEX(Lookups!$AF$51:$AF$69,MATCH(AH42,Lookups!$AD$51:$AD$69,0),0),0)))</f>
        <v/>
      </c>
      <c r="BC42" s="156" t="str">
        <f>IF(ISBLANK(AH42),"",IF(AH42="None",0,IF(K42="Gas",INDEX(Lookups!$AH$51:$AH$69,MATCH(AH42,Lookups!$AD$51:$AD$69,0),0),0)))</f>
        <v/>
      </c>
      <c r="BD42" s="156" t="str">
        <f>IF(ISBLANK(AH42),"",IF(AH42="None",0,IF(K42="Gas",INDEX(Lookups!$AI$51:$AI$69,MATCH(AH42,Lookups!$AD$51:$AD$69,0),0),0)))</f>
        <v/>
      </c>
      <c r="BE42" s="157"/>
      <c r="BF42" s="157"/>
      <c r="BG42" s="147" t="str">
        <f t="shared" si="20"/>
        <v/>
      </c>
      <c r="BH42" s="147" t="str">
        <f t="shared" si="21"/>
        <v/>
      </c>
      <c r="BI42" s="147" t="str">
        <f t="shared" si="1"/>
        <v/>
      </c>
      <c r="BJ42" s="147" t="str">
        <f t="shared" si="2"/>
        <v/>
      </c>
      <c r="BK42" s="148" t="str">
        <f t="shared" si="22"/>
        <v/>
      </c>
      <c r="BL42" s="147" t="str">
        <f t="shared" si="3"/>
        <v/>
      </c>
      <c r="BM42" s="148" t="str">
        <f t="shared" si="23"/>
        <v/>
      </c>
      <c r="BN42" s="147" t="str">
        <f t="shared" si="24"/>
        <v/>
      </c>
      <c r="BO42" s="147" t="str">
        <f t="shared" si="24"/>
        <v/>
      </c>
      <c r="BP42" s="147" t="str">
        <f t="shared" si="25"/>
        <v/>
      </c>
      <c r="BQ42" s="148" t="str">
        <f t="shared" si="26"/>
        <v/>
      </c>
      <c r="BR42" s="148" t="str">
        <f t="shared" si="27"/>
        <v/>
      </c>
      <c r="BS42" s="148" t="str">
        <f t="shared" si="28"/>
        <v/>
      </c>
      <c r="BT42" s="148" t="str">
        <f t="shared" si="7"/>
        <v/>
      </c>
      <c r="BU42" s="148" t="str">
        <f t="shared" si="8"/>
        <v/>
      </c>
      <c r="BV42" s="148" t="str">
        <f t="shared" si="9"/>
        <v/>
      </c>
      <c r="BW42" s="148" t="str">
        <f t="shared" si="29"/>
        <v/>
      </c>
      <c r="BX42" s="148" t="str">
        <f t="shared" si="10"/>
        <v/>
      </c>
      <c r="BY42" s="148" t="str">
        <f t="shared" si="11"/>
        <v/>
      </c>
      <c r="BZ42" s="149" t="str">
        <f>IFERROR(INDEX('Prescriptive Rebate Table'!$B$2:$E$64,MATCH(O42,'Prescriptive Rebate Table'!$C$2:$C$64,0),3),"")</f>
        <v/>
      </c>
      <c r="CA42" s="145" t="str">
        <f>IFERROR(INDEX('Prescriptive Rebate Table'!$B$2:$E$64,MATCH(O42,'Prescriptive Rebate Table'!$C$2:$C$64,0),4),"")</f>
        <v/>
      </c>
      <c r="CB42" s="149" t="str">
        <f t="shared" si="30"/>
        <v/>
      </c>
      <c r="CC42" s="145" t="str">
        <f t="shared" si="31"/>
        <v/>
      </c>
      <c r="CD42" s="149" t="str">
        <f t="shared" si="12"/>
        <v/>
      </c>
      <c r="CE42" s="149" t="str">
        <f t="shared" si="13"/>
        <v/>
      </c>
      <c r="CF42" s="149" t="str">
        <f>IF(BK42&lt;=0,0,IFERROR(IF(OR(ISBLANK(AC42),ISBLANK(CD42))=TRUE,"",IF(CA42="Per Foot",INDEX('Fixture Codes'!$I$8:$I$976,MATCH(AD42,'Fixture Codes'!$B$8:$B$976,0))/12*AF42*BZ42,IF(CA42="Lamp",INDEX('Fixture Codes'!$J$8:$J$976,MATCH(AD42,'Fixture Codes'!$B$8:$B$976,0))*AF42*BZ42,IF(CA42="Fixture",AF42*BZ42,IF(CA42="kWh",BK42*BZ42,0))))),""))</f>
        <v/>
      </c>
      <c r="CG42" s="149" t="str">
        <f t="shared" si="32"/>
        <v/>
      </c>
      <c r="CH42" s="149" t="str">
        <f t="shared" si="33"/>
        <v/>
      </c>
      <c r="CI42" s="152"/>
      <c r="CJ42" s="146"/>
      <c r="CK42" s="241">
        <f>IFERROR(IF(CL42="Yes",'Prescriptive Rebate Table'!$D$69,IF(ISBLANK(AI42),0,IF(AND(AH42=Lookups!$A$62,BK42&gt;0),'Prescriptive Rebate Table'!$D$68,IF(AND(BK42&gt;0,CJ42=AF42),'Prescriptive Rebate Table'!$D$67,IF(AND(BK42&gt;0,CJ42&lt;&gt;AF42),'Prescriptive Rebate Table'!D101,0))))),"")</f>
        <v>0</v>
      </c>
      <c r="CL42" s="240" t="s">
        <v>2712</v>
      </c>
      <c r="CM42" s="152"/>
      <c r="CN42" s="152"/>
      <c r="CO42" s="152"/>
      <c r="CP42" s="146">
        <f t="shared" si="14"/>
        <v>0</v>
      </c>
      <c r="CQ42" s="153">
        <f>IF(D42="Interior",ROUND(($AG42*AF42)/1000*$AM42*(Lookups!$B$54-$AA42)*$AN42*$AO42,3),0)</f>
        <v>0</v>
      </c>
      <c r="CR42" s="153">
        <f>IFERROR(IF(D42="Interior",ROUND(($AG42*$AF42)/1000*(Lookups!$C$54-$AB42)*$AN42*AQ42*AT42,6),0),"")</f>
        <v>0</v>
      </c>
      <c r="CS42" s="165">
        <f t="shared" si="34"/>
        <v>0</v>
      </c>
      <c r="CT42" s="165">
        <f t="shared" si="35"/>
        <v>0</v>
      </c>
      <c r="CV42" s="153">
        <f>IF(D42="Interior",ROUND(($AG42*AF42)/1000*$AM42*(Lookups!$B$43-$AA42)*$AN42*$AO42,3),0)</f>
        <v>0</v>
      </c>
      <c r="CW42" s="153">
        <f>IFERROR(IF(D42="Interior",ROUND(($AG42*$AF42)/1000*(Lookups!$C$43-$AB42)*$AN42*AQ42*AT42,6),0),"")</f>
        <v>0</v>
      </c>
      <c r="CX42" s="165">
        <f t="shared" si="36"/>
        <v>0</v>
      </c>
      <c r="CY42" s="165">
        <f t="shared" si="37"/>
        <v>0</v>
      </c>
      <c r="DA42" s="153">
        <f>IF(D42="Interior",ROUND(($AG42*AF42*(1-0.15))/1000*$AM42*(Lookups!$B$43+0.097-$AA42)*$AN42*$AO42+((W42*V42)/1000*AN42*AM42*AO42*0.15),3),0)</f>
        <v>0</v>
      </c>
      <c r="DB42" s="153">
        <f>IFERROR(IF(D42="Interior",ROUND(($AG42*$AF42)/1000*(Lookups!$C$43+0.097-$AB42)*$AN42*AQ42*AT42+(($AG42*$AF42)/1000*$AN42*AQ42*AT42*0.15),6),0),"")</f>
        <v>0</v>
      </c>
      <c r="DC42" s="165">
        <f t="shared" si="38"/>
        <v>0</v>
      </c>
      <c r="DD42" s="165">
        <f t="shared" si="39"/>
        <v>0</v>
      </c>
    </row>
    <row r="43" spans="1:108" s="164" customFormat="1">
      <c r="A43" s="150">
        <v>39</v>
      </c>
      <c r="B43" s="153" t="str">
        <f>IFERROR(INDEX(Lookups!$B$2:$B$38,MATCH('Project Info &amp; Summary'!$C$19,Lookups!$A$2:$A$38,0)),"")</f>
        <v/>
      </c>
      <c r="C43" s="153" t="str">
        <f>IFERROR(INDEX(Lookups!$C$2:$C$38,MATCH('Project Info &amp; Summary'!$C$19,Lookups!$A$2:$A$38,0)),"")</f>
        <v/>
      </c>
      <c r="D43" s="163"/>
      <c r="E43" s="160"/>
      <c r="F43" s="158"/>
      <c r="G43" s="158"/>
      <c r="H43" s="158"/>
      <c r="I43" s="158"/>
      <c r="J43" s="154" t="str">
        <f>IFERROR(INDEX(Lookups!$W$21:$W$26,MATCH(I43,Lookups!$V$21:$V$26,0)),"")</f>
        <v/>
      </c>
      <c r="K43" s="158"/>
      <c r="L43" s="162" t="str">
        <f>IFERROR(INDEX(Lookups!$Y$2:$Y$19,MATCH(_xlfn.CONCAT(I43,K43),Lookups!$X$2:$X$19,0)),"")</f>
        <v/>
      </c>
      <c r="M43" s="158"/>
      <c r="N43" s="153" t="str">
        <f>IFERROR(INDEX('Prescriptive Rebate Table'!$M$3:$M$20,MATCH(M43,'Prescriptive Rebate Table'!$L$3:$L$20,0)),"")</f>
        <v/>
      </c>
      <c r="O43" s="158"/>
      <c r="P43" s="154" t="str">
        <f>IFERROR(INDEX('Prescriptive Rebate Table'!$B$2:$H$64, MATCH(O43,'Prescriptive Rebate Table'!$C$2:$C$64,0),7),"")</f>
        <v/>
      </c>
      <c r="Q43" s="155" t="str">
        <f>IFERROR(INDEX('Prescriptive Rebate Table'!$B$2:$I$64, MATCH(O43,'Prescriptive Rebate Table'!$C$2:$C$64,0),8),"")</f>
        <v/>
      </c>
      <c r="R43" s="155" t="str">
        <f>IFERROR(INDEX('Prescriptive Rebate Table'!$B$2:$J$64, MATCH(O43,'Prescriptive Rebate Table'!$C$2:$C$64,0),9),"")</f>
        <v/>
      </c>
      <c r="S43" s="160"/>
      <c r="T43" s="145" t="str">
        <f>IFERROR(INDEX('Fixture Codes'!$M$8:$M$976,MATCH(S43,'Fixture Codes'!$B$8:$B$976,0)),"")</f>
        <v/>
      </c>
      <c r="U43" s="145" t="str">
        <f>IFERROR(INDEX('Fixture Codes'!$B$7:$M$976,MATCH(T43,'Fixture Codes'!$B$7:$B$976,0),5),"")</f>
        <v/>
      </c>
      <c r="V43" s="160"/>
      <c r="W43" s="145" t="str">
        <f>IFERROR(INDEX('Fixture Codes'!$L$8:$L$976,MATCH(T43,'Fixture Codes'!$B$8:$B$976,0)),"")</f>
        <v/>
      </c>
      <c r="X43" s="158"/>
      <c r="Y43" s="159"/>
      <c r="Z43" s="155" t="str">
        <f>IFERROR(INDEX(Lookups!B$68:B$87,MATCH($X43,Lookups!$A$68:$A$87,0)),"")</f>
        <v/>
      </c>
      <c r="AA43" s="150" t="str">
        <f>IFERROR(INDEX(Lookups!B$42:B$62,MATCH($X43,Lookups!$A$42:$A$62,0)),"")</f>
        <v/>
      </c>
      <c r="AB43" s="150" t="str">
        <f>IFERROR(INDEX(Lookups!C$42:C$62,MATCH($X43,Lookups!$A$42:$A$62,0)),"")</f>
        <v/>
      </c>
      <c r="AC43" s="160"/>
      <c r="AD43" s="160"/>
      <c r="AE43" s="150" t="str">
        <f>IFERROR(INDEX('Fixture Codes'!$B$7:$M$976,MATCH(AD43,'Fixture Codes'!$B$7:$B$976,0),5),"")</f>
        <v/>
      </c>
      <c r="AF43" s="160"/>
      <c r="AG43" s="145" t="str">
        <f>IFERROR(INDEX('Fixture Codes'!$L$8:$L$976,MATCH(AD43,'Fixture Codes'!$B$8:$B$976,0)),"")</f>
        <v/>
      </c>
      <c r="AH43" s="158"/>
      <c r="AI43" s="160"/>
      <c r="AJ43" s="150" t="str">
        <f>IFERROR(INDEX(Lookups!B$68:B$87,MATCH($AH43,Lookups!$A$68:$A$87,0)),"")</f>
        <v/>
      </c>
      <c r="AK43" s="150" t="str">
        <f>IFERROR(INDEX(Lookups!B$42:B$62,MATCH($AH43,Lookups!$A$42:$A$62,0)),"")</f>
        <v/>
      </c>
      <c r="AL43" s="150" t="str">
        <f>IFERROR(INDEX(Lookups!C$42:C$62,MATCH($AH43,Lookups!$A$42:$A$62,0)),"")</f>
        <v/>
      </c>
      <c r="AM43" s="150" t="str">
        <f>IFERROR(IF(M43="Exit Signs",8760,IF(INDEX('Fixture Codes'!$C$8:$C$976,MATCH(AD43,'Fixture Codes'!$B$8:$B$976,0))="Exit Sign",8760,INDEX(Lookups!$I$2:$I$428,MATCH(_xlfn.CONCAT(B43,H43),Lookups!$H$2:$H$428,0)))),"")</f>
        <v/>
      </c>
      <c r="AN43" s="153">
        <v>1</v>
      </c>
      <c r="AO43" s="150" t="str">
        <f>IF($D43="Interior",INDEX(Lookups!Q$2:Q$86,MATCH(_xlfn.CONCAT($C43,$L43),Lookups!$P$2:$P$86,0)),IF($D43="Exterior",1,""))</f>
        <v/>
      </c>
      <c r="AP43" s="150">
        <f t="shared" si="19"/>
        <v>1</v>
      </c>
      <c r="AQ43" s="150" t="str">
        <f>IF($D43="Interior",INDEX(Lookups!R$2:R$86,MATCH(_xlfn.CONCAT($C43,$L43),Lookups!$P$2:$P$86,0)),IF($D43="Exterior",1,""))</f>
        <v/>
      </c>
      <c r="AR43" s="150" t="str">
        <f>IF($D43="Interior",INDEX(Lookups!S$2:S$86,MATCH(_xlfn.CONCAT($C43,$L43),Lookups!$P$2:$P$86,0)),IF($D43="Exterior",1,""))</f>
        <v/>
      </c>
      <c r="AS43" s="150" t="str">
        <f>IF($D43="Interior",INDEX(Lookups!T$2:T$86,MATCH(_xlfn.CONCAT($C43,$L43),Lookups!$P$2:$P$86,0)),IF($D43="Exterior",1,""))</f>
        <v/>
      </c>
      <c r="AT43" s="150" t="str">
        <f>IFERROR(IF(M43="Exit Signs",1,IF(INDEX('Fixture Codes'!$C$8:$C$976,MATCH($AD43,'Fixture Codes'!$B$8:$B$976,0))="Exit Sign",1,INDEX(Lookups!J$2:J$428,MATCH(_xlfn.CONCAT($B43,$H43),Lookups!$H$2:$H$428,0)))),"")</f>
        <v/>
      </c>
      <c r="AU43" s="150" t="str">
        <f>IFERROR(IF(M43="Exit Signs",1,IF(INDEX('Fixture Codes'!$C$8:$C$976,MATCH($AD43,'Fixture Codes'!$B$8:$B$976,0))="Exit Sign",1,INDEX(Lookups!K$2:K$428,MATCH(_xlfn.CONCAT($B43,$H43),Lookups!$H$2:$H$428,0)))),"")</f>
        <v/>
      </c>
      <c r="AV43" s="150" t="str">
        <f>IFERROR(IF(M43="Exit Signs",1,IF(INDEX('Fixture Codes'!$C$8:$C$976,MATCH($AD43,'Fixture Codes'!$B$8:$B$976,0))="Exit Sign",1,INDEX(Lookups!L$2:L$428,MATCH(_xlfn.CONCAT($B43,$H43),Lookups!$H$2:$H$428,0)))),"")</f>
        <v/>
      </c>
      <c r="AW43" s="150" t="str">
        <f>IF(ISBLANK(K43),"",IF(K43="Gas",INDEX(Lookups!$AG$2:$AG$63,MATCH(O43,Lookups!$AD$2:$AD$63,0),0),0))</f>
        <v/>
      </c>
      <c r="AX43" s="150" t="str">
        <f>IF(ISBLANK(K43),"",IF(K43="Gas",INDEX(Lookups!$AF$2:$AF$63,MATCH(O43,Lookups!$AD$2:$AD$63,0),0),0))</f>
        <v/>
      </c>
      <c r="AY43" s="150" t="str">
        <f>IF(ISBLANK(K43),"",IF(K43="Gas",INDEX(Lookups!$AH$2:$AH$63,MATCH(O43,Lookups!$AD$2:$AD$63,0),0),0))</f>
        <v/>
      </c>
      <c r="AZ43" s="150" t="str">
        <f>IF(ISBLANK(K43),"",IF(K43="Gas",INDEX(Lookups!$AI$2:$AI$63,MATCH(O43,Lookups!$AD$2:$AD$63,0),0),0))</f>
        <v/>
      </c>
      <c r="BA43" s="150" t="str">
        <f t="shared" si="0"/>
        <v/>
      </c>
      <c r="BB43" s="156" t="str">
        <f>IF(ISBLANK(AH43),"",IF(AH43="None",0,IF(K43="Gas",INDEX(Lookups!$AF$51:$AF$69,MATCH(AH43,Lookups!$AD$51:$AD$69,0),0),0)))</f>
        <v/>
      </c>
      <c r="BC43" s="156" t="str">
        <f>IF(ISBLANK(AH43),"",IF(AH43="None",0,IF(K43="Gas",INDEX(Lookups!$AH$51:$AH$69,MATCH(AH43,Lookups!$AD$51:$AD$69,0),0),0)))</f>
        <v/>
      </c>
      <c r="BD43" s="156" t="str">
        <f>IF(ISBLANK(AH43),"",IF(AH43="None",0,IF(K43="Gas",INDEX(Lookups!$AI$51:$AI$69,MATCH(AH43,Lookups!$AD$51:$AD$69,0),0),0)))</f>
        <v/>
      </c>
      <c r="BE43" s="157"/>
      <c r="BF43" s="157"/>
      <c r="BG43" s="147" t="str">
        <f t="shared" si="20"/>
        <v/>
      </c>
      <c r="BH43" s="147" t="str">
        <f t="shared" si="21"/>
        <v/>
      </c>
      <c r="BI43" s="147" t="str">
        <f t="shared" si="1"/>
        <v/>
      </c>
      <c r="BJ43" s="147" t="str">
        <f t="shared" si="2"/>
        <v/>
      </c>
      <c r="BK43" s="148" t="str">
        <f t="shared" si="22"/>
        <v/>
      </c>
      <c r="BL43" s="147" t="str">
        <f t="shared" si="3"/>
        <v/>
      </c>
      <c r="BM43" s="148" t="str">
        <f t="shared" si="23"/>
        <v/>
      </c>
      <c r="BN43" s="147" t="str">
        <f t="shared" si="24"/>
        <v/>
      </c>
      <c r="BO43" s="147" t="str">
        <f t="shared" si="24"/>
        <v/>
      </c>
      <c r="BP43" s="147" t="str">
        <f t="shared" si="25"/>
        <v/>
      </c>
      <c r="BQ43" s="148" t="str">
        <f t="shared" si="26"/>
        <v/>
      </c>
      <c r="BR43" s="148" t="str">
        <f t="shared" si="27"/>
        <v/>
      </c>
      <c r="BS43" s="148" t="str">
        <f t="shared" si="28"/>
        <v/>
      </c>
      <c r="BT43" s="148" t="str">
        <f t="shared" si="7"/>
        <v/>
      </c>
      <c r="BU43" s="148" t="str">
        <f t="shared" si="8"/>
        <v/>
      </c>
      <c r="BV43" s="148" t="str">
        <f t="shared" si="9"/>
        <v/>
      </c>
      <c r="BW43" s="148" t="str">
        <f t="shared" si="29"/>
        <v/>
      </c>
      <c r="BX43" s="148" t="str">
        <f t="shared" si="10"/>
        <v/>
      </c>
      <c r="BY43" s="148" t="str">
        <f t="shared" si="11"/>
        <v/>
      </c>
      <c r="BZ43" s="149" t="str">
        <f>IFERROR(INDEX('Prescriptive Rebate Table'!$B$2:$E$64,MATCH(O43,'Prescriptive Rebate Table'!$C$2:$C$64,0),3),"")</f>
        <v/>
      </c>
      <c r="CA43" s="145" t="str">
        <f>IFERROR(INDEX('Prescriptive Rebate Table'!$B$2:$E$64,MATCH(O43,'Prescriptive Rebate Table'!$C$2:$C$64,0),4),"")</f>
        <v/>
      </c>
      <c r="CB43" s="149" t="str">
        <f t="shared" si="30"/>
        <v/>
      </c>
      <c r="CC43" s="145" t="str">
        <f t="shared" si="31"/>
        <v/>
      </c>
      <c r="CD43" s="149" t="str">
        <f t="shared" si="12"/>
        <v/>
      </c>
      <c r="CE43" s="149" t="str">
        <f t="shared" si="13"/>
        <v/>
      </c>
      <c r="CF43" s="149" t="str">
        <f>IF(BK43&lt;=0,0,IFERROR(IF(OR(ISBLANK(AC43),ISBLANK(CD43))=TRUE,"",IF(CA43="Per Foot",INDEX('Fixture Codes'!$I$8:$I$976,MATCH(AD43,'Fixture Codes'!$B$8:$B$976,0))/12*AF43*BZ43,IF(CA43="Lamp",INDEX('Fixture Codes'!$J$8:$J$976,MATCH(AD43,'Fixture Codes'!$B$8:$B$976,0))*AF43*BZ43,IF(CA43="Fixture",AF43*BZ43,IF(CA43="kWh",BK43*BZ43,0))))),""))</f>
        <v/>
      </c>
      <c r="CG43" s="149" t="str">
        <f t="shared" si="32"/>
        <v/>
      </c>
      <c r="CH43" s="149" t="str">
        <f t="shared" si="33"/>
        <v/>
      </c>
      <c r="CI43" s="152"/>
      <c r="CJ43" s="146"/>
      <c r="CK43" s="241">
        <f>IFERROR(IF(CL43="Yes",'Prescriptive Rebate Table'!$D$69,IF(ISBLANK(AI43),0,IF(AND(AH43=Lookups!$A$62,BK43&gt;0),'Prescriptive Rebate Table'!$D$68,IF(AND(BK43&gt;0,CJ43=AF43),'Prescriptive Rebate Table'!$D$67,IF(AND(BK43&gt;0,CJ43&lt;&gt;AF43),'Prescriptive Rebate Table'!D102,0))))),"")</f>
        <v>0</v>
      </c>
      <c r="CL43" s="240" t="s">
        <v>2712</v>
      </c>
      <c r="CM43" s="152"/>
      <c r="CN43" s="152"/>
      <c r="CO43" s="152"/>
      <c r="CP43" s="146">
        <f t="shared" si="14"/>
        <v>0</v>
      </c>
      <c r="CQ43" s="153">
        <f>IF(D43="Interior",ROUND(($AG43*AF43)/1000*$AM43*(Lookups!$B$54-$AA43)*$AN43*$AO43,3),0)</f>
        <v>0</v>
      </c>
      <c r="CR43" s="153">
        <f>IFERROR(IF(D43="Interior",ROUND(($AG43*$AF43)/1000*(Lookups!$C$54-$AB43)*$AN43*AQ43*AT43,6),0),"")</f>
        <v>0</v>
      </c>
      <c r="CS43" s="165">
        <f t="shared" si="34"/>
        <v>0</v>
      </c>
      <c r="CT43" s="165">
        <f t="shared" si="35"/>
        <v>0</v>
      </c>
      <c r="CV43" s="153">
        <f>IF(D43="Interior",ROUND(($AG43*AF43)/1000*$AM43*(Lookups!$B$43-$AA43)*$AN43*$AO43,3),0)</f>
        <v>0</v>
      </c>
      <c r="CW43" s="153">
        <f>IFERROR(IF(D43="Interior",ROUND(($AG43*$AF43)/1000*(Lookups!$C$43-$AB43)*$AN43*AQ43*AT43,6),0),"")</f>
        <v>0</v>
      </c>
      <c r="CX43" s="165">
        <f t="shared" si="36"/>
        <v>0</v>
      </c>
      <c r="CY43" s="165">
        <f t="shared" si="37"/>
        <v>0</v>
      </c>
      <c r="DA43" s="153">
        <f>IF(D43="Interior",ROUND(($AG43*AF43*(1-0.15))/1000*$AM43*(Lookups!$B$43+0.097-$AA43)*$AN43*$AO43+((W43*V43)/1000*AN43*AM43*AO43*0.15),3),0)</f>
        <v>0</v>
      </c>
      <c r="DB43" s="153">
        <f>IFERROR(IF(D43="Interior",ROUND(($AG43*$AF43)/1000*(Lookups!$C$43+0.097-$AB43)*$AN43*AQ43*AT43+(($AG43*$AF43)/1000*$AN43*AQ43*AT43*0.15),6),0),"")</f>
        <v>0</v>
      </c>
      <c r="DC43" s="165">
        <f t="shared" si="38"/>
        <v>0</v>
      </c>
      <c r="DD43" s="165">
        <f t="shared" si="39"/>
        <v>0</v>
      </c>
    </row>
    <row r="44" spans="1:108" s="164" customFormat="1">
      <c r="A44" s="150">
        <v>40</v>
      </c>
      <c r="B44" s="153" t="str">
        <f>IFERROR(INDEX(Lookups!$B$2:$B$38,MATCH('Project Info &amp; Summary'!$C$19,Lookups!$A$2:$A$38,0)),"")</f>
        <v/>
      </c>
      <c r="C44" s="153" t="str">
        <f>IFERROR(INDEX(Lookups!$C$2:$C$38,MATCH('Project Info &amp; Summary'!$C$19,Lookups!$A$2:$A$38,0)),"")</f>
        <v/>
      </c>
      <c r="D44" s="163"/>
      <c r="E44" s="160"/>
      <c r="F44" s="158"/>
      <c r="G44" s="158"/>
      <c r="H44" s="158"/>
      <c r="I44" s="158"/>
      <c r="J44" s="154" t="str">
        <f>IFERROR(INDEX(Lookups!$W$21:$W$26,MATCH(I44,Lookups!$V$21:$V$26,0)),"")</f>
        <v/>
      </c>
      <c r="K44" s="158"/>
      <c r="L44" s="162" t="str">
        <f>IFERROR(INDEX(Lookups!$Y$2:$Y$19,MATCH(_xlfn.CONCAT(I44,K44),Lookups!$X$2:$X$19,0)),"")</f>
        <v/>
      </c>
      <c r="M44" s="158"/>
      <c r="N44" s="153" t="str">
        <f>IFERROR(INDEX('Prescriptive Rebate Table'!$M$3:$M$20,MATCH(M44,'Prescriptive Rebate Table'!$L$3:$L$20,0)),"")</f>
        <v/>
      </c>
      <c r="O44" s="158"/>
      <c r="P44" s="154" t="str">
        <f>IFERROR(INDEX('Prescriptive Rebate Table'!$B$2:$H$64, MATCH(O44,'Prescriptive Rebate Table'!$C$2:$C$64,0),7),"")</f>
        <v/>
      </c>
      <c r="Q44" s="155" t="str">
        <f>IFERROR(INDEX('Prescriptive Rebate Table'!$B$2:$I$64, MATCH(O44,'Prescriptive Rebate Table'!$C$2:$C$64,0),8),"")</f>
        <v/>
      </c>
      <c r="R44" s="155" t="str">
        <f>IFERROR(INDEX('Prescriptive Rebate Table'!$B$2:$J$64, MATCH(O44,'Prescriptive Rebate Table'!$C$2:$C$64,0),9),"")</f>
        <v/>
      </c>
      <c r="S44" s="160"/>
      <c r="T44" s="145" t="str">
        <f>IFERROR(INDEX('Fixture Codes'!$M$8:$M$976,MATCH(S44,'Fixture Codes'!$B$8:$B$976,0)),"")</f>
        <v/>
      </c>
      <c r="U44" s="145" t="str">
        <f>IFERROR(INDEX('Fixture Codes'!$B$7:$M$976,MATCH(T44,'Fixture Codes'!$B$7:$B$976,0),5),"")</f>
        <v/>
      </c>
      <c r="V44" s="160"/>
      <c r="W44" s="145" t="str">
        <f>IFERROR(INDEX('Fixture Codes'!$L$8:$L$976,MATCH(T44,'Fixture Codes'!$B$8:$B$976,0)),"")</f>
        <v/>
      </c>
      <c r="X44" s="158"/>
      <c r="Y44" s="159"/>
      <c r="Z44" s="155" t="str">
        <f>IFERROR(INDEX(Lookups!B$68:B$87,MATCH($X44,Lookups!$A$68:$A$87,0)),"")</f>
        <v/>
      </c>
      <c r="AA44" s="150" t="str">
        <f>IFERROR(INDEX(Lookups!B$42:B$62,MATCH($X44,Lookups!$A$42:$A$62,0)),"")</f>
        <v/>
      </c>
      <c r="AB44" s="150" t="str">
        <f>IFERROR(INDEX(Lookups!C$42:C$62,MATCH($X44,Lookups!$A$42:$A$62,0)),"")</f>
        <v/>
      </c>
      <c r="AC44" s="160"/>
      <c r="AD44" s="160"/>
      <c r="AE44" s="150" t="str">
        <f>IFERROR(INDEX('Fixture Codes'!$B$7:$M$976,MATCH(AD44,'Fixture Codes'!$B$7:$B$976,0),5),"")</f>
        <v/>
      </c>
      <c r="AF44" s="160"/>
      <c r="AG44" s="145" t="str">
        <f>IFERROR(INDEX('Fixture Codes'!$L$8:$L$976,MATCH(AD44,'Fixture Codes'!$B$8:$B$976,0)),"")</f>
        <v/>
      </c>
      <c r="AH44" s="158"/>
      <c r="AI44" s="160"/>
      <c r="AJ44" s="150" t="str">
        <f>IFERROR(INDEX(Lookups!B$68:B$87,MATCH($AH44,Lookups!$A$68:$A$87,0)),"")</f>
        <v/>
      </c>
      <c r="AK44" s="150" t="str">
        <f>IFERROR(INDEX(Lookups!B$42:B$62,MATCH($AH44,Lookups!$A$42:$A$62,0)),"")</f>
        <v/>
      </c>
      <c r="AL44" s="150" t="str">
        <f>IFERROR(INDEX(Lookups!C$42:C$62,MATCH($AH44,Lookups!$A$42:$A$62,0)),"")</f>
        <v/>
      </c>
      <c r="AM44" s="150" t="str">
        <f>IFERROR(IF(M44="Exit Signs",8760,IF(INDEX('Fixture Codes'!$C$8:$C$976,MATCH(AD44,'Fixture Codes'!$B$8:$B$976,0))="Exit Sign",8760,INDEX(Lookups!$I$2:$I$428,MATCH(_xlfn.CONCAT(B44,H44),Lookups!$H$2:$H$428,0)))),"")</f>
        <v/>
      </c>
      <c r="AN44" s="153">
        <v>1</v>
      </c>
      <c r="AO44" s="150" t="str">
        <f>IF($D44="Interior",INDEX(Lookups!Q$2:Q$86,MATCH(_xlfn.CONCAT($C44,$L44),Lookups!$P$2:$P$86,0)),IF($D44="Exterior",1,""))</f>
        <v/>
      </c>
      <c r="AP44" s="150">
        <f t="shared" si="19"/>
        <v>1</v>
      </c>
      <c r="AQ44" s="150" t="str">
        <f>IF($D44="Interior",INDEX(Lookups!R$2:R$86,MATCH(_xlfn.CONCAT($C44,$L44),Lookups!$P$2:$P$86,0)),IF($D44="Exterior",1,""))</f>
        <v/>
      </c>
      <c r="AR44" s="150" t="str">
        <f>IF($D44="Interior",INDEX(Lookups!S$2:S$86,MATCH(_xlfn.CONCAT($C44,$L44),Lookups!$P$2:$P$86,0)),IF($D44="Exterior",1,""))</f>
        <v/>
      </c>
      <c r="AS44" s="150" t="str">
        <f>IF($D44="Interior",INDEX(Lookups!T$2:T$86,MATCH(_xlfn.CONCAT($C44,$L44),Lookups!$P$2:$P$86,0)),IF($D44="Exterior",1,""))</f>
        <v/>
      </c>
      <c r="AT44" s="150" t="str">
        <f>IFERROR(IF(M44="Exit Signs",1,IF(INDEX('Fixture Codes'!$C$8:$C$976,MATCH($AD44,'Fixture Codes'!$B$8:$B$976,0))="Exit Sign",1,INDEX(Lookups!J$2:J$428,MATCH(_xlfn.CONCAT($B44,$H44),Lookups!$H$2:$H$428,0)))),"")</f>
        <v/>
      </c>
      <c r="AU44" s="150" t="str">
        <f>IFERROR(IF(M44="Exit Signs",1,IF(INDEX('Fixture Codes'!$C$8:$C$976,MATCH($AD44,'Fixture Codes'!$B$8:$B$976,0))="Exit Sign",1,INDEX(Lookups!K$2:K$428,MATCH(_xlfn.CONCAT($B44,$H44),Lookups!$H$2:$H$428,0)))),"")</f>
        <v/>
      </c>
      <c r="AV44" s="150" t="str">
        <f>IFERROR(IF(M44="Exit Signs",1,IF(INDEX('Fixture Codes'!$C$8:$C$976,MATCH($AD44,'Fixture Codes'!$B$8:$B$976,0))="Exit Sign",1,INDEX(Lookups!L$2:L$428,MATCH(_xlfn.CONCAT($B44,$H44),Lookups!$H$2:$H$428,0)))),"")</f>
        <v/>
      </c>
      <c r="AW44" s="150" t="str">
        <f>IF(ISBLANK(K44),"",IF(K44="Gas",INDEX(Lookups!$AG$2:$AG$63,MATCH(O44,Lookups!$AD$2:$AD$63,0),0),0))</f>
        <v/>
      </c>
      <c r="AX44" s="150" t="str">
        <f>IF(ISBLANK(K44),"",IF(K44="Gas",INDEX(Lookups!$AF$2:$AF$63,MATCH(O44,Lookups!$AD$2:$AD$63,0),0),0))</f>
        <v/>
      </c>
      <c r="AY44" s="150" t="str">
        <f>IF(ISBLANK(K44),"",IF(K44="Gas",INDEX(Lookups!$AH$2:$AH$63,MATCH(O44,Lookups!$AD$2:$AD$63,0),0),0))</f>
        <v/>
      </c>
      <c r="AZ44" s="150" t="str">
        <f>IF(ISBLANK(K44),"",IF(K44="Gas",INDEX(Lookups!$AI$2:$AI$63,MATCH(O44,Lookups!$AD$2:$AD$63,0),0),0))</f>
        <v/>
      </c>
      <c r="BA44" s="150" t="str">
        <f t="shared" si="0"/>
        <v/>
      </c>
      <c r="BB44" s="156" t="str">
        <f>IF(ISBLANK(AH44),"",IF(AH44="None",0,IF(K44="Gas",INDEX(Lookups!$AF$51:$AF$69,MATCH(AH44,Lookups!$AD$51:$AD$69,0),0),0)))</f>
        <v/>
      </c>
      <c r="BC44" s="156" t="str">
        <f>IF(ISBLANK(AH44),"",IF(AH44="None",0,IF(K44="Gas",INDEX(Lookups!$AH$51:$AH$69,MATCH(AH44,Lookups!$AD$51:$AD$69,0),0),0)))</f>
        <v/>
      </c>
      <c r="BD44" s="156" t="str">
        <f>IF(ISBLANK(AH44),"",IF(AH44="None",0,IF(K44="Gas",INDEX(Lookups!$AI$51:$AI$69,MATCH(AH44,Lookups!$AD$51:$AD$69,0),0),0)))</f>
        <v/>
      </c>
      <c r="BE44" s="157"/>
      <c r="BF44" s="157"/>
      <c r="BG44" s="147" t="str">
        <f t="shared" si="20"/>
        <v/>
      </c>
      <c r="BH44" s="147" t="str">
        <f t="shared" si="21"/>
        <v/>
      </c>
      <c r="BI44" s="147" t="str">
        <f t="shared" si="1"/>
        <v/>
      </c>
      <c r="BJ44" s="147" t="str">
        <f t="shared" si="2"/>
        <v/>
      </c>
      <c r="BK44" s="148" t="str">
        <f t="shared" si="22"/>
        <v/>
      </c>
      <c r="BL44" s="147" t="str">
        <f t="shared" si="3"/>
        <v/>
      </c>
      <c r="BM44" s="148" t="str">
        <f t="shared" si="23"/>
        <v/>
      </c>
      <c r="BN44" s="147" t="str">
        <f t="shared" si="24"/>
        <v/>
      </c>
      <c r="BO44" s="147" t="str">
        <f t="shared" si="24"/>
        <v/>
      </c>
      <c r="BP44" s="147" t="str">
        <f t="shared" si="25"/>
        <v/>
      </c>
      <c r="BQ44" s="148" t="str">
        <f t="shared" si="26"/>
        <v/>
      </c>
      <c r="BR44" s="148" t="str">
        <f t="shared" si="27"/>
        <v/>
      </c>
      <c r="BS44" s="148" t="str">
        <f t="shared" si="28"/>
        <v/>
      </c>
      <c r="BT44" s="148" t="str">
        <f t="shared" si="7"/>
        <v/>
      </c>
      <c r="BU44" s="148" t="str">
        <f t="shared" si="8"/>
        <v/>
      </c>
      <c r="BV44" s="148" t="str">
        <f t="shared" si="9"/>
        <v/>
      </c>
      <c r="BW44" s="148" t="str">
        <f t="shared" si="29"/>
        <v/>
      </c>
      <c r="BX44" s="148" t="str">
        <f t="shared" si="10"/>
        <v/>
      </c>
      <c r="BY44" s="148" t="str">
        <f t="shared" si="11"/>
        <v/>
      </c>
      <c r="BZ44" s="149" t="str">
        <f>IFERROR(INDEX('Prescriptive Rebate Table'!$B$2:$E$64,MATCH(O44,'Prescriptive Rebate Table'!$C$2:$C$64,0),3),"")</f>
        <v/>
      </c>
      <c r="CA44" s="145" t="str">
        <f>IFERROR(INDEX('Prescriptive Rebate Table'!$B$2:$E$64,MATCH(O44,'Prescriptive Rebate Table'!$C$2:$C$64,0),4),"")</f>
        <v/>
      </c>
      <c r="CB44" s="149" t="str">
        <f t="shared" si="30"/>
        <v/>
      </c>
      <c r="CC44" s="145" t="str">
        <f t="shared" si="31"/>
        <v/>
      </c>
      <c r="CD44" s="149" t="str">
        <f t="shared" si="12"/>
        <v/>
      </c>
      <c r="CE44" s="149" t="str">
        <f t="shared" si="13"/>
        <v/>
      </c>
      <c r="CF44" s="149" t="str">
        <f>IF(BK44&lt;=0,0,IFERROR(IF(OR(ISBLANK(AC44),ISBLANK(CD44))=TRUE,"",IF(CA44="Per Foot",INDEX('Fixture Codes'!$I$8:$I$976,MATCH(AD44,'Fixture Codes'!$B$8:$B$976,0))/12*AF44*BZ44,IF(CA44="Lamp",INDEX('Fixture Codes'!$J$8:$J$976,MATCH(AD44,'Fixture Codes'!$B$8:$B$976,0))*AF44*BZ44,IF(CA44="Fixture",AF44*BZ44,IF(CA44="kWh",BK44*BZ44,0))))),""))</f>
        <v/>
      </c>
      <c r="CG44" s="149" t="str">
        <f t="shared" si="32"/>
        <v/>
      </c>
      <c r="CH44" s="149" t="str">
        <f t="shared" si="33"/>
        <v/>
      </c>
      <c r="CI44" s="152"/>
      <c r="CJ44" s="146"/>
      <c r="CK44" s="241">
        <f>IFERROR(IF(CL44="Yes",'Prescriptive Rebate Table'!$D$69,IF(ISBLANK(AI44),0,IF(AND(AH44=Lookups!$A$62,BK44&gt;0),'Prescriptive Rebate Table'!$D$68,IF(AND(BK44&gt;0,CJ44=AF44),'Prescriptive Rebate Table'!$D$67,IF(AND(BK44&gt;0,CJ44&lt;&gt;AF44),'Prescriptive Rebate Table'!D103,0))))),"")</f>
        <v>0</v>
      </c>
      <c r="CL44" s="240" t="s">
        <v>2712</v>
      </c>
      <c r="CM44" s="152"/>
      <c r="CN44" s="152"/>
      <c r="CO44" s="152"/>
      <c r="CP44" s="146">
        <f t="shared" si="14"/>
        <v>0</v>
      </c>
      <c r="CQ44" s="153">
        <f>IF(D44="Interior",ROUND(($AG44*AF44)/1000*$AM44*(Lookups!$B$54-$AA44)*$AN44*$AO44,3),0)</f>
        <v>0</v>
      </c>
      <c r="CR44" s="153">
        <f>IFERROR(IF(D44="Interior",ROUND(($AG44*$AF44)/1000*(Lookups!$C$54-$AB44)*$AN44*AQ44*AT44,6),0),"")</f>
        <v>0</v>
      </c>
      <c r="CS44" s="165">
        <f t="shared" si="34"/>
        <v>0</v>
      </c>
      <c r="CT44" s="165">
        <f t="shared" si="35"/>
        <v>0</v>
      </c>
      <c r="CV44" s="153">
        <f>IF(D44="Interior",ROUND(($AG44*AF44)/1000*$AM44*(Lookups!$B$43-$AA44)*$AN44*$AO44,3),0)</f>
        <v>0</v>
      </c>
      <c r="CW44" s="153">
        <f>IFERROR(IF(D44="Interior",ROUND(($AG44*$AF44)/1000*(Lookups!$C$43-$AB44)*$AN44*AQ44*AT44,6),0),"")</f>
        <v>0</v>
      </c>
      <c r="CX44" s="165">
        <f t="shared" si="36"/>
        <v>0</v>
      </c>
      <c r="CY44" s="165">
        <f t="shared" si="37"/>
        <v>0</v>
      </c>
      <c r="DA44" s="153">
        <f>IF(D44="Interior",ROUND(($AG44*AF44*(1-0.15))/1000*$AM44*(Lookups!$B$43+0.097-$AA44)*$AN44*$AO44+((W44*V44)/1000*AN44*AM44*AO44*0.15),3),0)</f>
        <v>0</v>
      </c>
      <c r="DB44" s="153">
        <f>IFERROR(IF(D44="Interior",ROUND(($AG44*$AF44)/1000*(Lookups!$C$43+0.097-$AB44)*$AN44*AQ44*AT44+(($AG44*$AF44)/1000*$AN44*AQ44*AT44*0.15),6),0),"")</f>
        <v>0</v>
      </c>
      <c r="DC44" s="165">
        <f t="shared" si="38"/>
        <v>0</v>
      </c>
      <c r="DD44" s="165">
        <f t="shared" si="39"/>
        <v>0</v>
      </c>
    </row>
    <row r="45" spans="1:108" s="164" customFormat="1">
      <c r="A45" s="150">
        <v>41</v>
      </c>
      <c r="B45" s="153" t="str">
        <f>IFERROR(INDEX(Lookups!$B$2:$B$38,MATCH('Project Info &amp; Summary'!$C$19,Lookups!$A$2:$A$38,0)),"")</f>
        <v/>
      </c>
      <c r="C45" s="153" t="str">
        <f>IFERROR(INDEX(Lookups!$C$2:$C$38,MATCH('Project Info &amp; Summary'!$C$19,Lookups!$A$2:$A$38,0)),"")</f>
        <v/>
      </c>
      <c r="D45" s="163"/>
      <c r="E45" s="160"/>
      <c r="F45" s="158"/>
      <c r="G45" s="158"/>
      <c r="H45" s="158"/>
      <c r="I45" s="158"/>
      <c r="J45" s="154" t="str">
        <f>IFERROR(INDEX(Lookups!$W$21:$W$26,MATCH(I45,Lookups!$V$21:$V$26,0)),"")</f>
        <v/>
      </c>
      <c r="K45" s="158"/>
      <c r="L45" s="162" t="str">
        <f>IFERROR(INDEX(Lookups!$Y$2:$Y$19,MATCH(_xlfn.CONCAT(I45,K45),Lookups!$X$2:$X$19,0)),"")</f>
        <v/>
      </c>
      <c r="M45" s="158"/>
      <c r="N45" s="153" t="str">
        <f>IFERROR(INDEX('Prescriptive Rebate Table'!$M$3:$M$20,MATCH(M45,'Prescriptive Rebate Table'!$L$3:$L$20,0)),"")</f>
        <v/>
      </c>
      <c r="O45" s="158"/>
      <c r="P45" s="154" t="str">
        <f>IFERROR(INDEX('Prescriptive Rebate Table'!$B$2:$H$64, MATCH(O45,'Prescriptive Rebate Table'!$C$2:$C$64,0),7),"")</f>
        <v/>
      </c>
      <c r="Q45" s="155" t="str">
        <f>IFERROR(INDEX('Prescriptive Rebate Table'!$B$2:$I$64, MATCH(O45,'Prescriptive Rebate Table'!$C$2:$C$64,0),8),"")</f>
        <v/>
      </c>
      <c r="R45" s="155" t="str">
        <f>IFERROR(INDEX('Prescriptive Rebate Table'!$B$2:$J$64, MATCH(O45,'Prescriptive Rebate Table'!$C$2:$C$64,0),9),"")</f>
        <v/>
      </c>
      <c r="S45" s="160"/>
      <c r="T45" s="145" t="str">
        <f>IFERROR(INDEX('Fixture Codes'!$M$8:$M$976,MATCH(S45,'Fixture Codes'!$B$8:$B$976,0)),"")</f>
        <v/>
      </c>
      <c r="U45" s="145" t="str">
        <f>IFERROR(INDEX('Fixture Codes'!$B$7:$M$976,MATCH(T45,'Fixture Codes'!$B$7:$B$976,0),5),"")</f>
        <v/>
      </c>
      <c r="V45" s="160"/>
      <c r="W45" s="145" t="str">
        <f>IFERROR(INDEX('Fixture Codes'!$L$8:$L$976,MATCH(T45,'Fixture Codes'!$B$8:$B$976,0)),"")</f>
        <v/>
      </c>
      <c r="X45" s="158"/>
      <c r="Y45" s="159"/>
      <c r="Z45" s="155" t="str">
        <f>IFERROR(INDEX(Lookups!B$68:B$87,MATCH($X45,Lookups!$A$68:$A$87,0)),"")</f>
        <v/>
      </c>
      <c r="AA45" s="150" t="str">
        <f>IFERROR(INDEX(Lookups!B$42:B$62,MATCH($X45,Lookups!$A$42:$A$62,0)),"")</f>
        <v/>
      </c>
      <c r="AB45" s="150" t="str">
        <f>IFERROR(INDEX(Lookups!C$42:C$62,MATCH($X45,Lookups!$A$42:$A$62,0)),"")</f>
        <v/>
      </c>
      <c r="AC45" s="160"/>
      <c r="AD45" s="160"/>
      <c r="AE45" s="150" t="str">
        <f>IFERROR(INDEX('Fixture Codes'!$B$7:$M$976,MATCH(AD45,'Fixture Codes'!$B$7:$B$976,0),5),"")</f>
        <v/>
      </c>
      <c r="AF45" s="160"/>
      <c r="AG45" s="145" t="str">
        <f>IFERROR(INDEX('Fixture Codes'!$L$8:$L$976,MATCH(AD45,'Fixture Codes'!$B$8:$B$976,0)),"")</f>
        <v/>
      </c>
      <c r="AH45" s="158"/>
      <c r="AI45" s="160"/>
      <c r="AJ45" s="150" t="str">
        <f>IFERROR(INDEX(Lookups!B$68:B$87,MATCH($AH45,Lookups!$A$68:$A$87,0)),"")</f>
        <v/>
      </c>
      <c r="AK45" s="150" t="str">
        <f>IFERROR(INDEX(Lookups!B$42:B$62,MATCH($AH45,Lookups!$A$42:$A$62,0)),"")</f>
        <v/>
      </c>
      <c r="AL45" s="150" t="str">
        <f>IFERROR(INDEX(Lookups!C$42:C$62,MATCH($AH45,Lookups!$A$42:$A$62,0)),"")</f>
        <v/>
      </c>
      <c r="AM45" s="150" t="str">
        <f>IFERROR(IF(M45="Exit Signs",8760,IF(INDEX('Fixture Codes'!$C$8:$C$976,MATCH(AD45,'Fixture Codes'!$B$8:$B$976,0))="Exit Sign",8760,INDEX(Lookups!$I$2:$I$428,MATCH(_xlfn.CONCAT(B45,H45),Lookups!$H$2:$H$428,0)))),"")</f>
        <v/>
      </c>
      <c r="AN45" s="153">
        <v>1</v>
      </c>
      <c r="AO45" s="150" t="str">
        <f>IF($D45="Interior",INDEX(Lookups!Q$2:Q$86,MATCH(_xlfn.CONCAT($C45,$L45),Lookups!$P$2:$P$86,0)),IF($D45="Exterior",1,""))</f>
        <v/>
      </c>
      <c r="AP45" s="150">
        <f t="shared" si="19"/>
        <v>1</v>
      </c>
      <c r="AQ45" s="150" t="str">
        <f>IF($D45="Interior",INDEX(Lookups!R$2:R$86,MATCH(_xlfn.CONCAT($C45,$L45),Lookups!$P$2:$P$86,0)),IF($D45="Exterior",1,""))</f>
        <v/>
      </c>
      <c r="AR45" s="150" t="str">
        <f>IF($D45="Interior",INDEX(Lookups!S$2:S$86,MATCH(_xlfn.CONCAT($C45,$L45),Lookups!$P$2:$P$86,0)),IF($D45="Exterior",1,""))</f>
        <v/>
      </c>
      <c r="AS45" s="150" t="str">
        <f>IF($D45="Interior",INDEX(Lookups!T$2:T$86,MATCH(_xlfn.CONCAT($C45,$L45),Lookups!$P$2:$P$86,0)),IF($D45="Exterior",1,""))</f>
        <v/>
      </c>
      <c r="AT45" s="150" t="str">
        <f>IFERROR(IF(M45="Exit Signs",1,IF(INDEX('Fixture Codes'!$C$8:$C$976,MATCH($AD45,'Fixture Codes'!$B$8:$B$976,0))="Exit Sign",1,INDEX(Lookups!J$2:J$428,MATCH(_xlfn.CONCAT($B45,$H45),Lookups!$H$2:$H$428,0)))),"")</f>
        <v/>
      </c>
      <c r="AU45" s="150" t="str">
        <f>IFERROR(IF(M45="Exit Signs",1,IF(INDEX('Fixture Codes'!$C$8:$C$976,MATCH($AD45,'Fixture Codes'!$B$8:$B$976,0))="Exit Sign",1,INDEX(Lookups!K$2:K$428,MATCH(_xlfn.CONCAT($B45,$H45),Lookups!$H$2:$H$428,0)))),"")</f>
        <v/>
      </c>
      <c r="AV45" s="150" t="str">
        <f>IFERROR(IF(M45="Exit Signs",1,IF(INDEX('Fixture Codes'!$C$8:$C$976,MATCH($AD45,'Fixture Codes'!$B$8:$B$976,0))="Exit Sign",1,INDEX(Lookups!L$2:L$428,MATCH(_xlfn.CONCAT($B45,$H45),Lookups!$H$2:$H$428,0)))),"")</f>
        <v/>
      </c>
      <c r="AW45" s="150" t="str">
        <f>IF(ISBLANK(K45),"",IF(K45="Gas",INDEX(Lookups!$AG$2:$AG$63,MATCH(O45,Lookups!$AD$2:$AD$63,0),0),0))</f>
        <v/>
      </c>
      <c r="AX45" s="150" t="str">
        <f>IF(ISBLANK(K45),"",IF(K45="Gas",INDEX(Lookups!$AF$2:$AF$63,MATCH(O45,Lookups!$AD$2:$AD$63,0),0),0))</f>
        <v/>
      </c>
      <c r="AY45" s="150" t="str">
        <f>IF(ISBLANK(K45),"",IF(K45="Gas",INDEX(Lookups!$AH$2:$AH$63,MATCH(O45,Lookups!$AD$2:$AD$63,0),0),0))</f>
        <v/>
      </c>
      <c r="AZ45" s="150" t="str">
        <f>IF(ISBLANK(K45),"",IF(K45="Gas",INDEX(Lookups!$AI$2:$AI$63,MATCH(O45,Lookups!$AD$2:$AD$63,0),0),0))</f>
        <v/>
      </c>
      <c r="BA45" s="150" t="str">
        <f t="shared" si="0"/>
        <v/>
      </c>
      <c r="BB45" s="156" t="str">
        <f>IF(ISBLANK(AH45),"",IF(AH45="None",0,IF(K45="Gas",INDEX(Lookups!$AF$51:$AF$69,MATCH(AH45,Lookups!$AD$51:$AD$69,0),0),0)))</f>
        <v/>
      </c>
      <c r="BC45" s="156" t="str">
        <f>IF(ISBLANK(AH45),"",IF(AH45="None",0,IF(K45="Gas",INDEX(Lookups!$AH$51:$AH$69,MATCH(AH45,Lookups!$AD$51:$AD$69,0),0),0)))</f>
        <v/>
      </c>
      <c r="BD45" s="156" t="str">
        <f>IF(ISBLANK(AH45),"",IF(AH45="None",0,IF(K45="Gas",INDEX(Lookups!$AI$51:$AI$69,MATCH(AH45,Lookups!$AD$51:$AD$69,0),0),0)))</f>
        <v/>
      </c>
      <c r="BE45" s="157"/>
      <c r="BF45" s="157"/>
      <c r="BG45" s="147" t="str">
        <f t="shared" si="20"/>
        <v/>
      </c>
      <c r="BH45" s="147" t="str">
        <f t="shared" si="21"/>
        <v/>
      </c>
      <c r="BI45" s="147" t="str">
        <f t="shared" si="1"/>
        <v/>
      </c>
      <c r="BJ45" s="147" t="str">
        <f t="shared" si="2"/>
        <v/>
      </c>
      <c r="BK45" s="148" t="str">
        <f t="shared" si="22"/>
        <v/>
      </c>
      <c r="BL45" s="147" t="str">
        <f t="shared" si="3"/>
        <v/>
      </c>
      <c r="BM45" s="148" t="str">
        <f t="shared" si="23"/>
        <v/>
      </c>
      <c r="BN45" s="147" t="str">
        <f t="shared" si="24"/>
        <v/>
      </c>
      <c r="BO45" s="147" t="str">
        <f t="shared" si="24"/>
        <v/>
      </c>
      <c r="BP45" s="147" t="str">
        <f t="shared" si="25"/>
        <v/>
      </c>
      <c r="BQ45" s="148" t="str">
        <f t="shared" si="26"/>
        <v/>
      </c>
      <c r="BR45" s="148" t="str">
        <f t="shared" si="27"/>
        <v/>
      </c>
      <c r="BS45" s="148" t="str">
        <f t="shared" si="28"/>
        <v/>
      </c>
      <c r="BT45" s="148" t="str">
        <f t="shared" si="7"/>
        <v/>
      </c>
      <c r="BU45" s="148" t="str">
        <f t="shared" si="8"/>
        <v/>
      </c>
      <c r="BV45" s="148" t="str">
        <f t="shared" si="9"/>
        <v/>
      </c>
      <c r="BW45" s="148" t="str">
        <f t="shared" si="29"/>
        <v/>
      </c>
      <c r="BX45" s="148" t="str">
        <f t="shared" si="10"/>
        <v/>
      </c>
      <c r="BY45" s="148" t="str">
        <f t="shared" si="11"/>
        <v/>
      </c>
      <c r="BZ45" s="149" t="str">
        <f>IFERROR(INDEX('Prescriptive Rebate Table'!$B$2:$E$64,MATCH(O45,'Prescriptive Rebate Table'!$C$2:$C$64,0),3),"")</f>
        <v/>
      </c>
      <c r="CA45" s="145" t="str">
        <f>IFERROR(INDEX('Prescriptive Rebate Table'!$B$2:$E$64,MATCH(O45,'Prescriptive Rebate Table'!$C$2:$C$64,0),4),"")</f>
        <v/>
      </c>
      <c r="CB45" s="149" t="str">
        <f t="shared" si="30"/>
        <v/>
      </c>
      <c r="CC45" s="145" t="str">
        <f t="shared" si="31"/>
        <v/>
      </c>
      <c r="CD45" s="149" t="str">
        <f t="shared" si="12"/>
        <v/>
      </c>
      <c r="CE45" s="149" t="str">
        <f t="shared" si="13"/>
        <v/>
      </c>
      <c r="CF45" s="149" t="str">
        <f>IF(BK45&lt;=0,0,IFERROR(IF(OR(ISBLANK(AC45),ISBLANK(CD45))=TRUE,"",IF(CA45="Per Foot",INDEX('Fixture Codes'!$I$8:$I$976,MATCH(AD45,'Fixture Codes'!$B$8:$B$976,0))/12*AF45*BZ45,IF(CA45="Lamp",INDEX('Fixture Codes'!$J$8:$J$976,MATCH(AD45,'Fixture Codes'!$B$8:$B$976,0))*AF45*BZ45,IF(CA45="Fixture",AF45*BZ45,IF(CA45="kWh",BK45*BZ45,0))))),""))</f>
        <v/>
      </c>
      <c r="CG45" s="149" t="str">
        <f t="shared" si="32"/>
        <v/>
      </c>
      <c r="CH45" s="149" t="str">
        <f t="shared" si="33"/>
        <v/>
      </c>
      <c r="CI45" s="152"/>
      <c r="CJ45" s="146"/>
      <c r="CK45" s="241">
        <f>IFERROR(IF(CL45="Yes",'Prescriptive Rebate Table'!$D$69,IF(ISBLANK(AI45),0,IF(AND(AH45=Lookups!$A$62,BK45&gt;0),'Prescriptive Rebate Table'!$D$68,IF(AND(BK45&gt;0,CJ45=AF45),'Prescriptive Rebate Table'!$D$67,IF(AND(BK45&gt;0,CJ45&lt;&gt;AF45),'Prescriptive Rebate Table'!D104,0))))),"")</f>
        <v>0</v>
      </c>
      <c r="CL45" s="240" t="s">
        <v>2712</v>
      </c>
      <c r="CM45" s="152"/>
      <c r="CN45" s="152"/>
      <c r="CO45" s="152"/>
      <c r="CP45" s="146">
        <f t="shared" si="14"/>
        <v>0</v>
      </c>
      <c r="CQ45" s="153">
        <f>IF(D45="Interior",ROUND(($AG45*AF45)/1000*$AM45*(Lookups!$B$54-$AA45)*$AN45*$AO45,3),0)</f>
        <v>0</v>
      </c>
      <c r="CR45" s="153">
        <f>IFERROR(IF(D45="Interior",ROUND(($AG45*$AF45)/1000*(Lookups!$C$54-$AB45)*$AN45*AQ45*AT45,6),0),"")</f>
        <v>0</v>
      </c>
      <c r="CS45" s="165">
        <f t="shared" si="34"/>
        <v>0</v>
      </c>
      <c r="CT45" s="165">
        <f t="shared" si="35"/>
        <v>0</v>
      </c>
      <c r="CV45" s="153">
        <f>IF(D45="Interior",ROUND(($AG45*AF45)/1000*$AM45*(Lookups!$B$43-$AA45)*$AN45*$AO45,3),0)</f>
        <v>0</v>
      </c>
      <c r="CW45" s="153">
        <f>IFERROR(IF(D45="Interior",ROUND(($AG45*$AF45)/1000*(Lookups!$C$43-$AB45)*$AN45*AQ45*AT45,6),0),"")</f>
        <v>0</v>
      </c>
      <c r="CX45" s="165">
        <f t="shared" si="36"/>
        <v>0</v>
      </c>
      <c r="CY45" s="165">
        <f t="shared" si="37"/>
        <v>0</v>
      </c>
      <c r="DA45" s="153">
        <f>IF(D45="Interior",ROUND(($AG45*AF45*(1-0.15))/1000*$AM45*(Lookups!$B$43+0.097-$AA45)*$AN45*$AO45+((W45*V45)/1000*AN45*AM45*AO45*0.15),3),0)</f>
        <v>0</v>
      </c>
      <c r="DB45" s="153">
        <f>IFERROR(IF(D45="Interior",ROUND(($AG45*$AF45)/1000*(Lookups!$C$43+0.097-$AB45)*$AN45*AQ45*AT45+(($AG45*$AF45)/1000*$AN45*AQ45*AT45*0.15),6),0),"")</f>
        <v>0</v>
      </c>
      <c r="DC45" s="165">
        <f t="shared" si="38"/>
        <v>0</v>
      </c>
      <c r="DD45" s="165">
        <f t="shared" si="39"/>
        <v>0</v>
      </c>
    </row>
    <row r="46" spans="1:108" s="164" customFormat="1">
      <c r="A46" s="150">
        <v>42</v>
      </c>
      <c r="B46" s="153" t="str">
        <f>IFERROR(INDEX(Lookups!$B$2:$B$38,MATCH('Project Info &amp; Summary'!$C$19,Lookups!$A$2:$A$38,0)),"")</f>
        <v/>
      </c>
      <c r="C46" s="153" t="str">
        <f>IFERROR(INDEX(Lookups!$C$2:$C$38,MATCH('Project Info &amp; Summary'!$C$19,Lookups!$A$2:$A$38,0)),"")</f>
        <v/>
      </c>
      <c r="D46" s="163"/>
      <c r="E46" s="160"/>
      <c r="F46" s="158"/>
      <c r="G46" s="158"/>
      <c r="H46" s="158"/>
      <c r="I46" s="158"/>
      <c r="J46" s="154" t="str">
        <f>IFERROR(INDEX(Lookups!$W$21:$W$26,MATCH(I46,Lookups!$V$21:$V$26,0)),"")</f>
        <v/>
      </c>
      <c r="K46" s="158"/>
      <c r="L46" s="162" t="str">
        <f>IFERROR(INDEX(Lookups!$Y$2:$Y$19,MATCH(_xlfn.CONCAT(I46,K46),Lookups!$X$2:$X$19,0)),"")</f>
        <v/>
      </c>
      <c r="M46" s="158"/>
      <c r="N46" s="153" t="str">
        <f>IFERROR(INDEX('Prescriptive Rebate Table'!$M$3:$M$20,MATCH(M46,'Prescriptive Rebate Table'!$L$3:$L$20,0)),"")</f>
        <v/>
      </c>
      <c r="O46" s="158"/>
      <c r="P46" s="154" t="str">
        <f>IFERROR(INDEX('Prescriptive Rebate Table'!$B$2:$H$64, MATCH(O46,'Prescriptive Rebate Table'!$C$2:$C$64,0),7),"")</f>
        <v/>
      </c>
      <c r="Q46" s="155" t="str">
        <f>IFERROR(INDEX('Prescriptive Rebate Table'!$B$2:$I$64, MATCH(O46,'Prescriptive Rebate Table'!$C$2:$C$64,0),8),"")</f>
        <v/>
      </c>
      <c r="R46" s="155" t="str">
        <f>IFERROR(INDEX('Prescriptive Rebate Table'!$B$2:$J$64, MATCH(O46,'Prescriptive Rebate Table'!$C$2:$C$64,0),9),"")</f>
        <v/>
      </c>
      <c r="S46" s="160"/>
      <c r="T46" s="145" t="str">
        <f>IFERROR(INDEX('Fixture Codes'!$M$8:$M$976,MATCH(S46,'Fixture Codes'!$B$8:$B$976,0)),"")</f>
        <v/>
      </c>
      <c r="U46" s="145" t="str">
        <f>IFERROR(INDEX('Fixture Codes'!$B$7:$M$976,MATCH(T46,'Fixture Codes'!$B$7:$B$976,0),5),"")</f>
        <v/>
      </c>
      <c r="V46" s="160"/>
      <c r="W46" s="145" t="str">
        <f>IFERROR(INDEX('Fixture Codes'!$L$8:$L$976,MATCH(T46,'Fixture Codes'!$B$8:$B$976,0)),"")</f>
        <v/>
      </c>
      <c r="X46" s="158"/>
      <c r="Y46" s="159"/>
      <c r="Z46" s="155" t="str">
        <f>IFERROR(INDEX(Lookups!B$68:B$87,MATCH($X46,Lookups!$A$68:$A$87,0)),"")</f>
        <v/>
      </c>
      <c r="AA46" s="150" t="str">
        <f>IFERROR(INDEX(Lookups!B$42:B$62,MATCH($X46,Lookups!$A$42:$A$62,0)),"")</f>
        <v/>
      </c>
      <c r="AB46" s="150" t="str">
        <f>IFERROR(INDEX(Lookups!C$42:C$62,MATCH($X46,Lookups!$A$42:$A$62,0)),"")</f>
        <v/>
      </c>
      <c r="AC46" s="160"/>
      <c r="AD46" s="160"/>
      <c r="AE46" s="150" t="str">
        <f>IFERROR(INDEX('Fixture Codes'!$B$7:$M$976,MATCH(AD46,'Fixture Codes'!$B$7:$B$976,0),5),"")</f>
        <v/>
      </c>
      <c r="AF46" s="160"/>
      <c r="AG46" s="145" t="str">
        <f>IFERROR(INDEX('Fixture Codes'!$L$8:$L$976,MATCH(AD46,'Fixture Codes'!$B$8:$B$976,0)),"")</f>
        <v/>
      </c>
      <c r="AH46" s="158"/>
      <c r="AI46" s="160"/>
      <c r="AJ46" s="150" t="str">
        <f>IFERROR(INDEX(Lookups!B$68:B$87,MATCH($AH46,Lookups!$A$68:$A$87,0)),"")</f>
        <v/>
      </c>
      <c r="AK46" s="150" t="str">
        <f>IFERROR(INDEX(Lookups!B$42:B$62,MATCH($AH46,Lookups!$A$42:$A$62,0)),"")</f>
        <v/>
      </c>
      <c r="AL46" s="150" t="str">
        <f>IFERROR(INDEX(Lookups!C$42:C$62,MATCH($AH46,Lookups!$A$42:$A$62,0)),"")</f>
        <v/>
      </c>
      <c r="AM46" s="150" t="str">
        <f>IFERROR(IF(M46="Exit Signs",8760,IF(INDEX('Fixture Codes'!$C$8:$C$976,MATCH(AD46,'Fixture Codes'!$B$8:$B$976,0))="Exit Sign",8760,INDEX(Lookups!$I$2:$I$428,MATCH(_xlfn.CONCAT(B46,H46),Lookups!$H$2:$H$428,0)))),"")</f>
        <v/>
      </c>
      <c r="AN46" s="153">
        <v>1</v>
      </c>
      <c r="AO46" s="150" t="str">
        <f>IF($D46="Interior",INDEX(Lookups!Q$2:Q$86,MATCH(_xlfn.CONCAT($C46,$L46),Lookups!$P$2:$P$86,0)),IF($D46="Exterior",1,""))</f>
        <v/>
      </c>
      <c r="AP46" s="150">
        <f t="shared" si="19"/>
        <v>1</v>
      </c>
      <c r="AQ46" s="150" t="str">
        <f>IF($D46="Interior",INDEX(Lookups!R$2:R$86,MATCH(_xlfn.CONCAT($C46,$L46),Lookups!$P$2:$P$86,0)),IF($D46="Exterior",1,""))</f>
        <v/>
      </c>
      <c r="AR46" s="150" t="str">
        <f>IF($D46="Interior",INDEX(Lookups!S$2:S$86,MATCH(_xlfn.CONCAT($C46,$L46),Lookups!$P$2:$P$86,0)),IF($D46="Exterior",1,""))</f>
        <v/>
      </c>
      <c r="AS46" s="150" t="str">
        <f>IF($D46="Interior",INDEX(Lookups!T$2:T$86,MATCH(_xlfn.CONCAT($C46,$L46),Lookups!$P$2:$P$86,0)),IF($D46="Exterior",1,""))</f>
        <v/>
      </c>
      <c r="AT46" s="150" t="str">
        <f>IFERROR(IF(M46="Exit Signs",1,IF(INDEX('Fixture Codes'!$C$8:$C$976,MATCH($AD46,'Fixture Codes'!$B$8:$B$976,0))="Exit Sign",1,INDEX(Lookups!J$2:J$428,MATCH(_xlfn.CONCAT($B46,$H46),Lookups!$H$2:$H$428,0)))),"")</f>
        <v/>
      </c>
      <c r="AU46" s="150" t="str">
        <f>IFERROR(IF(M46="Exit Signs",1,IF(INDEX('Fixture Codes'!$C$8:$C$976,MATCH($AD46,'Fixture Codes'!$B$8:$B$976,0))="Exit Sign",1,INDEX(Lookups!K$2:K$428,MATCH(_xlfn.CONCAT($B46,$H46),Lookups!$H$2:$H$428,0)))),"")</f>
        <v/>
      </c>
      <c r="AV46" s="150" t="str">
        <f>IFERROR(IF(M46="Exit Signs",1,IF(INDEX('Fixture Codes'!$C$8:$C$976,MATCH($AD46,'Fixture Codes'!$B$8:$B$976,0))="Exit Sign",1,INDEX(Lookups!L$2:L$428,MATCH(_xlfn.CONCAT($B46,$H46),Lookups!$H$2:$H$428,0)))),"")</f>
        <v/>
      </c>
      <c r="AW46" s="150" t="str">
        <f>IF(ISBLANK(K46),"",IF(K46="Gas",INDEX(Lookups!$AG$2:$AG$63,MATCH(O46,Lookups!$AD$2:$AD$63,0),0),0))</f>
        <v/>
      </c>
      <c r="AX46" s="150" t="str">
        <f>IF(ISBLANK(K46),"",IF(K46="Gas",INDEX(Lookups!$AF$2:$AF$63,MATCH(O46,Lookups!$AD$2:$AD$63,0),0),0))</f>
        <v/>
      </c>
      <c r="AY46" s="150" t="str">
        <f>IF(ISBLANK(K46),"",IF(K46="Gas",INDEX(Lookups!$AH$2:$AH$63,MATCH(O46,Lookups!$AD$2:$AD$63,0),0),0))</f>
        <v/>
      </c>
      <c r="AZ46" s="150" t="str">
        <f>IF(ISBLANK(K46),"",IF(K46="Gas",INDEX(Lookups!$AI$2:$AI$63,MATCH(O46,Lookups!$AD$2:$AD$63,0),0),0))</f>
        <v/>
      </c>
      <c r="BA46" s="150" t="str">
        <f t="shared" si="0"/>
        <v/>
      </c>
      <c r="BB46" s="156" t="str">
        <f>IF(ISBLANK(AH46),"",IF(AH46="None",0,IF(K46="Gas",INDEX(Lookups!$AF$51:$AF$69,MATCH(AH46,Lookups!$AD$51:$AD$69,0),0),0)))</f>
        <v/>
      </c>
      <c r="BC46" s="156" t="str">
        <f>IF(ISBLANK(AH46),"",IF(AH46="None",0,IF(K46="Gas",INDEX(Lookups!$AH$51:$AH$69,MATCH(AH46,Lookups!$AD$51:$AD$69,0),0),0)))</f>
        <v/>
      </c>
      <c r="BD46" s="156" t="str">
        <f>IF(ISBLANK(AH46),"",IF(AH46="None",0,IF(K46="Gas",INDEX(Lookups!$AI$51:$AI$69,MATCH(AH46,Lookups!$AD$51:$AD$69,0),0),0)))</f>
        <v/>
      </c>
      <c r="BE46" s="157"/>
      <c r="BF46" s="157"/>
      <c r="BG46" s="147" t="str">
        <f t="shared" si="20"/>
        <v/>
      </c>
      <c r="BH46" s="147" t="str">
        <f t="shared" si="21"/>
        <v/>
      </c>
      <c r="BI46" s="147" t="str">
        <f t="shared" si="1"/>
        <v/>
      </c>
      <c r="BJ46" s="147" t="str">
        <f t="shared" si="2"/>
        <v/>
      </c>
      <c r="BK46" s="148" t="str">
        <f t="shared" si="22"/>
        <v/>
      </c>
      <c r="BL46" s="147" t="str">
        <f t="shared" si="3"/>
        <v/>
      </c>
      <c r="BM46" s="148" t="str">
        <f t="shared" si="23"/>
        <v/>
      </c>
      <c r="BN46" s="147" t="str">
        <f t="shared" si="24"/>
        <v/>
      </c>
      <c r="BO46" s="147" t="str">
        <f t="shared" si="24"/>
        <v/>
      </c>
      <c r="BP46" s="147" t="str">
        <f t="shared" si="25"/>
        <v/>
      </c>
      <c r="BQ46" s="148" t="str">
        <f t="shared" si="26"/>
        <v/>
      </c>
      <c r="BR46" s="148" t="str">
        <f t="shared" si="27"/>
        <v/>
      </c>
      <c r="BS46" s="148" t="str">
        <f t="shared" si="28"/>
        <v/>
      </c>
      <c r="BT46" s="148" t="str">
        <f t="shared" si="7"/>
        <v/>
      </c>
      <c r="BU46" s="148" t="str">
        <f t="shared" si="8"/>
        <v/>
      </c>
      <c r="BV46" s="148" t="str">
        <f t="shared" si="9"/>
        <v/>
      </c>
      <c r="BW46" s="148" t="str">
        <f t="shared" si="29"/>
        <v/>
      </c>
      <c r="BX46" s="148" t="str">
        <f t="shared" si="10"/>
        <v/>
      </c>
      <c r="BY46" s="148" t="str">
        <f t="shared" si="11"/>
        <v/>
      </c>
      <c r="BZ46" s="149" t="str">
        <f>IFERROR(INDEX('Prescriptive Rebate Table'!$B$2:$E$64,MATCH(O46,'Prescriptive Rebate Table'!$C$2:$C$64,0),3),"")</f>
        <v/>
      </c>
      <c r="CA46" s="145" t="str">
        <f>IFERROR(INDEX('Prescriptive Rebate Table'!$B$2:$E$64,MATCH(O46,'Prescriptive Rebate Table'!$C$2:$C$64,0),4),"")</f>
        <v/>
      </c>
      <c r="CB46" s="149" t="str">
        <f t="shared" si="30"/>
        <v/>
      </c>
      <c r="CC46" s="145" t="str">
        <f t="shared" si="31"/>
        <v/>
      </c>
      <c r="CD46" s="149" t="str">
        <f t="shared" si="12"/>
        <v/>
      </c>
      <c r="CE46" s="149" t="str">
        <f t="shared" si="13"/>
        <v/>
      </c>
      <c r="CF46" s="149" t="str">
        <f>IF(BK46&lt;=0,0,IFERROR(IF(OR(ISBLANK(AC46),ISBLANK(CD46))=TRUE,"",IF(CA46="Per Foot",INDEX('Fixture Codes'!$I$8:$I$976,MATCH(AD46,'Fixture Codes'!$B$8:$B$976,0))/12*AF46*BZ46,IF(CA46="Lamp",INDEX('Fixture Codes'!$J$8:$J$976,MATCH(AD46,'Fixture Codes'!$B$8:$B$976,0))*AF46*BZ46,IF(CA46="Fixture",AF46*BZ46,IF(CA46="kWh",BK46*BZ46,0))))),""))</f>
        <v/>
      </c>
      <c r="CG46" s="149" t="str">
        <f t="shared" si="32"/>
        <v/>
      </c>
      <c r="CH46" s="149" t="str">
        <f t="shared" si="33"/>
        <v/>
      </c>
      <c r="CI46" s="152"/>
      <c r="CJ46" s="146"/>
      <c r="CK46" s="241">
        <f>IFERROR(IF(CL46="Yes",'Prescriptive Rebate Table'!$D$69,IF(ISBLANK(AI46),0,IF(AND(AH46=Lookups!$A$62,BK46&gt;0),'Prescriptive Rebate Table'!$D$68,IF(AND(BK46&gt;0,CJ46=AF46),'Prescriptive Rebate Table'!$D$67,IF(AND(BK46&gt;0,CJ46&lt;&gt;AF46),'Prescriptive Rebate Table'!D105,0))))),"")</f>
        <v>0</v>
      </c>
      <c r="CL46" s="240" t="s">
        <v>2712</v>
      </c>
      <c r="CM46" s="152"/>
      <c r="CN46" s="152"/>
      <c r="CO46" s="152"/>
      <c r="CP46" s="146">
        <f t="shared" si="14"/>
        <v>0</v>
      </c>
      <c r="CQ46" s="153">
        <f>IF(D46="Interior",ROUND(($AG46*AF46)/1000*$AM46*(Lookups!$B$54-$AA46)*$AN46*$AO46,3),0)</f>
        <v>0</v>
      </c>
      <c r="CR46" s="153">
        <f>IFERROR(IF(D46="Interior",ROUND(($AG46*$AF46)/1000*(Lookups!$C$54-$AB46)*$AN46*AQ46*AT46,6),0),"")</f>
        <v>0</v>
      </c>
      <c r="CS46" s="165">
        <f t="shared" si="34"/>
        <v>0</v>
      </c>
      <c r="CT46" s="165">
        <f t="shared" si="35"/>
        <v>0</v>
      </c>
      <c r="CV46" s="153">
        <f>IF(D46="Interior",ROUND(($AG46*AF46)/1000*$AM46*(Lookups!$B$43-$AA46)*$AN46*$AO46,3),0)</f>
        <v>0</v>
      </c>
      <c r="CW46" s="153">
        <f>IFERROR(IF(D46="Interior",ROUND(($AG46*$AF46)/1000*(Lookups!$C$43-$AB46)*$AN46*AQ46*AT46,6),0),"")</f>
        <v>0</v>
      </c>
      <c r="CX46" s="165">
        <f t="shared" si="36"/>
        <v>0</v>
      </c>
      <c r="CY46" s="165">
        <f t="shared" si="37"/>
        <v>0</v>
      </c>
      <c r="DA46" s="153">
        <f>IF(D46="Interior",ROUND(($AG46*AF46*(1-0.15))/1000*$AM46*(Lookups!$B$43+0.097-$AA46)*$AN46*$AO46+((W46*V46)/1000*AN46*AM46*AO46*0.15),3),0)</f>
        <v>0</v>
      </c>
      <c r="DB46" s="153">
        <f>IFERROR(IF(D46="Interior",ROUND(($AG46*$AF46)/1000*(Lookups!$C$43+0.097-$AB46)*$AN46*AQ46*AT46+(($AG46*$AF46)/1000*$AN46*AQ46*AT46*0.15),6),0),"")</f>
        <v>0</v>
      </c>
      <c r="DC46" s="165">
        <f t="shared" si="38"/>
        <v>0</v>
      </c>
      <c r="DD46" s="165">
        <f t="shared" si="39"/>
        <v>0</v>
      </c>
    </row>
    <row r="47" spans="1:108" s="164" customFormat="1">
      <c r="A47" s="150">
        <v>43</v>
      </c>
      <c r="B47" s="153" t="str">
        <f>IFERROR(INDEX(Lookups!$B$2:$B$38,MATCH('Project Info &amp; Summary'!$C$19,Lookups!$A$2:$A$38,0)),"")</f>
        <v/>
      </c>
      <c r="C47" s="153" t="str">
        <f>IFERROR(INDEX(Lookups!$C$2:$C$38,MATCH('Project Info &amp; Summary'!$C$19,Lookups!$A$2:$A$38,0)),"")</f>
        <v/>
      </c>
      <c r="D47" s="163"/>
      <c r="E47" s="160"/>
      <c r="F47" s="158"/>
      <c r="G47" s="158"/>
      <c r="H47" s="158"/>
      <c r="I47" s="158"/>
      <c r="J47" s="154" t="str">
        <f>IFERROR(INDEX(Lookups!$W$21:$W$26,MATCH(I47,Lookups!$V$21:$V$26,0)),"")</f>
        <v/>
      </c>
      <c r="K47" s="158"/>
      <c r="L47" s="162" t="str">
        <f>IFERROR(INDEX(Lookups!$Y$2:$Y$19,MATCH(_xlfn.CONCAT(I47,K47),Lookups!$X$2:$X$19,0)),"")</f>
        <v/>
      </c>
      <c r="M47" s="158"/>
      <c r="N47" s="153" t="str">
        <f>IFERROR(INDEX('Prescriptive Rebate Table'!$M$3:$M$20,MATCH(M47,'Prescriptive Rebate Table'!$L$3:$L$20,0)),"")</f>
        <v/>
      </c>
      <c r="O47" s="158"/>
      <c r="P47" s="154" t="str">
        <f>IFERROR(INDEX('Prescriptive Rebate Table'!$B$2:$H$64, MATCH(O47,'Prescriptive Rebate Table'!$C$2:$C$64,0),7),"")</f>
        <v/>
      </c>
      <c r="Q47" s="155" t="str">
        <f>IFERROR(INDEX('Prescriptive Rebate Table'!$B$2:$I$64, MATCH(O47,'Prescriptive Rebate Table'!$C$2:$C$64,0),8),"")</f>
        <v/>
      </c>
      <c r="R47" s="155" t="str">
        <f>IFERROR(INDEX('Prescriptive Rebate Table'!$B$2:$J$64, MATCH(O47,'Prescriptive Rebate Table'!$C$2:$C$64,0),9),"")</f>
        <v/>
      </c>
      <c r="S47" s="160"/>
      <c r="T47" s="145" t="str">
        <f>IFERROR(INDEX('Fixture Codes'!$M$8:$M$976,MATCH(S47,'Fixture Codes'!$B$8:$B$976,0)),"")</f>
        <v/>
      </c>
      <c r="U47" s="145" t="str">
        <f>IFERROR(INDEX('Fixture Codes'!$B$7:$M$976,MATCH(T47,'Fixture Codes'!$B$7:$B$976,0),5),"")</f>
        <v/>
      </c>
      <c r="V47" s="160"/>
      <c r="W47" s="145" t="str">
        <f>IFERROR(INDEX('Fixture Codes'!$L$8:$L$976,MATCH(T47,'Fixture Codes'!$B$8:$B$976,0)),"")</f>
        <v/>
      </c>
      <c r="X47" s="158"/>
      <c r="Y47" s="159"/>
      <c r="Z47" s="155" t="str">
        <f>IFERROR(INDEX(Lookups!B$68:B$87,MATCH($X47,Lookups!$A$68:$A$87,0)),"")</f>
        <v/>
      </c>
      <c r="AA47" s="150" t="str">
        <f>IFERROR(INDEX(Lookups!B$42:B$62,MATCH($X47,Lookups!$A$42:$A$62,0)),"")</f>
        <v/>
      </c>
      <c r="AB47" s="150" t="str">
        <f>IFERROR(INDEX(Lookups!C$42:C$62,MATCH($X47,Lookups!$A$42:$A$62,0)),"")</f>
        <v/>
      </c>
      <c r="AC47" s="160"/>
      <c r="AD47" s="160"/>
      <c r="AE47" s="150" t="str">
        <f>IFERROR(INDEX('Fixture Codes'!$B$7:$M$976,MATCH(AD47,'Fixture Codes'!$B$7:$B$976,0),5),"")</f>
        <v/>
      </c>
      <c r="AF47" s="160"/>
      <c r="AG47" s="145" t="str">
        <f>IFERROR(INDEX('Fixture Codes'!$L$8:$L$976,MATCH(AD47,'Fixture Codes'!$B$8:$B$976,0)),"")</f>
        <v/>
      </c>
      <c r="AH47" s="158"/>
      <c r="AI47" s="160"/>
      <c r="AJ47" s="150" t="str">
        <f>IFERROR(INDEX(Lookups!B$68:B$87,MATCH($AH47,Lookups!$A$68:$A$87,0)),"")</f>
        <v/>
      </c>
      <c r="AK47" s="150" t="str">
        <f>IFERROR(INDEX(Lookups!B$42:B$62,MATCH($AH47,Lookups!$A$42:$A$62,0)),"")</f>
        <v/>
      </c>
      <c r="AL47" s="150" t="str">
        <f>IFERROR(INDEX(Lookups!C$42:C$62,MATCH($AH47,Lookups!$A$42:$A$62,0)),"")</f>
        <v/>
      </c>
      <c r="AM47" s="150" t="str">
        <f>IFERROR(IF(M47="Exit Signs",8760,IF(INDEX('Fixture Codes'!$C$8:$C$976,MATCH(AD47,'Fixture Codes'!$B$8:$B$976,0))="Exit Sign",8760,INDEX(Lookups!$I$2:$I$428,MATCH(_xlfn.CONCAT(B47,H47),Lookups!$H$2:$H$428,0)))),"")</f>
        <v/>
      </c>
      <c r="AN47" s="153">
        <v>1</v>
      </c>
      <c r="AO47" s="150" t="str">
        <f>IF($D47="Interior",INDEX(Lookups!Q$2:Q$86,MATCH(_xlfn.CONCAT($C47,$L47),Lookups!$P$2:$P$86,0)),IF($D47="Exterior",1,""))</f>
        <v/>
      </c>
      <c r="AP47" s="150">
        <f t="shared" si="19"/>
        <v>1</v>
      </c>
      <c r="AQ47" s="150" t="str">
        <f>IF($D47="Interior",INDEX(Lookups!R$2:R$86,MATCH(_xlfn.CONCAT($C47,$L47),Lookups!$P$2:$P$86,0)),IF($D47="Exterior",1,""))</f>
        <v/>
      </c>
      <c r="AR47" s="150" t="str">
        <f>IF($D47="Interior",INDEX(Lookups!S$2:S$86,MATCH(_xlfn.CONCAT($C47,$L47),Lookups!$P$2:$P$86,0)),IF($D47="Exterior",1,""))</f>
        <v/>
      </c>
      <c r="AS47" s="150" t="str">
        <f>IF($D47="Interior",INDEX(Lookups!T$2:T$86,MATCH(_xlfn.CONCAT($C47,$L47),Lookups!$P$2:$P$86,0)),IF($D47="Exterior",1,""))</f>
        <v/>
      </c>
      <c r="AT47" s="150" t="str">
        <f>IFERROR(IF(M47="Exit Signs",1,IF(INDEX('Fixture Codes'!$C$8:$C$976,MATCH($AD47,'Fixture Codes'!$B$8:$B$976,0))="Exit Sign",1,INDEX(Lookups!J$2:J$428,MATCH(_xlfn.CONCAT($B47,$H47),Lookups!$H$2:$H$428,0)))),"")</f>
        <v/>
      </c>
      <c r="AU47" s="150" t="str">
        <f>IFERROR(IF(M47="Exit Signs",1,IF(INDEX('Fixture Codes'!$C$8:$C$976,MATCH($AD47,'Fixture Codes'!$B$8:$B$976,0))="Exit Sign",1,INDEX(Lookups!K$2:K$428,MATCH(_xlfn.CONCAT($B47,$H47),Lookups!$H$2:$H$428,0)))),"")</f>
        <v/>
      </c>
      <c r="AV47" s="150" t="str">
        <f>IFERROR(IF(M47="Exit Signs",1,IF(INDEX('Fixture Codes'!$C$8:$C$976,MATCH($AD47,'Fixture Codes'!$B$8:$B$976,0))="Exit Sign",1,INDEX(Lookups!L$2:L$428,MATCH(_xlfn.CONCAT($B47,$H47),Lookups!$H$2:$H$428,0)))),"")</f>
        <v/>
      </c>
      <c r="AW47" s="150" t="str">
        <f>IF(ISBLANK(K47),"",IF(K47="Gas",INDEX(Lookups!$AG$2:$AG$63,MATCH(O47,Lookups!$AD$2:$AD$63,0),0),0))</f>
        <v/>
      </c>
      <c r="AX47" s="150" t="str">
        <f>IF(ISBLANK(K47),"",IF(K47="Gas",INDEX(Lookups!$AF$2:$AF$63,MATCH(O47,Lookups!$AD$2:$AD$63,0),0),0))</f>
        <v/>
      </c>
      <c r="AY47" s="150" t="str">
        <f>IF(ISBLANK(K47),"",IF(K47="Gas",INDEX(Lookups!$AH$2:$AH$63,MATCH(O47,Lookups!$AD$2:$AD$63,0),0),0))</f>
        <v/>
      </c>
      <c r="AZ47" s="150" t="str">
        <f>IF(ISBLANK(K47),"",IF(K47="Gas",INDEX(Lookups!$AI$2:$AI$63,MATCH(O47,Lookups!$AD$2:$AD$63,0),0),0))</f>
        <v/>
      </c>
      <c r="BA47" s="150" t="str">
        <f t="shared" si="0"/>
        <v/>
      </c>
      <c r="BB47" s="156" t="str">
        <f>IF(ISBLANK(AH47),"",IF(AH47="None",0,IF(K47="Gas",INDEX(Lookups!$AF$51:$AF$69,MATCH(AH47,Lookups!$AD$51:$AD$69,0),0),0)))</f>
        <v/>
      </c>
      <c r="BC47" s="156" t="str">
        <f>IF(ISBLANK(AH47),"",IF(AH47="None",0,IF(K47="Gas",INDEX(Lookups!$AH$51:$AH$69,MATCH(AH47,Lookups!$AD$51:$AD$69,0),0),0)))</f>
        <v/>
      </c>
      <c r="BD47" s="156" t="str">
        <f>IF(ISBLANK(AH47),"",IF(AH47="None",0,IF(K47="Gas",INDEX(Lookups!$AI$51:$AI$69,MATCH(AH47,Lookups!$AD$51:$AD$69,0),0),0)))</f>
        <v/>
      </c>
      <c r="BE47" s="157"/>
      <c r="BF47" s="157"/>
      <c r="BG47" s="147" t="str">
        <f t="shared" si="20"/>
        <v/>
      </c>
      <c r="BH47" s="147" t="str">
        <f t="shared" si="21"/>
        <v/>
      </c>
      <c r="BI47" s="147" t="str">
        <f t="shared" si="1"/>
        <v/>
      </c>
      <c r="BJ47" s="147" t="str">
        <f t="shared" si="2"/>
        <v/>
      </c>
      <c r="BK47" s="148" t="str">
        <f t="shared" si="22"/>
        <v/>
      </c>
      <c r="BL47" s="147" t="str">
        <f t="shared" si="3"/>
        <v/>
      </c>
      <c r="BM47" s="148" t="str">
        <f t="shared" si="23"/>
        <v/>
      </c>
      <c r="BN47" s="147" t="str">
        <f t="shared" si="24"/>
        <v/>
      </c>
      <c r="BO47" s="147" t="str">
        <f t="shared" si="24"/>
        <v/>
      </c>
      <c r="BP47" s="147" t="str">
        <f t="shared" si="25"/>
        <v/>
      </c>
      <c r="BQ47" s="148" t="str">
        <f t="shared" si="26"/>
        <v/>
      </c>
      <c r="BR47" s="148" t="str">
        <f t="shared" si="27"/>
        <v/>
      </c>
      <c r="BS47" s="148" t="str">
        <f t="shared" si="28"/>
        <v/>
      </c>
      <c r="BT47" s="148" t="str">
        <f t="shared" si="7"/>
        <v/>
      </c>
      <c r="BU47" s="148" t="str">
        <f t="shared" si="8"/>
        <v/>
      </c>
      <c r="BV47" s="148" t="str">
        <f t="shared" si="9"/>
        <v/>
      </c>
      <c r="BW47" s="148" t="str">
        <f t="shared" si="29"/>
        <v/>
      </c>
      <c r="BX47" s="148" t="str">
        <f t="shared" si="10"/>
        <v/>
      </c>
      <c r="BY47" s="148" t="str">
        <f t="shared" si="11"/>
        <v/>
      </c>
      <c r="BZ47" s="149" t="str">
        <f>IFERROR(INDEX('Prescriptive Rebate Table'!$B$2:$E$64,MATCH(O47,'Prescriptive Rebate Table'!$C$2:$C$64,0),3),"")</f>
        <v/>
      </c>
      <c r="CA47" s="145" t="str">
        <f>IFERROR(INDEX('Prescriptive Rebate Table'!$B$2:$E$64,MATCH(O47,'Prescriptive Rebate Table'!$C$2:$C$64,0),4),"")</f>
        <v/>
      </c>
      <c r="CB47" s="149" t="str">
        <f t="shared" si="30"/>
        <v/>
      </c>
      <c r="CC47" s="145" t="str">
        <f t="shared" si="31"/>
        <v/>
      </c>
      <c r="CD47" s="149" t="str">
        <f t="shared" si="12"/>
        <v/>
      </c>
      <c r="CE47" s="149" t="str">
        <f t="shared" si="13"/>
        <v/>
      </c>
      <c r="CF47" s="149" t="str">
        <f>IF(BK47&lt;=0,0,IFERROR(IF(OR(ISBLANK(AC47),ISBLANK(CD47))=TRUE,"",IF(CA47="Per Foot",INDEX('Fixture Codes'!$I$8:$I$976,MATCH(AD47,'Fixture Codes'!$B$8:$B$976,0))/12*AF47*BZ47,IF(CA47="Lamp",INDEX('Fixture Codes'!$J$8:$J$976,MATCH(AD47,'Fixture Codes'!$B$8:$B$976,0))*AF47*BZ47,IF(CA47="Fixture",AF47*BZ47,IF(CA47="kWh",BK47*BZ47,0))))),""))</f>
        <v/>
      </c>
      <c r="CG47" s="149" t="str">
        <f t="shared" si="32"/>
        <v/>
      </c>
      <c r="CH47" s="149" t="str">
        <f t="shared" si="33"/>
        <v/>
      </c>
      <c r="CI47" s="152"/>
      <c r="CJ47" s="146"/>
      <c r="CK47" s="241">
        <f>IFERROR(IF(CL47="Yes",'Prescriptive Rebate Table'!$D$69,IF(ISBLANK(AI47),0,IF(AND(AH47=Lookups!$A$62,BK47&gt;0),'Prescriptive Rebate Table'!$D$68,IF(AND(BK47&gt;0,CJ47=AF47),'Prescriptive Rebate Table'!$D$67,IF(AND(BK47&gt;0,CJ47&lt;&gt;AF47),'Prescriptive Rebate Table'!D106,0))))),"")</f>
        <v>0</v>
      </c>
      <c r="CL47" s="240" t="s">
        <v>2712</v>
      </c>
      <c r="CM47" s="152"/>
      <c r="CN47" s="152"/>
      <c r="CO47" s="152"/>
      <c r="CP47" s="146">
        <f t="shared" si="14"/>
        <v>0</v>
      </c>
      <c r="CQ47" s="153">
        <f>IF(D47="Interior",ROUND(($AG47*AF47)/1000*$AM47*(Lookups!$B$54-$AA47)*$AN47*$AO47,3),0)</f>
        <v>0</v>
      </c>
      <c r="CR47" s="153">
        <f>IFERROR(IF(D47="Interior",ROUND(($AG47*$AF47)/1000*(Lookups!$C$54-$AB47)*$AN47*AQ47*AT47,6),0),"")</f>
        <v>0</v>
      </c>
      <c r="CS47" s="165">
        <f t="shared" si="34"/>
        <v>0</v>
      </c>
      <c r="CT47" s="165">
        <f t="shared" si="35"/>
        <v>0</v>
      </c>
      <c r="CV47" s="153">
        <f>IF(D47="Interior",ROUND(($AG47*AF47)/1000*$AM47*(Lookups!$B$43-$AA47)*$AN47*$AO47,3),0)</f>
        <v>0</v>
      </c>
      <c r="CW47" s="153">
        <f>IFERROR(IF(D47="Interior",ROUND(($AG47*$AF47)/1000*(Lookups!$C$43-$AB47)*$AN47*AQ47*AT47,6),0),"")</f>
        <v>0</v>
      </c>
      <c r="CX47" s="165">
        <f t="shared" si="36"/>
        <v>0</v>
      </c>
      <c r="CY47" s="165">
        <f t="shared" si="37"/>
        <v>0</v>
      </c>
      <c r="DA47" s="153">
        <f>IF(D47="Interior",ROUND(($AG47*AF47*(1-0.15))/1000*$AM47*(Lookups!$B$43+0.097-$AA47)*$AN47*$AO47+((W47*V47)/1000*AN47*AM47*AO47*0.15),3),0)</f>
        <v>0</v>
      </c>
      <c r="DB47" s="153">
        <f>IFERROR(IF(D47="Interior",ROUND(($AG47*$AF47)/1000*(Lookups!$C$43+0.097-$AB47)*$AN47*AQ47*AT47+(($AG47*$AF47)/1000*$AN47*AQ47*AT47*0.15),6),0),"")</f>
        <v>0</v>
      </c>
      <c r="DC47" s="165">
        <f t="shared" si="38"/>
        <v>0</v>
      </c>
      <c r="DD47" s="165">
        <f t="shared" si="39"/>
        <v>0</v>
      </c>
    </row>
    <row r="48" spans="1:108" s="164" customFormat="1">
      <c r="A48" s="150">
        <v>44</v>
      </c>
      <c r="B48" s="153" t="str">
        <f>IFERROR(INDEX(Lookups!$B$2:$B$38,MATCH('Project Info &amp; Summary'!$C$19,Lookups!$A$2:$A$38,0)),"")</f>
        <v/>
      </c>
      <c r="C48" s="153" t="str">
        <f>IFERROR(INDEX(Lookups!$C$2:$C$38,MATCH('Project Info &amp; Summary'!$C$19,Lookups!$A$2:$A$38,0)),"")</f>
        <v/>
      </c>
      <c r="D48" s="163"/>
      <c r="E48" s="160"/>
      <c r="F48" s="158"/>
      <c r="G48" s="158"/>
      <c r="H48" s="158"/>
      <c r="I48" s="158"/>
      <c r="J48" s="154" t="str">
        <f>IFERROR(INDEX(Lookups!$W$21:$W$26,MATCH(I48,Lookups!$V$21:$V$26,0)),"")</f>
        <v/>
      </c>
      <c r="K48" s="158"/>
      <c r="L48" s="162" t="str">
        <f>IFERROR(INDEX(Lookups!$Y$2:$Y$19,MATCH(_xlfn.CONCAT(I48,K48),Lookups!$X$2:$X$19,0)),"")</f>
        <v/>
      </c>
      <c r="M48" s="158"/>
      <c r="N48" s="153" t="str">
        <f>IFERROR(INDEX('Prescriptive Rebate Table'!$M$3:$M$20,MATCH(M48,'Prescriptive Rebate Table'!$L$3:$L$20,0)),"")</f>
        <v/>
      </c>
      <c r="O48" s="158"/>
      <c r="P48" s="154" t="str">
        <f>IFERROR(INDEX('Prescriptive Rebate Table'!$B$2:$H$64, MATCH(O48,'Prescriptive Rebate Table'!$C$2:$C$64,0),7),"")</f>
        <v/>
      </c>
      <c r="Q48" s="155" t="str">
        <f>IFERROR(INDEX('Prescriptive Rebate Table'!$B$2:$I$64, MATCH(O48,'Prescriptive Rebate Table'!$C$2:$C$64,0),8),"")</f>
        <v/>
      </c>
      <c r="R48" s="155" t="str">
        <f>IFERROR(INDEX('Prescriptive Rebate Table'!$B$2:$J$64, MATCH(O48,'Prescriptive Rebate Table'!$C$2:$C$64,0),9),"")</f>
        <v/>
      </c>
      <c r="S48" s="160"/>
      <c r="T48" s="145" t="str">
        <f>IFERROR(INDEX('Fixture Codes'!$M$8:$M$976,MATCH(S48,'Fixture Codes'!$B$8:$B$976,0)),"")</f>
        <v/>
      </c>
      <c r="U48" s="145" t="str">
        <f>IFERROR(INDEX('Fixture Codes'!$B$7:$M$976,MATCH(T48,'Fixture Codes'!$B$7:$B$976,0),5),"")</f>
        <v/>
      </c>
      <c r="V48" s="160"/>
      <c r="W48" s="145" t="str">
        <f>IFERROR(INDEX('Fixture Codes'!$L$8:$L$976,MATCH(T48,'Fixture Codes'!$B$8:$B$976,0)),"")</f>
        <v/>
      </c>
      <c r="X48" s="158"/>
      <c r="Y48" s="159"/>
      <c r="Z48" s="155" t="str">
        <f>IFERROR(INDEX(Lookups!B$68:B$87,MATCH($X48,Lookups!$A$68:$A$87,0)),"")</f>
        <v/>
      </c>
      <c r="AA48" s="150" t="str">
        <f>IFERROR(INDEX(Lookups!B$42:B$62,MATCH($X48,Lookups!$A$42:$A$62,0)),"")</f>
        <v/>
      </c>
      <c r="AB48" s="150" t="str">
        <f>IFERROR(INDEX(Lookups!C$42:C$62,MATCH($X48,Lookups!$A$42:$A$62,0)),"")</f>
        <v/>
      </c>
      <c r="AC48" s="160"/>
      <c r="AD48" s="160"/>
      <c r="AE48" s="150" t="str">
        <f>IFERROR(INDEX('Fixture Codes'!$B$7:$M$976,MATCH(AD48,'Fixture Codes'!$B$7:$B$976,0),5),"")</f>
        <v/>
      </c>
      <c r="AF48" s="160"/>
      <c r="AG48" s="145" t="str">
        <f>IFERROR(INDEX('Fixture Codes'!$L$8:$L$976,MATCH(AD48,'Fixture Codes'!$B$8:$B$976,0)),"")</f>
        <v/>
      </c>
      <c r="AH48" s="158"/>
      <c r="AI48" s="160"/>
      <c r="AJ48" s="150" t="str">
        <f>IFERROR(INDEX(Lookups!B$68:B$87,MATCH($AH48,Lookups!$A$68:$A$87,0)),"")</f>
        <v/>
      </c>
      <c r="AK48" s="150" t="str">
        <f>IFERROR(INDEX(Lookups!B$42:B$62,MATCH($AH48,Lookups!$A$42:$A$62,0)),"")</f>
        <v/>
      </c>
      <c r="AL48" s="150" t="str">
        <f>IFERROR(INDEX(Lookups!C$42:C$62,MATCH($AH48,Lookups!$A$42:$A$62,0)),"")</f>
        <v/>
      </c>
      <c r="AM48" s="150" t="str">
        <f>IFERROR(IF(M48="Exit Signs",8760,IF(INDEX('Fixture Codes'!$C$8:$C$976,MATCH(AD48,'Fixture Codes'!$B$8:$B$976,0))="Exit Sign",8760,INDEX(Lookups!$I$2:$I$428,MATCH(_xlfn.CONCAT(B48,H48),Lookups!$H$2:$H$428,0)))),"")</f>
        <v/>
      </c>
      <c r="AN48" s="153">
        <v>1</v>
      </c>
      <c r="AO48" s="150" t="str">
        <f>IF($D48="Interior",INDEX(Lookups!Q$2:Q$86,MATCH(_xlfn.CONCAT($C48,$L48),Lookups!$P$2:$P$86,0)),IF($D48="Exterior",1,""))</f>
        <v/>
      </c>
      <c r="AP48" s="150">
        <f t="shared" si="19"/>
        <v>1</v>
      </c>
      <c r="AQ48" s="150" t="str">
        <f>IF($D48="Interior",INDEX(Lookups!R$2:R$86,MATCH(_xlfn.CONCAT($C48,$L48),Lookups!$P$2:$P$86,0)),IF($D48="Exterior",1,""))</f>
        <v/>
      </c>
      <c r="AR48" s="150" t="str">
        <f>IF($D48="Interior",INDEX(Lookups!S$2:S$86,MATCH(_xlfn.CONCAT($C48,$L48),Lookups!$P$2:$P$86,0)),IF($D48="Exterior",1,""))</f>
        <v/>
      </c>
      <c r="AS48" s="150" t="str">
        <f>IF($D48="Interior",INDEX(Lookups!T$2:T$86,MATCH(_xlfn.CONCAT($C48,$L48),Lookups!$P$2:$P$86,0)),IF($D48="Exterior",1,""))</f>
        <v/>
      </c>
      <c r="AT48" s="150" t="str">
        <f>IFERROR(IF(M48="Exit Signs",1,IF(INDEX('Fixture Codes'!$C$8:$C$976,MATCH($AD48,'Fixture Codes'!$B$8:$B$976,0))="Exit Sign",1,INDEX(Lookups!J$2:J$428,MATCH(_xlfn.CONCAT($B48,$H48),Lookups!$H$2:$H$428,0)))),"")</f>
        <v/>
      </c>
      <c r="AU48" s="150" t="str">
        <f>IFERROR(IF(M48="Exit Signs",1,IF(INDEX('Fixture Codes'!$C$8:$C$976,MATCH($AD48,'Fixture Codes'!$B$8:$B$976,0))="Exit Sign",1,INDEX(Lookups!K$2:K$428,MATCH(_xlfn.CONCAT($B48,$H48),Lookups!$H$2:$H$428,0)))),"")</f>
        <v/>
      </c>
      <c r="AV48" s="150" t="str">
        <f>IFERROR(IF(M48="Exit Signs",1,IF(INDEX('Fixture Codes'!$C$8:$C$976,MATCH($AD48,'Fixture Codes'!$B$8:$B$976,0))="Exit Sign",1,INDEX(Lookups!L$2:L$428,MATCH(_xlfn.CONCAT($B48,$H48),Lookups!$H$2:$H$428,0)))),"")</f>
        <v/>
      </c>
      <c r="AW48" s="150" t="str">
        <f>IF(ISBLANK(K48),"",IF(K48="Gas",INDEX(Lookups!$AG$2:$AG$63,MATCH(O48,Lookups!$AD$2:$AD$63,0),0),0))</f>
        <v/>
      </c>
      <c r="AX48" s="150" t="str">
        <f>IF(ISBLANK(K48),"",IF(K48="Gas",INDEX(Lookups!$AF$2:$AF$63,MATCH(O48,Lookups!$AD$2:$AD$63,0),0),0))</f>
        <v/>
      </c>
      <c r="AY48" s="150" t="str">
        <f>IF(ISBLANK(K48),"",IF(K48="Gas",INDEX(Lookups!$AH$2:$AH$63,MATCH(O48,Lookups!$AD$2:$AD$63,0),0),0))</f>
        <v/>
      </c>
      <c r="AZ48" s="150" t="str">
        <f>IF(ISBLANK(K48),"",IF(K48="Gas",INDEX(Lookups!$AI$2:$AI$63,MATCH(O48,Lookups!$AD$2:$AD$63,0),0),0))</f>
        <v/>
      </c>
      <c r="BA48" s="150" t="str">
        <f t="shared" si="0"/>
        <v/>
      </c>
      <c r="BB48" s="156" t="str">
        <f>IF(ISBLANK(AH48),"",IF(AH48="None",0,IF(K48="Gas",INDEX(Lookups!$AF$51:$AF$69,MATCH(AH48,Lookups!$AD$51:$AD$69,0),0),0)))</f>
        <v/>
      </c>
      <c r="BC48" s="156" t="str">
        <f>IF(ISBLANK(AH48),"",IF(AH48="None",0,IF(K48="Gas",INDEX(Lookups!$AH$51:$AH$69,MATCH(AH48,Lookups!$AD$51:$AD$69,0),0),0)))</f>
        <v/>
      </c>
      <c r="BD48" s="156" t="str">
        <f>IF(ISBLANK(AH48),"",IF(AH48="None",0,IF(K48="Gas",INDEX(Lookups!$AI$51:$AI$69,MATCH(AH48,Lookups!$AD$51:$AD$69,0),0),0)))</f>
        <v/>
      </c>
      <c r="BE48" s="157"/>
      <c r="BF48" s="157"/>
      <c r="BG48" s="147" t="str">
        <f t="shared" si="20"/>
        <v/>
      </c>
      <c r="BH48" s="147" t="str">
        <f t="shared" si="21"/>
        <v/>
      </c>
      <c r="BI48" s="147" t="str">
        <f t="shared" si="1"/>
        <v/>
      </c>
      <c r="BJ48" s="147" t="str">
        <f t="shared" si="2"/>
        <v/>
      </c>
      <c r="BK48" s="148" t="str">
        <f t="shared" si="22"/>
        <v/>
      </c>
      <c r="BL48" s="147" t="str">
        <f t="shared" si="3"/>
        <v/>
      </c>
      <c r="BM48" s="148" t="str">
        <f t="shared" si="23"/>
        <v/>
      </c>
      <c r="BN48" s="147" t="str">
        <f t="shared" si="24"/>
        <v/>
      </c>
      <c r="BO48" s="147" t="str">
        <f t="shared" si="24"/>
        <v/>
      </c>
      <c r="BP48" s="147" t="str">
        <f t="shared" si="25"/>
        <v/>
      </c>
      <c r="BQ48" s="148" t="str">
        <f t="shared" si="26"/>
        <v/>
      </c>
      <c r="BR48" s="148" t="str">
        <f t="shared" si="27"/>
        <v/>
      </c>
      <c r="BS48" s="148" t="str">
        <f t="shared" si="28"/>
        <v/>
      </c>
      <c r="BT48" s="148" t="str">
        <f t="shared" si="7"/>
        <v/>
      </c>
      <c r="BU48" s="148" t="str">
        <f t="shared" si="8"/>
        <v/>
      </c>
      <c r="BV48" s="148" t="str">
        <f t="shared" si="9"/>
        <v/>
      </c>
      <c r="BW48" s="148" t="str">
        <f t="shared" si="29"/>
        <v/>
      </c>
      <c r="BX48" s="148" t="str">
        <f t="shared" si="10"/>
        <v/>
      </c>
      <c r="BY48" s="148" t="str">
        <f t="shared" si="11"/>
        <v/>
      </c>
      <c r="BZ48" s="149" t="str">
        <f>IFERROR(INDEX('Prescriptive Rebate Table'!$B$2:$E$64,MATCH(O48,'Prescriptive Rebate Table'!$C$2:$C$64,0),3),"")</f>
        <v/>
      </c>
      <c r="CA48" s="145" t="str">
        <f>IFERROR(INDEX('Prescriptive Rebate Table'!$B$2:$E$64,MATCH(O48,'Prescriptive Rebate Table'!$C$2:$C$64,0),4),"")</f>
        <v/>
      </c>
      <c r="CB48" s="149" t="str">
        <f t="shared" si="30"/>
        <v/>
      </c>
      <c r="CC48" s="145" t="str">
        <f t="shared" si="31"/>
        <v/>
      </c>
      <c r="CD48" s="149" t="str">
        <f t="shared" si="12"/>
        <v/>
      </c>
      <c r="CE48" s="149" t="str">
        <f t="shared" si="13"/>
        <v/>
      </c>
      <c r="CF48" s="149" t="str">
        <f>IF(BK48&lt;=0,0,IFERROR(IF(OR(ISBLANK(AC48),ISBLANK(CD48))=TRUE,"",IF(CA48="Per Foot",INDEX('Fixture Codes'!$I$8:$I$976,MATCH(AD48,'Fixture Codes'!$B$8:$B$976,0))/12*AF48*BZ48,IF(CA48="Lamp",INDEX('Fixture Codes'!$J$8:$J$976,MATCH(AD48,'Fixture Codes'!$B$8:$B$976,0))*AF48*BZ48,IF(CA48="Fixture",AF48*BZ48,IF(CA48="kWh",BK48*BZ48,0))))),""))</f>
        <v/>
      </c>
      <c r="CG48" s="149" t="str">
        <f t="shared" si="32"/>
        <v/>
      </c>
      <c r="CH48" s="149" t="str">
        <f t="shared" si="33"/>
        <v/>
      </c>
      <c r="CI48" s="152"/>
      <c r="CJ48" s="146"/>
      <c r="CK48" s="241">
        <f>IFERROR(IF(CL48="Yes",'Prescriptive Rebate Table'!$D$69,IF(ISBLANK(AI48),0,IF(AND(AH48=Lookups!$A$62,BK48&gt;0),'Prescriptive Rebate Table'!$D$68,IF(AND(BK48&gt;0,CJ48=AF48),'Prescriptive Rebate Table'!$D$67,IF(AND(BK48&gt;0,CJ48&lt;&gt;AF48),'Prescriptive Rebate Table'!D107,0))))),"")</f>
        <v>0</v>
      </c>
      <c r="CL48" s="240" t="s">
        <v>2712</v>
      </c>
      <c r="CM48" s="152"/>
      <c r="CN48" s="152"/>
      <c r="CO48" s="152"/>
      <c r="CP48" s="146">
        <f t="shared" si="14"/>
        <v>0</v>
      </c>
      <c r="CQ48" s="153">
        <f>IF(D48="Interior",ROUND(($AG48*AF48)/1000*$AM48*(Lookups!$B$54-$AA48)*$AN48*$AO48,3),0)</f>
        <v>0</v>
      </c>
      <c r="CR48" s="153">
        <f>IFERROR(IF(D48="Interior",ROUND(($AG48*$AF48)/1000*(Lookups!$C$54-$AB48)*$AN48*AQ48*AT48,6),0),"")</f>
        <v>0</v>
      </c>
      <c r="CS48" s="165">
        <f t="shared" si="34"/>
        <v>0</v>
      </c>
      <c r="CT48" s="165">
        <f t="shared" si="35"/>
        <v>0</v>
      </c>
      <c r="CV48" s="153">
        <f>IF(D48="Interior",ROUND(($AG48*AF48)/1000*$AM48*(Lookups!$B$43-$AA48)*$AN48*$AO48,3),0)</f>
        <v>0</v>
      </c>
      <c r="CW48" s="153">
        <f>IFERROR(IF(D48="Interior",ROUND(($AG48*$AF48)/1000*(Lookups!$C$43-$AB48)*$AN48*AQ48*AT48,6),0),"")</f>
        <v>0</v>
      </c>
      <c r="CX48" s="165">
        <f t="shared" si="36"/>
        <v>0</v>
      </c>
      <c r="CY48" s="165">
        <f t="shared" si="37"/>
        <v>0</v>
      </c>
      <c r="DA48" s="153">
        <f>IF(D48="Interior",ROUND(($AG48*AF48*(1-0.15))/1000*$AM48*(Lookups!$B$43+0.097-$AA48)*$AN48*$AO48+((W48*V48)/1000*AN48*AM48*AO48*0.15),3),0)</f>
        <v>0</v>
      </c>
      <c r="DB48" s="153">
        <f>IFERROR(IF(D48="Interior",ROUND(($AG48*$AF48)/1000*(Lookups!$C$43+0.097-$AB48)*$AN48*AQ48*AT48+(($AG48*$AF48)/1000*$AN48*AQ48*AT48*0.15),6),0),"")</f>
        <v>0</v>
      </c>
      <c r="DC48" s="165">
        <f t="shared" si="38"/>
        <v>0</v>
      </c>
      <c r="DD48" s="165">
        <f t="shared" si="39"/>
        <v>0</v>
      </c>
    </row>
    <row r="49" spans="1:108" s="164" customFormat="1">
      <c r="A49" s="150">
        <v>45</v>
      </c>
      <c r="B49" s="153" t="str">
        <f>IFERROR(INDEX(Lookups!$B$2:$B$38,MATCH('Project Info &amp; Summary'!$C$19,Lookups!$A$2:$A$38,0)),"")</f>
        <v/>
      </c>
      <c r="C49" s="153" t="str">
        <f>IFERROR(INDEX(Lookups!$C$2:$C$38,MATCH('Project Info &amp; Summary'!$C$19,Lookups!$A$2:$A$38,0)),"")</f>
        <v/>
      </c>
      <c r="D49" s="163"/>
      <c r="E49" s="160"/>
      <c r="F49" s="158"/>
      <c r="G49" s="158"/>
      <c r="H49" s="158"/>
      <c r="I49" s="158"/>
      <c r="J49" s="154" t="str">
        <f>IFERROR(INDEX(Lookups!$W$21:$W$26,MATCH(I49,Lookups!$V$21:$V$26,0)),"")</f>
        <v/>
      </c>
      <c r="K49" s="158"/>
      <c r="L49" s="162" t="str">
        <f>IFERROR(INDEX(Lookups!$Y$2:$Y$19,MATCH(_xlfn.CONCAT(I49,K49),Lookups!$X$2:$X$19,0)),"")</f>
        <v/>
      </c>
      <c r="M49" s="158"/>
      <c r="N49" s="153" t="str">
        <f>IFERROR(INDEX('Prescriptive Rebate Table'!$M$3:$M$20,MATCH(M49,'Prescriptive Rebate Table'!$L$3:$L$20,0)),"")</f>
        <v/>
      </c>
      <c r="O49" s="158"/>
      <c r="P49" s="154" t="str">
        <f>IFERROR(INDEX('Prescriptive Rebate Table'!$B$2:$H$64, MATCH(O49,'Prescriptive Rebate Table'!$C$2:$C$64,0),7),"")</f>
        <v/>
      </c>
      <c r="Q49" s="155" t="str">
        <f>IFERROR(INDEX('Prescriptive Rebate Table'!$B$2:$I$64, MATCH(O49,'Prescriptive Rebate Table'!$C$2:$C$64,0),8),"")</f>
        <v/>
      </c>
      <c r="R49" s="155" t="str">
        <f>IFERROR(INDEX('Prescriptive Rebate Table'!$B$2:$J$64, MATCH(O49,'Prescriptive Rebate Table'!$C$2:$C$64,0),9),"")</f>
        <v/>
      </c>
      <c r="S49" s="160"/>
      <c r="T49" s="145" t="str">
        <f>IFERROR(INDEX('Fixture Codes'!$M$8:$M$976,MATCH(S49,'Fixture Codes'!$B$8:$B$976,0)),"")</f>
        <v/>
      </c>
      <c r="U49" s="145" t="str">
        <f>IFERROR(INDEX('Fixture Codes'!$B$7:$M$976,MATCH(T49,'Fixture Codes'!$B$7:$B$976,0),5),"")</f>
        <v/>
      </c>
      <c r="V49" s="160"/>
      <c r="W49" s="145" t="str">
        <f>IFERROR(INDEX('Fixture Codes'!$L$8:$L$976,MATCH(T49,'Fixture Codes'!$B$8:$B$976,0)),"")</f>
        <v/>
      </c>
      <c r="X49" s="158"/>
      <c r="Y49" s="159"/>
      <c r="Z49" s="155" t="str">
        <f>IFERROR(INDEX(Lookups!B$68:B$87,MATCH($X49,Lookups!$A$68:$A$87,0)),"")</f>
        <v/>
      </c>
      <c r="AA49" s="150" t="str">
        <f>IFERROR(INDEX(Lookups!B$42:B$62,MATCH($X49,Lookups!$A$42:$A$62,0)),"")</f>
        <v/>
      </c>
      <c r="AB49" s="150" t="str">
        <f>IFERROR(INDEX(Lookups!C$42:C$62,MATCH($X49,Lookups!$A$42:$A$62,0)),"")</f>
        <v/>
      </c>
      <c r="AC49" s="160"/>
      <c r="AD49" s="160"/>
      <c r="AE49" s="150" t="str">
        <f>IFERROR(INDEX('Fixture Codes'!$B$7:$M$976,MATCH(AD49,'Fixture Codes'!$B$7:$B$976,0),5),"")</f>
        <v/>
      </c>
      <c r="AF49" s="160"/>
      <c r="AG49" s="145" t="str">
        <f>IFERROR(INDEX('Fixture Codes'!$L$8:$L$976,MATCH(AD49,'Fixture Codes'!$B$8:$B$976,0)),"")</f>
        <v/>
      </c>
      <c r="AH49" s="158"/>
      <c r="AI49" s="160"/>
      <c r="AJ49" s="150" t="str">
        <f>IFERROR(INDEX(Lookups!B$68:B$87,MATCH($AH49,Lookups!$A$68:$A$87,0)),"")</f>
        <v/>
      </c>
      <c r="AK49" s="150" t="str">
        <f>IFERROR(INDEX(Lookups!B$42:B$62,MATCH($AH49,Lookups!$A$42:$A$62,0)),"")</f>
        <v/>
      </c>
      <c r="AL49" s="150" t="str">
        <f>IFERROR(INDEX(Lookups!C$42:C$62,MATCH($AH49,Lookups!$A$42:$A$62,0)),"")</f>
        <v/>
      </c>
      <c r="AM49" s="150" t="str">
        <f>IFERROR(IF(M49="Exit Signs",8760,IF(INDEX('Fixture Codes'!$C$8:$C$976,MATCH(AD49,'Fixture Codes'!$B$8:$B$976,0))="Exit Sign",8760,INDEX(Lookups!$I$2:$I$428,MATCH(_xlfn.CONCAT(B49,H49),Lookups!$H$2:$H$428,0)))),"")</f>
        <v/>
      </c>
      <c r="AN49" s="153">
        <v>1</v>
      </c>
      <c r="AO49" s="150" t="str">
        <f>IF($D49="Interior",INDEX(Lookups!Q$2:Q$86,MATCH(_xlfn.CONCAT($C49,$L49),Lookups!$P$2:$P$86,0)),IF($D49="Exterior",1,""))</f>
        <v/>
      </c>
      <c r="AP49" s="150">
        <f t="shared" si="19"/>
        <v>1</v>
      </c>
      <c r="AQ49" s="150" t="str">
        <f>IF($D49="Interior",INDEX(Lookups!R$2:R$86,MATCH(_xlfn.CONCAT($C49,$L49),Lookups!$P$2:$P$86,0)),IF($D49="Exterior",1,""))</f>
        <v/>
      </c>
      <c r="AR49" s="150" t="str">
        <f>IF($D49="Interior",INDEX(Lookups!S$2:S$86,MATCH(_xlfn.CONCAT($C49,$L49),Lookups!$P$2:$P$86,0)),IF($D49="Exterior",1,""))</f>
        <v/>
      </c>
      <c r="AS49" s="150" t="str">
        <f>IF($D49="Interior",INDEX(Lookups!T$2:T$86,MATCH(_xlfn.CONCAT($C49,$L49),Lookups!$P$2:$P$86,0)),IF($D49="Exterior",1,""))</f>
        <v/>
      </c>
      <c r="AT49" s="150" t="str">
        <f>IFERROR(IF(M49="Exit Signs",1,IF(INDEX('Fixture Codes'!$C$8:$C$976,MATCH($AD49,'Fixture Codes'!$B$8:$B$976,0))="Exit Sign",1,INDEX(Lookups!J$2:J$428,MATCH(_xlfn.CONCAT($B49,$H49),Lookups!$H$2:$H$428,0)))),"")</f>
        <v/>
      </c>
      <c r="AU49" s="150" t="str">
        <f>IFERROR(IF(M49="Exit Signs",1,IF(INDEX('Fixture Codes'!$C$8:$C$976,MATCH($AD49,'Fixture Codes'!$B$8:$B$976,0))="Exit Sign",1,INDEX(Lookups!K$2:K$428,MATCH(_xlfn.CONCAT($B49,$H49),Lookups!$H$2:$H$428,0)))),"")</f>
        <v/>
      </c>
      <c r="AV49" s="150" t="str">
        <f>IFERROR(IF(M49="Exit Signs",1,IF(INDEX('Fixture Codes'!$C$8:$C$976,MATCH($AD49,'Fixture Codes'!$B$8:$B$976,0))="Exit Sign",1,INDEX(Lookups!L$2:L$428,MATCH(_xlfn.CONCAT($B49,$H49),Lookups!$H$2:$H$428,0)))),"")</f>
        <v/>
      </c>
      <c r="AW49" s="150" t="str">
        <f>IF(ISBLANK(K49),"",IF(K49="Gas",INDEX(Lookups!$AG$2:$AG$63,MATCH(O49,Lookups!$AD$2:$AD$63,0),0),0))</f>
        <v/>
      </c>
      <c r="AX49" s="150" t="str">
        <f>IF(ISBLANK(K49),"",IF(K49="Gas",INDEX(Lookups!$AF$2:$AF$63,MATCH(O49,Lookups!$AD$2:$AD$63,0),0),0))</f>
        <v/>
      </c>
      <c r="AY49" s="150" t="str">
        <f>IF(ISBLANK(K49),"",IF(K49="Gas",INDEX(Lookups!$AH$2:$AH$63,MATCH(O49,Lookups!$AD$2:$AD$63,0),0),0))</f>
        <v/>
      </c>
      <c r="AZ49" s="150" t="str">
        <f>IF(ISBLANK(K49),"",IF(K49="Gas",INDEX(Lookups!$AI$2:$AI$63,MATCH(O49,Lookups!$AD$2:$AD$63,0),0),0))</f>
        <v/>
      </c>
      <c r="BA49" s="150" t="str">
        <f t="shared" si="0"/>
        <v/>
      </c>
      <c r="BB49" s="156" t="str">
        <f>IF(ISBLANK(AH49),"",IF(AH49="None",0,IF(K49="Gas",INDEX(Lookups!$AF$51:$AF$69,MATCH(AH49,Lookups!$AD$51:$AD$69,0),0),0)))</f>
        <v/>
      </c>
      <c r="BC49" s="156" t="str">
        <f>IF(ISBLANK(AH49),"",IF(AH49="None",0,IF(K49="Gas",INDEX(Lookups!$AH$51:$AH$69,MATCH(AH49,Lookups!$AD$51:$AD$69,0),0),0)))</f>
        <v/>
      </c>
      <c r="BD49" s="156" t="str">
        <f>IF(ISBLANK(AH49),"",IF(AH49="None",0,IF(K49="Gas",INDEX(Lookups!$AI$51:$AI$69,MATCH(AH49,Lookups!$AD$51:$AD$69,0),0),0)))</f>
        <v/>
      </c>
      <c r="BE49" s="157"/>
      <c r="BF49" s="157"/>
      <c r="BG49" s="147" t="str">
        <f t="shared" si="20"/>
        <v/>
      </c>
      <c r="BH49" s="147" t="str">
        <f t="shared" si="21"/>
        <v/>
      </c>
      <c r="BI49" s="147" t="str">
        <f t="shared" si="1"/>
        <v/>
      </c>
      <c r="BJ49" s="147" t="str">
        <f t="shared" si="2"/>
        <v/>
      </c>
      <c r="BK49" s="148" t="str">
        <f t="shared" si="22"/>
        <v/>
      </c>
      <c r="BL49" s="147" t="str">
        <f t="shared" si="3"/>
        <v/>
      </c>
      <c r="BM49" s="148" t="str">
        <f t="shared" si="23"/>
        <v/>
      </c>
      <c r="BN49" s="147" t="str">
        <f t="shared" si="24"/>
        <v/>
      </c>
      <c r="BO49" s="147" t="str">
        <f t="shared" si="24"/>
        <v/>
      </c>
      <c r="BP49" s="147" t="str">
        <f t="shared" si="25"/>
        <v/>
      </c>
      <c r="BQ49" s="148" t="str">
        <f t="shared" si="26"/>
        <v/>
      </c>
      <c r="BR49" s="148" t="str">
        <f t="shared" si="27"/>
        <v/>
      </c>
      <c r="BS49" s="148" t="str">
        <f t="shared" si="28"/>
        <v/>
      </c>
      <c r="BT49" s="148" t="str">
        <f t="shared" si="7"/>
        <v/>
      </c>
      <c r="BU49" s="148" t="str">
        <f t="shared" si="8"/>
        <v/>
      </c>
      <c r="BV49" s="148" t="str">
        <f t="shared" si="9"/>
        <v/>
      </c>
      <c r="BW49" s="148" t="str">
        <f t="shared" si="29"/>
        <v/>
      </c>
      <c r="BX49" s="148" t="str">
        <f t="shared" si="10"/>
        <v/>
      </c>
      <c r="BY49" s="148" t="str">
        <f t="shared" si="11"/>
        <v/>
      </c>
      <c r="BZ49" s="149" t="str">
        <f>IFERROR(INDEX('Prescriptive Rebate Table'!$B$2:$E$64,MATCH(O49,'Prescriptive Rebate Table'!$C$2:$C$64,0),3),"")</f>
        <v/>
      </c>
      <c r="CA49" s="145" t="str">
        <f>IFERROR(INDEX('Prescriptive Rebate Table'!$B$2:$E$64,MATCH(O49,'Prescriptive Rebate Table'!$C$2:$C$64,0),4),"")</f>
        <v/>
      </c>
      <c r="CB49" s="149" t="str">
        <f t="shared" si="30"/>
        <v/>
      </c>
      <c r="CC49" s="145" t="str">
        <f t="shared" si="31"/>
        <v/>
      </c>
      <c r="CD49" s="149" t="str">
        <f t="shared" si="12"/>
        <v/>
      </c>
      <c r="CE49" s="149" t="str">
        <f t="shared" si="13"/>
        <v/>
      </c>
      <c r="CF49" s="149" t="str">
        <f>IF(BK49&lt;=0,0,IFERROR(IF(OR(ISBLANK(AC49),ISBLANK(CD49))=TRUE,"",IF(CA49="Per Foot",INDEX('Fixture Codes'!$I$8:$I$976,MATCH(AD49,'Fixture Codes'!$B$8:$B$976,0))/12*AF49*BZ49,IF(CA49="Lamp",INDEX('Fixture Codes'!$J$8:$J$976,MATCH(AD49,'Fixture Codes'!$B$8:$B$976,0))*AF49*BZ49,IF(CA49="Fixture",AF49*BZ49,IF(CA49="kWh",BK49*BZ49,0))))),""))</f>
        <v/>
      </c>
      <c r="CG49" s="149" t="str">
        <f t="shared" si="32"/>
        <v/>
      </c>
      <c r="CH49" s="149" t="str">
        <f t="shared" si="33"/>
        <v/>
      </c>
      <c r="CI49" s="152"/>
      <c r="CJ49" s="146"/>
      <c r="CK49" s="241">
        <f>IFERROR(IF(CL49="Yes",'Prescriptive Rebate Table'!$D$69,IF(ISBLANK(AI49),0,IF(AND(AH49=Lookups!$A$62,BK49&gt;0),'Prescriptive Rebate Table'!$D$68,IF(AND(BK49&gt;0,CJ49=AF49),'Prescriptive Rebate Table'!$D$67,IF(AND(BK49&gt;0,CJ49&lt;&gt;AF49),'Prescriptive Rebate Table'!D108,0))))),"")</f>
        <v>0</v>
      </c>
      <c r="CL49" s="240" t="s">
        <v>2712</v>
      </c>
      <c r="CM49" s="152"/>
      <c r="CN49" s="152"/>
      <c r="CO49" s="152"/>
      <c r="CP49" s="146">
        <f t="shared" si="14"/>
        <v>0</v>
      </c>
      <c r="CQ49" s="153">
        <f>IF(D49="Interior",ROUND(($AG49*AF49)/1000*$AM49*(Lookups!$B$54-$AA49)*$AN49*$AO49,3),0)</f>
        <v>0</v>
      </c>
      <c r="CR49" s="153">
        <f>IFERROR(IF(D49="Interior",ROUND(($AG49*$AF49)/1000*(Lookups!$C$54-$AB49)*$AN49*AQ49*AT49,6),0),"")</f>
        <v>0</v>
      </c>
      <c r="CS49" s="165">
        <f t="shared" si="34"/>
        <v>0</v>
      </c>
      <c r="CT49" s="165">
        <f t="shared" si="35"/>
        <v>0</v>
      </c>
      <c r="CV49" s="153">
        <f>IF(D49="Interior",ROUND(($AG49*AF49)/1000*$AM49*(Lookups!$B$43-$AA49)*$AN49*$AO49,3),0)</f>
        <v>0</v>
      </c>
      <c r="CW49" s="153">
        <f>IFERROR(IF(D49="Interior",ROUND(($AG49*$AF49)/1000*(Lookups!$C$43-$AB49)*$AN49*AQ49*AT49,6),0),"")</f>
        <v>0</v>
      </c>
      <c r="CX49" s="165">
        <f t="shared" si="36"/>
        <v>0</v>
      </c>
      <c r="CY49" s="165">
        <f t="shared" si="37"/>
        <v>0</v>
      </c>
      <c r="DA49" s="153">
        <f>IF(D49="Interior",ROUND(($AG49*AF49*(1-0.15))/1000*$AM49*(Lookups!$B$43+0.097-$AA49)*$AN49*$AO49+((W49*V49)/1000*AN49*AM49*AO49*0.15),3),0)</f>
        <v>0</v>
      </c>
      <c r="DB49" s="153">
        <f>IFERROR(IF(D49="Interior",ROUND(($AG49*$AF49)/1000*(Lookups!$C$43+0.097-$AB49)*$AN49*AQ49*AT49+(($AG49*$AF49)/1000*$AN49*AQ49*AT49*0.15),6),0),"")</f>
        <v>0</v>
      </c>
      <c r="DC49" s="165">
        <f t="shared" si="38"/>
        <v>0</v>
      </c>
      <c r="DD49" s="165">
        <f t="shared" si="39"/>
        <v>0</v>
      </c>
    </row>
    <row r="50" spans="1:108" s="164" customFormat="1">
      <c r="A50" s="150">
        <v>46</v>
      </c>
      <c r="B50" s="153" t="str">
        <f>IFERROR(INDEX(Lookups!$B$2:$B$38,MATCH('Project Info &amp; Summary'!$C$19,Lookups!$A$2:$A$38,0)),"")</f>
        <v/>
      </c>
      <c r="C50" s="153" t="str">
        <f>IFERROR(INDEX(Lookups!$C$2:$C$38,MATCH('Project Info &amp; Summary'!$C$19,Lookups!$A$2:$A$38,0)),"")</f>
        <v/>
      </c>
      <c r="D50" s="163"/>
      <c r="E50" s="160"/>
      <c r="F50" s="158"/>
      <c r="G50" s="158"/>
      <c r="H50" s="158"/>
      <c r="I50" s="158"/>
      <c r="J50" s="154" t="str">
        <f>IFERROR(INDEX(Lookups!$W$21:$W$26,MATCH(I50,Lookups!$V$21:$V$26,0)),"")</f>
        <v/>
      </c>
      <c r="K50" s="158"/>
      <c r="L50" s="162" t="str">
        <f>IFERROR(INDEX(Lookups!$Y$2:$Y$19,MATCH(_xlfn.CONCAT(I50,K50),Lookups!$X$2:$X$19,0)),"")</f>
        <v/>
      </c>
      <c r="M50" s="158"/>
      <c r="N50" s="153" t="str">
        <f>IFERROR(INDEX('Prescriptive Rebate Table'!$M$3:$M$20,MATCH(M50,'Prescriptive Rebate Table'!$L$3:$L$20,0)),"")</f>
        <v/>
      </c>
      <c r="O50" s="158"/>
      <c r="P50" s="154" t="str">
        <f>IFERROR(INDEX('Prescriptive Rebate Table'!$B$2:$H$64, MATCH(O50,'Prescriptive Rebate Table'!$C$2:$C$64,0),7),"")</f>
        <v/>
      </c>
      <c r="Q50" s="155" t="str">
        <f>IFERROR(INDEX('Prescriptive Rebate Table'!$B$2:$I$64, MATCH(O50,'Prescriptive Rebate Table'!$C$2:$C$64,0),8),"")</f>
        <v/>
      </c>
      <c r="R50" s="155" t="str">
        <f>IFERROR(INDEX('Prescriptive Rebate Table'!$B$2:$J$64, MATCH(O50,'Prescriptive Rebate Table'!$C$2:$C$64,0),9),"")</f>
        <v/>
      </c>
      <c r="S50" s="160"/>
      <c r="T50" s="145" t="str">
        <f>IFERROR(INDEX('Fixture Codes'!$M$8:$M$976,MATCH(S50,'Fixture Codes'!$B$8:$B$976,0)),"")</f>
        <v/>
      </c>
      <c r="U50" s="145" t="str">
        <f>IFERROR(INDEX('Fixture Codes'!$B$7:$M$976,MATCH(T50,'Fixture Codes'!$B$7:$B$976,0),5),"")</f>
        <v/>
      </c>
      <c r="V50" s="160"/>
      <c r="W50" s="145" t="str">
        <f>IFERROR(INDEX('Fixture Codes'!$L$8:$L$976,MATCH(T50,'Fixture Codes'!$B$8:$B$976,0)),"")</f>
        <v/>
      </c>
      <c r="X50" s="158"/>
      <c r="Y50" s="159"/>
      <c r="Z50" s="155" t="str">
        <f>IFERROR(INDEX(Lookups!B$68:B$87,MATCH($X50,Lookups!$A$68:$A$87,0)),"")</f>
        <v/>
      </c>
      <c r="AA50" s="150" t="str">
        <f>IFERROR(INDEX(Lookups!B$42:B$62,MATCH($X50,Lookups!$A$42:$A$62,0)),"")</f>
        <v/>
      </c>
      <c r="AB50" s="150" t="str">
        <f>IFERROR(INDEX(Lookups!C$42:C$62,MATCH($X50,Lookups!$A$42:$A$62,0)),"")</f>
        <v/>
      </c>
      <c r="AC50" s="160"/>
      <c r="AD50" s="160"/>
      <c r="AE50" s="150" t="str">
        <f>IFERROR(INDEX('Fixture Codes'!$B$7:$M$976,MATCH(AD50,'Fixture Codes'!$B$7:$B$976,0),5),"")</f>
        <v/>
      </c>
      <c r="AF50" s="160"/>
      <c r="AG50" s="145" t="str">
        <f>IFERROR(INDEX('Fixture Codes'!$L$8:$L$976,MATCH(AD50,'Fixture Codes'!$B$8:$B$976,0)),"")</f>
        <v/>
      </c>
      <c r="AH50" s="158"/>
      <c r="AI50" s="160"/>
      <c r="AJ50" s="150" t="str">
        <f>IFERROR(INDEX(Lookups!B$68:B$87,MATCH($AH50,Lookups!$A$68:$A$87,0)),"")</f>
        <v/>
      </c>
      <c r="AK50" s="150" t="str">
        <f>IFERROR(INDEX(Lookups!B$42:B$62,MATCH($AH50,Lookups!$A$42:$A$62,0)),"")</f>
        <v/>
      </c>
      <c r="AL50" s="150" t="str">
        <f>IFERROR(INDEX(Lookups!C$42:C$62,MATCH($AH50,Lookups!$A$42:$A$62,0)),"")</f>
        <v/>
      </c>
      <c r="AM50" s="150" t="str">
        <f>IFERROR(IF(M50="Exit Signs",8760,IF(INDEX('Fixture Codes'!$C$8:$C$976,MATCH(AD50,'Fixture Codes'!$B$8:$B$976,0))="Exit Sign",8760,INDEX(Lookups!$I$2:$I$428,MATCH(_xlfn.CONCAT(B50,H50),Lookups!$H$2:$H$428,0)))),"")</f>
        <v/>
      </c>
      <c r="AN50" s="153">
        <v>1</v>
      </c>
      <c r="AO50" s="150" t="str">
        <f>IF($D50="Interior",INDEX(Lookups!Q$2:Q$86,MATCH(_xlfn.CONCAT($C50,$L50),Lookups!$P$2:$P$86,0)),IF($D50="Exterior",1,""))</f>
        <v/>
      </c>
      <c r="AP50" s="150">
        <f t="shared" si="19"/>
        <v>1</v>
      </c>
      <c r="AQ50" s="150" t="str">
        <f>IF($D50="Interior",INDEX(Lookups!R$2:R$86,MATCH(_xlfn.CONCAT($C50,$L50),Lookups!$P$2:$P$86,0)),IF($D50="Exterior",1,""))</f>
        <v/>
      </c>
      <c r="AR50" s="150" t="str">
        <f>IF($D50="Interior",INDEX(Lookups!S$2:S$86,MATCH(_xlfn.CONCAT($C50,$L50),Lookups!$P$2:$P$86,0)),IF($D50="Exterior",1,""))</f>
        <v/>
      </c>
      <c r="AS50" s="150" t="str">
        <f>IF($D50="Interior",INDEX(Lookups!T$2:T$86,MATCH(_xlfn.CONCAT($C50,$L50),Lookups!$P$2:$P$86,0)),IF($D50="Exterior",1,""))</f>
        <v/>
      </c>
      <c r="AT50" s="150" t="str">
        <f>IFERROR(IF(M50="Exit Signs",1,IF(INDEX('Fixture Codes'!$C$8:$C$976,MATCH($AD50,'Fixture Codes'!$B$8:$B$976,0))="Exit Sign",1,INDEX(Lookups!J$2:J$428,MATCH(_xlfn.CONCAT($B50,$H50),Lookups!$H$2:$H$428,0)))),"")</f>
        <v/>
      </c>
      <c r="AU50" s="150" t="str">
        <f>IFERROR(IF(M50="Exit Signs",1,IF(INDEX('Fixture Codes'!$C$8:$C$976,MATCH($AD50,'Fixture Codes'!$B$8:$B$976,0))="Exit Sign",1,INDEX(Lookups!K$2:K$428,MATCH(_xlfn.CONCAT($B50,$H50),Lookups!$H$2:$H$428,0)))),"")</f>
        <v/>
      </c>
      <c r="AV50" s="150" t="str">
        <f>IFERROR(IF(M50="Exit Signs",1,IF(INDEX('Fixture Codes'!$C$8:$C$976,MATCH($AD50,'Fixture Codes'!$B$8:$B$976,0))="Exit Sign",1,INDEX(Lookups!L$2:L$428,MATCH(_xlfn.CONCAT($B50,$H50),Lookups!$H$2:$H$428,0)))),"")</f>
        <v/>
      </c>
      <c r="AW50" s="150" t="str">
        <f>IF(ISBLANK(K50),"",IF(K50="Gas",INDEX(Lookups!$AG$2:$AG$63,MATCH(O50,Lookups!$AD$2:$AD$63,0),0),0))</f>
        <v/>
      </c>
      <c r="AX50" s="150" t="str">
        <f>IF(ISBLANK(K50),"",IF(K50="Gas",INDEX(Lookups!$AF$2:$AF$63,MATCH(O50,Lookups!$AD$2:$AD$63,0),0),0))</f>
        <v/>
      </c>
      <c r="AY50" s="150" t="str">
        <f>IF(ISBLANK(K50),"",IF(K50="Gas",INDEX(Lookups!$AH$2:$AH$63,MATCH(O50,Lookups!$AD$2:$AD$63,0),0),0))</f>
        <v/>
      </c>
      <c r="AZ50" s="150" t="str">
        <f>IF(ISBLANK(K50),"",IF(K50="Gas",INDEX(Lookups!$AI$2:$AI$63,MATCH(O50,Lookups!$AD$2:$AD$63,0),0),0))</f>
        <v/>
      </c>
      <c r="BA50" s="150" t="str">
        <f t="shared" si="0"/>
        <v/>
      </c>
      <c r="BB50" s="156" t="str">
        <f>IF(ISBLANK(AH50),"",IF(AH50="None",0,IF(K50="Gas",INDEX(Lookups!$AF$51:$AF$69,MATCH(AH50,Lookups!$AD$51:$AD$69,0),0),0)))</f>
        <v/>
      </c>
      <c r="BC50" s="156" t="str">
        <f>IF(ISBLANK(AH50),"",IF(AH50="None",0,IF(K50="Gas",INDEX(Lookups!$AH$51:$AH$69,MATCH(AH50,Lookups!$AD$51:$AD$69,0),0),0)))</f>
        <v/>
      </c>
      <c r="BD50" s="156" t="str">
        <f>IF(ISBLANK(AH50),"",IF(AH50="None",0,IF(K50="Gas",INDEX(Lookups!$AI$51:$AI$69,MATCH(AH50,Lookups!$AD$51:$AD$69,0),0),0)))</f>
        <v/>
      </c>
      <c r="BE50" s="157"/>
      <c r="BF50" s="157"/>
      <c r="BG50" s="147" t="str">
        <f t="shared" si="20"/>
        <v/>
      </c>
      <c r="BH50" s="147" t="str">
        <f t="shared" si="21"/>
        <v/>
      </c>
      <c r="BI50" s="147" t="str">
        <f t="shared" si="1"/>
        <v/>
      </c>
      <c r="BJ50" s="147" t="str">
        <f t="shared" si="2"/>
        <v/>
      </c>
      <c r="BK50" s="148" t="str">
        <f t="shared" si="22"/>
        <v/>
      </c>
      <c r="BL50" s="147" t="str">
        <f t="shared" si="3"/>
        <v/>
      </c>
      <c r="BM50" s="148" t="str">
        <f t="shared" si="23"/>
        <v/>
      </c>
      <c r="BN50" s="147" t="str">
        <f t="shared" si="24"/>
        <v/>
      </c>
      <c r="BO50" s="147" t="str">
        <f t="shared" si="24"/>
        <v/>
      </c>
      <c r="BP50" s="147" t="str">
        <f t="shared" si="25"/>
        <v/>
      </c>
      <c r="BQ50" s="148" t="str">
        <f t="shared" si="26"/>
        <v/>
      </c>
      <c r="BR50" s="148" t="str">
        <f t="shared" si="27"/>
        <v/>
      </c>
      <c r="BS50" s="148" t="str">
        <f t="shared" si="28"/>
        <v/>
      </c>
      <c r="BT50" s="148" t="str">
        <f t="shared" si="7"/>
        <v/>
      </c>
      <c r="BU50" s="148" t="str">
        <f t="shared" si="8"/>
        <v/>
      </c>
      <c r="BV50" s="148" t="str">
        <f t="shared" si="9"/>
        <v/>
      </c>
      <c r="BW50" s="148" t="str">
        <f t="shared" si="29"/>
        <v/>
      </c>
      <c r="BX50" s="148" t="str">
        <f t="shared" si="10"/>
        <v/>
      </c>
      <c r="BY50" s="148" t="str">
        <f t="shared" si="11"/>
        <v/>
      </c>
      <c r="BZ50" s="149" t="str">
        <f>IFERROR(INDEX('Prescriptive Rebate Table'!$B$2:$E$64,MATCH(O50,'Prescriptive Rebate Table'!$C$2:$C$64,0),3),"")</f>
        <v/>
      </c>
      <c r="CA50" s="145" t="str">
        <f>IFERROR(INDEX('Prescriptive Rebate Table'!$B$2:$E$64,MATCH(O50,'Prescriptive Rebate Table'!$C$2:$C$64,0),4),"")</f>
        <v/>
      </c>
      <c r="CB50" s="149" t="str">
        <f t="shared" si="30"/>
        <v/>
      </c>
      <c r="CC50" s="145" t="str">
        <f t="shared" si="31"/>
        <v/>
      </c>
      <c r="CD50" s="149" t="str">
        <f t="shared" si="12"/>
        <v/>
      </c>
      <c r="CE50" s="149" t="str">
        <f t="shared" si="13"/>
        <v/>
      </c>
      <c r="CF50" s="149" t="str">
        <f>IF(BK50&lt;=0,0,IFERROR(IF(OR(ISBLANK(AC50),ISBLANK(CD50))=TRUE,"",IF(CA50="Per Foot",INDEX('Fixture Codes'!$I$8:$I$976,MATCH(AD50,'Fixture Codes'!$B$8:$B$976,0))/12*AF50*BZ50,IF(CA50="Lamp",INDEX('Fixture Codes'!$J$8:$J$976,MATCH(AD50,'Fixture Codes'!$B$8:$B$976,0))*AF50*BZ50,IF(CA50="Fixture",AF50*BZ50,IF(CA50="kWh",BK50*BZ50,0))))),""))</f>
        <v/>
      </c>
      <c r="CG50" s="149" t="str">
        <f t="shared" si="32"/>
        <v/>
      </c>
      <c r="CH50" s="149" t="str">
        <f t="shared" si="33"/>
        <v/>
      </c>
      <c r="CI50" s="152"/>
      <c r="CJ50" s="146"/>
      <c r="CK50" s="241">
        <f>IFERROR(IF(CL50="Yes",'Prescriptive Rebate Table'!$D$69,IF(ISBLANK(AI50),0,IF(AND(AH50=Lookups!$A$62,BK50&gt;0),'Prescriptive Rebate Table'!$D$68,IF(AND(BK50&gt;0,CJ50=AF50),'Prescriptive Rebate Table'!$D$67,IF(AND(BK50&gt;0,CJ50&lt;&gt;AF50),'Prescriptive Rebate Table'!D109,0))))),"")</f>
        <v>0</v>
      </c>
      <c r="CL50" s="240" t="s">
        <v>2712</v>
      </c>
      <c r="CM50" s="152"/>
      <c r="CN50" s="152"/>
      <c r="CO50" s="152"/>
      <c r="CP50" s="146">
        <f t="shared" si="14"/>
        <v>0</v>
      </c>
      <c r="CQ50" s="153">
        <f>IF(D50="Interior",ROUND(($AG50*AF50)/1000*$AM50*(Lookups!$B$54-$AA50)*$AN50*$AO50,3),0)</f>
        <v>0</v>
      </c>
      <c r="CR50" s="153">
        <f>IFERROR(IF(D50="Interior",ROUND(($AG50*$AF50)/1000*(Lookups!$C$54-$AB50)*$AN50*AQ50*AT50,6),0),"")</f>
        <v>0</v>
      </c>
      <c r="CS50" s="165">
        <f t="shared" si="34"/>
        <v>0</v>
      </c>
      <c r="CT50" s="165">
        <f t="shared" si="35"/>
        <v>0</v>
      </c>
      <c r="CV50" s="153">
        <f>IF(D50="Interior",ROUND(($AG50*AF50)/1000*$AM50*(Lookups!$B$43-$AA50)*$AN50*$AO50,3),0)</f>
        <v>0</v>
      </c>
      <c r="CW50" s="153">
        <f>IFERROR(IF(D50="Interior",ROUND(($AG50*$AF50)/1000*(Lookups!$C$43-$AB50)*$AN50*AQ50*AT50,6),0),"")</f>
        <v>0</v>
      </c>
      <c r="CX50" s="165">
        <f t="shared" si="36"/>
        <v>0</v>
      </c>
      <c r="CY50" s="165">
        <f t="shared" si="37"/>
        <v>0</v>
      </c>
      <c r="DA50" s="153">
        <f>IF(D50="Interior",ROUND(($AG50*AF50*(1-0.15))/1000*$AM50*(Lookups!$B$43+0.097-$AA50)*$AN50*$AO50+((W50*V50)/1000*AN50*AM50*AO50*0.15),3),0)</f>
        <v>0</v>
      </c>
      <c r="DB50" s="153">
        <f>IFERROR(IF(D50="Interior",ROUND(($AG50*$AF50)/1000*(Lookups!$C$43+0.097-$AB50)*$AN50*AQ50*AT50+(($AG50*$AF50)/1000*$AN50*AQ50*AT50*0.15),6),0),"")</f>
        <v>0</v>
      </c>
      <c r="DC50" s="165">
        <f t="shared" si="38"/>
        <v>0</v>
      </c>
      <c r="DD50" s="165">
        <f t="shared" si="39"/>
        <v>0</v>
      </c>
    </row>
    <row r="51" spans="1:108" s="164" customFormat="1">
      <c r="A51" s="150">
        <v>47</v>
      </c>
      <c r="B51" s="153" t="str">
        <f>IFERROR(INDEX(Lookups!$B$2:$B$38,MATCH('Project Info &amp; Summary'!$C$19,Lookups!$A$2:$A$38,0)),"")</f>
        <v/>
      </c>
      <c r="C51" s="153" t="str">
        <f>IFERROR(INDEX(Lookups!$C$2:$C$38,MATCH('Project Info &amp; Summary'!$C$19,Lookups!$A$2:$A$38,0)),"")</f>
        <v/>
      </c>
      <c r="D51" s="163"/>
      <c r="E51" s="160"/>
      <c r="F51" s="158"/>
      <c r="G51" s="158"/>
      <c r="H51" s="158"/>
      <c r="I51" s="158"/>
      <c r="J51" s="154" t="str">
        <f>IFERROR(INDEX(Lookups!$W$21:$W$26,MATCH(I51,Lookups!$V$21:$V$26,0)),"")</f>
        <v/>
      </c>
      <c r="K51" s="158"/>
      <c r="L51" s="162" t="str">
        <f>IFERROR(INDEX(Lookups!$Y$2:$Y$19,MATCH(_xlfn.CONCAT(I51,K51),Lookups!$X$2:$X$19,0)),"")</f>
        <v/>
      </c>
      <c r="M51" s="158"/>
      <c r="N51" s="153" t="str">
        <f>IFERROR(INDEX('Prescriptive Rebate Table'!$M$3:$M$20,MATCH(M51,'Prescriptive Rebate Table'!$L$3:$L$20,0)),"")</f>
        <v/>
      </c>
      <c r="O51" s="158"/>
      <c r="P51" s="154" t="str">
        <f>IFERROR(INDEX('Prescriptive Rebate Table'!$B$2:$H$64, MATCH(O51,'Prescriptive Rebate Table'!$C$2:$C$64,0),7),"")</f>
        <v/>
      </c>
      <c r="Q51" s="155" t="str">
        <f>IFERROR(INDEX('Prescriptive Rebate Table'!$B$2:$I$64, MATCH(O51,'Prescriptive Rebate Table'!$C$2:$C$64,0),8),"")</f>
        <v/>
      </c>
      <c r="R51" s="155" t="str">
        <f>IFERROR(INDEX('Prescriptive Rebate Table'!$B$2:$J$64, MATCH(O51,'Prescriptive Rebate Table'!$C$2:$C$64,0),9),"")</f>
        <v/>
      </c>
      <c r="S51" s="160"/>
      <c r="T51" s="145" t="str">
        <f>IFERROR(INDEX('Fixture Codes'!$M$8:$M$976,MATCH(S51,'Fixture Codes'!$B$8:$B$976,0)),"")</f>
        <v/>
      </c>
      <c r="U51" s="145" t="str">
        <f>IFERROR(INDEX('Fixture Codes'!$B$7:$M$976,MATCH(T51,'Fixture Codes'!$B$7:$B$976,0),5),"")</f>
        <v/>
      </c>
      <c r="V51" s="160"/>
      <c r="W51" s="145" t="str">
        <f>IFERROR(INDEX('Fixture Codes'!$L$8:$L$976,MATCH(T51,'Fixture Codes'!$B$8:$B$976,0)),"")</f>
        <v/>
      </c>
      <c r="X51" s="158"/>
      <c r="Y51" s="159"/>
      <c r="Z51" s="155" t="str">
        <f>IFERROR(INDEX(Lookups!B$68:B$87,MATCH($X51,Lookups!$A$68:$A$87,0)),"")</f>
        <v/>
      </c>
      <c r="AA51" s="150" t="str">
        <f>IFERROR(INDEX(Lookups!B$42:B$62,MATCH($X51,Lookups!$A$42:$A$62,0)),"")</f>
        <v/>
      </c>
      <c r="AB51" s="150" t="str">
        <f>IFERROR(INDEX(Lookups!C$42:C$62,MATCH($X51,Lookups!$A$42:$A$62,0)),"")</f>
        <v/>
      </c>
      <c r="AC51" s="160"/>
      <c r="AD51" s="160"/>
      <c r="AE51" s="150" t="str">
        <f>IFERROR(INDEX('Fixture Codes'!$B$7:$M$976,MATCH(AD51,'Fixture Codes'!$B$7:$B$976,0),5),"")</f>
        <v/>
      </c>
      <c r="AF51" s="160"/>
      <c r="AG51" s="145" t="str">
        <f>IFERROR(INDEX('Fixture Codes'!$L$8:$L$976,MATCH(AD51,'Fixture Codes'!$B$8:$B$976,0)),"")</f>
        <v/>
      </c>
      <c r="AH51" s="158"/>
      <c r="AI51" s="160"/>
      <c r="AJ51" s="150" t="str">
        <f>IFERROR(INDEX(Lookups!B$68:B$87,MATCH($AH51,Lookups!$A$68:$A$87,0)),"")</f>
        <v/>
      </c>
      <c r="AK51" s="150" t="str">
        <f>IFERROR(INDEX(Lookups!B$42:B$62,MATCH($AH51,Lookups!$A$42:$A$62,0)),"")</f>
        <v/>
      </c>
      <c r="AL51" s="150" t="str">
        <f>IFERROR(INDEX(Lookups!C$42:C$62,MATCH($AH51,Lookups!$A$42:$A$62,0)),"")</f>
        <v/>
      </c>
      <c r="AM51" s="150" t="str">
        <f>IFERROR(IF(M51="Exit Signs",8760,IF(INDEX('Fixture Codes'!$C$8:$C$976,MATCH(AD51,'Fixture Codes'!$B$8:$B$976,0))="Exit Sign",8760,INDEX(Lookups!$I$2:$I$428,MATCH(_xlfn.CONCAT(B51,H51),Lookups!$H$2:$H$428,0)))),"")</f>
        <v/>
      </c>
      <c r="AN51" s="153">
        <v>1</v>
      </c>
      <c r="AO51" s="150" t="str">
        <f>IF($D51="Interior",INDEX(Lookups!Q$2:Q$86,MATCH(_xlfn.CONCAT($C51,$L51),Lookups!$P$2:$P$86,0)),IF($D51="Exterior",1,""))</f>
        <v/>
      </c>
      <c r="AP51" s="150">
        <f t="shared" si="19"/>
        <v>1</v>
      </c>
      <c r="AQ51" s="150" t="str">
        <f>IF($D51="Interior",INDEX(Lookups!R$2:R$86,MATCH(_xlfn.CONCAT($C51,$L51),Lookups!$P$2:$P$86,0)),IF($D51="Exterior",1,""))</f>
        <v/>
      </c>
      <c r="AR51" s="150" t="str">
        <f>IF($D51="Interior",INDEX(Lookups!S$2:S$86,MATCH(_xlfn.CONCAT($C51,$L51),Lookups!$P$2:$P$86,0)),IF($D51="Exterior",1,""))</f>
        <v/>
      </c>
      <c r="AS51" s="150" t="str">
        <f>IF($D51="Interior",INDEX(Lookups!T$2:T$86,MATCH(_xlfn.CONCAT($C51,$L51),Lookups!$P$2:$P$86,0)),IF($D51="Exterior",1,""))</f>
        <v/>
      </c>
      <c r="AT51" s="150" t="str">
        <f>IFERROR(IF(M51="Exit Signs",1,IF(INDEX('Fixture Codes'!$C$8:$C$976,MATCH($AD51,'Fixture Codes'!$B$8:$B$976,0))="Exit Sign",1,INDEX(Lookups!J$2:J$428,MATCH(_xlfn.CONCAT($B51,$H51),Lookups!$H$2:$H$428,0)))),"")</f>
        <v/>
      </c>
      <c r="AU51" s="150" t="str">
        <f>IFERROR(IF(M51="Exit Signs",1,IF(INDEX('Fixture Codes'!$C$8:$C$976,MATCH($AD51,'Fixture Codes'!$B$8:$B$976,0))="Exit Sign",1,INDEX(Lookups!K$2:K$428,MATCH(_xlfn.CONCAT($B51,$H51),Lookups!$H$2:$H$428,0)))),"")</f>
        <v/>
      </c>
      <c r="AV51" s="150" t="str">
        <f>IFERROR(IF(M51="Exit Signs",1,IF(INDEX('Fixture Codes'!$C$8:$C$976,MATCH($AD51,'Fixture Codes'!$B$8:$B$976,0))="Exit Sign",1,INDEX(Lookups!L$2:L$428,MATCH(_xlfn.CONCAT($B51,$H51),Lookups!$H$2:$H$428,0)))),"")</f>
        <v/>
      </c>
      <c r="AW51" s="150" t="str">
        <f>IF(ISBLANK(K51),"",IF(K51="Gas",INDEX(Lookups!$AG$2:$AG$63,MATCH(O51,Lookups!$AD$2:$AD$63,0),0),0))</f>
        <v/>
      </c>
      <c r="AX51" s="150" t="str">
        <f>IF(ISBLANK(K51),"",IF(K51="Gas",INDEX(Lookups!$AF$2:$AF$63,MATCH(O51,Lookups!$AD$2:$AD$63,0),0),0))</f>
        <v/>
      </c>
      <c r="AY51" s="150" t="str">
        <f>IF(ISBLANK(K51),"",IF(K51="Gas",INDEX(Lookups!$AH$2:$AH$63,MATCH(O51,Lookups!$AD$2:$AD$63,0),0),0))</f>
        <v/>
      </c>
      <c r="AZ51" s="150" t="str">
        <f>IF(ISBLANK(K51),"",IF(K51="Gas",INDEX(Lookups!$AI$2:$AI$63,MATCH(O51,Lookups!$AD$2:$AD$63,0),0),0))</f>
        <v/>
      </c>
      <c r="BA51" s="150" t="str">
        <f t="shared" si="0"/>
        <v/>
      </c>
      <c r="BB51" s="156" t="str">
        <f>IF(ISBLANK(AH51),"",IF(AH51="None",0,IF(K51="Gas",INDEX(Lookups!$AF$51:$AF$69,MATCH(AH51,Lookups!$AD$51:$AD$69,0),0),0)))</f>
        <v/>
      </c>
      <c r="BC51" s="156" t="str">
        <f>IF(ISBLANK(AH51),"",IF(AH51="None",0,IF(K51="Gas",INDEX(Lookups!$AH$51:$AH$69,MATCH(AH51,Lookups!$AD$51:$AD$69,0),0),0)))</f>
        <v/>
      </c>
      <c r="BD51" s="156" t="str">
        <f>IF(ISBLANK(AH51),"",IF(AH51="None",0,IF(K51="Gas",INDEX(Lookups!$AI$51:$AI$69,MATCH(AH51,Lookups!$AD$51:$AD$69,0),0),0)))</f>
        <v/>
      </c>
      <c r="BE51" s="157"/>
      <c r="BF51" s="157"/>
      <c r="BG51" s="147" t="str">
        <f t="shared" si="20"/>
        <v/>
      </c>
      <c r="BH51" s="147" t="str">
        <f t="shared" si="21"/>
        <v/>
      </c>
      <c r="BI51" s="147" t="str">
        <f t="shared" si="1"/>
        <v/>
      </c>
      <c r="BJ51" s="147" t="str">
        <f t="shared" si="2"/>
        <v/>
      </c>
      <c r="BK51" s="148" t="str">
        <f t="shared" si="22"/>
        <v/>
      </c>
      <c r="BL51" s="147" t="str">
        <f t="shared" si="3"/>
        <v/>
      </c>
      <c r="BM51" s="148" t="str">
        <f t="shared" si="23"/>
        <v/>
      </c>
      <c r="BN51" s="147" t="str">
        <f t="shared" si="24"/>
        <v/>
      </c>
      <c r="BO51" s="147" t="str">
        <f t="shared" si="24"/>
        <v/>
      </c>
      <c r="BP51" s="147" t="str">
        <f t="shared" si="25"/>
        <v/>
      </c>
      <c r="BQ51" s="148" t="str">
        <f t="shared" si="26"/>
        <v/>
      </c>
      <c r="BR51" s="148" t="str">
        <f t="shared" si="27"/>
        <v/>
      </c>
      <c r="BS51" s="148" t="str">
        <f t="shared" si="28"/>
        <v/>
      </c>
      <c r="BT51" s="148" t="str">
        <f t="shared" si="7"/>
        <v/>
      </c>
      <c r="BU51" s="148" t="str">
        <f t="shared" si="8"/>
        <v/>
      </c>
      <c r="BV51" s="148" t="str">
        <f t="shared" si="9"/>
        <v/>
      </c>
      <c r="BW51" s="148" t="str">
        <f t="shared" si="29"/>
        <v/>
      </c>
      <c r="BX51" s="148" t="str">
        <f t="shared" si="10"/>
        <v/>
      </c>
      <c r="BY51" s="148" t="str">
        <f t="shared" si="11"/>
        <v/>
      </c>
      <c r="BZ51" s="149" t="str">
        <f>IFERROR(INDEX('Prescriptive Rebate Table'!$B$2:$E$64,MATCH(O51,'Prescriptive Rebate Table'!$C$2:$C$64,0),3),"")</f>
        <v/>
      </c>
      <c r="CA51" s="145" t="str">
        <f>IFERROR(INDEX('Prescriptive Rebate Table'!$B$2:$E$64,MATCH(O51,'Prescriptive Rebate Table'!$C$2:$C$64,0),4),"")</f>
        <v/>
      </c>
      <c r="CB51" s="149" t="str">
        <f t="shared" si="30"/>
        <v/>
      </c>
      <c r="CC51" s="145" t="str">
        <f t="shared" si="31"/>
        <v/>
      </c>
      <c r="CD51" s="149" t="str">
        <f t="shared" si="12"/>
        <v/>
      </c>
      <c r="CE51" s="149" t="str">
        <f t="shared" si="13"/>
        <v/>
      </c>
      <c r="CF51" s="149" t="str">
        <f>IF(BK51&lt;=0,0,IFERROR(IF(OR(ISBLANK(AC51),ISBLANK(CD51))=TRUE,"",IF(CA51="Per Foot",INDEX('Fixture Codes'!$I$8:$I$976,MATCH(AD51,'Fixture Codes'!$B$8:$B$976,0))/12*AF51*BZ51,IF(CA51="Lamp",INDEX('Fixture Codes'!$J$8:$J$976,MATCH(AD51,'Fixture Codes'!$B$8:$B$976,0))*AF51*BZ51,IF(CA51="Fixture",AF51*BZ51,IF(CA51="kWh",BK51*BZ51,0))))),""))</f>
        <v/>
      </c>
      <c r="CG51" s="149" t="str">
        <f t="shared" si="32"/>
        <v/>
      </c>
      <c r="CH51" s="149" t="str">
        <f t="shared" si="33"/>
        <v/>
      </c>
      <c r="CI51" s="152"/>
      <c r="CJ51" s="146"/>
      <c r="CK51" s="241">
        <f>IFERROR(IF(CL51="Yes",'Prescriptive Rebate Table'!$D$69,IF(ISBLANK(AI51),0,IF(AND(AH51=Lookups!$A$62,BK51&gt;0),'Prescriptive Rebate Table'!$D$68,IF(AND(BK51&gt;0,CJ51=AF51),'Prescriptive Rebate Table'!$D$67,IF(AND(BK51&gt;0,CJ51&lt;&gt;AF51),'Prescriptive Rebate Table'!D110,0))))),"")</f>
        <v>0</v>
      </c>
      <c r="CL51" s="240" t="s">
        <v>2712</v>
      </c>
      <c r="CM51" s="152"/>
      <c r="CN51" s="152"/>
      <c r="CO51" s="152"/>
      <c r="CP51" s="146">
        <f t="shared" si="14"/>
        <v>0</v>
      </c>
      <c r="CQ51" s="153">
        <f>IF(D51="Interior",ROUND(($AG51*AF51)/1000*$AM51*(Lookups!$B$54-$AA51)*$AN51*$AO51,3),0)</f>
        <v>0</v>
      </c>
      <c r="CR51" s="153">
        <f>IFERROR(IF(D51="Interior",ROUND(($AG51*$AF51)/1000*(Lookups!$C$54-$AB51)*$AN51*AQ51*AT51,6),0),"")</f>
        <v>0</v>
      </c>
      <c r="CS51" s="165">
        <f t="shared" si="34"/>
        <v>0</v>
      </c>
      <c r="CT51" s="165">
        <f t="shared" si="35"/>
        <v>0</v>
      </c>
      <c r="CV51" s="153">
        <f>IF(D51="Interior",ROUND(($AG51*AF51)/1000*$AM51*(Lookups!$B$43-$AA51)*$AN51*$AO51,3),0)</f>
        <v>0</v>
      </c>
      <c r="CW51" s="153">
        <f>IFERROR(IF(D51="Interior",ROUND(($AG51*$AF51)/1000*(Lookups!$C$43-$AB51)*$AN51*AQ51*AT51,6),0),"")</f>
        <v>0</v>
      </c>
      <c r="CX51" s="165">
        <f t="shared" si="36"/>
        <v>0</v>
      </c>
      <c r="CY51" s="165">
        <f t="shared" si="37"/>
        <v>0</v>
      </c>
      <c r="DA51" s="153">
        <f>IF(D51="Interior",ROUND(($AG51*AF51*(1-0.15))/1000*$AM51*(Lookups!$B$43+0.097-$AA51)*$AN51*$AO51+((W51*V51)/1000*AN51*AM51*AO51*0.15),3),0)</f>
        <v>0</v>
      </c>
      <c r="DB51" s="153">
        <f>IFERROR(IF(D51="Interior",ROUND(($AG51*$AF51)/1000*(Lookups!$C$43+0.097-$AB51)*$AN51*AQ51*AT51+(($AG51*$AF51)/1000*$AN51*AQ51*AT51*0.15),6),0),"")</f>
        <v>0</v>
      </c>
      <c r="DC51" s="165">
        <f t="shared" si="38"/>
        <v>0</v>
      </c>
      <c r="DD51" s="165">
        <f t="shared" si="39"/>
        <v>0</v>
      </c>
    </row>
    <row r="52" spans="1:108" s="164" customFormat="1">
      <c r="A52" s="150">
        <v>48</v>
      </c>
      <c r="B52" s="153" t="str">
        <f>IFERROR(INDEX(Lookups!$B$2:$B$38,MATCH('Project Info &amp; Summary'!$C$19,Lookups!$A$2:$A$38,0)),"")</f>
        <v/>
      </c>
      <c r="C52" s="153" t="str">
        <f>IFERROR(INDEX(Lookups!$C$2:$C$38,MATCH('Project Info &amp; Summary'!$C$19,Lookups!$A$2:$A$38,0)),"")</f>
        <v/>
      </c>
      <c r="D52" s="163"/>
      <c r="E52" s="160"/>
      <c r="F52" s="158"/>
      <c r="G52" s="158"/>
      <c r="H52" s="158"/>
      <c r="I52" s="158"/>
      <c r="J52" s="154" t="str">
        <f>IFERROR(INDEX(Lookups!$W$21:$W$26,MATCH(I52,Lookups!$V$21:$V$26,0)),"")</f>
        <v/>
      </c>
      <c r="K52" s="158"/>
      <c r="L52" s="162" t="str">
        <f>IFERROR(INDEX(Lookups!$Y$2:$Y$19,MATCH(_xlfn.CONCAT(I52,K52),Lookups!$X$2:$X$19,0)),"")</f>
        <v/>
      </c>
      <c r="M52" s="158"/>
      <c r="N52" s="153" t="str">
        <f>IFERROR(INDEX('Prescriptive Rebate Table'!$M$3:$M$20,MATCH(M52,'Prescriptive Rebate Table'!$L$3:$L$20,0)),"")</f>
        <v/>
      </c>
      <c r="O52" s="158"/>
      <c r="P52" s="154" t="str">
        <f>IFERROR(INDEX('Prescriptive Rebate Table'!$B$2:$H$64, MATCH(O52,'Prescriptive Rebate Table'!$C$2:$C$64,0),7),"")</f>
        <v/>
      </c>
      <c r="Q52" s="155" t="str">
        <f>IFERROR(INDEX('Prescriptive Rebate Table'!$B$2:$I$64, MATCH(O52,'Prescriptive Rebate Table'!$C$2:$C$64,0),8),"")</f>
        <v/>
      </c>
      <c r="R52" s="155" t="str">
        <f>IFERROR(INDEX('Prescriptive Rebate Table'!$B$2:$J$64, MATCH(O52,'Prescriptive Rebate Table'!$C$2:$C$64,0),9),"")</f>
        <v/>
      </c>
      <c r="S52" s="160"/>
      <c r="T52" s="145" t="str">
        <f>IFERROR(INDEX('Fixture Codes'!$M$8:$M$976,MATCH(S52,'Fixture Codes'!$B$8:$B$976,0)),"")</f>
        <v/>
      </c>
      <c r="U52" s="145" t="str">
        <f>IFERROR(INDEX('Fixture Codes'!$B$7:$M$976,MATCH(T52,'Fixture Codes'!$B$7:$B$976,0),5),"")</f>
        <v/>
      </c>
      <c r="V52" s="160"/>
      <c r="W52" s="145" t="str">
        <f>IFERROR(INDEX('Fixture Codes'!$L$8:$L$976,MATCH(T52,'Fixture Codes'!$B$8:$B$976,0)),"")</f>
        <v/>
      </c>
      <c r="X52" s="158"/>
      <c r="Y52" s="159"/>
      <c r="Z52" s="155" t="str">
        <f>IFERROR(INDEX(Lookups!B$68:B$87,MATCH($X52,Lookups!$A$68:$A$87,0)),"")</f>
        <v/>
      </c>
      <c r="AA52" s="150" t="str">
        <f>IFERROR(INDEX(Lookups!B$42:B$62,MATCH($X52,Lookups!$A$42:$A$62,0)),"")</f>
        <v/>
      </c>
      <c r="AB52" s="150" t="str">
        <f>IFERROR(INDEX(Lookups!C$42:C$62,MATCH($X52,Lookups!$A$42:$A$62,0)),"")</f>
        <v/>
      </c>
      <c r="AC52" s="160"/>
      <c r="AD52" s="160"/>
      <c r="AE52" s="150" t="str">
        <f>IFERROR(INDEX('Fixture Codes'!$B$7:$M$976,MATCH(AD52,'Fixture Codes'!$B$7:$B$976,0),5),"")</f>
        <v/>
      </c>
      <c r="AF52" s="160"/>
      <c r="AG52" s="145" t="str">
        <f>IFERROR(INDEX('Fixture Codes'!$L$8:$L$976,MATCH(AD52,'Fixture Codes'!$B$8:$B$976,0)),"")</f>
        <v/>
      </c>
      <c r="AH52" s="158"/>
      <c r="AI52" s="160"/>
      <c r="AJ52" s="150" t="str">
        <f>IFERROR(INDEX(Lookups!B$68:B$87,MATCH($AH52,Lookups!$A$68:$A$87,0)),"")</f>
        <v/>
      </c>
      <c r="AK52" s="150" t="str">
        <f>IFERROR(INDEX(Lookups!B$42:B$62,MATCH($AH52,Lookups!$A$42:$A$62,0)),"")</f>
        <v/>
      </c>
      <c r="AL52" s="150" t="str">
        <f>IFERROR(INDEX(Lookups!C$42:C$62,MATCH($AH52,Lookups!$A$42:$A$62,0)),"")</f>
        <v/>
      </c>
      <c r="AM52" s="150" t="str">
        <f>IFERROR(IF(M52="Exit Signs",8760,IF(INDEX('Fixture Codes'!$C$8:$C$976,MATCH(AD52,'Fixture Codes'!$B$8:$B$976,0))="Exit Sign",8760,INDEX(Lookups!$I$2:$I$428,MATCH(_xlfn.CONCAT(B52,H52),Lookups!$H$2:$H$428,0)))),"")</f>
        <v/>
      </c>
      <c r="AN52" s="153">
        <v>1</v>
      </c>
      <c r="AO52" s="150" t="str">
        <f>IF($D52="Interior",INDEX(Lookups!Q$2:Q$86,MATCH(_xlfn.CONCAT($C52,$L52),Lookups!$P$2:$P$86,0)),IF($D52="Exterior",1,""))</f>
        <v/>
      </c>
      <c r="AP52" s="150">
        <f t="shared" si="19"/>
        <v>1</v>
      </c>
      <c r="AQ52" s="150" t="str">
        <f>IF($D52="Interior",INDEX(Lookups!R$2:R$86,MATCH(_xlfn.CONCAT($C52,$L52),Lookups!$P$2:$P$86,0)),IF($D52="Exterior",1,""))</f>
        <v/>
      </c>
      <c r="AR52" s="150" t="str">
        <f>IF($D52="Interior",INDEX(Lookups!S$2:S$86,MATCH(_xlfn.CONCAT($C52,$L52),Lookups!$P$2:$P$86,0)),IF($D52="Exterior",1,""))</f>
        <v/>
      </c>
      <c r="AS52" s="150" t="str">
        <f>IF($D52="Interior",INDEX(Lookups!T$2:T$86,MATCH(_xlfn.CONCAT($C52,$L52),Lookups!$P$2:$P$86,0)),IF($D52="Exterior",1,""))</f>
        <v/>
      </c>
      <c r="AT52" s="150" t="str">
        <f>IFERROR(IF(M52="Exit Signs",1,IF(INDEX('Fixture Codes'!$C$8:$C$976,MATCH($AD52,'Fixture Codes'!$B$8:$B$976,0))="Exit Sign",1,INDEX(Lookups!J$2:J$428,MATCH(_xlfn.CONCAT($B52,$H52),Lookups!$H$2:$H$428,0)))),"")</f>
        <v/>
      </c>
      <c r="AU52" s="150" t="str">
        <f>IFERROR(IF(M52="Exit Signs",1,IF(INDEX('Fixture Codes'!$C$8:$C$976,MATCH($AD52,'Fixture Codes'!$B$8:$B$976,0))="Exit Sign",1,INDEX(Lookups!K$2:K$428,MATCH(_xlfn.CONCAT($B52,$H52),Lookups!$H$2:$H$428,0)))),"")</f>
        <v/>
      </c>
      <c r="AV52" s="150" t="str">
        <f>IFERROR(IF(M52="Exit Signs",1,IF(INDEX('Fixture Codes'!$C$8:$C$976,MATCH($AD52,'Fixture Codes'!$B$8:$B$976,0))="Exit Sign",1,INDEX(Lookups!L$2:L$428,MATCH(_xlfn.CONCAT($B52,$H52),Lookups!$H$2:$H$428,0)))),"")</f>
        <v/>
      </c>
      <c r="AW52" s="150" t="str">
        <f>IF(ISBLANK(K52),"",IF(K52="Gas",INDEX(Lookups!$AG$2:$AG$63,MATCH(O52,Lookups!$AD$2:$AD$63,0),0),0))</f>
        <v/>
      </c>
      <c r="AX52" s="150" t="str">
        <f>IF(ISBLANK(K52),"",IF(K52="Gas",INDEX(Lookups!$AF$2:$AF$63,MATCH(O52,Lookups!$AD$2:$AD$63,0),0),0))</f>
        <v/>
      </c>
      <c r="AY52" s="150" t="str">
        <f>IF(ISBLANK(K52),"",IF(K52="Gas",INDEX(Lookups!$AH$2:$AH$63,MATCH(O52,Lookups!$AD$2:$AD$63,0),0),0))</f>
        <v/>
      </c>
      <c r="AZ52" s="150" t="str">
        <f>IF(ISBLANK(K52),"",IF(K52="Gas",INDEX(Lookups!$AI$2:$AI$63,MATCH(O52,Lookups!$AD$2:$AD$63,0),0),0))</f>
        <v/>
      </c>
      <c r="BA52" s="150" t="str">
        <f t="shared" si="0"/>
        <v/>
      </c>
      <c r="BB52" s="156" t="str">
        <f>IF(ISBLANK(AH52),"",IF(AH52="None",0,IF(K52="Gas",INDEX(Lookups!$AF$51:$AF$69,MATCH(AH52,Lookups!$AD$51:$AD$69,0),0),0)))</f>
        <v/>
      </c>
      <c r="BC52" s="156" t="str">
        <f>IF(ISBLANK(AH52),"",IF(AH52="None",0,IF(K52="Gas",INDEX(Lookups!$AH$51:$AH$69,MATCH(AH52,Lookups!$AD$51:$AD$69,0),0),0)))</f>
        <v/>
      </c>
      <c r="BD52" s="156" t="str">
        <f>IF(ISBLANK(AH52),"",IF(AH52="None",0,IF(K52="Gas",INDEX(Lookups!$AI$51:$AI$69,MATCH(AH52,Lookups!$AD$51:$AD$69,0),0),0)))</f>
        <v/>
      </c>
      <c r="BE52" s="157"/>
      <c r="BF52" s="157"/>
      <c r="BG52" s="147" t="str">
        <f t="shared" si="20"/>
        <v/>
      </c>
      <c r="BH52" s="147" t="str">
        <f t="shared" si="21"/>
        <v/>
      </c>
      <c r="BI52" s="147" t="str">
        <f t="shared" si="1"/>
        <v/>
      </c>
      <c r="BJ52" s="147" t="str">
        <f t="shared" si="2"/>
        <v/>
      </c>
      <c r="BK52" s="148" t="str">
        <f t="shared" si="22"/>
        <v/>
      </c>
      <c r="BL52" s="147" t="str">
        <f t="shared" si="3"/>
        <v/>
      </c>
      <c r="BM52" s="148" t="str">
        <f t="shared" si="23"/>
        <v/>
      </c>
      <c r="BN52" s="147" t="str">
        <f t="shared" si="24"/>
        <v/>
      </c>
      <c r="BO52" s="147" t="str">
        <f t="shared" si="24"/>
        <v/>
      </c>
      <c r="BP52" s="147" t="str">
        <f t="shared" si="25"/>
        <v/>
      </c>
      <c r="BQ52" s="148" t="str">
        <f t="shared" si="26"/>
        <v/>
      </c>
      <c r="BR52" s="148" t="str">
        <f t="shared" si="27"/>
        <v/>
      </c>
      <c r="BS52" s="148" t="str">
        <f t="shared" si="28"/>
        <v/>
      </c>
      <c r="BT52" s="148" t="str">
        <f t="shared" si="7"/>
        <v/>
      </c>
      <c r="BU52" s="148" t="str">
        <f t="shared" si="8"/>
        <v/>
      </c>
      <c r="BV52" s="148" t="str">
        <f t="shared" si="9"/>
        <v/>
      </c>
      <c r="BW52" s="148" t="str">
        <f t="shared" si="29"/>
        <v/>
      </c>
      <c r="BX52" s="148" t="str">
        <f t="shared" si="10"/>
        <v/>
      </c>
      <c r="BY52" s="148" t="str">
        <f t="shared" si="11"/>
        <v/>
      </c>
      <c r="BZ52" s="149" t="str">
        <f>IFERROR(INDEX('Prescriptive Rebate Table'!$B$2:$E$64,MATCH(O52,'Prescriptive Rebate Table'!$C$2:$C$64,0),3),"")</f>
        <v/>
      </c>
      <c r="CA52" s="145" t="str">
        <f>IFERROR(INDEX('Prescriptive Rebate Table'!$B$2:$E$64,MATCH(O52,'Prescriptive Rebate Table'!$C$2:$C$64,0),4),"")</f>
        <v/>
      </c>
      <c r="CB52" s="149" t="str">
        <f t="shared" si="30"/>
        <v/>
      </c>
      <c r="CC52" s="145" t="str">
        <f t="shared" si="31"/>
        <v/>
      </c>
      <c r="CD52" s="149" t="str">
        <f t="shared" si="12"/>
        <v/>
      </c>
      <c r="CE52" s="149" t="str">
        <f t="shared" si="13"/>
        <v/>
      </c>
      <c r="CF52" s="149" t="str">
        <f>IF(BK52&lt;=0,0,IFERROR(IF(OR(ISBLANK(AC52),ISBLANK(CD52))=TRUE,"",IF(CA52="Per Foot",INDEX('Fixture Codes'!$I$8:$I$976,MATCH(AD52,'Fixture Codes'!$B$8:$B$976,0))/12*AF52*BZ52,IF(CA52="Lamp",INDEX('Fixture Codes'!$J$8:$J$976,MATCH(AD52,'Fixture Codes'!$B$8:$B$976,0))*AF52*BZ52,IF(CA52="Fixture",AF52*BZ52,IF(CA52="kWh",BK52*BZ52,0))))),""))</f>
        <v/>
      </c>
      <c r="CG52" s="149" t="str">
        <f t="shared" si="32"/>
        <v/>
      </c>
      <c r="CH52" s="149" t="str">
        <f t="shared" si="33"/>
        <v/>
      </c>
      <c r="CI52" s="152"/>
      <c r="CJ52" s="146"/>
      <c r="CK52" s="241">
        <f>IFERROR(IF(CL52="Yes",'Prescriptive Rebate Table'!$D$69,IF(ISBLANK(AI52),0,IF(AND(AH52=Lookups!$A$62,BK52&gt;0),'Prescriptive Rebate Table'!$D$68,IF(AND(BK52&gt;0,CJ52=AF52),'Prescriptive Rebate Table'!$D$67,IF(AND(BK52&gt;0,CJ52&lt;&gt;AF52),'Prescriptive Rebate Table'!D111,0))))),"")</f>
        <v>0</v>
      </c>
      <c r="CL52" s="240" t="s">
        <v>2712</v>
      </c>
      <c r="CM52" s="152"/>
      <c r="CN52" s="152"/>
      <c r="CO52" s="152"/>
      <c r="CP52" s="146">
        <f t="shared" si="14"/>
        <v>0</v>
      </c>
      <c r="CQ52" s="153">
        <f>IF(D52="Interior",ROUND(($AG52*AF52)/1000*$AM52*(Lookups!$B$54-$AA52)*$AN52*$AO52,3),0)</f>
        <v>0</v>
      </c>
      <c r="CR52" s="153">
        <f>IFERROR(IF(D52="Interior",ROUND(($AG52*$AF52)/1000*(Lookups!$C$54-$AB52)*$AN52*AQ52*AT52,6),0),"")</f>
        <v>0</v>
      </c>
      <c r="CS52" s="165">
        <f t="shared" si="34"/>
        <v>0</v>
      </c>
      <c r="CT52" s="165">
        <f t="shared" si="35"/>
        <v>0</v>
      </c>
      <c r="CV52" s="153">
        <f>IF(D52="Interior",ROUND(($AG52*AF52)/1000*$AM52*(Lookups!$B$43-$AA52)*$AN52*$AO52,3),0)</f>
        <v>0</v>
      </c>
      <c r="CW52" s="153">
        <f>IFERROR(IF(D52="Interior",ROUND(($AG52*$AF52)/1000*(Lookups!$C$43-$AB52)*$AN52*AQ52*AT52,6),0),"")</f>
        <v>0</v>
      </c>
      <c r="CX52" s="165">
        <f t="shared" si="36"/>
        <v>0</v>
      </c>
      <c r="CY52" s="165">
        <f t="shared" si="37"/>
        <v>0</v>
      </c>
      <c r="DA52" s="153">
        <f>IF(D52="Interior",ROUND(($AG52*AF52*(1-0.15))/1000*$AM52*(Lookups!$B$43+0.097-$AA52)*$AN52*$AO52+((W52*V52)/1000*AN52*AM52*AO52*0.15),3),0)</f>
        <v>0</v>
      </c>
      <c r="DB52" s="153">
        <f>IFERROR(IF(D52="Interior",ROUND(($AG52*$AF52)/1000*(Lookups!$C$43+0.097-$AB52)*$AN52*AQ52*AT52+(($AG52*$AF52)/1000*$AN52*AQ52*AT52*0.15),6),0),"")</f>
        <v>0</v>
      </c>
      <c r="DC52" s="165">
        <f t="shared" si="38"/>
        <v>0</v>
      </c>
      <c r="DD52" s="165">
        <f t="shared" si="39"/>
        <v>0</v>
      </c>
    </row>
    <row r="53" spans="1:108" s="164" customFormat="1">
      <c r="A53" s="150">
        <v>49</v>
      </c>
      <c r="B53" s="153" t="str">
        <f>IFERROR(INDEX(Lookups!$B$2:$B$38,MATCH('Project Info &amp; Summary'!$C$19,Lookups!$A$2:$A$38,0)),"")</f>
        <v/>
      </c>
      <c r="C53" s="153" t="str">
        <f>IFERROR(INDEX(Lookups!$C$2:$C$38,MATCH('Project Info &amp; Summary'!$C$19,Lookups!$A$2:$A$38,0)),"")</f>
        <v/>
      </c>
      <c r="D53" s="163"/>
      <c r="E53" s="160"/>
      <c r="F53" s="158"/>
      <c r="G53" s="158"/>
      <c r="H53" s="158"/>
      <c r="I53" s="158"/>
      <c r="J53" s="154" t="str">
        <f>IFERROR(INDEX(Lookups!$W$21:$W$26,MATCH(I53,Lookups!$V$21:$V$26,0)),"")</f>
        <v/>
      </c>
      <c r="K53" s="158"/>
      <c r="L53" s="162" t="str">
        <f>IFERROR(INDEX(Lookups!$Y$2:$Y$19,MATCH(_xlfn.CONCAT(I53,K53),Lookups!$X$2:$X$19,0)),"")</f>
        <v/>
      </c>
      <c r="M53" s="158"/>
      <c r="N53" s="153" t="str">
        <f>IFERROR(INDEX('Prescriptive Rebate Table'!$M$3:$M$20,MATCH(M53,'Prescriptive Rebate Table'!$L$3:$L$20,0)),"")</f>
        <v/>
      </c>
      <c r="O53" s="158"/>
      <c r="P53" s="154" t="str">
        <f>IFERROR(INDEX('Prescriptive Rebate Table'!$B$2:$H$64, MATCH(O53,'Prescriptive Rebate Table'!$C$2:$C$64,0),7),"")</f>
        <v/>
      </c>
      <c r="Q53" s="155" t="str">
        <f>IFERROR(INDEX('Prescriptive Rebate Table'!$B$2:$I$64, MATCH(O53,'Prescriptive Rebate Table'!$C$2:$C$64,0),8),"")</f>
        <v/>
      </c>
      <c r="R53" s="155" t="str">
        <f>IFERROR(INDEX('Prescriptive Rebate Table'!$B$2:$J$64, MATCH(O53,'Prescriptive Rebate Table'!$C$2:$C$64,0),9),"")</f>
        <v/>
      </c>
      <c r="S53" s="160"/>
      <c r="T53" s="145" t="str">
        <f>IFERROR(INDEX('Fixture Codes'!$M$8:$M$976,MATCH(S53,'Fixture Codes'!$B$8:$B$976,0)),"")</f>
        <v/>
      </c>
      <c r="U53" s="145" t="str">
        <f>IFERROR(INDEX('Fixture Codes'!$B$7:$M$976,MATCH(T53,'Fixture Codes'!$B$7:$B$976,0),5),"")</f>
        <v/>
      </c>
      <c r="V53" s="160"/>
      <c r="W53" s="145" t="str">
        <f>IFERROR(INDEX('Fixture Codes'!$L$8:$L$976,MATCH(T53,'Fixture Codes'!$B$8:$B$976,0)),"")</f>
        <v/>
      </c>
      <c r="X53" s="158"/>
      <c r="Y53" s="159"/>
      <c r="Z53" s="155" t="str">
        <f>IFERROR(INDEX(Lookups!B$68:B$87,MATCH($X53,Lookups!$A$68:$A$87,0)),"")</f>
        <v/>
      </c>
      <c r="AA53" s="150" t="str">
        <f>IFERROR(INDEX(Lookups!B$42:B$62,MATCH($X53,Lookups!$A$42:$A$62,0)),"")</f>
        <v/>
      </c>
      <c r="AB53" s="150" t="str">
        <f>IFERROR(INDEX(Lookups!C$42:C$62,MATCH($X53,Lookups!$A$42:$A$62,0)),"")</f>
        <v/>
      </c>
      <c r="AC53" s="160"/>
      <c r="AD53" s="160"/>
      <c r="AE53" s="150" t="str">
        <f>IFERROR(INDEX('Fixture Codes'!$B$7:$M$976,MATCH(AD53,'Fixture Codes'!$B$7:$B$976,0),5),"")</f>
        <v/>
      </c>
      <c r="AF53" s="160"/>
      <c r="AG53" s="145" t="str">
        <f>IFERROR(INDEX('Fixture Codes'!$L$8:$L$976,MATCH(AD53,'Fixture Codes'!$B$8:$B$976,0)),"")</f>
        <v/>
      </c>
      <c r="AH53" s="158"/>
      <c r="AI53" s="160"/>
      <c r="AJ53" s="150" t="str">
        <f>IFERROR(INDEX(Lookups!B$68:B$87,MATCH($AH53,Lookups!$A$68:$A$87,0)),"")</f>
        <v/>
      </c>
      <c r="AK53" s="150" t="str">
        <f>IFERROR(INDEX(Lookups!B$42:B$62,MATCH($AH53,Lookups!$A$42:$A$62,0)),"")</f>
        <v/>
      </c>
      <c r="AL53" s="150" t="str">
        <f>IFERROR(INDEX(Lookups!C$42:C$62,MATCH($AH53,Lookups!$A$42:$A$62,0)),"")</f>
        <v/>
      </c>
      <c r="AM53" s="150" t="str">
        <f>IFERROR(IF(M53="Exit Signs",8760,IF(INDEX('Fixture Codes'!$C$8:$C$976,MATCH(AD53,'Fixture Codes'!$B$8:$B$976,0))="Exit Sign",8760,INDEX(Lookups!$I$2:$I$428,MATCH(_xlfn.CONCAT(B53,H53),Lookups!$H$2:$H$428,0)))),"")</f>
        <v/>
      </c>
      <c r="AN53" s="153">
        <v>1</v>
      </c>
      <c r="AO53" s="150" t="str">
        <f>IF($D53="Interior",INDEX(Lookups!Q$2:Q$86,MATCH(_xlfn.CONCAT($C53,$L53),Lookups!$P$2:$P$86,0)),IF($D53="Exterior",1,""))</f>
        <v/>
      </c>
      <c r="AP53" s="150">
        <f t="shared" si="19"/>
        <v>1</v>
      </c>
      <c r="AQ53" s="150" t="str">
        <f>IF($D53="Interior",INDEX(Lookups!R$2:R$86,MATCH(_xlfn.CONCAT($C53,$L53),Lookups!$P$2:$P$86,0)),IF($D53="Exterior",1,""))</f>
        <v/>
      </c>
      <c r="AR53" s="150" t="str">
        <f>IF($D53="Interior",INDEX(Lookups!S$2:S$86,MATCH(_xlfn.CONCAT($C53,$L53),Lookups!$P$2:$P$86,0)),IF($D53="Exterior",1,""))</f>
        <v/>
      </c>
      <c r="AS53" s="150" t="str">
        <f>IF($D53="Interior",INDEX(Lookups!T$2:T$86,MATCH(_xlfn.CONCAT($C53,$L53),Lookups!$P$2:$P$86,0)),IF($D53="Exterior",1,""))</f>
        <v/>
      </c>
      <c r="AT53" s="150" t="str">
        <f>IFERROR(IF(M53="Exit Signs",1,IF(INDEX('Fixture Codes'!$C$8:$C$976,MATCH($AD53,'Fixture Codes'!$B$8:$B$976,0))="Exit Sign",1,INDEX(Lookups!J$2:J$428,MATCH(_xlfn.CONCAT($B53,$H53),Lookups!$H$2:$H$428,0)))),"")</f>
        <v/>
      </c>
      <c r="AU53" s="150" t="str">
        <f>IFERROR(IF(M53="Exit Signs",1,IF(INDEX('Fixture Codes'!$C$8:$C$976,MATCH($AD53,'Fixture Codes'!$B$8:$B$976,0))="Exit Sign",1,INDEX(Lookups!K$2:K$428,MATCH(_xlfn.CONCAT($B53,$H53),Lookups!$H$2:$H$428,0)))),"")</f>
        <v/>
      </c>
      <c r="AV53" s="150" t="str">
        <f>IFERROR(IF(M53="Exit Signs",1,IF(INDEX('Fixture Codes'!$C$8:$C$976,MATCH($AD53,'Fixture Codes'!$B$8:$B$976,0))="Exit Sign",1,INDEX(Lookups!L$2:L$428,MATCH(_xlfn.CONCAT($B53,$H53),Lookups!$H$2:$H$428,0)))),"")</f>
        <v/>
      </c>
      <c r="AW53" s="150" t="str">
        <f>IF(ISBLANK(K53),"",IF(K53="Gas",INDEX(Lookups!$AG$2:$AG$63,MATCH(O53,Lookups!$AD$2:$AD$63,0),0),0))</f>
        <v/>
      </c>
      <c r="AX53" s="150" t="str">
        <f>IF(ISBLANK(K53),"",IF(K53="Gas",INDEX(Lookups!$AF$2:$AF$63,MATCH(O53,Lookups!$AD$2:$AD$63,0),0),0))</f>
        <v/>
      </c>
      <c r="AY53" s="150" t="str">
        <f>IF(ISBLANK(K53),"",IF(K53="Gas",INDEX(Lookups!$AH$2:$AH$63,MATCH(O53,Lookups!$AD$2:$AD$63,0),0),0))</f>
        <v/>
      </c>
      <c r="AZ53" s="150" t="str">
        <f>IF(ISBLANK(K53),"",IF(K53="Gas",INDEX(Lookups!$AI$2:$AI$63,MATCH(O53,Lookups!$AD$2:$AD$63,0),0),0))</f>
        <v/>
      </c>
      <c r="BA53" s="150" t="str">
        <f t="shared" si="0"/>
        <v/>
      </c>
      <c r="BB53" s="156" t="str">
        <f>IF(ISBLANK(AH53),"",IF(AH53="None",0,IF(K53="Gas",INDEX(Lookups!$AF$51:$AF$69,MATCH(AH53,Lookups!$AD$51:$AD$69,0),0),0)))</f>
        <v/>
      </c>
      <c r="BC53" s="156" t="str">
        <f>IF(ISBLANK(AH53),"",IF(AH53="None",0,IF(K53="Gas",INDEX(Lookups!$AH$51:$AH$69,MATCH(AH53,Lookups!$AD$51:$AD$69,0),0),0)))</f>
        <v/>
      </c>
      <c r="BD53" s="156" t="str">
        <f>IF(ISBLANK(AH53),"",IF(AH53="None",0,IF(K53="Gas",INDEX(Lookups!$AI$51:$AI$69,MATCH(AH53,Lookups!$AD$51:$AD$69,0),0),0)))</f>
        <v/>
      </c>
      <c r="BE53" s="157"/>
      <c r="BF53" s="157"/>
      <c r="BG53" s="147" t="str">
        <f t="shared" si="20"/>
        <v/>
      </c>
      <c r="BH53" s="147" t="str">
        <f t="shared" si="21"/>
        <v/>
      </c>
      <c r="BI53" s="147" t="str">
        <f t="shared" si="1"/>
        <v/>
      </c>
      <c r="BJ53" s="147" t="str">
        <f t="shared" si="2"/>
        <v/>
      </c>
      <c r="BK53" s="148" t="str">
        <f t="shared" si="22"/>
        <v/>
      </c>
      <c r="BL53" s="147" t="str">
        <f t="shared" si="3"/>
        <v/>
      </c>
      <c r="BM53" s="148" t="str">
        <f t="shared" si="23"/>
        <v/>
      </c>
      <c r="BN53" s="147" t="str">
        <f t="shared" si="24"/>
        <v/>
      </c>
      <c r="BO53" s="147" t="str">
        <f t="shared" si="24"/>
        <v/>
      </c>
      <c r="BP53" s="147" t="str">
        <f t="shared" si="25"/>
        <v/>
      </c>
      <c r="BQ53" s="148" t="str">
        <f t="shared" si="26"/>
        <v/>
      </c>
      <c r="BR53" s="148" t="str">
        <f t="shared" si="27"/>
        <v/>
      </c>
      <c r="BS53" s="148" t="str">
        <f t="shared" si="28"/>
        <v/>
      </c>
      <c r="BT53" s="148" t="str">
        <f t="shared" si="7"/>
        <v/>
      </c>
      <c r="BU53" s="148" t="str">
        <f t="shared" si="8"/>
        <v/>
      </c>
      <c r="BV53" s="148" t="str">
        <f t="shared" si="9"/>
        <v/>
      </c>
      <c r="BW53" s="148" t="str">
        <f t="shared" si="29"/>
        <v/>
      </c>
      <c r="BX53" s="148" t="str">
        <f t="shared" si="10"/>
        <v/>
      </c>
      <c r="BY53" s="148" t="str">
        <f t="shared" si="11"/>
        <v/>
      </c>
      <c r="BZ53" s="149" t="str">
        <f>IFERROR(INDEX('Prescriptive Rebate Table'!$B$2:$E$64,MATCH(O53,'Prescriptive Rebate Table'!$C$2:$C$64,0),3),"")</f>
        <v/>
      </c>
      <c r="CA53" s="145" t="str">
        <f>IFERROR(INDEX('Prescriptive Rebate Table'!$B$2:$E$64,MATCH(O53,'Prescriptive Rebate Table'!$C$2:$C$64,0),4),"")</f>
        <v/>
      </c>
      <c r="CB53" s="149" t="str">
        <f t="shared" si="30"/>
        <v/>
      </c>
      <c r="CC53" s="145" t="str">
        <f t="shared" si="31"/>
        <v/>
      </c>
      <c r="CD53" s="149" t="str">
        <f t="shared" si="12"/>
        <v/>
      </c>
      <c r="CE53" s="149" t="str">
        <f t="shared" si="13"/>
        <v/>
      </c>
      <c r="CF53" s="149" t="str">
        <f>IF(BK53&lt;=0,0,IFERROR(IF(OR(ISBLANK(AC53),ISBLANK(CD53))=TRUE,"",IF(CA53="Per Foot",INDEX('Fixture Codes'!$I$8:$I$976,MATCH(AD53,'Fixture Codes'!$B$8:$B$976,0))/12*AF53*BZ53,IF(CA53="Lamp",INDEX('Fixture Codes'!$J$8:$J$976,MATCH(AD53,'Fixture Codes'!$B$8:$B$976,0))*AF53*BZ53,IF(CA53="Fixture",AF53*BZ53,IF(CA53="kWh",BK53*BZ53,0))))),""))</f>
        <v/>
      </c>
      <c r="CG53" s="149" t="str">
        <f t="shared" si="32"/>
        <v/>
      </c>
      <c r="CH53" s="149" t="str">
        <f t="shared" si="33"/>
        <v/>
      </c>
      <c r="CI53" s="152"/>
      <c r="CJ53" s="146"/>
      <c r="CK53" s="241">
        <f>IFERROR(IF(CL53="Yes",'Prescriptive Rebate Table'!$D$69,IF(ISBLANK(AI53),0,IF(AND(AH53=Lookups!$A$62,BK53&gt;0),'Prescriptive Rebate Table'!$D$68,IF(AND(BK53&gt;0,CJ53=AF53),'Prescriptive Rebate Table'!$D$67,IF(AND(BK53&gt;0,CJ53&lt;&gt;AF53),'Prescriptive Rebate Table'!D112,0))))),"")</f>
        <v>0</v>
      </c>
      <c r="CL53" s="240" t="s">
        <v>2712</v>
      </c>
      <c r="CM53" s="152"/>
      <c r="CN53" s="152"/>
      <c r="CO53" s="152"/>
      <c r="CP53" s="146">
        <f t="shared" si="14"/>
        <v>0</v>
      </c>
      <c r="CQ53" s="153">
        <f>IF(D53="Interior",ROUND(($AG53*AF53)/1000*$AM53*(Lookups!$B$54-$AA53)*$AN53*$AO53,3),0)</f>
        <v>0</v>
      </c>
      <c r="CR53" s="153">
        <f>IFERROR(IF(D53="Interior",ROUND(($AG53*$AF53)/1000*(Lookups!$C$54-$AB53)*$AN53*AQ53*AT53,6),0),"")</f>
        <v>0</v>
      </c>
      <c r="CS53" s="165">
        <f t="shared" si="34"/>
        <v>0</v>
      </c>
      <c r="CT53" s="165">
        <f t="shared" si="35"/>
        <v>0</v>
      </c>
      <c r="CV53" s="153">
        <f>IF(D53="Interior",ROUND(($AG53*AF53)/1000*$AM53*(Lookups!$B$43-$AA53)*$AN53*$AO53,3),0)</f>
        <v>0</v>
      </c>
      <c r="CW53" s="153">
        <f>IFERROR(IF(D53="Interior",ROUND(($AG53*$AF53)/1000*(Lookups!$C$43-$AB53)*$AN53*AQ53*AT53,6),0),"")</f>
        <v>0</v>
      </c>
      <c r="CX53" s="165">
        <f t="shared" si="36"/>
        <v>0</v>
      </c>
      <c r="CY53" s="165">
        <f t="shared" si="37"/>
        <v>0</v>
      </c>
      <c r="DA53" s="153">
        <f>IF(D53="Interior",ROUND(($AG53*AF53*(1-0.15))/1000*$AM53*(Lookups!$B$43+0.097-$AA53)*$AN53*$AO53+((W53*V53)/1000*AN53*AM53*AO53*0.15),3),0)</f>
        <v>0</v>
      </c>
      <c r="DB53" s="153">
        <f>IFERROR(IF(D53="Interior",ROUND(($AG53*$AF53)/1000*(Lookups!$C$43+0.097-$AB53)*$AN53*AQ53*AT53+(($AG53*$AF53)/1000*$AN53*AQ53*AT53*0.15),6),0),"")</f>
        <v>0</v>
      </c>
      <c r="DC53" s="165">
        <f t="shared" si="38"/>
        <v>0</v>
      </c>
      <c r="DD53" s="165">
        <f t="shared" si="39"/>
        <v>0</v>
      </c>
    </row>
    <row r="54" spans="1:108" s="164" customFormat="1">
      <c r="A54" s="150">
        <v>50</v>
      </c>
      <c r="B54" s="153" t="str">
        <f>IFERROR(INDEX(Lookups!$B$2:$B$38,MATCH('Project Info &amp; Summary'!$C$19,Lookups!$A$2:$A$38,0)),"")</f>
        <v/>
      </c>
      <c r="C54" s="153" t="str">
        <f>IFERROR(INDEX(Lookups!$C$2:$C$38,MATCH('Project Info &amp; Summary'!$C$19,Lookups!$A$2:$A$38,0)),"")</f>
        <v/>
      </c>
      <c r="D54" s="163"/>
      <c r="E54" s="160"/>
      <c r="F54" s="158"/>
      <c r="G54" s="158"/>
      <c r="H54" s="158"/>
      <c r="I54" s="158"/>
      <c r="J54" s="154" t="str">
        <f>IFERROR(INDEX(Lookups!$W$21:$W$26,MATCH(I54,Lookups!$V$21:$V$26,0)),"")</f>
        <v/>
      </c>
      <c r="K54" s="158"/>
      <c r="L54" s="162" t="str">
        <f>IFERROR(INDEX(Lookups!$Y$2:$Y$19,MATCH(_xlfn.CONCAT(I54,K54),Lookups!$X$2:$X$19,0)),"")</f>
        <v/>
      </c>
      <c r="M54" s="158"/>
      <c r="N54" s="153" t="str">
        <f>IFERROR(INDEX('Prescriptive Rebate Table'!$M$3:$M$20,MATCH(M54,'Prescriptive Rebate Table'!$L$3:$L$20,0)),"")</f>
        <v/>
      </c>
      <c r="O54" s="158"/>
      <c r="P54" s="154" t="str">
        <f>IFERROR(INDEX('Prescriptive Rebate Table'!$B$2:$H$64, MATCH(O54,'Prescriptive Rebate Table'!$C$2:$C$64,0),7),"")</f>
        <v/>
      </c>
      <c r="Q54" s="155" t="str">
        <f>IFERROR(INDEX('Prescriptive Rebate Table'!$B$2:$I$64, MATCH(O54,'Prescriptive Rebate Table'!$C$2:$C$64,0),8),"")</f>
        <v/>
      </c>
      <c r="R54" s="155" t="str">
        <f>IFERROR(INDEX('Prescriptive Rebate Table'!$B$2:$J$64, MATCH(O54,'Prescriptive Rebate Table'!$C$2:$C$64,0),9),"")</f>
        <v/>
      </c>
      <c r="S54" s="160"/>
      <c r="T54" s="145" t="str">
        <f>IFERROR(INDEX('Fixture Codes'!$M$8:$M$976,MATCH(S54,'Fixture Codes'!$B$8:$B$976,0)),"")</f>
        <v/>
      </c>
      <c r="U54" s="145" t="str">
        <f>IFERROR(INDEX('Fixture Codes'!$B$7:$M$976,MATCH(T54,'Fixture Codes'!$B$7:$B$976,0),5),"")</f>
        <v/>
      </c>
      <c r="V54" s="160"/>
      <c r="W54" s="145" t="str">
        <f>IFERROR(INDEX('Fixture Codes'!$L$8:$L$976,MATCH(T54,'Fixture Codes'!$B$8:$B$976,0)),"")</f>
        <v/>
      </c>
      <c r="X54" s="158"/>
      <c r="Y54" s="159"/>
      <c r="Z54" s="155" t="str">
        <f>IFERROR(INDEX(Lookups!B$68:B$87,MATCH($X54,Lookups!$A$68:$A$87,0)),"")</f>
        <v/>
      </c>
      <c r="AA54" s="150" t="str">
        <f>IFERROR(INDEX(Lookups!B$42:B$62,MATCH($X54,Lookups!$A$42:$A$62,0)),"")</f>
        <v/>
      </c>
      <c r="AB54" s="150" t="str">
        <f>IFERROR(INDEX(Lookups!C$42:C$62,MATCH($X54,Lookups!$A$42:$A$62,0)),"")</f>
        <v/>
      </c>
      <c r="AC54" s="160"/>
      <c r="AD54" s="160"/>
      <c r="AE54" s="150" t="str">
        <f>IFERROR(INDEX('Fixture Codes'!$B$7:$M$976,MATCH(AD54,'Fixture Codes'!$B$7:$B$976,0),5),"")</f>
        <v/>
      </c>
      <c r="AF54" s="160"/>
      <c r="AG54" s="145" t="str">
        <f>IFERROR(INDEX('Fixture Codes'!$L$8:$L$976,MATCH(AD54,'Fixture Codes'!$B$8:$B$976,0)),"")</f>
        <v/>
      </c>
      <c r="AH54" s="158"/>
      <c r="AI54" s="160"/>
      <c r="AJ54" s="150" t="str">
        <f>IFERROR(INDEX(Lookups!B$68:B$87,MATCH($AH54,Lookups!$A$68:$A$87,0)),"")</f>
        <v/>
      </c>
      <c r="AK54" s="150" t="str">
        <f>IFERROR(INDEX(Lookups!B$42:B$62,MATCH($AH54,Lookups!$A$42:$A$62,0)),"")</f>
        <v/>
      </c>
      <c r="AL54" s="150" t="str">
        <f>IFERROR(INDEX(Lookups!C$42:C$62,MATCH($AH54,Lookups!$A$42:$A$62,0)),"")</f>
        <v/>
      </c>
      <c r="AM54" s="150" t="str">
        <f>IFERROR(IF(M54="Exit Signs",8760,IF(INDEX('Fixture Codes'!$C$8:$C$976,MATCH(AD54,'Fixture Codes'!$B$8:$B$976,0))="Exit Sign",8760,INDEX(Lookups!$I$2:$I$428,MATCH(_xlfn.CONCAT(B54,H54),Lookups!$H$2:$H$428,0)))),"")</f>
        <v/>
      </c>
      <c r="AN54" s="153">
        <v>1</v>
      </c>
      <c r="AO54" s="150" t="str">
        <f>IF($D54="Interior",INDEX(Lookups!Q$2:Q$86,MATCH(_xlfn.CONCAT($C54,$L54),Lookups!$P$2:$P$86,0)),IF($D54="Exterior",1,""))</f>
        <v/>
      </c>
      <c r="AP54" s="150">
        <f t="shared" si="19"/>
        <v>1</v>
      </c>
      <c r="AQ54" s="150" t="str">
        <f>IF($D54="Interior",INDEX(Lookups!R$2:R$86,MATCH(_xlfn.CONCAT($C54,$L54),Lookups!$P$2:$P$86,0)),IF($D54="Exterior",1,""))</f>
        <v/>
      </c>
      <c r="AR54" s="150" t="str">
        <f>IF($D54="Interior",INDEX(Lookups!S$2:S$86,MATCH(_xlfn.CONCAT($C54,$L54),Lookups!$P$2:$P$86,0)),IF($D54="Exterior",1,""))</f>
        <v/>
      </c>
      <c r="AS54" s="150" t="str">
        <f>IF($D54="Interior",INDEX(Lookups!T$2:T$86,MATCH(_xlfn.CONCAT($C54,$L54),Lookups!$P$2:$P$86,0)),IF($D54="Exterior",1,""))</f>
        <v/>
      </c>
      <c r="AT54" s="150" t="str">
        <f>IFERROR(IF(M54="Exit Signs",1,IF(INDEX('Fixture Codes'!$C$8:$C$976,MATCH($AD54,'Fixture Codes'!$B$8:$B$976,0))="Exit Sign",1,INDEX(Lookups!J$2:J$428,MATCH(_xlfn.CONCAT($B54,$H54),Lookups!$H$2:$H$428,0)))),"")</f>
        <v/>
      </c>
      <c r="AU54" s="150" t="str">
        <f>IFERROR(IF(M54="Exit Signs",1,IF(INDEX('Fixture Codes'!$C$8:$C$976,MATCH($AD54,'Fixture Codes'!$B$8:$B$976,0))="Exit Sign",1,INDEX(Lookups!K$2:K$428,MATCH(_xlfn.CONCAT($B54,$H54),Lookups!$H$2:$H$428,0)))),"")</f>
        <v/>
      </c>
      <c r="AV54" s="150" t="str">
        <f>IFERROR(IF(M54="Exit Signs",1,IF(INDEX('Fixture Codes'!$C$8:$C$976,MATCH($AD54,'Fixture Codes'!$B$8:$B$976,0))="Exit Sign",1,INDEX(Lookups!L$2:L$428,MATCH(_xlfn.CONCAT($B54,$H54),Lookups!$H$2:$H$428,0)))),"")</f>
        <v/>
      </c>
      <c r="AW54" s="150" t="str">
        <f>IF(ISBLANK(K54),"",IF(K54="Gas",INDEX(Lookups!$AG$2:$AG$63,MATCH(O54,Lookups!$AD$2:$AD$63,0),0),0))</f>
        <v/>
      </c>
      <c r="AX54" s="150" t="str">
        <f>IF(ISBLANK(K54),"",IF(K54="Gas",INDEX(Lookups!$AF$2:$AF$63,MATCH(O54,Lookups!$AD$2:$AD$63,0),0),0))</f>
        <v/>
      </c>
      <c r="AY54" s="150" t="str">
        <f>IF(ISBLANK(K54),"",IF(K54="Gas",INDEX(Lookups!$AH$2:$AH$63,MATCH(O54,Lookups!$AD$2:$AD$63,0),0),0))</f>
        <v/>
      </c>
      <c r="AZ54" s="150" t="str">
        <f>IF(ISBLANK(K54),"",IF(K54="Gas",INDEX(Lookups!$AI$2:$AI$63,MATCH(O54,Lookups!$AD$2:$AD$63,0),0),0))</f>
        <v/>
      </c>
      <c r="BA54" s="150" t="str">
        <f t="shared" si="0"/>
        <v/>
      </c>
      <c r="BB54" s="156" t="str">
        <f>IF(ISBLANK(AH54),"",IF(AH54="None",0,IF(K54="Gas",INDEX(Lookups!$AF$51:$AF$69,MATCH(AH54,Lookups!$AD$51:$AD$69,0),0),0)))</f>
        <v/>
      </c>
      <c r="BC54" s="156" t="str">
        <f>IF(ISBLANK(AH54),"",IF(AH54="None",0,IF(K54="Gas",INDEX(Lookups!$AH$51:$AH$69,MATCH(AH54,Lookups!$AD$51:$AD$69,0),0),0)))</f>
        <v/>
      </c>
      <c r="BD54" s="156" t="str">
        <f>IF(ISBLANK(AH54),"",IF(AH54="None",0,IF(K54="Gas",INDEX(Lookups!$AI$51:$AI$69,MATCH(AH54,Lookups!$AD$51:$AD$69,0),0),0)))</f>
        <v/>
      </c>
      <c r="BE54" s="157"/>
      <c r="BF54" s="157"/>
      <c r="BG54" s="147" t="str">
        <f t="shared" si="20"/>
        <v/>
      </c>
      <c r="BH54" s="147" t="str">
        <f t="shared" si="21"/>
        <v/>
      </c>
      <c r="BI54" s="147" t="str">
        <f t="shared" si="1"/>
        <v/>
      </c>
      <c r="BJ54" s="147" t="str">
        <f t="shared" si="2"/>
        <v/>
      </c>
      <c r="BK54" s="148" t="str">
        <f t="shared" si="22"/>
        <v/>
      </c>
      <c r="BL54" s="147" t="str">
        <f t="shared" si="3"/>
        <v/>
      </c>
      <c r="BM54" s="148" t="str">
        <f t="shared" si="23"/>
        <v/>
      </c>
      <c r="BN54" s="147" t="str">
        <f t="shared" si="24"/>
        <v/>
      </c>
      <c r="BO54" s="147" t="str">
        <f t="shared" si="24"/>
        <v/>
      </c>
      <c r="BP54" s="147" t="str">
        <f t="shared" si="25"/>
        <v/>
      </c>
      <c r="BQ54" s="148" t="str">
        <f t="shared" si="26"/>
        <v/>
      </c>
      <c r="BR54" s="148" t="str">
        <f t="shared" si="27"/>
        <v/>
      </c>
      <c r="BS54" s="148" t="str">
        <f t="shared" si="28"/>
        <v/>
      </c>
      <c r="BT54" s="148" t="str">
        <f t="shared" si="7"/>
        <v/>
      </c>
      <c r="BU54" s="148" t="str">
        <f t="shared" si="8"/>
        <v/>
      </c>
      <c r="BV54" s="148" t="str">
        <f t="shared" si="9"/>
        <v/>
      </c>
      <c r="BW54" s="148" t="str">
        <f t="shared" si="29"/>
        <v/>
      </c>
      <c r="BX54" s="148" t="str">
        <f t="shared" si="10"/>
        <v/>
      </c>
      <c r="BY54" s="148" t="str">
        <f t="shared" si="11"/>
        <v/>
      </c>
      <c r="BZ54" s="149" t="str">
        <f>IFERROR(INDEX('Prescriptive Rebate Table'!$B$2:$E$64,MATCH(O54,'Prescriptive Rebate Table'!$C$2:$C$64,0),3),"")</f>
        <v/>
      </c>
      <c r="CA54" s="145" t="str">
        <f>IFERROR(INDEX('Prescriptive Rebate Table'!$B$2:$E$64,MATCH(O54,'Prescriptive Rebate Table'!$C$2:$C$64,0),4),"")</f>
        <v/>
      </c>
      <c r="CB54" s="149" t="str">
        <f t="shared" si="30"/>
        <v/>
      </c>
      <c r="CC54" s="145" t="str">
        <f t="shared" si="31"/>
        <v/>
      </c>
      <c r="CD54" s="149" t="str">
        <f t="shared" si="12"/>
        <v/>
      </c>
      <c r="CE54" s="149" t="str">
        <f t="shared" si="13"/>
        <v/>
      </c>
      <c r="CF54" s="149" t="str">
        <f>IF(BK54&lt;=0,0,IFERROR(IF(OR(ISBLANK(AC54),ISBLANK(CD54))=TRUE,"",IF(CA54="Per Foot",INDEX('Fixture Codes'!$I$8:$I$976,MATCH(AD54,'Fixture Codes'!$B$8:$B$976,0))/12*AF54*BZ54,IF(CA54="Lamp",INDEX('Fixture Codes'!$J$8:$J$976,MATCH(AD54,'Fixture Codes'!$B$8:$B$976,0))*AF54*BZ54,IF(CA54="Fixture",AF54*BZ54,IF(CA54="kWh",BK54*BZ54,0))))),""))</f>
        <v/>
      </c>
      <c r="CG54" s="149" t="str">
        <f t="shared" si="32"/>
        <v/>
      </c>
      <c r="CH54" s="149" t="str">
        <f t="shared" si="33"/>
        <v/>
      </c>
      <c r="CI54" s="152"/>
      <c r="CJ54" s="146"/>
      <c r="CK54" s="241">
        <f>IFERROR(IF(CL54="Yes",'Prescriptive Rebate Table'!$D$69,IF(ISBLANK(AI54),0,IF(AND(AH54=Lookups!$A$62,BK54&gt;0),'Prescriptive Rebate Table'!$D$68,IF(AND(BK54&gt;0,CJ54=AF54),'Prescriptive Rebate Table'!$D$67,IF(AND(BK54&gt;0,CJ54&lt;&gt;AF54),'Prescriptive Rebate Table'!D113,0))))),"")</f>
        <v>0</v>
      </c>
      <c r="CL54" s="240" t="s">
        <v>2712</v>
      </c>
      <c r="CM54" s="152"/>
      <c r="CN54" s="152"/>
      <c r="CO54" s="152"/>
      <c r="CP54" s="146">
        <f t="shared" si="14"/>
        <v>0</v>
      </c>
      <c r="CQ54" s="153">
        <f>IF(D54="Interior",ROUND(($AG54*AF54)/1000*$AM54*(Lookups!$B$54-$AA54)*$AN54*$AO54,3),0)</f>
        <v>0</v>
      </c>
      <c r="CR54" s="153">
        <f>IFERROR(IF(D54="Interior",ROUND(($AG54*$AF54)/1000*(Lookups!$C$54-$AB54)*$AN54*AQ54*AT54,6),0),"")</f>
        <v>0</v>
      </c>
      <c r="CS54" s="165">
        <f t="shared" si="34"/>
        <v>0</v>
      </c>
      <c r="CT54" s="165">
        <f t="shared" si="35"/>
        <v>0</v>
      </c>
      <c r="CV54" s="153">
        <f>IF(D54="Interior",ROUND(($AG54*AF54)/1000*$AM54*(Lookups!$B$43-$AA54)*$AN54*$AO54,3),0)</f>
        <v>0</v>
      </c>
      <c r="CW54" s="153">
        <f>IFERROR(IF(D54="Interior",ROUND(($AG54*$AF54)/1000*(Lookups!$C$43-$AB54)*$AN54*AQ54*AT54,6),0),"")</f>
        <v>0</v>
      </c>
      <c r="CX54" s="165">
        <f t="shared" si="36"/>
        <v>0</v>
      </c>
      <c r="CY54" s="165">
        <f t="shared" si="37"/>
        <v>0</v>
      </c>
      <c r="DA54" s="153">
        <f>IF(D54="Interior",ROUND(($AG54*AF54*(1-0.15))/1000*$AM54*(Lookups!$B$43+0.097-$AA54)*$AN54*$AO54+((W54*V54)/1000*AN54*AM54*AO54*0.15),3),0)</f>
        <v>0</v>
      </c>
      <c r="DB54" s="153">
        <f>IFERROR(IF(D54="Interior",ROUND(($AG54*$AF54)/1000*(Lookups!$C$43+0.097-$AB54)*$AN54*AQ54*AT54+(($AG54*$AF54)/1000*$AN54*AQ54*AT54*0.15),6),0),"")</f>
        <v>0</v>
      </c>
      <c r="DC54" s="165">
        <f t="shared" si="38"/>
        <v>0</v>
      </c>
      <c r="DD54" s="165">
        <f t="shared" si="39"/>
        <v>0</v>
      </c>
    </row>
    <row r="55" spans="1:108" s="164" customFormat="1">
      <c r="A55" s="150">
        <v>51</v>
      </c>
      <c r="B55" s="153" t="str">
        <f>IFERROR(INDEX(Lookups!$B$2:$B$38,MATCH('Project Info &amp; Summary'!$C$19,Lookups!$A$2:$A$38,0)),"")</f>
        <v/>
      </c>
      <c r="C55" s="153" t="str">
        <f>IFERROR(INDEX(Lookups!$C$2:$C$38,MATCH('Project Info &amp; Summary'!$C$19,Lookups!$A$2:$A$38,0)),"")</f>
        <v/>
      </c>
      <c r="D55" s="163"/>
      <c r="E55" s="160"/>
      <c r="F55" s="158"/>
      <c r="G55" s="158"/>
      <c r="H55" s="158"/>
      <c r="I55" s="158"/>
      <c r="J55" s="154" t="str">
        <f>IFERROR(INDEX(Lookups!$W$21:$W$26,MATCH(I55,Lookups!$V$21:$V$26,0)),"")</f>
        <v/>
      </c>
      <c r="K55" s="158"/>
      <c r="L55" s="162" t="str">
        <f>IFERROR(INDEX(Lookups!$Y$2:$Y$19,MATCH(_xlfn.CONCAT(I55,K55),Lookups!$X$2:$X$19,0)),"")</f>
        <v/>
      </c>
      <c r="M55" s="158"/>
      <c r="N55" s="153" t="str">
        <f>IFERROR(INDEX('Prescriptive Rebate Table'!$M$3:$M$20,MATCH(M55,'Prescriptive Rebate Table'!$L$3:$L$20,0)),"")</f>
        <v/>
      </c>
      <c r="O55" s="158"/>
      <c r="P55" s="154" t="str">
        <f>IFERROR(INDEX('Prescriptive Rebate Table'!$B$2:$H$64, MATCH(O55,'Prescriptive Rebate Table'!$C$2:$C$64,0),7),"")</f>
        <v/>
      </c>
      <c r="Q55" s="155" t="str">
        <f>IFERROR(INDEX('Prescriptive Rebate Table'!$B$2:$I$64, MATCH(O55,'Prescriptive Rebate Table'!$C$2:$C$64,0),8),"")</f>
        <v/>
      </c>
      <c r="R55" s="155" t="str">
        <f>IFERROR(INDEX('Prescriptive Rebate Table'!$B$2:$J$64, MATCH(O55,'Prescriptive Rebate Table'!$C$2:$C$64,0),9),"")</f>
        <v/>
      </c>
      <c r="S55" s="160"/>
      <c r="T55" s="145" t="str">
        <f>IFERROR(INDEX('Fixture Codes'!$M$8:$M$976,MATCH(S55,'Fixture Codes'!$B$8:$B$976,0)),"")</f>
        <v/>
      </c>
      <c r="U55" s="145" t="str">
        <f>IFERROR(INDEX('Fixture Codes'!$B$7:$M$976,MATCH(T55,'Fixture Codes'!$B$7:$B$976,0),5),"")</f>
        <v/>
      </c>
      <c r="V55" s="160"/>
      <c r="W55" s="145" t="str">
        <f>IFERROR(INDEX('Fixture Codes'!$L$8:$L$976,MATCH(T55,'Fixture Codes'!$B$8:$B$976,0)),"")</f>
        <v/>
      </c>
      <c r="X55" s="158"/>
      <c r="Y55" s="159"/>
      <c r="Z55" s="155" t="str">
        <f>IFERROR(INDEX(Lookups!B$68:B$87,MATCH($X55,Lookups!$A$68:$A$87,0)),"")</f>
        <v/>
      </c>
      <c r="AA55" s="150" t="str">
        <f>IFERROR(INDEX(Lookups!B$42:B$62,MATCH($X55,Lookups!$A$42:$A$62,0)),"")</f>
        <v/>
      </c>
      <c r="AB55" s="150" t="str">
        <f>IFERROR(INDEX(Lookups!C$42:C$62,MATCH($X55,Lookups!$A$42:$A$62,0)),"")</f>
        <v/>
      </c>
      <c r="AC55" s="160"/>
      <c r="AD55" s="160"/>
      <c r="AE55" s="150" t="str">
        <f>IFERROR(INDEX('Fixture Codes'!$B$7:$M$976,MATCH(AD55,'Fixture Codes'!$B$7:$B$976,0),5),"")</f>
        <v/>
      </c>
      <c r="AF55" s="160"/>
      <c r="AG55" s="145" t="str">
        <f>IFERROR(INDEX('Fixture Codes'!$L$8:$L$976,MATCH(AD55,'Fixture Codes'!$B$8:$B$976,0)),"")</f>
        <v/>
      </c>
      <c r="AH55" s="158"/>
      <c r="AI55" s="160"/>
      <c r="AJ55" s="150" t="str">
        <f>IFERROR(INDEX(Lookups!B$68:B$87,MATCH($AH55,Lookups!$A$68:$A$87,0)),"")</f>
        <v/>
      </c>
      <c r="AK55" s="150" t="str">
        <f>IFERROR(INDEX(Lookups!B$42:B$62,MATCH($AH55,Lookups!$A$42:$A$62,0)),"")</f>
        <v/>
      </c>
      <c r="AL55" s="150" t="str">
        <f>IFERROR(INDEX(Lookups!C$42:C$62,MATCH($AH55,Lookups!$A$42:$A$62,0)),"")</f>
        <v/>
      </c>
      <c r="AM55" s="150" t="str">
        <f>IFERROR(IF(M55="Exit Signs",8760,IF(INDEX('Fixture Codes'!$C$8:$C$976,MATCH(AD55,'Fixture Codes'!$B$8:$B$976,0))="Exit Sign",8760,INDEX(Lookups!$I$2:$I$428,MATCH(_xlfn.CONCAT(B55,H55),Lookups!$H$2:$H$428,0)))),"")</f>
        <v/>
      </c>
      <c r="AN55" s="153">
        <v>1</v>
      </c>
      <c r="AO55" s="150" t="str">
        <f>IF($D55="Interior",INDEX(Lookups!Q$2:Q$86,MATCH(_xlfn.CONCAT($C55,$L55),Lookups!$P$2:$P$86,0)),IF($D55="Exterior",1,""))</f>
        <v/>
      </c>
      <c r="AP55" s="150">
        <f t="shared" si="19"/>
        <v>1</v>
      </c>
      <c r="AQ55" s="150" t="str">
        <f>IF($D55="Interior",INDEX(Lookups!R$2:R$86,MATCH(_xlfn.CONCAT($C55,$L55),Lookups!$P$2:$P$86,0)),IF($D55="Exterior",1,""))</f>
        <v/>
      </c>
      <c r="AR55" s="150" t="str">
        <f>IF($D55="Interior",INDEX(Lookups!S$2:S$86,MATCH(_xlfn.CONCAT($C55,$L55),Lookups!$P$2:$P$86,0)),IF($D55="Exterior",1,""))</f>
        <v/>
      </c>
      <c r="AS55" s="150" t="str">
        <f>IF($D55="Interior",INDEX(Lookups!T$2:T$86,MATCH(_xlfn.CONCAT($C55,$L55),Lookups!$P$2:$P$86,0)),IF($D55="Exterior",1,""))</f>
        <v/>
      </c>
      <c r="AT55" s="150" t="str">
        <f>IFERROR(IF(M55="Exit Signs",1,IF(INDEX('Fixture Codes'!$C$8:$C$976,MATCH($AD55,'Fixture Codes'!$B$8:$B$976,0))="Exit Sign",1,INDEX(Lookups!J$2:J$428,MATCH(_xlfn.CONCAT($B55,$H55),Lookups!$H$2:$H$428,0)))),"")</f>
        <v/>
      </c>
      <c r="AU55" s="150" t="str">
        <f>IFERROR(IF(M55="Exit Signs",1,IF(INDEX('Fixture Codes'!$C$8:$C$976,MATCH($AD55,'Fixture Codes'!$B$8:$B$976,0))="Exit Sign",1,INDEX(Lookups!K$2:K$428,MATCH(_xlfn.CONCAT($B55,$H55),Lookups!$H$2:$H$428,0)))),"")</f>
        <v/>
      </c>
      <c r="AV55" s="150" t="str">
        <f>IFERROR(IF(M55="Exit Signs",1,IF(INDEX('Fixture Codes'!$C$8:$C$976,MATCH($AD55,'Fixture Codes'!$B$8:$B$976,0))="Exit Sign",1,INDEX(Lookups!L$2:L$428,MATCH(_xlfn.CONCAT($B55,$H55),Lookups!$H$2:$H$428,0)))),"")</f>
        <v/>
      </c>
      <c r="AW55" s="150" t="str">
        <f>IF(ISBLANK(K55),"",IF(K55="Gas",INDEX(Lookups!$AG$2:$AG$63,MATCH(O55,Lookups!$AD$2:$AD$63,0),0),0))</f>
        <v/>
      </c>
      <c r="AX55" s="150" t="str">
        <f>IF(ISBLANK(K55),"",IF(K55="Gas",INDEX(Lookups!$AF$2:$AF$63,MATCH(O55,Lookups!$AD$2:$AD$63,0),0),0))</f>
        <v/>
      </c>
      <c r="AY55" s="150" t="str">
        <f>IF(ISBLANK(K55),"",IF(K55="Gas",INDEX(Lookups!$AH$2:$AH$63,MATCH(O55,Lookups!$AD$2:$AD$63,0),0),0))</f>
        <v/>
      </c>
      <c r="AZ55" s="150" t="str">
        <f>IF(ISBLANK(K55),"",IF(K55="Gas",INDEX(Lookups!$AI$2:$AI$63,MATCH(O55,Lookups!$AD$2:$AD$63,0),0),0))</f>
        <v/>
      </c>
      <c r="BA55" s="150" t="str">
        <f t="shared" si="0"/>
        <v/>
      </c>
      <c r="BB55" s="156" t="str">
        <f>IF(ISBLANK(AH55),"",IF(AH55="None",0,IF(K55="Gas",INDEX(Lookups!$AF$51:$AF$69,MATCH(AH55,Lookups!$AD$51:$AD$69,0),0),0)))</f>
        <v/>
      </c>
      <c r="BC55" s="156" t="str">
        <f>IF(ISBLANK(AH55),"",IF(AH55="None",0,IF(K55="Gas",INDEX(Lookups!$AH$51:$AH$69,MATCH(AH55,Lookups!$AD$51:$AD$69,0),0),0)))</f>
        <v/>
      </c>
      <c r="BD55" s="156" t="str">
        <f>IF(ISBLANK(AH55),"",IF(AH55="None",0,IF(K55="Gas",INDEX(Lookups!$AI$51:$AI$69,MATCH(AH55,Lookups!$AD$51:$AD$69,0),0),0)))</f>
        <v/>
      </c>
      <c r="BE55" s="157"/>
      <c r="BF55" s="157"/>
      <c r="BG55" s="147" t="str">
        <f t="shared" si="20"/>
        <v/>
      </c>
      <c r="BH55" s="147" t="str">
        <f t="shared" si="21"/>
        <v/>
      </c>
      <c r="BI55" s="147" t="str">
        <f t="shared" si="1"/>
        <v/>
      </c>
      <c r="BJ55" s="147" t="str">
        <f t="shared" si="2"/>
        <v/>
      </c>
      <c r="BK55" s="148" t="str">
        <f t="shared" si="22"/>
        <v/>
      </c>
      <c r="BL55" s="147" t="str">
        <f t="shared" si="3"/>
        <v/>
      </c>
      <c r="BM55" s="148" t="str">
        <f t="shared" si="23"/>
        <v/>
      </c>
      <c r="BN55" s="147" t="str">
        <f t="shared" si="24"/>
        <v/>
      </c>
      <c r="BO55" s="147" t="str">
        <f t="shared" si="24"/>
        <v/>
      </c>
      <c r="BP55" s="147" t="str">
        <f t="shared" si="25"/>
        <v/>
      </c>
      <c r="BQ55" s="148" t="str">
        <f t="shared" si="26"/>
        <v/>
      </c>
      <c r="BR55" s="148" t="str">
        <f t="shared" si="27"/>
        <v/>
      </c>
      <c r="BS55" s="148" t="str">
        <f t="shared" si="28"/>
        <v/>
      </c>
      <c r="BT55" s="148" t="str">
        <f t="shared" si="7"/>
        <v/>
      </c>
      <c r="BU55" s="148" t="str">
        <f t="shared" si="8"/>
        <v/>
      </c>
      <c r="BV55" s="148" t="str">
        <f t="shared" si="9"/>
        <v/>
      </c>
      <c r="BW55" s="148" t="str">
        <f t="shared" si="29"/>
        <v/>
      </c>
      <c r="BX55" s="148" t="str">
        <f t="shared" si="10"/>
        <v/>
      </c>
      <c r="BY55" s="148" t="str">
        <f t="shared" si="11"/>
        <v/>
      </c>
      <c r="BZ55" s="149" t="str">
        <f>IFERROR(INDEX('Prescriptive Rebate Table'!$B$2:$E$64,MATCH(O55,'Prescriptive Rebate Table'!$C$2:$C$64,0),3),"")</f>
        <v/>
      </c>
      <c r="CA55" s="145" t="str">
        <f>IFERROR(INDEX('Prescriptive Rebate Table'!$B$2:$E$64,MATCH(O55,'Prescriptive Rebate Table'!$C$2:$C$64,0),4),"")</f>
        <v/>
      </c>
      <c r="CB55" s="149" t="str">
        <f t="shared" si="30"/>
        <v/>
      </c>
      <c r="CC55" s="145" t="str">
        <f t="shared" si="31"/>
        <v/>
      </c>
      <c r="CD55" s="149" t="str">
        <f t="shared" si="12"/>
        <v/>
      </c>
      <c r="CE55" s="149" t="str">
        <f t="shared" si="13"/>
        <v/>
      </c>
      <c r="CF55" s="149" t="str">
        <f>IF(BK55&lt;=0,0,IFERROR(IF(OR(ISBLANK(AC55),ISBLANK(CD55))=TRUE,"",IF(CA55="Per Foot",INDEX('Fixture Codes'!$I$8:$I$976,MATCH(AD55,'Fixture Codes'!$B$8:$B$976,0))/12*AF55*BZ55,IF(CA55="Lamp",INDEX('Fixture Codes'!$J$8:$J$976,MATCH(AD55,'Fixture Codes'!$B$8:$B$976,0))*AF55*BZ55,IF(CA55="Fixture",AF55*BZ55,IF(CA55="kWh",BK55*BZ55,0))))),""))</f>
        <v/>
      </c>
      <c r="CG55" s="149" t="str">
        <f t="shared" si="32"/>
        <v/>
      </c>
      <c r="CH55" s="149" t="str">
        <f t="shared" si="33"/>
        <v/>
      </c>
      <c r="CI55" s="152"/>
      <c r="CJ55" s="146"/>
      <c r="CK55" s="241">
        <f>IFERROR(IF(CL55="Yes",'Prescriptive Rebate Table'!$D$69,IF(ISBLANK(AI55),0,IF(AND(AH55=Lookups!$A$62,BK55&gt;0),'Prescriptive Rebate Table'!$D$68,IF(AND(BK55&gt;0,CJ55=AF55),'Prescriptive Rebate Table'!$D$67,IF(AND(BK55&gt;0,CJ55&lt;&gt;AF55),'Prescriptive Rebate Table'!D114,0))))),"")</f>
        <v>0</v>
      </c>
      <c r="CL55" s="240" t="s">
        <v>2712</v>
      </c>
      <c r="CM55" s="152"/>
      <c r="CN55" s="152"/>
      <c r="CO55" s="152"/>
      <c r="CP55" s="146">
        <f t="shared" si="14"/>
        <v>0</v>
      </c>
      <c r="CQ55" s="153">
        <f>IF(D55="Interior",ROUND(($AG55*AF55)/1000*$AM55*(Lookups!$B$54-$AA55)*$AN55*$AO55,3),0)</f>
        <v>0</v>
      </c>
      <c r="CR55" s="153">
        <f>IFERROR(IF(D55="Interior",ROUND(($AG55*$AF55)/1000*(Lookups!$C$54-$AB55)*$AN55*AQ55*AT55,6),0),"")</f>
        <v>0</v>
      </c>
      <c r="CS55" s="165">
        <f t="shared" si="34"/>
        <v>0</v>
      </c>
      <c r="CT55" s="165">
        <f t="shared" si="35"/>
        <v>0</v>
      </c>
      <c r="CV55" s="153">
        <f>IF(D55="Interior",ROUND(($AG55*AF55)/1000*$AM55*(Lookups!$B$43-$AA55)*$AN55*$AO55,3),0)</f>
        <v>0</v>
      </c>
      <c r="CW55" s="153">
        <f>IFERROR(IF(D55="Interior",ROUND(($AG55*$AF55)/1000*(Lookups!$C$43-$AB55)*$AN55*AQ55*AT55,6),0),"")</f>
        <v>0</v>
      </c>
      <c r="CX55" s="165">
        <f t="shared" si="36"/>
        <v>0</v>
      </c>
      <c r="CY55" s="165">
        <f t="shared" si="37"/>
        <v>0</v>
      </c>
      <c r="DA55" s="153">
        <f>IF(D55="Interior",ROUND(($AG55*AF55*(1-0.15))/1000*$AM55*(Lookups!$B$43+0.097-$AA55)*$AN55*$AO55+((W55*V55)/1000*AN55*AM55*AO55*0.15),3),0)</f>
        <v>0</v>
      </c>
      <c r="DB55" s="153">
        <f>IFERROR(IF(D55="Interior",ROUND(($AG55*$AF55)/1000*(Lookups!$C$43+0.097-$AB55)*$AN55*AQ55*AT55+(($AG55*$AF55)/1000*$AN55*AQ55*AT55*0.15),6),0),"")</f>
        <v>0</v>
      </c>
      <c r="DC55" s="165">
        <f t="shared" si="38"/>
        <v>0</v>
      </c>
      <c r="DD55" s="165">
        <f t="shared" si="39"/>
        <v>0</v>
      </c>
    </row>
    <row r="56" spans="1:108" s="164" customFormat="1">
      <c r="A56" s="150">
        <v>52</v>
      </c>
      <c r="B56" s="153" t="str">
        <f>IFERROR(INDEX(Lookups!$B$2:$B$38,MATCH('Project Info &amp; Summary'!$C$19,Lookups!$A$2:$A$38,0)),"")</f>
        <v/>
      </c>
      <c r="C56" s="153" t="str">
        <f>IFERROR(INDEX(Lookups!$C$2:$C$38,MATCH('Project Info &amp; Summary'!$C$19,Lookups!$A$2:$A$38,0)),"")</f>
        <v/>
      </c>
      <c r="D56" s="163"/>
      <c r="E56" s="160"/>
      <c r="F56" s="158"/>
      <c r="G56" s="158"/>
      <c r="H56" s="158"/>
      <c r="I56" s="158"/>
      <c r="J56" s="154" t="str">
        <f>IFERROR(INDEX(Lookups!$W$21:$W$26,MATCH(I56,Lookups!$V$21:$V$26,0)),"")</f>
        <v/>
      </c>
      <c r="K56" s="158"/>
      <c r="L56" s="162" t="str">
        <f>IFERROR(INDEX(Lookups!$Y$2:$Y$19,MATCH(_xlfn.CONCAT(I56,K56),Lookups!$X$2:$X$19,0)),"")</f>
        <v/>
      </c>
      <c r="M56" s="158"/>
      <c r="N56" s="153" t="str">
        <f>IFERROR(INDEX('Prescriptive Rebate Table'!$M$3:$M$20,MATCH(M56,'Prescriptive Rebate Table'!$L$3:$L$20,0)),"")</f>
        <v/>
      </c>
      <c r="O56" s="158"/>
      <c r="P56" s="154" t="str">
        <f>IFERROR(INDEX('Prescriptive Rebate Table'!$B$2:$H$64, MATCH(O56,'Prescriptive Rebate Table'!$C$2:$C$64,0),7),"")</f>
        <v/>
      </c>
      <c r="Q56" s="155" t="str">
        <f>IFERROR(INDEX('Prescriptive Rebate Table'!$B$2:$I$64, MATCH(O56,'Prescriptive Rebate Table'!$C$2:$C$64,0),8),"")</f>
        <v/>
      </c>
      <c r="R56" s="155" t="str">
        <f>IFERROR(INDEX('Prescriptive Rebate Table'!$B$2:$J$64, MATCH(O56,'Prescriptive Rebate Table'!$C$2:$C$64,0),9),"")</f>
        <v/>
      </c>
      <c r="S56" s="160"/>
      <c r="T56" s="145" t="str">
        <f>IFERROR(INDEX('Fixture Codes'!$M$8:$M$976,MATCH(S56,'Fixture Codes'!$B$8:$B$976,0)),"")</f>
        <v/>
      </c>
      <c r="U56" s="145" t="str">
        <f>IFERROR(INDEX('Fixture Codes'!$B$7:$M$976,MATCH(T56,'Fixture Codes'!$B$7:$B$976,0),5),"")</f>
        <v/>
      </c>
      <c r="V56" s="160"/>
      <c r="W56" s="145" t="str">
        <f>IFERROR(INDEX('Fixture Codes'!$L$8:$L$976,MATCH(T56,'Fixture Codes'!$B$8:$B$976,0)),"")</f>
        <v/>
      </c>
      <c r="X56" s="158"/>
      <c r="Y56" s="159"/>
      <c r="Z56" s="155" t="str">
        <f>IFERROR(INDEX(Lookups!B$68:B$87,MATCH($X56,Lookups!$A$68:$A$87,0)),"")</f>
        <v/>
      </c>
      <c r="AA56" s="150" t="str">
        <f>IFERROR(INDEX(Lookups!B$42:B$62,MATCH($X56,Lookups!$A$42:$A$62,0)),"")</f>
        <v/>
      </c>
      <c r="AB56" s="150" t="str">
        <f>IFERROR(INDEX(Lookups!C$42:C$62,MATCH($X56,Lookups!$A$42:$A$62,0)),"")</f>
        <v/>
      </c>
      <c r="AC56" s="160"/>
      <c r="AD56" s="160"/>
      <c r="AE56" s="150" t="str">
        <f>IFERROR(INDEX('Fixture Codes'!$B$7:$M$976,MATCH(AD56,'Fixture Codes'!$B$7:$B$976,0),5),"")</f>
        <v/>
      </c>
      <c r="AF56" s="160"/>
      <c r="AG56" s="145" t="str">
        <f>IFERROR(INDEX('Fixture Codes'!$L$8:$L$976,MATCH(AD56,'Fixture Codes'!$B$8:$B$976,0)),"")</f>
        <v/>
      </c>
      <c r="AH56" s="158"/>
      <c r="AI56" s="160"/>
      <c r="AJ56" s="150" t="str">
        <f>IFERROR(INDEX(Lookups!B$68:B$87,MATCH($AH56,Lookups!$A$68:$A$87,0)),"")</f>
        <v/>
      </c>
      <c r="AK56" s="150" t="str">
        <f>IFERROR(INDEX(Lookups!B$42:B$62,MATCH($AH56,Lookups!$A$42:$A$62,0)),"")</f>
        <v/>
      </c>
      <c r="AL56" s="150" t="str">
        <f>IFERROR(INDEX(Lookups!C$42:C$62,MATCH($AH56,Lookups!$A$42:$A$62,0)),"")</f>
        <v/>
      </c>
      <c r="AM56" s="150" t="str">
        <f>IFERROR(IF(M56="Exit Signs",8760,IF(INDEX('Fixture Codes'!$C$8:$C$976,MATCH(AD56,'Fixture Codes'!$B$8:$B$976,0))="Exit Sign",8760,INDEX(Lookups!$I$2:$I$428,MATCH(_xlfn.CONCAT(B56,H56),Lookups!$H$2:$H$428,0)))),"")</f>
        <v/>
      </c>
      <c r="AN56" s="153">
        <v>1</v>
      </c>
      <c r="AO56" s="150" t="str">
        <f>IF($D56="Interior",INDEX(Lookups!Q$2:Q$86,MATCH(_xlfn.CONCAT($C56,$L56),Lookups!$P$2:$P$86,0)),IF($D56="Exterior",1,""))</f>
        <v/>
      </c>
      <c r="AP56" s="150">
        <f t="shared" si="19"/>
        <v>1</v>
      </c>
      <c r="AQ56" s="150" t="str">
        <f>IF($D56="Interior",INDEX(Lookups!R$2:R$86,MATCH(_xlfn.CONCAT($C56,$L56),Lookups!$P$2:$P$86,0)),IF($D56="Exterior",1,""))</f>
        <v/>
      </c>
      <c r="AR56" s="150" t="str">
        <f>IF($D56="Interior",INDEX(Lookups!S$2:S$86,MATCH(_xlfn.CONCAT($C56,$L56),Lookups!$P$2:$P$86,0)),IF($D56="Exterior",1,""))</f>
        <v/>
      </c>
      <c r="AS56" s="150" t="str">
        <f>IF($D56="Interior",INDEX(Lookups!T$2:T$86,MATCH(_xlfn.CONCAT($C56,$L56),Lookups!$P$2:$P$86,0)),IF($D56="Exterior",1,""))</f>
        <v/>
      </c>
      <c r="AT56" s="150" t="str">
        <f>IFERROR(IF(M56="Exit Signs",1,IF(INDEX('Fixture Codes'!$C$8:$C$976,MATCH($AD56,'Fixture Codes'!$B$8:$B$976,0))="Exit Sign",1,INDEX(Lookups!J$2:J$428,MATCH(_xlfn.CONCAT($B56,$H56),Lookups!$H$2:$H$428,0)))),"")</f>
        <v/>
      </c>
      <c r="AU56" s="150" t="str">
        <f>IFERROR(IF(M56="Exit Signs",1,IF(INDEX('Fixture Codes'!$C$8:$C$976,MATCH($AD56,'Fixture Codes'!$B$8:$B$976,0))="Exit Sign",1,INDEX(Lookups!K$2:K$428,MATCH(_xlfn.CONCAT($B56,$H56),Lookups!$H$2:$H$428,0)))),"")</f>
        <v/>
      </c>
      <c r="AV56" s="150" t="str">
        <f>IFERROR(IF(M56="Exit Signs",1,IF(INDEX('Fixture Codes'!$C$8:$C$976,MATCH($AD56,'Fixture Codes'!$B$8:$B$976,0))="Exit Sign",1,INDEX(Lookups!L$2:L$428,MATCH(_xlfn.CONCAT($B56,$H56),Lookups!$H$2:$H$428,0)))),"")</f>
        <v/>
      </c>
      <c r="AW56" s="150" t="str">
        <f>IF(ISBLANK(K56),"",IF(K56="Gas",INDEX(Lookups!$AG$2:$AG$63,MATCH(O56,Lookups!$AD$2:$AD$63,0),0),0))</f>
        <v/>
      </c>
      <c r="AX56" s="150" t="str">
        <f>IF(ISBLANK(K56),"",IF(K56="Gas",INDEX(Lookups!$AF$2:$AF$63,MATCH(O56,Lookups!$AD$2:$AD$63,0),0),0))</f>
        <v/>
      </c>
      <c r="AY56" s="150" t="str">
        <f>IF(ISBLANK(K56),"",IF(K56="Gas",INDEX(Lookups!$AH$2:$AH$63,MATCH(O56,Lookups!$AD$2:$AD$63,0),0),0))</f>
        <v/>
      </c>
      <c r="AZ56" s="150" t="str">
        <f>IF(ISBLANK(K56),"",IF(K56="Gas",INDEX(Lookups!$AI$2:$AI$63,MATCH(O56,Lookups!$AD$2:$AD$63,0),0),0))</f>
        <v/>
      </c>
      <c r="BA56" s="150" t="str">
        <f t="shared" si="0"/>
        <v/>
      </c>
      <c r="BB56" s="156" t="str">
        <f>IF(ISBLANK(AH56),"",IF(AH56="None",0,IF(K56="Gas",INDEX(Lookups!$AF$51:$AF$69,MATCH(AH56,Lookups!$AD$51:$AD$69,0),0),0)))</f>
        <v/>
      </c>
      <c r="BC56" s="156" t="str">
        <f>IF(ISBLANK(AH56),"",IF(AH56="None",0,IF(K56="Gas",INDEX(Lookups!$AH$51:$AH$69,MATCH(AH56,Lookups!$AD$51:$AD$69,0),0),0)))</f>
        <v/>
      </c>
      <c r="BD56" s="156" t="str">
        <f>IF(ISBLANK(AH56),"",IF(AH56="None",0,IF(K56="Gas",INDEX(Lookups!$AI$51:$AI$69,MATCH(AH56,Lookups!$AD$51:$AD$69,0),0),0)))</f>
        <v/>
      </c>
      <c r="BE56" s="157"/>
      <c r="BF56" s="157"/>
      <c r="BG56" s="147" t="str">
        <f t="shared" si="20"/>
        <v/>
      </c>
      <c r="BH56" s="147" t="str">
        <f t="shared" si="21"/>
        <v/>
      </c>
      <c r="BI56" s="147" t="str">
        <f t="shared" si="1"/>
        <v/>
      </c>
      <c r="BJ56" s="147" t="str">
        <f t="shared" si="2"/>
        <v/>
      </c>
      <c r="BK56" s="148" t="str">
        <f t="shared" si="22"/>
        <v/>
      </c>
      <c r="BL56" s="147" t="str">
        <f t="shared" si="3"/>
        <v/>
      </c>
      <c r="BM56" s="148" t="str">
        <f t="shared" si="23"/>
        <v/>
      </c>
      <c r="BN56" s="147" t="str">
        <f t="shared" si="24"/>
        <v/>
      </c>
      <c r="BO56" s="147" t="str">
        <f t="shared" si="24"/>
        <v/>
      </c>
      <c r="BP56" s="147" t="str">
        <f t="shared" si="25"/>
        <v/>
      </c>
      <c r="BQ56" s="148" t="str">
        <f t="shared" si="26"/>
        <v/>
      </c>
      <c r="BR56" s="148" t="str">
        <f t="shared" si="27"/>
        <v/>
      </c>
      <c r="BS56" s="148" t="str">
        <f t="shared" si="28"/>
        <v/>
      </c>
      <c r="BT56" s="148" t="str">
        <f t="shared" si="7"/>
        <v/>
      </c>
      <c r="BU56" s="148" t="str">
        <f t="shared" si="8"/>
        <v/>
      </c>
      <c r="BV56" s="148" t="str">
        <f t="shared" si="9"/>
        <v/>
      </c>
      <c r="BW56" s="148" t="str">
        <f t="shared" si="29"/>
        <v/>
      </c>
      <c r="BX56" s="148" t="str">
        <f t="shared" si="10"/>
        <v/>
      </c>
      <c r="BY56" s="148" t="str">
        <f t="shared" si="11"/>
        <v/>
      </c>
      <c r="BZ56" s="149" t="str">
        <f>IFERROR(INDEX('Prescriptive Rebate Table'!$B$2:$E$64,MATCH(O56,'Prescriptive Rebate Table'!$C$2:$C$64,0),3),"")</f>
        <v/>
      </c>
      <c r="CA56" s="145" t="str">
        <f>IFERROR(INDEX('Prescriptive Rebate Table'!$B$2:$E$64,MATCH(O56,'Prescriptive Rebate Table'!$C$2:$C$64,0),4),"")</f>
        <v/>
      </c>
      <c r="CB56" s="149" t="str">
        <f t="shared" si="30"/>
        <v/>
      </c>
      <c r="CC56" s="145" t="str">
        <f t="shared" si="31"/>
        <v/>
      </c>
      <c r="CD56" s="149" t="str">
        <f t="shared" si="12"/>
        <v/>
      </c>
      <c r="CE56" s="149" t="str">
        <f t="shared" si="13"/>
        <v/>
      </c>
      <c r="CF56" s="149" t="str">
        <f>IF(BK56&lt;=0,0,IFERROR(IF(OR(ISBLANK(AC56),ISBLANK(CD56))=TRUE,"",IF(CA56="Per Foot",INDEX('Fixture Codes'!$I$8:$I$976,MATCH(AD56,'Fixture Codes'!$B$8:$B$976,0))/12*AF56*BZ56,IF(CA56="Lamp",INDEX('Fixture Codes'!$J$8:$J$976,MATCH(AD56,'Fixture Codes'!$B$8:$B$976,0))*AF56*BZ56,IF(CA56="Fixture",AF56*BZ56,IF(CA56="kWh",BK56*BZ56,0))))),""))</f>
        <v/>
      </c>
      <c r="CG56" s="149" t="str">
        <f t="shared" si="32"/>
        <v/>
      </c>
      <c r="CH56" s="149" t="str">
        <f t="shared" si="33"/>
        <v/>
      </c>
      <c r="CI56" s="152"/>
      <c r="CJ56" s="146"/>
      <c r="CK56" s="241">
        <f>IFERROR(IF(CL56="Yes",'Prescriptive Rebate Table'!$D$69,IF(ISBLANK(AI56),0,IF(AND(AH56=Lookups!$A$62,BK56&gt;0),'Prescriptive Rebate Table'!$D$68,IF(AND(BK56&gt;0,CJ56=AF56),'Prescriptive Rebate Table'!$D$67,IF(AND(BK56&gt;0,CJ56&lt;&gt;AF56),'Prescriptive Rebate Table'!D115,0))))),"")</f>
        <v>0</v>
      </c>
      <c r="CL56" s="240" t="s">
        <v>2712</v>
      </c>
      <c r="CM56" s="152"/>
      <c r="CN56" s="152"/>
      <c r="CO56" s="152"/>
      <c r="CP56" s="146">
        <f t="shared" si="14"/>
        <v>0</v>
      </c>
      <c r="CQ56" s="153">
        <f>IF(D56="Interior",ROUND(($AG56*AF56)/1000*$AM56*(Lookups!$B$54-$AA56)*$AN56*$AO56,3),0)</f>
        <v>0</v>
      </c>
      <c r="CR56" s="153">
        <f>IFERROR(IF(D56="Interior",ROUND(($AG56*$AF56)/1000*(Lookups!$C$54-$AB56)*$AN56*AQ56*AT56,6),0),"")</f>
        <v>0</v>
      </c>
      <c r="CS56" s="165">
        <f t="shared" si="34"/>
        <v>0</v>
      </c>
      <c r="CT56" s="165">
        <f t="shared" si="35"/>
        <v>0</v>
      </c>
      <c r="CV56" s="153">
        <f>IF(D56="Interior",ROUND(($AG56*AF56)/1000*$AM56*(Lookups!$B$43-$AA56)*$AN56*$AO56,3),0)</f>
        <v>0</v>
      </c>
      <c r="CW56" s="153">
        <f>IFERROR(IF(D56="Interior",ROUND(($AG56*$AF56)/1000*(Lookups!$C$43-$AB56)*$AN56*AQ56*AT56,6),0),"")</f>
        <v>0</v>
      </c>
      <c r="CX56" s="165">
        <f t="shared" si="36"/>
        <v>0</v>
      </c>
      <c r="CY56" s="165">
        <f t="shared" si="37"/>
        <v>0</v>
      </c>
      <c r="DA56" s="153">
        <f>IF(D56="Interior",ROUND(($AG56*AF56*(1-0.15))/1000*$AM56*(Lookups!$B$43+0.097-$AA56)*$AN56*$AO56+((W56*V56)/1000*AN56*AM56*AO56*0.15),3),0)</f>
        <v>0</v>
      </c>
      <c r="DB56" s="153">
        <f>IFERROR(IF(D56="Interior",ROUND(($AG56*$AF56)/1000*(Lookups!$C$43+0.097-$AB56)*$AN56*AQ56*AT56+(($AG56*$AF56)/1000*$AN56*AQ56*AT56*0.15),6),0),"")</f>
        <v>0</v>
      </c>
      <c r="DC56" s="165">
        <f t="shared" si="38"/>
        <v>0</v>
      </c>
      <c r="DD56" s="165">
        <f t="shared" si="39"/>
        <v>0</v>
      </c>
    </row>
    <row r="57" spans="1:108" s="164" customFormat="1">
      <c r="A57" s="150">
        <v>53</v>
      </c>
      <c r="B57" s="153" t="str">
        <f>IFERROR(INDEX(Lookups!$B$2:$B$38,MATCH('Project Info &amp; Summary'!$C$19,Lookups!$A$2:$A$38,0)),"")</f>
        <v/>
      </c>
      <c r="C57" s="153" t="str">
        <f>IFERROR(INDEX(Lookups!$C$2:$C$38,MATCH('Project Info &amp; Summary'!$C$19,Lookups!$A$2:$A$38,0)),"")</f>
        <v/>
      </c>
      <c r="D57" s="163"/>
      <c r="E57" s="160"/>
      <c r="F57" s="158"/>
      <c r="G57" s="158"/>
      <c r="H57" s="158"/>
      <c r="I57" s="158"/>
      <c r="J57" s="154" t="str">
        <f>IFERROR(INDEX(Lookups!$W$21:$W$26,MATCH(I57,Lookups!$V$21:$V$26,0)),"")</f>
        <v/>
      </c>
      <c r="K57" s="158"/>
      <c r="L57" s="162" t="str">
        <f>IFERROR(INDEX(Lookups!$Y$2:$Y$19,MATCH(_xlfn.CONCAT(I57,K57),Lookups!$X$2:$X$19,0)),"")</f>
        <v/>
      </c>
      <c r="M57" s="158"/>
      <c r="N57" s="153" t="str">
        <f>IFERROR(INDEX('Prescriptive Rebate Table'!$M$3:$M$20,MATCH(M57,'Prescriptive Rebate Table'!$L$3:$L$20,0)),"")</f>
        <v/>
      </c>
      <c r="O57" s="158"/>
      <c r="P57" s="154" t="str">
        <f>IFERROR(INDEX('Prescriptive Rebate Table'!$B$2:$H$64, MATCH(O57,'Prescriptive Rebate Table'!$C$2:$C$64,0),7),"")</f>
        <v/>
      </c>
      <c r="Q57" s="155" t="str">
        <f>IFERROR(INDEX('Prescriptive Rebate Table'!$B$2:$I$64, MATCH(O57,'Prescriptive Rebate Table'!$C$2:$C$64,0),8),"")</f>
        <v/>
      </c>
      <c r="R57" s="155" t="str">
        <f>IFERROR(INDEX('Prescriptive Rebate Table'!$B$2:$J$64, MATCH(O57,'Prescriptive Rebate Table'!$C$2:$C$64,0),9),"")</f>
        <v/>
      </c>
      <c r="S57" s="160"/>
      <c r="T57" s="145" t="str">
        <f>IFERROR(INDEX('Fixture Codes'!$M$8:$M$976,MATCH(S57,'Fixture Codes'!$B$8:$B$976,0)),"")</f>
        <v/>
      </c>
      <c r="U57" s="145" t="str">
        <f>IFERROR(INDEX('Fixture Codes'!$B$7:$M$976,MATCH(T57,'Fixture Codes'!$B$7:$B$976,0),5),"")</f>
        <v/>
      </c>
      <c r="V57" s="160"/>
      <c r="W57" s="145" t="str">
        <f>IFERROR(INDEX('Fixture Codes'!$L$8:$L$976,MATCH(T57,'Fixture Codes'!$B$8:$B$976,0)),"")</f>
        <v/>
      </c>
      <c r="X57" s="158"/>
      <c r="Y57" s="159"/>
      <c r="Z57" s="155" t="str">
        <f>IFERROR(INDEX(Lookups!B$68:B$87,MATCH($X57,Lookups!$A$68:$A$87,0)),"")</f>
        <v/>
      </c>
      <c r="AA57" s="150" t="str">
        <f>IFERROR(INDEX(Lookups!B$42:B$62,MATCH($X57,Lookups!$A$42:$A$62,0)),"")</f>
        <v/>
      </c>
      <c r="AB57" s="150" t="str">
        <f>IFERROR(INDEX(Lookups!C$42:C$62,MATCH($X57,Lookups!$A$42:$A$62,0)),"")</f>
        <v/>
      </c>
      <c r="AC57" s="160"/>
      <c r="AD57" s="160"/>
      <c r="AE57" s="150" t="str">
        <f>IFERROR(INDEX('Fixture Codes'!$B$7:$M$976,MATCH(AD57,'Fixture Codes'!$B$7:$B$976,0),5),"")</f>
        <v/>
      </c>
      <c r="AF57" s="160"/>
      <c r="AG57" s="145" t="str">
        <f>IFERROR(INDEX('Fixture Codes'!$L$8:$L$976,MATCH(AD57,'Fixture Codes'!$B$8:$B$976,0)),"")</f>
        <v/>
      </c>
      <c r="AH57" s="158"/>
      <c r="AI57" s="160"/>
      <c r="AJ57" s="150" t="str">
        <f>IFERROR(INDEX(Lookups!B$68:B$87,MATCH($AH57,Lookups!$A$68:$A$87,0)),"")</f>
        <v/>
      </c>
      <c r="AK57" s="150" t="str">
        <f>IFERROR(INDEX(Lookups!B$42:B$62,MATCH($AH57,Lookups!$A$42:$A$62,0)),"")</f>
        <v/>
      </c>
      <c r="AL57" s="150" t="str">
        <f>IFERROR(INDEX(Lookups!C$42:C$62,MATCH($AH57,Lookups!$A$42:$A$62,0)),"")</f>
        <v/>
      </c>
      <c r="AM57" s="150" t="str">
        <f>IFERROR(IF(M57="Exit Signs",8760,IF(INDEX('Fixture Codes'!$C$8:$C$976,MATCH(AD57,'Fixture Codes'!$B$8:$B$976,0))="Exit Sign",8760,INDEX(Lookups!$I$2:$I$428,MATCH(_xlfn.CONCAT(B57,H57),Lookups!$H$2:$H$428,0)))),"")</f>
        <v/>
      </c>
      <c r="AN57" s="153">
        <v>1</v>
      </c>
      <c r="AO57" s="150" t="str">
        <f>IF($D57="Interior",INDEX(Lookups!Q$2:Q$86,MATCH(_xlfn.CONCAT($C57,$L57),Lookups!$P$2:$P$86,0)),IF($D57="Exterior",1,""))</f>
        <v/>
      </c>
      <c r="AP57" s="150">
        <f t="shared" si="19"/>
        <v>1</v>
      </c>
      <c r="AQ57" s="150" t="str">
        <f>IF($D57="Interior",INDEX(Lookups!R$2:R$86,MATCH(_xlfn.CONCAT($C57,$L57),Lookups!$P$2:$P$86,0)),IF($D57="Exterior",1,""))</f>
        <v/>
      </c>
      <c r="AR57" s="150" t="str">
        <f>IF($D57="Interior",INDEX(Lookups!S$2:S$86,MATCH(_xlfn.CONCAT($C57,$L57),Lookups!$P$2:$P$86,0)),IF($D57="Exterior",1,""))</f>
        <v/>
      </c>
      <c r="AS57" s="150" t="str">
        <f>IF($D57="Interior",INDEX(Lookups!T$2:T$86,MATCH(_xlfn.CONCAT($C57,$L57),Lookups!$P$2:$P$86,0)),IF($D57="Exterior",1,""))</f>
        <v/>
      </c>
      <c r="AT57" s="150" t="str">
        <f>IFERROR(IF(M57="Exit Signs",1,IF(INDEX('Fixture Codes'!$C$8:$C$976,MATCH($AD57,'Fixture Codes'!$B$8:$B$976,0))="Exit Sign",1,INDEX(Lookups!J$2:J$428,MATCH(_xlfn.CONCAT($B57,$H57),Lookups!$H$2:$H$428,0)))),"")</f>
        <v/>
      </c>
      <c r="AU57" s="150" t="str">
        <f>IFERROR(IF(M57="Exit Signs",1,IF(INDEX('Fixture Codes'!$C$8:$C$976,MATCH($AD57,'Fixture Codes'!$B$8:$B$976,0))="Exit Sign",1,INDEX(Lookups!K$2:K$428,MATCH(_xlfn.CONCAT($B57,$H57),Lookups!$H$2:$H$428,0)))),"")</f>
        <v/>
      </c>
      <c r="AV57" s="150" t="str">
        <f>IFERROR(IF(M57="Exit Signs",1,IF(INDEX('Fixture Codes'!$C$8:$C$976,MATCH($AD57,'Fixture Codes'!$B$8:$B$976,0))="Exit Sign",1,INDEX(Lookups!L$2:L$428,MATCH(_xlfn.CONCAT($B57,$H57),Lookups!$H$2:$H$428,0)))),"")</f>
        <v/>
      </c>
      <c r="AW57" s="150" t="str">
        <f>IF(ISBLANK(K57),"",IF(K57="Gas",INDEX(Lookups!$AG$2:$AG$63,MATCH(O57,Lookups!$AD$2:$AD$63,0),0),0))</f>
        <v/>
      </c>
      <c r="AX57" s="150" t="str">
        <f>IF(ISBLANK(K57),"",IF(K57="Gas",INDEX(Lookups!$AF$2:$AF$63,MATCH(O57,Lookups!$AD$2:$AD$63,0),0),0))</f>
        <v/>
      </c>
      <c r="AY57" s="150" t="str">
        <f>IF(ISBLANK(K57),"",IF(K57="Gas",INDEX(Lookups!$AH$2:$AH$63,MATCH(O57,Lookups!$AD$2:$AD$63,0),0),0))</f>
        <v/>
      </c>
      <c r="AZ57" s="150" t="str">
        <f>IF(ISBLANK(K57),"",IF(K57="Gas",INDEX(Lookups!$AI$2:$AI$63,MATCH(O57,Lookups!$AD$2:$AD$63,0),0),0))</f>
        <v/>
      </c>
      <c r="BA57" s="150" t="str">
        <f t="shared" si="0"/>
        <v/>
      </c>
      <c r="BB57" s="156" t="str">
        <f>IF(ISBLANK(AH57),"",IF(AH57="None",0,IF(K57="Gas",INDEX(Lookups!$AF$51:$AF$69,MATCH(AH57,Lookups!$AD$51:$AD$69,0),0),0)))</f>
        <v/>
      </c>
      <c r="BC57" s="156" t="str">
        <f>IF(ISBLANK(AH57),"",IF(AH57="None",0,IF(K57="Gas",INDEX(Lookups!$AH$51:$AH$69,MATCH(AH57,Lookups!$AD$51:$AD$69,0),0),0)))</f>
        <v/>
      </c>
      <c r="BD57" s="156" t="str">
        <f>IF(ISBLANK(AH57),"",IF(AH57="None",0,IF(K57="Gas",INDEX(Lookups!$AI$51:$AI$69,MATCH(AH57,Lookups!$AD$51:$AD$69,0),0),0)))</f>
        <v/>
      </c>
      <c r="BE57" s="157"/>
      <c r="BF57" s="157"/>
      <c r="BG57" s="147" t="str">
        <f t="shared" si="20"/>
        <v/>
      </c>
      <c r="BH57" s="147" t="str">
        <f t="shared" si="21"/>
        <v/>
      </c>
      <c r="BI57" s="147" t="str">
        <f t="shared" si="1"/>
        <v/>
      </c>
      <c r="BJ57" s="147" t="str">
        <f t="shared" si="2"/>
        <v/>
      </c>
      <c r="BK57" s="148" t="str">
        <f t="shared" si="22"/>
        <v/>
      </c>
      <c r="BL57" s="147" t="str">
        <f t="shared" si="3"/>
        <v/>
      </c>
      <c r="BM57" s="148" t="str">
        <f t="shared" si="23"/>
        <v/>
      </c>
      <c r="BN57" s="147" t="str">
        <f t="shared" si="24"/>
        <v/>
      </c>
      <c r="BO57" s="147" t="str">
        <f t="shared" si="24"/>
        <v/>
      </c>
      <c r="BP57" s="147" t="str">
        <f t="shared" si="25"/>
        <v/>
      </c>
      <c r="BQ57" s="148" t="str">
        <f t="shared" si="26"/>
        <v/>
      </c>
      <c r="BR57" s="148" t="str">
        <f t="shared" si="27"/>
        <v/>
      </c>
      <c r="BS57" s="148" t="str">
        <f t="shared" si="28"/>
        <v/>
      </c>
      <c r="BT57" s="148" t="str">
        <f t="shared" si="7"/>
        <v/>
      </c>
      <c r="BU57" s="148" t="str">
        <f t="shared" si="8"/>
        <v/>
      </c>
      <c r="BV57" s="148" t="str">
        <f t="shared" si="9"/>
        <v/>
      </c>
      <c r="BW57" s="148" t="str">
        <f t="shared" si="29"/>
        <v/>
      </c>
      <c r="BX57" s="148" t="str">
        <f t="shared" si="10"/>
        <v/>
      </c>
      <c r="BY57" s="148" t="str">
        <f t="shared" si="11"/>
        <v/>
      </c>
      <c r="BZ57" s="149" t="str">
        <f>IFERROR(INDEX('Prescriptive Rebate Table'!$B$2:$E$64,MATCH(O57,'Prescriptive Rebate Table'!$C$2:$C$64,0),3),"")</f>
        <v/>
      </c>
      <c r="CA57" s="145" t="str">
        <f>IFERROR(INDEX('Prescriptive Rebate Table'!$B$2:$E$64,MATCH(O57,'Prescriptive Rebate Table'!$C$2:$C$64,0),4),"")</f>
        <v/>
      </c>
      <c r="CB57" s="149" t="str">
        <f t="shared" si="30"/>
        <v/>
      </c>
      <c r="CC57" s="145" t="str">
        <f t="shared" si="31"/>
        <v/>
      </c>
      <c r="CD57" s="149" t="str">
        <f t="shared" si="12"/>
        <v/>
      </c>
      <c r="CE57" s="149" t="str">
        <f t="shared" si="13"/>
        <v/>
      </c>
      <c r="CF57" s="149" t="str">
        <f>IF(BK57&lt;=0,0,IFERROR(IF(OR(ISBLANK(AC57),ISBLANK(CD57))=TRUE,"",IF(CA57="Per Foot",INDEX('Fixture Codes'!$I$8:$I$976,MATCH(AD57,'Fixture Codes'!$B$8:$B$976,0))/12*AF57*BZ57,IF(CA57="Lamp",INDEX('Fixture Codes'!$J$8:$J$976,MATCH(AD57,'Fixture Codes'!$B$8:$B$976,0))*AF57*BZ57,IF(CA57="Fixture",AF57*BZ57,IF(CA57="kWh",BK57*BZ57,0))))),""))</f>
        <v/>
      </c>
      <c r="CG57" s="149" t="str">
        <f t="shared" si="32"/>
        <v/>
      </c>
      <c r="CH57" s="149" t="str">
        <f t="shared" si="33"/>
        <v/>
      </c>
      <c r="CI57" s="152"/>
      <c r="CJ57" s="146"/>
      <c r="CK57" s="241">
        <f>IFERROR(IF(CL57="Yes",'Prescriptive Rebate Table'!$D$69,IF(ISBLANK(AI57),0,IF(AND(AH57=Lookups!$A$62,BK57&gt;0),'Prescriptive Rebate Table'!$D$68,IF(AND(BK57&gt;0,CJ57=AF57),'Prescriptive Rebate Table'!$D$67,IF(AND(BK57&gt;0,CJ57&lt;&gt;AF57),'Prescriptive Rebate Table'!D116,0))))),"")</f>
        <v>0</v>
      </c>
      <c r="CL57" s="240" t="s">
        <v>2712</v>
      </c>
      <c r="CM57" s="152"/>
      <c r="CN57" s="152"/>
      <c r="CO57" s="152"/>
      <c r="CP57" s="146">
        <f t="shared" si="14"/>
        <v>0</v>
      </c>
      <c r="CQ57" s="153">
        <f>IF(D57="Interior",ROUND(($AG57*AF57)/1000*$AM57*(Lookups!$B$54-$AA57)*$AN57*$AO57,3),0)</f>
        <v>0</v>
      </c>
      <c r="CR57" s="153">
        <f>IFERROR(IF(D57="Interior",ROUND(($AG57*$AF57)/1000*(Lookups!$C$54-$AB57)*$AN57*AQ57*AT57,6),0),"")</f>
        <v>0</v>
      </c>
      <c r="CS57" s="165">
        <f t="shared" si="34"/>
        <v>0</v>
      </c>
      <c r="CT57" s="165">
        <f t="shared" si="35"/>
        <v>0</v>
      </c>
      <c r="CV57" s="153">
        <f>IF(D57="Interior",ROUND(($AG57*AF57)/1000*$AM57*(Lookups!$B$43-$AA57)*$AN57*$AO57,3),0)</f>
        <v>0</v>
      </c>
      <c r="CW57" s="153">
        <f>IFERROR(IF(D57="Interior",ROUND(($AG57*$AF57)/1000*(Lookups!$C$43-$AB57)*$AN57*AQ57*AT57,6),0),"")</f>
        <v>0</v>
      </c>
      <c r="CX57" s="165">
        <f t="shared" si="36"/>
        <v>0</v>
      </c>
      <c r="CY57" s="165">
        <f t="shared" si="37"/>
        <v>0</v>
      </c>
      <c r="DA57" s="153">
        <f>IF(D57="Interior",ROUND(($AG57*AF57*(1-0.15))/1000*$AM57*(Lookups!$B$43+0.097-$AA57)*$AN57*$AO57+((W57*V57)/1000*AN57*AM57*AO57*0.15),3),0)</f>
        <v>0</v>
      </c>
      <c r="DB57" s="153">
        <f>IFERROR(IF(D57="Interior",ROUND(($AG57*$AF57)/1000*(Lookups!$C$43+0.097-$AB57)*$AN57*AQ57*AT57+(($AG57*$AF57)/1000*$AN57*AQ57*AT57*0.15),6),0),"")</f>
        <v>0</v>
      </c>
      <c r="DC57" s="165">
        <f t="shared" si="38"/>
        <v>0</v>
      </c>
      <c r="DD57" s="165">
        <f t="shared" si="39"/>
        <v>0</v>
      </c>
    </row>
    <row r="58" spans="1:108" s="164" customFormat="1">
      <c r="A58" s="150">
        <v>54</v>
      </c>
      <c r="B58" s="153" t="str">
        <f>IFERROR(INDEX(Lookups!$B$2:$B$38,MATCH('Project Info &amp; Summary'!$C$19,Lookups!$A$2:$A$38,0)),"")</f>
        <v/>
      </c>
      <c r="C58" s="153" t="str">
        <f>IFERROR(INDEX(Lookups!$C$2:$C$38,MATCH('Project Info &amp; Summary'!$C$19,Lookups!$A$2:$A$38,0)),"")</f>
        <v/>
      </c>
      <c r="D58" s="163"/>
      <c r="E58" s="160"/>
      <c r="F58" s="158"/>
      <c r="G58" s="158"/>
      <c r="H58" s="158"/>
      <c r="I58" s="158"/>
      <c r="J58" s="154" t="str">
        <f>IFERROR(INDEX(Lookups!$W$21:$W$26,MATCH(I58,Lookups!$V$21:$V$26,0)),"")</f>
        <v/>
      </c>
      <c r="K58" s="158"/>
      <c r="L58" s="162" t="str">
        <f>IFERROR(INDEX(Lookups!$Y$2:$Y$19,MATCH(_xlfn.CONCAT(I58,K58),Lookups!$X$2:$X$19,0)),"")</f>
        <v/>
      </c>
      <c r="M58" s="158"/>
      <c r="N58" s="153" t="str">
        <f>IFERROR(INDEX('Prescriptive Rebate Table'!$M$3:$M$20,MATCH(M58,'Prescriptive Rebate Table'!$L$3:$L$20,0)),"")</f>
        <v/>
      </c>
      <c r="O58" s="158"/>
      <c r="P58" s="154" t="str">
        <f>IFERROR(INDEX('Prescriptive Rebate Table'!$B$2:$H$64, MATCH(O58,'Prescriptive Rebate Table'!$C$2:$C$64,0),7),"")</f>
        <v/>
      </c>
      <c r="Q58" s="155" t="str">
        <f>IFERROR(INDEX('Prescriptive Rebate Table'!$B$2:$I$64, MATCH(O58,'Prescriptive Rebate Table'!$C$2:$C$64,0),8),"")</f>
        <v/>
      </c>
      <c r="R58" s="155" t="str">
        <f>IFERROR(INDEX('Prescriptive Rebate Table'!$B$2:$J$64, MATCH(O58,'Prescriptive Rebate Table'!$C$2:$C$64,0),9),"")</f>
        <v/>
      </c>
      <c r="S58" s="160"/>
      <c r="T58" s="145" t="str">
        <f>IFERROR(INDEX('Fixture Codes'!$M$8:$M$976,MATCH(S58,'Fixture Codes'!$B$8:$B$976,0)),"")</f>
        <v/>
      </c>
      <c r="U58" s="145" t="str">
        <f>IFERROR(INDEX('Fixture Codes'!$B$7:$M$976,MATCH(T58,'Fixture Codes'!$B$7:$B$976,0),5),"")</f>
        <v/>
      </c>
      <c r="V58" s="160"/>
      <c r="W58" s="145" t="str">
        <f>IFERROR(INDEX('Fixture Codes'!$L$8:$L$976,MATCH(T58,'Fixture Codes'!$B$8:$B$976,0)),"")</f>
        <v/>
      </c>
      <c r="X58" s="158"/>
      <c r="Y58" s="159"/>
      <c r="Z58" s="155" t="str">
        <f>IFERROR(INDEX(Lookups!B$68:B$87,MATCH($X58,Lookups!$A$68:$A$87,0)),"")</f>
        <v/>
      </c>
      <c r="AA58" s="150" t="str">
        <f>IFERROR(INDEX(Lookups!B$42:B$62,MATCH($X58,Lookups!$A$42:$A$62,0)),"")</f>
        <v/>
      </c>
      <c r="AB58" s="150" t="str">
        <f>IFERROR(INDEX(Lookups!C$42:C$62,MATCH($X58,Lookups!$A$42:$A$62,0)),"")</f>
        <v/>
      </c>
      <c r="AC58" s="160"/>
      <c r="AD58" s="160"/>
      <c r="AE58" s="150" t="str">
        <f>IFERROR(INDEX('Fixture Codes'!$B$7:$M$976,MATCH(AD58,'Fixture Codes'!$B$7:$B$976,0),5),"")</f>
        <v/>
      </c>
      <c r="AF58" s="160"/>
      <c r="AG58" s="145" t="str">
        <f>IFERROR(INDEX('Fixture Codes'!$L$8:$L$976,MATCH(AD58,'Fixture Codes'!$B$8:$B$976,0)),"")</f>
        <v/>
      </c>
      <c r="AH58" s="158"/>
      <c r="AI58" s="160"/>
      <c r="AJ58" s="150" t="str">
        <f>IFERROR(INDEX(Lookups!B$68:B$87,MATCH($AH58,Lookups!$A$68:$A$87,0)),"")</f>
        <v/>
      </c>
      <c r="AK58" s="150" t="str">
        <f>IFERROR(INDEX(Lookups!B$42:B$62,MATCH($AH58,Lookups!$A$42:$A$62,0)),"")</f>
        <v/>
      </c>
      <c r="AL58" s="150" t="str">
        <f>IFERROR(INDEX(Lookups!C$42:C$62,MATCH($AH58,Lookups!$A$42:$A$62,0)),"")</f>
        <v/>
      </c>
      <c r="AM58" s="150" t="str">
        <f>IFERROR(IF(M58="Exit Signs",8760,IF(INDEX('Fixture Codes'!$C$8:$C$976,MATCH(AD58,'Fixture Codes'!$B$8:$B$976,0))="Exit Sign",8760,INDEX(Lookups!$I$2:$I$428,MATCH(_xlfn.CONCAT(B58,H58),Lookups!$H$2:$H$428,0)))),"")</f>
        <v/>
      </c>
      <c r="AN58" s="153">
        <v>1</v>
      </c>
      <c r="AO58" s="150" t="str">
        <f>IF($D58="Interior",INDEX(Lookups!Q$2:Q$86,MATCH(_xlfn.CONCAT($C58,$L58),Lookups!$P$2:$P$86,0)),IF($D58="Exterior",1,""))</f>
        <v/>
      </c>
      <c r="AP58" s="150">
        <f t="shared" si="19"/>
        <v>1</v>
      </c>
      <c r="AQ58" s="150" t="str">
        <f>IF($D58="Interior",INDEX(Lookups!R$2:R$86,MATCH(_xlfn.CONCAT($C58,$L58),Lookups!$P$2:$P$86,0)),IF($D58="Exterior",1,""))</f>
        <v/>
      </c>
      <c r="AR58" s="150" t="str">
        <f>IF($D58="Interior",INDEX(Lookups!S$2:S$86,MATCH(_xlfn.CONCAT($C58,$L58),Lookups!$P$2:$P$86,0)),IF($D58="Exterior",1,""))</f>
        <v/>
      </c>
      <c r="AS58" s="150" t="str">
        <f>IF($D58="Interior",INDEX(Lookups!T$2:T$86,MATCH(_xlfn.CONCAT($C58,$L58),Lookups!$P$2:$P$86,0)),IF($D58="Exterior",1,""))</f>
        <v/>
      </c>
      <c r="AT58" s="150" t="str">
        <f>IFERROR(IF(M58="Exit Signs",1,IF(INDEX('Fixture Codes'!$C$8:$C$976,MATCH($AD58,'Fixture Codes'!$B$8:$B$976,0))="Exit Sign",1,INDEX(Lookups!J$2:J$428,MATCH(_xlfn.CONCAT($B58,$H58),Lookups!$H$2:$H$428,0)))),"")</f>
        <v/>
      </c>
      <c r="AU58" s="150" t="str">
        <f>IFERROR(IF(M58="Exit Signs",1,IF(INDEX('Fixture Codes'!$C$8:$C$976,MATCH($AD58,'Fixture Codes'!$B$8:$B$976,0))="Exit Sign",1,INDEX(Lookups!K$2:K$428,MATCH(_xlfn.CONCAT($B58,$H58),Lookups!$H$2:$H$428,0)))),"")</f>
        <v/>
      </c>
      <c r="AV58" s="150" t="str">
        <f>IFERROR(IF(M58="Exit Signs",1,IF(INDEX('Fixture Codes'!$C$8:$C$976,MATCH($AD58,'Fixture Codes'!$B$8:$B$976,0))="Exit Sign",1,INDEX(Lookups!L$2:L$428,MATCH(_xlfn.CONCAT($B58,$H58),Lookups!$H$2:$H$428,0)))),"")</f>
        <v/>
      </c>
      <c r="AW58" s="150" t="str">
        <f>IF(ISBLANK(K58),"",IF(K58="Gas",INDEX(Lookups!$AG$2:$AG$63,MATCH(O58,Lookups!$AD$2:$AD$63,0),0),0))</f>
        <v/>
      </c>
      <c r="AX58" s="150" t="str">
        <f>IF(ISBLANK(K58),"",IF(K58="Gas",INDEX(Lookups!$AF$2:$AF$63,MATCH(O58,Lookups!$AD$2:$AD$63,0),0),0))</f>
        <v/>
      </c>
      <c r="AY58" s="150" t="str">
        <f>IF(ISBLANK(K58),"",IF(K58="Gas",INDEX(Lookups!$AH$2:$AH$63,MATCH(O58,Lookups!$AD$2:$AD$63,0),0),0))</f>
        <v/>
      </c>
      <c r="AZ58" s="150" t="str">
        <f>IF(ISBLANK(K58),"",IF(K58="Gas",INDEX(Lookups!$AI$2:$AI$63,MATCH(O58,Lookups!$AD$2:$AD$63,0),0),0))</f>
        <v/>
      </c>
      <c r="BA58" s="150" t="str">
        <f t="shared" si="0"/>
        <v/>
      </c>
      <c r="BB58" s="156" t="str">
        <f>IF(ISBLANK(AH58),"",IF(AH58="None",0,IF(K58="Gas",INDEX(Lookups!$AF$51:$AF$69,MATCH(AH58,Lookups!$AD$51:$AD$69,0),0),0)))</f>
        <v/>
      </c>
      <c r="BC58" s="156" t="str">
        <f>IF(ISBLANK(AH58),"",IF(AH58="None",0,IF(K58="Gas",INDEX(Lookups!$AH$51:$AH$69,MATCH(AH58,Lookups!$AD$51:$AD$69,0),0),0)))</f>
        <v/>
      </c>
      <c r="BD58" s="156" t="str">
        <f>IF(ISBLANK(AH58),"",IF(AH58="None",0,IF(K58="Gas",INDEX(Lookups!$AI$51:$AI$69,MATCH(AH58,Lookups!$AD$51:$AD$69,0),0),0)))</f>
        <v/>
      </c>
      <c r="BE58" s="157"/>
      <c r="BF58" s="157"/>
      <c r="BG58" s="147" t="str">
        <f t="shared" si="20"/>
        <v/>
      </c>
      <c r="BH58" s="147" t="str">
        <f t="shared" si="21"/>
        <v/>
      </c>
      <c r="BI58" s="147" t="str">
        <f t="shared" si="1"/>
        <v/>
      </c>
      <c r="BJ58" s="147" t="str">
        <f t="shared" si="2"/>
        <v/>
      </c>
      <c r="BK58" s="148" t="str">
        <f t="shared" si="22"/>
        <v/>
      </c>
      <c r="BL58" s="147" t="str">
        <f t="shared" si="3"/>
        <v/>
      </c>
      <c r="BM58" s="148" t="str">
        <f t="shared" si="23"/>
        <v/>
      </c>
      <c r="BN58" s="147" t="str">
        <f t="shared" si="24"/>
        <v/>
      </c>
      <c r="BO58" s="147" t="str">
        <f t="shared" si="24"/>
        <v/>
      </c>
      <c r="BP58" s="147" t="str">
        <f t="shared" si="25"/>
        <v/>
      </c>
      <c r="BQ58" s="148" t="str">
        <f t="shared" si="26"/>
        <v/>
      </c>
      <c r="BR58" s="148" t="str">
        <f t="shared" si="27"/>
        <v/>
      </c>
      <c r="BS58" s="148" t="str">
        <f t="shared" si="28"/>
        <v/>
      </c>
      <c r="BT58" s="148" t="str">
        <f t="shared" si="7"/>
        <v/>
      </c>
      <c r="BU58" s="148" t="str">
        <f t="shared" si="8"/>
        <v/>
      </c>
      <c r="BV58" s="148" t="str">
        <f t="shared" si="9"/>
        <v/>
      </c>
      <c r="BW58" s="148" t="str">
        <f t="shared" si="29"/>
        <v/>
      </c>
      <c r="BX58" s="148" t="str">
        <f t="shared" si="10"/>
        <v/>
      </c>
      <c r="BY58" s="148" t="str">
        <f t="shared" si="11"/>
        <v/>
      </c>
      <c r="BZ58" s="149" t="str">
        <f>IFERROR(INDEX('Prescriptive Rebate Table'!$B$2:$E$64,MATCH(O58,'Prescriptive Rebate Table'!$C$2:$C$64,0),3),"")</f>
        <v/>
      </c>
      <c r="CA58" s="145" t="str">
        <f>IFERROR(INDEX('Prescriptive Rebate Table'!$B$2:$E$64,MATCH(O58,'Prescriptive Rebate Table'!$C$2:$C$64,0),4),"")</f>
        <v/>
      </c>
      <c r="CB58" s="149" t="str">
        <f t="shared" si="30"/>
        <v/>
      </c>
      <c r="CC58" s="145" t="str">
        <f t="shared" si="31"/>
        <v/>
      </c>
      <c r="CD58" s="149" t="str">
        <f t="shared" si="12"/>
        <v/>
      </c>
      <c r="CE58" s="149" t="str">
        <f t="shared" si="13"/>
        <v/>
      </c>
      <c r="CF58" s="149" t="str">
        <f>IF(BK58&lt;=0,0,IFERROR(IF(OR(ISBLANK(AC58),ISBLANK(CD58))=TRUE,"",IF(CA58="Per Foot",INDEX('Fixture Codes'!$I$8:$I$976,MATCH(AD58,'Fixture Codes'!$B$8:$B$976,0))/12*AF58*BZ58,IF(CA58="Lamp",INDEX('Fixture Codes'!$J$8:$J$976,MATCH(AD58,'Fixture Codes'!$B$8:$B$976,0))*AF58*BZ58,IF(CA58="Fixture",AF58*BZ58,IF(CA58="kWh",BK58*BZ58,0))))),""))</f>
        <v/>
      </c>
      <c r="CG58" s="149" t="str">
        <f t="shared" si="32"/>
        <v/>
      </c>
      <c r="CH58" s="149" t="str">
        <f t="shared" si="33"/>
        <v/>
      </c>
      <c r="CI58" s="152"/>
      <c r="CJ58" s="146"/>
      <c r="CK58" s="241">
        <f>IFERROR(IF(CL58="Yes",'Prescriptive Rebate Table'!$D$69,IF(ISBLANK(AI58),0,IF(AND(AH58=Lookups!$A$62,BK58&gt;0),'Prescriptive Rebate Table'!$D$68,IF(AND(BK58&gt;0,CJ58=AF58),'Prescriptive Rebate Table'!$D$67,IF(AND(BK58&gt;0,CJ58&lt;&gt;AF58),'Prescriptive Rebate Table'!D117,0))))),"")</f>
        <v>0</v>
      </c>
      <c r="CL58" s="240" t="s">
        <v>2712</v>
      </c>
      <c r="CM58" s="152"/>
      <c r="CN58" s="152"/>
      <c r="CO58" s="152"/>
      <c r="CP58" s="146">
        <f t="shared" si="14"/>
        <v>0</v>
      </c>
      <c r="CQ58" s="153">
        <f>IF(D58="Interior",ROUND(($AG58*AF58)/1000*$AM58*(Lookups!$B$54-$AA58)*$AN58*$AO58,3),0)</f>
        <v>0</v>
      </c>
      <c r="CR58" s="153">
        <f>IFERROR(IF(D58="Interior",ROUND(($AG58*$AF58)/1000*(Lookups!$C$54-$AB58)*$AN58*AQ58*AT58,6),0),"")</f>
        <v>0</v>
      </c>
      <c r="CS58" s="165">
        <f t="shared" si="34"/>
        <v>0</v>
      </c>
      <c r="CT58" s="165">
        <f t="shared" si="35"/>
        <v>0</v>
      </c>
      <c r="CV58" s="153">
        <f>IF(D58="Interior",ROUND(($AG58*AF58)/1000*$AM58*(Lookups!$B$43-$AA58)*$AN58*$AO58,3),0)</f>
        <v>0</v>
      </c>
      <c r="CW58" s="153">
        <f>IFERROR(IF(D58="Interior",ROUND(($AG58*$AF58)/1000*(Lookups!$C$43-$AB58)*$AN58*AQ58*AT58,6),0),"")</f>
        <v>0</v>
      </c>
      <c r="CX58" s="165">
        <f t="shared" si="36"/>
        <v>0</v>
      </c>
      <c r="CY58" s="165">
        <f t="shared" si="37"/>
        <v>0</v>
      </c>
      <c r="DA58" s="153">
        <f>IF(D58="Interior",ROUND(($AG58*AF58*(1-0.15))/1000*$AM58*(Lookups!$B$43+0.097-$AA58)*$AN58*$AO58+((W58*V58)/1000*AN58*AM58*AO58*0.15),3),0)</f>
        <v>0</v>
      </c>
      <c r="DB58" s="153">
        <f>IFERROR(IF(D58="Interior",ROUND(($AG58*$AF58)/1000*(Lookups!$C$43+0.097-$AB58)*$AN58*AQ58*AT58+(($AG58*$AF58)/1000*$AN58*AQ58*AT58*0.15),6),0),"")</f>
        <v>0</v>
      </c>
      <c r="DC58" s="165">
        <f t="shared" si="38"/>
        <v>0</v>
      </c>
      <c r="DD58" s="165">
        <f t="shared" si="39"/>
        <v>0</v>
      </c>
    </row>
    <row r="59" spans="1:108" s="164" customFormat="1">
      <c r="A59" s="150">
        <v>55</v>
      </c>
      <c r="B59" s="153" t="str">
        <f>IFERROR(INDEX(Lookups!$B$2:$B$38,MATCH('Project Info &amp; Summary'!$C$19,Lookups!$A$2:$A$38,0)),"")</f>
        <v/>
      </c>
      <c r="C59" s="153" t="str">
        <f>IFERROR(INDEX(Lookups!$C$2:$C$38,MATCH('Project Info &amp; Summary'!$C$19,Lookups!$A$2:$A$38,0)),"")</f>
        <v/>
      </c>
      <c r="D59" s="163"/>
      <c r="E59" s="160"/>
      <c r="F59" s="158"/>
      <c r="G59" s="158"/>
      <c r="H59" s="158"/>
      <c r="I59" s="158"/>
      <c r="J59" s="154" t="str">
        <f>IFERROR(INDEX(Lookups!$W$21:$W$26,MATCH(I59,Lookups!$V$21:$V$26,0)),"")</f>
        <v/>
      </c>
      <c r="K59" s="158"/>
      <c r="L59" s="162" t="str">
        <f>IFERROR(INDEX(Lookups!$Y$2:$Y$19,MATCH(_xlfn.CONCAT(I59,K59),Lookups!$X$2:$X$19,0)),"")</f>
        <v/>
      </c>
      <c r="M59" s="158"/>
      <c r="N59" s="153" t="str">
        <f>IFERROR(INDEX('Prescriptive Rebate Table'!$M$3:$M$20,MATCH(M59,'Prescriptive Rebate Table'!$L$3:$L$20,0)),"")</f>
        <v/>
      </c>
      <c r="O59" s="158"/>
      <c r="P59" s="154" t="str">
        <f>IFERROR(INDEX('Prescriptive Rebate Table'!$B$2:$H$64, MATCH(O59,'Prescriptive Rebate Table'!$C$2:$C$64,0),7),"")</f>
        <v/>
      </c>
      <c r="Q59" s="155" t="str">
        <f>IFERROR(INDEX('Prescriptive Rebate Table'!$B$2:$I$64, MATCH(O59,'Prescriptive Rebate Table'!$C$2:$C$64,0),8),"")</f>
        <v/>
      </c>
      <c r="R59" s="155" t="str">
        <f>IFERROR(INDEX('Prescriptive Rebate Table'!$B$2:$J$64, MATCH(O59,'Prescriptive Rebate Table'!$C$2:$C$64,0),9),"")</f>
        <v/>
      </c>
      <c r="S59" s="160"/>
      <c r="T59" s="145" t="str">
        <f>IFERROR(INDEX('Fixture Codes'!$M$8:$M$976,MATCH(S59,'Fixture Codes'!$B$8:$B$976,0)),"")</f>
        <v/>
      </c>
      <c r="U59" s="145" t="str">
        <f>IFERROR(INDEX('Fixture Codes'!$B$7:$M$976,MATCH(T59,'Fixture Codes'!$B$7:$B$976,0),5),"")</f>
        <v/>
      </c>
      <c r="V59" s="160"/>
      <c r="W59" s="145" t="str">
        <f>IFERROR(INDEX('Fixture Codes'!$L$8:$L$976,MATCH(T59,'Fixture Codes'!$B$8:$B$976,0)),"")</f>
        <v/>
      </c>
      <c r="X59" s="158"/>
      <c r="Y59" s="159"/>
      <c r="Z59" s="155" t="str">
        <f>IFERROR(INDEX(Lookups!B$68:B$87,MATCH($X59,Lookups!$A$68:$A$87,0)),"")</f>
        <v/>
      </c>
      <c r="AA59" s="150" t="str">
        <f>IFERROR(INDEX(Lookups!B$42:B$62,MATCH($X59,Lookups!$A$42:$A$62,0)),"")</f>
        <v/>
      </c>
      <c r="AB59" s="150" t="str">
        <f>IFERROR(INDEX(Lookups!C$42:C$62,MATCH($X59,Lookups!$A$42:$A$62,0)),"")</f>
        <v/>
      </c>
      <c r="AC59" s="160"/>
      <c r="AD59" s="160"/>
      <c r="AE59" s="150" t="str">
        <f>IFERROR(INDEX('Fixture Codes'!$B$7:$M$976,MATCH(AD59,'Fixture Codes'!$B$7:$B$976,0),5),"")</f>
        <v/>
      </c>
      <c r="AF59" s="160"/>
      <c r="AG59" s="145" t="str">
        <f>IFERROR(INDEX('Fixture Codes'!$L$8:$L$976,MATCH(AD59,'Fixture Codes'!$B$8:$B$976,0)),"")</f>
        <v/>
      </c>
      <c r="AH59" s="158"/>
      <c r="AI59" s="160"/>
      <c r="AJ59" s="150" t="str">
        <f>IFERROR(INDEX(Lookups!B$68:B$87,MATCH($AH59,Lookups!$A$68:$A$87,0)),"")</f>
        <v/>
      </c>
      <c r="AK59" s="150" t="str">
        <f>IFERROR(INDEX(Lookups!B$42:B$62,MATCH($AH59,Lookups!$A$42:$A$62,0)),"")</f>
        <v/>
      </c>
      <c r="AL59" s="150" t="str">
        <f>IFERROR(INDEX(Lookups!C$42:C$62,MATCH($AH59,Lookups!$A$42:$A$62,0)),"")</f>
        <v/>
      </c>
      <c r="AM59" s="150" t="str">
        <f>IFERROR(IF(M59="Exit Signs",8760,IF(INDEX('Fixture Codes'!$C$8:$C$976,MATCH(AD59,'Fixture Codes'!$B$8:$B$976,0))="Exit Sign",8760,INDEX(Lookups!$I$2:$I$428,MATCH(_xlfn.CONCAT(B59,H59),Lookups!$H$2:$H$428,0)))),"")</f>
        <v/>
      </c>
      <c r="AN59" s="153">
        <v>1</v>
      </c>
      <c r="AO59" s="150" t="str">
        <f>IF($D59="Interior",INDEX(Lookups!Q$2:Q$86,MATCH(_xlfn.CONCAT($C59,$L59),Lookups!$P$2:$P$86,0)),IF($D59="Exterior",1,""))</f>
        <v/>
      </c>
      <c r="AP59" s="150">
        <f t="shared" si="19"/>
        <v>1</v>
      </c>
      <c r="AQ59" s="150" t="str">
        <f>IF($D59="Interior",INDEX(Lookups!R$2:R$86,MATCH(_xlfn.CONCAT($C59,$L59),Lookups!$P$2:$P$86,0)),IF($D59="Exterior",1,""))</f>
        <v/>
      </c>
      <c r="AR59" s="150" t="str">
        <f>IF($D59="Interior",INDEX(Lookups!S$2:S$86,MATCH(_xlfn.CONCAT($C59,$L59),Lookups!$P$2:$P$86,0)),IF($D59="Exterior",1,""))</f>
        <v/>
      </c>
      <c r="AS59" s="150" t="str">
        <f>IF($D59="Interior",INDEX(Lookups!T$2:T$86,MATCH(_xlfn.CONCAT($C59,$L59),Lookups!$P$2:$P$86,0)),IF($D59="Exterior",1,""))</f>
        <v/>
      </c>
      <c r="AT59" s="150" t="str">
        <f>IFERROR(IF(M59="Exit Signs",1,IF(INDEX('Fixture Codes'!$C$8:$C$976,MATCH($AD59,'Fixture Codes'!$B$8:$B$976,0))="Exit Sign",1,INDEX(Lookups!J$2:J$428,MATCH(_xlfn.CONCAT($B59,$H59),Lookups!$H$2:$H$428,0)))),"")</f>
        <v/>
      </c>
      <c r="AU59" s="150" t="str">
        <f>IFERROR(IF(M59="Exit Signs",1,IF(INDEX('Fixture Codes'!$C$8:$C$976,MATCH($AD59,'Fixture Codes'!$B$8:$B$976,0))="Exit Sign",1,INDEX(Lookups!K$2:K$428,MATCH(_xlfn.CONCAT($B59,$H59),Lookups!$H$2:$H$428,0)))),"")</f>
        <v/>
      </c>
      <c r="AV59" s="150" t="str">
        <f>IFERROR(IF(M59="Exit Signs",1,IF(INDEX('Fixture Codes'!$C$8:$C$976,MATCH($AD59,'Fixture Codes'!$B$8:$B$976,0))="Exit Sign",1,INDEX(Lookups!L$2:L$428,MATCH(_xlfn.CONCAT($B59,$H59),Lookups!$H$2:$H$428,0)))),"")</f>
        <v/>
      </c>
      <c r="AW59" s="150" t="str">
        <f>IF(ISBLANK(K59),"",IF(K59="Gas",INDEX(Lookups!$AG$2:$AG$63,MATCH(O59,Lookups!$AD$2:$AD$63,0),0),0))</f>
        <v/>
      </c>
      <c r="AX59" s="150" t="str">
        <f>IF(ISBLANK(K59),"",IF(K59="Gas",INDEX(Lookups!$AF$2:$AF$63,MATCH(O59,Lookups!$AD$2:$AD$63,0),0),0))</f>
        <v/>
      </c>
      <c r="AY59" s="150" t="str">
        <f>IF(ISBLANK(K59),"",IF(K59="Gas",INDEX(Lookups!$AH$2:$AH$63,MATCH(O59,Lookups!$AD$2:$AD$63,0),0),0))</f>
        <v/>
      </c>
      <c r="AZ59" s="150" t="str">
        <f>IF(ISBLANK(K59),"",IF(K59="Gas",INDEX(Lookups!$AI$2:$AI$63,MATCH(O59,Lookups!$AD$2:$AD$63,0),0),0))</f>
        <v/>
      </c>
      <c r="BA59" s="150" t="str">
        <f t="shared" si="0"/>
        <v/>
      </c>
      <c r="BB59" s="156" t="str">
        <f>IF(ISBLANK(AH59),"",IF(AH59="None",0,IF(K59="Gas",INDEX(Lookups!$AF$51:$AF$69,MATCH(AH59,Lookups!$AD$51:$AD$69,0),0),0)))</f>
        <v/>
      </c>
      <c r="BC59" s="156" t="str">
        <f>IF(ISBLANK(AH59),"",IF(AH59="None",0,IF(K59="Gas",INDEX(Lookups!$AH$51:$AH$69,MATCH(AH59,Lookups!$AD$51:$AD$69,0),0),0)))</f>
        <v/>
      </c>
      <c r="BD59" s="156" t="str">
        <f>IF(ISBLANK(AH59),"",IF(AH59="None",0,IF(K59="Gas",INDEX(Lookups!$AI$51:$AI$69,MATCH(AH59,Lookups!$AD$51:$AD$69,0),0),0)))</f>
        <v/>
      </c>
      <c r="BE59" s="157"/>
      <c r="BF59" s="157"/>
      <c r="BG59" s="147" t="str">
        <f t="shared" si="20"/>
        <v/>
      </c>
      <c r="BH59" s="147" t="str">
        <f t="shared" si="21"/>
        <v/>
      </c>
      <c r="BI59" s="147" t="str">
        <f t="shared" si="1"/>
        <v/>
      </c>
      <c r="BJ59" s="147" t="str">
        <f t="shared" si="2"/>
        <v/>
      </c>
      <c r="BK59" s="148" t="str">
        <f t="shared" si="22"/>
        <v/>
      </c>
      <c r="BL59" s="147" t="str">
        <f t="shared" si="3"/>
        <v/>
      </c>
      <c r="BM59" s="148" t="str">
        <f t="shared" si="23"/>
        <v/>
      </c>
      <c r="BN59" s="147" t="str">
        <f t="shared" si="24"/>
        <v/>
      </c>
      <c r="BO59" s="147" t="str">
        <f t="shared" si="24"/>
        <v/>
      </c>
      <c r="BP59" s="147" t="str">
        <f t="shared" si="25"/>
        <v/>
      </c>
      <c r="BQ59" s="148" t="str">
        <f t="shared" si="26"/>
        <v/>
      </c>
      <c r="BR59" s="148" t="str">
        <f t="shared" si="27"/>
        <v/>
      </c>
      <c r="BS59" s="148" t="str">
        <f t="shared" si="28"/>
        <v/>
      </c>
      <c r="BT59" s="148" t="str">
        <f t="shared" si="7"/>
        <v/>
      </c>
      <c r="BU59" s="148" t="str">
        <f t="shared" si="8"/>
        <v/>
      </c>
      <c r="BV59" s="148" t="str">
        <f t="shared" si="9"/>
        <v/>
      </c>
      <c r="BW59" s="148" t="str">
        <f t="shared" si="29"/>
        <v/>
      </c>
      <c r="BX59" s="148" t="str">
        <f t="shared" si="10"/>
        <v/>
      </c>
      <c r="BY59" s="148" t="str">
        <f t="shared" si="11"/>
        <v/>
      </c>
      <c r="BZ59" s="149" t="str">
        <f>IFERROR(INDEX('Prescriptive Rebate Table'!$B$2:$E$64,MATCH(O59,'Prescriptive Rebate Table'!$C$2:$C$64,0),3),"")</f>
        <v/>
      </c>
      <c r="CA59" s="145" t="str">
        <f>IFERROR(INDEX('Prescriptive Rebate Table'!$B$2:$E$64,MATCH(O59,'Prescriptive Rebate Table'!$C$2:$C$64,0),4),"")</f>
        <v/>
      </c>
      <c r="CB59" s="149" t="str">
        <f t="shared" si="30"/>
        <v/>
      </c>
      <c r="CC59" s="145" t="str">
        <f t="shared" si="31"/>
        <v/>
      </c>
      <c r="CD59" s="149" t="str">
        <f t="shared" si="12"/>
        <v/>
      </c>
      <c r="CE59" s="149" t="str">
        <f t="shared" si="13"/>
        <v/>
      </c>
      <c r="CF59" s="149" t="str">
        <f>IF(BK59&lt;=0,0,IFERROR(IF(OR(ISBLANK(AC59),ISBLANK(CD59))=TRUE,"",IF(CA59="Per Foot",INDEX('Fixture Codes'!$I$8:$I$976,MATCH(AD59,'Fixture Codes'!$B$8:$B$976,0))/12*AF59*BZ59,IF(CA59="Lamp",INDEX('Fixture Codes'!$J$8:$J$976,MATCH(AD59,'Fixture Codes'!$B$8:$B$976,0))*AF59*BZ59,IF(CA59="Fixture",AF59*BZ59,IF(CA59="kWh",BK59*BZ59,0))))),""))</f>
        <v/>
      </c>
      <c r="CG59" s="149" t="str">
        <f t="shared" si="32"/>
        <v/>
      </c>
      <c r="CH59" s="149" t="str">
        <f t="shared" si="33"/>
        <v/>
      </c>
      <c r="CI59" s="152"/>
      <c r="CJ59" s="146"/>
      <c r="CK59" s="241">
        <f>IFERROR(IF(CL59="Yes",'Prescriptive Rebate Table'!$D$69,IF(ISBLANK(AI59),0,IF(AND(AH59=Lookups!$A$62,BK59&gt;0),'Prescriptive Rebate Table'!$D$68,IF(AND(BK59&gt;0,CJ59=AF59),'Prescriptive Rebate Table'!$D$67,IF(AND(BK59&gt;0,CJ59&lt;&gt;AF59),'Prescriptive Rebate Table'!D118,0))))),"")</f>
        <v>0</v>
      </c>
      <c r="CL59" s="240" t="s">
        <v>2712</v>
      </c>
      <c r="CM59" s="152"/>
      <c r="CN59" s="152"/>
      <c r="CO59" s="152"/>
      <c r="CP59" s="146">
        <f t="shared" si="14"/>
        <v>0</v>
      </c>
      <c r="CQ59" s="153">
        <f>IF(D59="Interior",ROUND(($AG59*AF59)/1000*$AM59*(Lookups!$B$54-$AA59)*$AN59*$AO59,3),0)</f>
        <v>0</v>
      </c>
      <c r="CR59" s="153">
        <f>IFERROR(IF(D59="Interior",ROUND(($AG59*$AF59)/1000*(Lookups!$C$54-$AB59)*$AN59*AQ59*AT59,6),0),"")</f>
        <v>0</v>
      </c>
      <c r="CS59" s="165">
        <f t="shared" si="34"/>
        <v>0</v>
      </c>
      <c r="CT59" s="165">
        <f t="shared" si="35"/>
        <v>0</v>
      </c>
      <c r="CV59" s="153">
        <f>IF(D59="Interior",ROUND(($AG59*AF59)/1000*$AM59*(Lookups!$B$43-$AA59)*$AN59*$AO59,3),0)</f>
        <v>0</v>
      </c>
      <c r="CW59" s="153">
        <f>IFERROR(IF(D59="Interior",ROUND(($AG59*$AF59)/1000*(Lookups!$C$43-$AB59)*$AN59*AQ59*AT59,6),0),"")</f>
        <v>0</v>
      </c>
      <c r="CX59" s="165">
        <f t="shared" si="36"/>
        <v>0</v>
      </c>
      <c r="CY59" s="165">
        <f t="shared" si="37"/>
        <v>0</v>
      </c>
      <c r="DA59" s="153">
        <f>IF(D59="Interior",ROUND(($AG59*AF59*(1-0.15))/1000*$AM59*(Lookups!$B$43+0.097-$AA59)*$AN59*$AO59+((W59*V59)/1000*AN59*AM59*AO59*0.15),3),0)</f>
        <v>0</v>
      </c>
      <c r="DB59" s="153">
        <f>IFERROR(IF(D59="Interior",ROUND(($AG59*$AF59)/1000*(Lookups!$C$43+0.097-$AB59)*$AN59*AQ59*AT59+(($AG59*$AF59)/1000*$AN59*AQ59*AT59*0.15),6),0),"")</f>
        <v>0</v>
      </c>
      <c r="DC59" s="165">
        <f t="shared" si="38"/>
        <v>0</v>
      </c>
      <c r="DD59" s="165">
        <f t="shared" si="39"/>
        <v>0</v>
      </c>
    </row>
    <row r="60" spans="1:108" s="164" customFormat="1">
      <c r="A60" s="150">
        <v>56</v>
      </c>
      <c r="B60" s="153" t="str">
        <f>IFERROR(INDEX(Lookups!$B$2:$B$38,MATCH('Project Info &amp; Summary'!$C$19,Lookups!$A$2:$A$38,0)),"")</f>
        <v/>
      </c>
      <c r="C60" s="153" t="str">
        <f>IFERROR(INDEX(Lookups!$C$2:$C$38,MATCH('Project Info &amp; Summary'!$C$19,Lookups!$A$2:$A$38,0)),"")</f>
        <v/>
      </c>
      <c r="D60" s="163"/>
      <c r="E60" s="160"/>
      <c r="F60" s="158"/>
      <c r="G60" s="158"/>
      <c r="H60" s="158"/>
      <c r="I60" s="158"/>
      <c r="J60" s="154" t="str">
        <f>IFERROR(INDEX(Lookups!$W$21:$W$26,MATCH(I60,Lookups!$V$21:$V$26,0)),"")</f>
        <v/>
      </c>
      <c r="K60" s="158"/>
      <c r="L60" s="162" t="str">
        <f>IFERROR(INDEX(Lookups!$Y$2:$Y$19,MATCH(_xlfn.CONCAT(I60,K60),Lookups!$X$2:$X$19,0)),"")</f>
        <v/>
      </c>
      <c r="M60" s="158"/>
      <c r="N60" s="153" t="str">
        <f>IFERROR(INDEX('Prescriptive Rebate Table'!$M$3:$M$20,MATCH(M60,'Prescriptive Rebate Table'!$L$3:$L$20,0)),"")</f>
        <v/>
      </c>
      <c r="O60" s="158"/>
      <c r="P60" s="154" t="str">
        <f>IFERROR(INDEX('Prescriptive Rebate Table'!$B$2:$H$64, MATCH(O60,'Prescriptive Rebate Table'!$C$2:$C$64,0),7),"")</f>
        <v/>
      </c>
      <c r="Q60" s="155" t="str">
        <f>IFERROR(INDEX('Prescriptive Rebate Table'!$B$2:$I$64, MATCH(O60,'Prescriptive Rebate Table'!$C$2:$C$64,0),8),"")</f>
        <v/>
      </c>
      <c r="R60" s="155" t="str">
        <f>IFERROR(INDEX('Prescriptive Rebate Table'!$B$2:$J$64, MATCH(O60,'Prescriptive Rebate Table'!$C$2:$C$64,0),9),"")</f>
        <v/>
      </c>
      <c r="S60" s="160"/>
      <c r="T60" s="145" t="str">
        <f>IFERROR(INDEX('Fixture Codes'!$M$8:$M$976,MATCH(S60,'Fixture Codes'!$B$8:$B$976,0)),"")</f>
        <v/>
      </c>
      <c r="U60" s="145" t="str">
        <f>IFERROR(INDEX('Fixture Codes'!$B$7:$M$976,MATCH(T60,'Fixture Codes'!$B$7:$B$976,0),5),"")</f>
        <v/>
      </c>
      <c r="V60" s="160"/>
      <c r="W60" s="145" t="str">
        <f>IFERROR(INDEX('Fixture Codes'!$L$8:$L$976,MATCH(T60,'Fixture Codes'!$B$8:$B$976,0)),"")</f>
        <v/>
      </c>
      <c r="X60" s="158"/>
      <c r="Y60" s="159"/>
      <c r="Z60" s="155" t="str">
        <f>IFERROR(INDEX(Lookups!B$68:B$87,MATCH($X60,Lookups!$A$68:$A$87,0)),"")</f>
        <v/>
      </c>
      <c r="AA60" s="150" t="str">
        <f>IFERROR(INDEX(Lookups!B$42:B$62,MATCH($X60,Lookups!$A$42:$A$62,0)),"")</f>
        <v/>
      </c>
      <c r="AB60" s="150" t="str">
        <f>IFERROR(INDEX(Lookups!C$42:C$62,MATCH($X60,Lookups!$A$42:$A$62,0)),"")</f>
        <v/>
      </c>
      <c r="AC60" s="160"/>
      <c r="AD60" s="160"/>
      <c r="AE60" s="150" t="str">
        <f>IFERROR(INDEX('Fixture Codes'!$B$7:$M$976,MATCH(AD60,'Fixture Codes'!$B$7:$B$976,0),5),"")</f>
        <v/>
      </c>
      <c r="AF60" s="160"/>
      <c r="AG60" s="145" t="str">
        <f>IFERROR(INDEX('Fixture Codes'!$L$8:$L$976,MATCH(AD60,'Fixture Codes'!$B$8:$B$976,0)),"")</f>
        <v/>
      </c>
      <c r="AH60" s="158"/>
      <c r="AI60" s="160"/>
      <c r="AJ60" s="150" t="str">
        <f>IFERROR(INDEX(Lookups!B$68:B$87,MATCH($AH60,Lookups!$A$68:$A$87,0)),"")</f>
        <v/>
      </c>
      <c r="AK60" s="150" t="str">
        <f>IFERROR(INDEX(Lookups!B$42:B$62,MATCH($AH60,Lookups!$A$42:$A$62,0)),"")</f>
        <v/>
      </c>
      <c r="AL60" s="150" t="str">
        <f>IFERROR(INDEX(Lookups!C$42:C$62,MATCH($AH60,Lookups!$A$42:$A$62,0)),"")</f>
        <v/>
      </c>
      <c r="AM60" s="150" t="str">
        <f>IFERROR(IF(M60="Exit Signs",8760,IF(INDEX('Fixture Codes'!$C$8:$C$976,MATCH(AD60,'Fixture Codes'!$B$8:$B$976,0))="Exit Sign",8760,INDEX(Lookups!$I$2:$I$428,MATCH(_xlfn.CONCAT(B60,H60),Lookups!$H$2:$H$428,0)))),"")</f>
        <v/>
      </c>
      <c r="AN60" s="153">
        <v>1</v>
      </c>
      <c r="AO60" s="150" t="str">
        <f>IF($D60="Interior",INDEX(Lookups!Q$2:Q$86,MATCH(_xlfn.CONCAT($C60,$L60),Lookups!$P$2:$P$86,0)),IF($D60="Exterior",1,""))</f>
        <v/>
      </c>
      <c r="AP60" s="150">
        <f t="shared" si="19"/>
        <v>1</v>
      </c>
      <c r="AQ60" s="150" t="str">
        <f>IF($D60="Interior",INDEX(Lookups!R$2:R$86,MATCH(_xlfn.CONCAT($C60,$L60),Lookups!$P$2:$P$86,0)),IF($D60="Exterior",1,""))</f>
        <v/>
      </c>
      <c r="AR60" s="150" t="str">
        <f>IF($D60="Interior",INDEX(Lookups!S$2:S$86,MATCH(_xlfn.CONCAT($C60,$L60),Lookups!$P$2:$P$86,0)),IF($D60="Exterior",1,""))</f>
        <v/>
      </c>
      <c r="AS60" s="150" t="str">
        <f>IF($D60="Interior",INDEX(Lookups!T$2:T$86,MATCH(_xlfn.CONCAT($C60,$L60),Lookups!$P$2:$P$86,0)),IF($D60="Exterior",1,""))</f>
        <v/>
      </c>
      <c r="AT60" s="150" t="str">
        <f>IFERROR(IF(M60="Exit Signs",1,IF(INDEX('Fixture Codes'!$C$8:$C$976,MATCH($AD60,'Fixture Codes'!$B$8:$B$976,0))="Exit Sign",1,INDEX(Lookups!J$2:J$428,MATCH(_xlfn.CONCAT($B60,$H60),Lookups!$H$2:$H$428,0)))),"")</f>
        <v/>
      </c>
      <c r="AU60" s="150" t="str">
        <f>IFERROR(IF(M60="Exit Signs",1,IF(INDEX('Fixture Codes'!$C$8:$C$976,MATCH($AD60,'Fixture Codes'!$B$8:$B$976,0))="Exit Sign",1,INDEX(Lookups!K$2:K$428,MATCH(_xlfn.CONCAT($B60,$H60),Lookups!$H$2:$H$428,0)))),"")</f>
        <v/>
      </c>
      <c r="AV60" s="150" t="str">
        <f>IFERROR(IF(M60="Exit Signs",1,IF(INDEX('Fixture Codes'!$C$8:$C$976,MATCH($AD60,'Fixture Codes'!$B$8:$B$976,0))="Exit Sign",1,INDEX(Lookups!L$2:L$428,MATCH(_xlfn.CONCAT($B60,$H60),Lookups!$H$2:$H$428,0)))),"")</f>
        <v/>
      </c>
      <c r="AW60" s="150" t="str">
        <f>IF(ISBLANK(K60),"",IF(K60="Gas",INDEX(Lookups!$AG$2:$AG$63,MATCH(O60,Lookups!$AD$2:$AD$63,0),0),0))</f>
        <v/>
      </c>
      <c r="AX60" s="150" t="str">
        <f>IF(ISBLANK(K60),"",IF(K60="Gas",INDEX(Lookups!$AF$2:$AF$63,MATCH(O60,Lookups!$AD$2:$AD$63,0),0),0))</f>
        <v/>
      </c>
      <c r="AY60" s="150" t="str">
        <f>IF(ISBLANK(K60),"",IF(K60="Gas",INDEX(Lookups!$AH$2:$AH$63,MATCH(O60,Lookups!$AD$2:$AD$63,0),0),0))</f>
        <v/>
      </c>
      <c r="AZ60" s="150" t="str">
        <f>IF(ISBLANK(K60),"",IF(K60="Gas",INDEX(Lookups!$AI$2:$AI$63,MATCH(O60,Lookups!$AD$2:$AD$63,0),0),0))</f>
        <v/>
      </c>
      <c r="BA60" s="150" t="str">
        <f t="shared" si="0"/>
        <v/>
      </c>
      <c r="BB60" s="156" t="str">
        <f>IF(ISBLANK(AH60),"",IF(AH60="None",0,IF(K60="Gas",INDEX(Lookups!$AF$51:$AF$69,MATCH(AH60,Lookups!$AD$51:$AD$69,0),0),0)))</f>
        <v/>
      </c>
      <c r="BC60" s="156" t="str">
        <f>IF(ISBLANK(AH60),"",IF(AH60="None",0,IF(K60="Gas",INDEX(Lookups!$AH$51:$AH$69,MATCH(AH60,Lookups!$AD$51:$AD$69,0),0),0)))</f>
        <v/>
      </c>
      <c r="BD60" s="156" t="str">
        <f>IF(ISBLANK(AH60),"",IF(AH60="None",0,IF(K60="Gas",INDEX(Lookups!$AI$51:$AI$69,MATCH(AH60,Lookups!$AD$51:$AD$69,0),0),0)))</f>
        <v/>
      </c>
      <c r="BE60" s="157"/>
      <c r="BF60" s="157"/>
      <c r="BG60" s="147" t="str">
        <f t="shared" si="20"/>
        <v/>
      </c>
      <c r="BH60" s="147" t="str">
        <f t="shared" si="21"/>
        <v/>
      </c>
      <c r="BI60" s="147" t="str">
        <f t="shared" si="1"/>
        <v/>
      </c>
      <c r="BJ60" s="147" t="str">
        <f t="shared" si="2"/>
        <v/>
      </c>
      <c r="BK60" s="148" t="str">
        <f t="shared" si="22"/>
        <v/>
      </c>
      <c r="BL60" s="147" t="str">
        <f t="shared" si="3"/>
        <v/>
      </c>
      <c r="BM60" s="148" t="str">
        <f t="shared" si="23"/>
        <v/>
      </c>
      <c r="BN60" s="147" t="str">
        <f t="shared" si="24"/>
        <v/>
      </c>
      <c r="BO60" s="147" t="str">
        <f t="shared" si="24"/>
        <v/>
      </c>
      <c r="BP60" s="147" t="str">
        <f t="shared" si="25"/>
        <v/>
      </c>
      <c r="BQ60" s="148" t="str">
        <f t="shared" si="26"/>
        <v/>
      </c>
      <c r="BR60" s="148" t="str">
        <f t="shared" si="27"/>
        <v/>
      </c>
      <c r="BS60" s="148" t="str">
        <f t="shared" si="28"/>
        <v/>
      </c>
      <c r="BT60" s="148" t="str">
        <f t="shared" si="7"/>
        <v/>
      </c>
      <c r="BU60" s="148" t="str">
        <f t="shared" si="8"/>
        <v/>
      </c>
      <c r="BV60" s="148" t="str">
        <f t="shared" si="9"/>
        <v/>
      </c>
      <c r="BW60" s="148" t="str">
        <f t="shared" si="29"/>
        <v/>
      </c>
      <c r="BX60" s="148" t="str">
        <f t="shared" si="10"/>
        <v/>
      </c>
      <c r="BY60" s="148" t="str">
        <f t="shared" si="11"/>
        <v/>
      </c>
      <c r="BZ60" s="149" t="str">
        <f>IFERROR(INDEX('Prescriptive Rebate Table'!$B$2:$E$64,MATCH(O60,'Prescriptive Rebate Table'!$C$2:$C$64,0),3),"")</f>
        <v/>
      </c>
      <c r="CA60" s="145" t="str">
        <f>IFERROR(INDEX('Prescriptive Rebate Table'!$B$2:$E$64,MATCH(O60,'Prescriptive Rebate Table'!$C$2:$C$64,0),4),"")</f>
        <v/>
      </c>
      <c r="CB60" s="149" t="str">
        <f t="shared" si="30"/>
        <v/>
      </c>
      <c r="CC60" s="145" t="str">
        <f t="shared" si="31"/>
        <v/>
      </c>
      <c r="CD60" s="149" t="str">
        <f t="shared" si="12"/>
        <v/>
      </c>
      <c r="CE60" s="149" t="str">
        <f t="shared" si="13"/>
        <v/>
      </c>
      <c r="CF60" s="149" t="str">
        <f>IF(BK60&lt;=0,0,IFERROR(IF(OR(ISBLANK(AC60),ISBLANK(CD60))=TRUE,"",IF(CA60="Per Foot",INDEX('Fixture Codes'!$I$8:$I$976,MATCH(AD60,'Fixture Codes'!$B$8:$B$976,0))/12*AF60*BZ60,IF(CA60="Lamp",INDEX('Fixture Codes'!$J$8:$J$976,MATCH(AD60,'Fixture Codes'!$B$8:$B$976,0))*AF60*BZ60,IF(CA60="Fixture",AF60*BZ60,IF(CA60="kWh",BK60*BZ60,0))))),""))</f>
        <v/>
      </c>
      <c r="CG60" s="149" t="str">
        <f t="shared" si="32"/>
        <v/>
      </c>
      <c r="CH60" s="149" t="str">
        <f t="shared" si="33"/>
        <v/>
      </c>
      <c r="CI60" s="152"/>
      <c r="CJ60" s="146"/>
      <c r="CK60" s="241">
        <f>IFERROR(IF(CL60="Yes",'Prescriptive Rebate Table'!$D$69,IF(ISBLANK(AI60),0,IF(AND(AH60=Lookups!$A$62,BK60&gt;0),'Prescriptive Rebate Table'!$D$68,IF(AND(BK60&gt;0,CJ60=AF60),'Prescriptive Rebate Table'!$D$67,IF(AND(BK60&gt;0,CJ60&lt;&gt;AF60),'Prescriptive Rebate Table'!D119,0))))),"")</f>
        <v>0</v>
      </c>
      <c r="CL60" s="240" t="s">
        <v>2712</v>
      </c>
      <c r="CM60" s="152"/>
      <c r="CN60" s="152"/>
      <c r="CO60" s="152"/>
      <c r="CP60" s="146">
        <f t="shared" si="14"/>
        <v>0</v>
      </c>
      <c r="CQ60" s="153">
        <f>IF(D60="Interior",ROUND(($AG60*AF60)/1000*$AM60*(Lookups!$B$54-$AA60)*$AN60*$AO60,3),0)</f>
        <v>0</v>
      </c>
      <c r="CR60" s="153">
        <f>IFERROR(IF(D60="Interior",ROUND(($AG60*$AF60)/1000*(Lookups!$C$54-$AB60)*$AN60*AQ60*AT60,6),0),"")</f>
        <v>0</v>
      </c>
      <c r="CS60" s="165">
        <f t="shared" si="34"/>
        <v>0</v>
      </c>
      <c r="CT60" s="165">
        <f t="shared" si="35"/>
        <v>0</v>
      </c>
      <c r="CV60" s="153">
        <f>IF(D60="Interior",ROUND(($AG60*AF60)/1000*$AM60*(Lookups!$B$43-$AA60)*$AN60*$AO60,3),0)</f>
        <v>0</v>
      </c>
      <c r="CW60" s="153">
        <f>IFERROR(IF(D60="Interior",ROUND(($AG60*$AF60)/1000*(Lookups!$C$43-$AB60)*$AN60*AQ60*AT60,6),0),"")</f>
        <v>0</v>
      </c>
      <c r="CX60" s="165">
        <f t="shared" si="36"/>
        <v>0</v>
      </c>
      <c r="CY60" s="165">
        <f t="shared" si="37"/>
        <v>0</v>
      </c>
      <c r="DA60" s="153">
        <f>IF(D60="Interior",ROUND(($AG60*AF60*(1-0.15))/1000*$AM60*(Lookups!$B$43+0.097-$AA60)*$AN60*$AO60+((W60*V60)/1000*AN60*AM60*AO60*0.15),3),0)</f>
        <v>0</v>
      </c>
      <c r="DB60" s="153">
        <f>IFERROR(IF(D60="Interior",ROUND(($AG60*$AF60)/1000*(Lookups!$C$43+0.097-$AB60)*$AN60*AQ60*AT60+(($AG60*$AF60)/1000*$AN60*AQ60*AT60*0.15),6),0),"")</f>
        <v>0</v>
      </c>
      <c r="DC60" s="165">
        <f t="shared" si="38"/>
        <v>0</v>
      </c>
      <c r="DD60" s="165">
        <f t="shared" si="39"/>
        <v>0</v>
      </c>
    </row>
    <row r="61" spans="1:108" s="164" customFormat="1">
      <c r="A61" s="150">
        <v>57</v>
      </c>
      <c r="B61" s="153" t="str">
        <f>IFERROR(INDEX(Lookups!$B$2:$B$38,MATCH('Project Info &amp; Summary'!$C$19,Lookups!$A$2:$A$38,0)),"")</f>
        <v/>
      </c>
      <c r="C61" s="153" t="str">
        <f>IFERROR(INDEX(Lookups!$C$2:$C$38,MATCH('Project Info &amp; Summary'!$C$19,Lookups!$A$2:$A$38,0)),"")</f>
        <v/>
      </c>
      <c r="D61" s="163"/>
      <c r="E61" s="160"/>
      <c r="F61" s="158"/>
      <c r="G61" s="158"/>
      <c r="H61" s="158"/>
      <c r="I61" s="158"/>
      <c r="J61" s="154" t="str">
        <f>IFERROR(INDEX(Lookups!$W$21:$W$26,MATCH(I61,Lookups!$V$21:$V$26,0)),"")</f>
        <v/>
      </c>
      <c r="K61" s="158"/>
      <c r="L61" s="162" t="str">
        <f>IFERROR(INDEX(Lookups!$Y$2:$Y$19,MATCH(_xlfn.CONCAT(I61,K61),Lookups!$X$2:$X$19,0)),"")</f>
        <v/>
      </c>
      <c r="M61" s="158"/>
      <c r="N61" s="153" t="str">
        <f>IFERROR(INDEX('Prescriptive Rebate Table'!$M$3:$M$20,MATCH(M61,'Prescriptive Rebate Table'!$L$3:$L$20,0)),"")</f>
        <v/>
      </c>
      <c r="O61" s="158"/>
      <c r="P61" s="154" t="str">
        <f>IFERROR(INDEX('Prescriptive Rebate Table'!$B$2:$H$64, MATCH(O61,'Prescriptive Rebate Table'!$C$2:$C$64,0),7),"")</f>
        <v/>
      </c>
      <c r="Q61" s="155" t="str">
        <f>IFERROR(INDEX('Prescriptive Rebate Table'!$B$2:$I$64, MATCH(O61,'Prescriptive Rebate Table'!$C$2:$C$64,0),8),"")</f>
        <v/>
      </c>
      <c r="R61" s="155" t="str">
        <f>IFERROR(INDEX('Prescriptive Rebate Table'!$B$2:$J$64, MATCH(O61,'Prescriptive Rebate Table'!$C$2:$C$64,0),9),"")</f>
        <v/>
      </c>
      <c r="S61" s="160"/>
      <c r="T61" s="145" t="str">
        <f>IFERROR(INDEX('Fixture Codes'!$M$8:$M$976,MATCH(S61,'Fixture Codes'!$B$8:$B$976,0)),"")</f>
        <v/>
      </c>
      <c r="U61" s="145" t="str">
        <f>IFERROR(INDEX('Fixture Codes'!$B$7:$M$976,MATCH(T61,'Fixture Codes'!$B$7:$B$976,0),5),"")</f>
        <v/>
      </c>
      <c r="V61" s="160"/>
      <c r="W61" s="145" t="str">
        <f>IFERROR(INDEX('Fixture Codes'!$L$8:$L$976,MATCH(T61,'Fixture Codes'!$B$8:$B$976,0)),"")</f>
        <v/>
      </c>
      <c r="X61" s="158"/>
      <c r="Y61" s="159"/>
      <c r="Z61" s="155" t="str">
        <f>IFERROR(INDEX(Lookups!B$68:B$87,MATCH($X61,Lookups!$A$68:$A$87,0)),"")</f>
        <v/>
      </c>
      <c r="AA61" s="150" t="str">
        <f>IFERROR(INDEX(Lookups!B$42:B$62,MATCH($X61,Lookups!$A$42:$A$62,0)),"")</f>
        <v/>
      </c>
      <c r="AB61" s="150" t="str">
        <f>IFERROR(INDEX(Lookups!C$42:C$62,MATCH($X61,Lookups!$A$42:$A$62,0)),"")</f>
        <v/>
      </c>
      <c r="AC61" s="160"/>
      <c r="AD61" s="160"/>
      <c r="AE61" s="150" t="str">
        <f>IFERROR(INDEX('Fixture Codes'!$B$7:$M$976,MATCH(AD61,'Fixture Codes'!$B$7:$B$976,0),5),"")</f>
        <v/>
      </c>
      <c r="AF61" s="160"/>
      <c r="AG61" s="145" t="str">
        <f>IFERROR(INDEX('Fixture Codes'!$L$8:$L$976,MATCH(AD61,'Fixture Codes'!$B$8:$B$976,0)),"")</f>
        <v/>
      </c>
      <c r="AH61" s="158"/>
      <c r="AI61" s="160"/>
      <c r="AJ61" s="150" t="str">
        <f>IFERROR(INDEX(Lookups!B$68:B$87,MATCH($AH61,Lookups!$A$68:$A$87,0)),"")</f>
        <v/>
      </c>
      <c r="AK61" s="150" t="str">
        <f>IFERROR(INDEX(Lookups!B$42:B$62,MATCH($AH61,Lookups!$A$42:$A$62,0)),"")</f>
        <v/>
      </c>
      <c r="AL61" s="150" t="str">
        <f>IFERROR(INDEX(Lookups!C$42:C$62,MATCH($AH61,Lookups!$A$42:$A$62,0)),"")</f>
        <v/>
      </c>
      <c r="AM61" s="150" t="str">
        <f>IFERROR(IF(M61="Exit Signs",8760,IF(INDEX('Fixture Codes'!$C$8:$C$976,MATCH(AD61,'Fixture Codes'!$B$8:$B$976,0))="Exit Sign",8760,INDEX(Lookups!$I$2:$I$428,MATCH(_xlfn.CONCAT(B61,H61),Lookups!$H$2:$H$428,0)))),"")</f>
        <v/>
      </c>
      <c r="AN61" s="153">
        <v>1</v>
      </c>
      <c r="AO61" s="150" t="str">
        <f>IF($D61="Interior",INDEX(Lookups!Q$2:Q$86,MATCH(_xlfn.CONCAT($C61,$L61),Lookups!$P$2:$P$86,0)),IF($D61="Exterior",1,""))</f>
        <v/>
      </c>
      <c r="AP61" s="150">
        <f t="shared" si="19"/>
        <v>1</v>
      </c>
      <c r="AQ61" s="150" t="str">
        <f>IF($D61="Interior",INDEX(Lookups!R$2:R$86,MATCH(_xlfn.CONCAT($C61,$L61),Lookups!$P$2:$P$86,0)),IF($D61="Exterior",1,""))</f>
        <v/>
      </c>
      <c r="AR61" s="150" t="str">
        <f>IF($D61="Interior",INDEX(Lookups!S$2:S$86,MATCH(_xlfn.CONCAT($C61,$L61),Lookups!$P$2:$P$86,0)),IF($D61="Exterior",1,""))</f>
        <v/>
      </c>
      <c r="AS61" s="150" t="str">
        <f>IF($D61="Interior",INDEX(Lookups!T$2:T$86,MATCH(_xlfn.CONCAT($C61,$L61),Lookups!$P$2:$P$86,0)),IF($D61="Exterior",1,""))</f>
        <v/>
      </c>
      <c r="AT61" s="150" t="str">
        <f>IFERROR(IF(M61="Exit Signs",1,IF(INDEX('Fixture Codes'!$C$8:$C$976,MATCH($AD61,'Fixture Codes'!$B$8:$B$976,0))="Exit Sign",1,INDEX(Lookups!J$2:J$428,MATCH(_xlfn.CONCAT($B61,$H61),Lookups!$H$2:$H$428,0)))),"")</f>
        <v/>
      </c>
      <c r="AU61" s="150" t="str">
        <f>IFERROR(IF(M61="Exit Signs",1,IF(INDEX('Fixture Codes'!$C$8:$C$976,MATCH($AD61,'Fixture Codes'!$B$8:$B$976,0))="Exit Sign",1,INDEX(Lookups!K$2:K$428,MATCH(_xlfn.CONCAT($B61,$H61),Lookups!$H$2:$H$428,0)))),"")</f>
        <v/>
      </c>
      <c r="AV61" s="150" t="str">
        <f>IFERROR(IF(M61="Exit Signs",1,IF(INDEX('Fixture Codes'!$C$8:$C$976,MATCH($AD61,'Fixture Codes'!$B$8:$B$976,0))="Exit Sign",1,INDEX(Lookups!L$2:L$428,MATCH(_xlfn.CONCAT($B61,$H61),Lookups!$H$2:$H$428,0)))),"")</f>
        <v/>
      </c>
      <c r="AW61" s="150" t="str">
        <f>IF(ISBLANK(K61),"",IF(K61="Gas",INDEX(Lookups!$AG$2:$AG$63,MATCH(O61,Lookups!$AD$2:$AD$63,0),0),0))</f>
        <v/>
      </c>
      <c r="AX61" s="150" t="str">
        <f>IF(ISBLANK(K61),"",IF(K61="Gas",INDEX(Lookups!$AF$2:$AF$63,MATCH(O61,Lookups!$AD$2:$AD$63,0),0),0))</f>
        <v/>
      </c>
      <c r="AY61" s="150" t="str">
        <f>IF(ISBLANK(K61),"",IF(K61="Gas",INDEX(Lookups!$AH$2:$AH$63,MATCH(O61,Lookups!$AD$2:$AD$63,0),0),0))</f>
        <v/>
      </c>
      <c r="AZ61" s="150" t="str">
        <f>IF(ISBLANK(K61),"",IF(K61="Gas",INDEX(Lookups!$AI$2:$AI$63,MATCH(O61,Lookups!$AD$2:$AD$63,0),0),0))</f>
        <v/>
      </c>
      <c r="BA61" s="150" t="str">
        <f t="shared" si="0"/>
        <v/>
      </c>
      <c r="BB61" s="156" t="str">
        <f>IF(ISBLANK(AH61),"",IF(AH61="None",0,IF(K61="Gas",INDEX(Lookups!$AF$51:$AF$69,MATCH(AH61,Lookups!$AD$51:$AD$69,0),0),0)))</f>
        <v/>
      </c>
      <c r="BC61" s="156" t="str">
        <f>IF(ISBLANK(AH61),"",IF(AH61="None",0,IF(K61="Gas",INDEX(Lookups!$AH$51:$AH$69,MATCH(AH61,Lookups!$AD$51:$AD$69,0),0),0)))</f>
        <v/>
      </c>
      <c r="BD61" s="156" t="str">
        <f>IF(ISBLANK(AH61),"",IF(AH61="None",0,IF(K61="Gas",INDEX(Lookups!$AI$51:$AI$69,MATCH(AH61,Lookups!$AD$51:$AD$69,0),0),0)))</f>
        <v/>
      </c>
      <c r="BE61" s="157"/>
      <c r="BF61" s="157"/>
      <c r="BG61" s="147" t="str">
        <f t="shared" si="20"/>
        <v/>
      </c>
      <c r="BH61" s="147" t="str">
        <f t="shared" si="21"/>
        <v/>
      </c>
      <c r="BI61" s="147" t="str">
        <f t="shared" si="1"/>
        <v/>
      </c>
      <c r="BJ61" s="147" t="str">
        <f t="shared" si="2"/>
        <v/>
      </c>
      <c r="BK61" s="148" t="str">
        <f t="shared" si="22"/>
        <v/>
      </c>
      <c r="BL61" s="147" t="str">
        <f t="shared" si="3"/>
        <v/>
      </c>
      <c r="BM61" s="148" t="str">
        <f t="shared" si="23"/>
        <v/>
      </c>
      <c r="BN61" s="147" t="str">
        <f t="shared" si="24"/>
        <v/>
      </c>
      <c r="BO61" s="147" t="str">
        <f t="shared" si="24"/>
        <v/>
      </c>
      <c r="BP61" s="147" t="str">
        <f t="shared" si="25"/>
        <v/>
      </c>
      <c r="BQ61" s="148" t="str">
        <f t="shared" si="26"/>
        <v/>
      </c>
      <c r="BR61" s="148" t="str">
        <f t="shared" si="27"/>
        <v/>
      </c>
      <c r="BS61" s="148" t="str">
        <f t="shared" si="28"/>
        <v/>
      </c>
      <c r="BT61" s="148" t="str">
        <f t="shared" si="7"/>
        <v/>
      </c>
      <c r="BU61" s="148" t="str">
        <f t="shared" si="8"/>
        <v/>
      </c>
      <c r="BV61" s="148" t="str">
        <f t="shared" si="9"/>
        <v/>
      </c>
      <c r="BW61" s="148" t="str">
        <f t="shared" si="29"/>
        <v/>
      </c>
      <c r="BX61" s="148" t="str">
        <f t="shared" si="10"/>
        <v/>
      </c>
      <c r="BY61" s="148" t="str">
        <f t="shared" si="11"/>
        <v/>
      </c>
      <c r="BZ61" s="149" t="str">
        <f>IFERROR(INDEX('Prescriptive Rebate Table'!$B$2:$E$64,MATCH(O61,'Prescriptive Rebate Table'!$C$2:$C$64,0),3),"")</f>
        <v/>
      </c>
      <c r="CA61" s="145" t="str">
        <f>IFERROR(INDEX('Prescriptive Rebate Table'!$B$2:$E$64,MATCH(O61,'Prescriptive Rebate Table'!$C$2:$C$64,0),4),"")</f>
        <v/>
      </c>
      <c r="CB61" s="149" t="str">
        <f t="shared" si="30"/>
        <v/>
      </c>
      <c r="CC61" s="145" t="str">
        <f t="shared" si="31"/>
        <v/>
      </c>
      <c r="CD61" s="149" t="str">
        <f t="shared" si="12"/>
        <v/>
      </c>
      <c r="CE61" s="149" t="str">
        <f t="shared" si="13"/>
        <v/>
      </c>
      <c r="CF61" s="149" t="str">
        <f>IF(BK61&lt;=0,0,IFERROR(IF(OR(ISBLANK(AC61),ISBLANK(CD61))=TRUE,"",IF(CA61="Per Foot",INDEX('Fixture Codes'!$I$8:$I$976,MATCH(AD61,'Fixture Codes'!$B$8:$B$976,0))/12*AF61*BZ61,IF(CA61="Lamp",INDEX('Fixture Codes'!$J$8:$J$976,MATCH(AD61,'Fixture Codes'!$B$8:$B$976,0))*AF61*BZ61,IF(CA61="Fixture",AF61*BZ61,IF(CA61="kWh",BK61*BZ61,0))))),""))</f>
        <v/>
      </c>
      <c r="CG61" s="149" t="str">
        <f t="shared" si="32"/>
        <v/>
      </c>
      <c r="CH61" s="149" t="str">
        <f t="shared" si="33"/>
        <v/>
      </c>
      <c r="CI61" s="152"/>
      <c r="CJ61" s="146"/>
      <c r="CK61" s="241">
        <f>IFERROR(IF(CL61="Yes",'Prescriptive Rebate Table'!$D$69,IF(ISBLANK(AI61),0,IF(AND(AH61=Lookups!$A$62,BK61&gt;0),'Prescriptive Rebate Table'!$D$68,IF(AND(BK61&gt;0,CJ61=AF61),'Prescriptive Rebate Table'!$D$67,IF(AND(BK61&gt;0,CJ61&lt;&gt;AF61),'Prescriptive Rebate Table'!D120,0))))),"")</f>
        <v>0</v>
      </c>
      <c r="CL61" s="240" t="s">
        <v>2712</v>
      </c>
      <c r="CM61" s="152"/>
      <c r="CN61" s="152"/>
      <c r="CO61" s="152"/>
      <c r="CP61" s="146">
        <f t="shared" si="14"/>
        <v>0</v>
      </c>
      <c r="CQ61" s="153">
        <f>IF(D61="Interior",ROUND(($AG61*AF61)/1000*$AM61*(Lookups!$B$54-$AA61)*$AN61*$AO61,3),0)</f>
        <v>0</v>
      </c>
      <c r="CR61" s="153">
        <f>IFERROR(IF(D61="Interior",ROUND(($AG61*$AF61)/1000*(Lookups!$C$54-$AB61)*$AN61*AQ61*AT61,6),0),"")</f>
        <v>0</v>
      </c>
      <c r="CS61" s="165">
        <f t="shared" si="34"/>
        <v>0</v>
      </c>
      <c r="CT61" s="165">
        <f t="shared" si="35"/>
        <v>0</v>
      </c>
      <c r="CV61" s="153">
        <f>IF(D61="Interior",ROUND(($AG61*AF61)/1000*$AM61*(Lookups!$B$43-$AA61)*$AN61*$AO61,3),0)</f>
        <v>0</v>
      </c>
      <c r="CW61" s="153">
        <f>IFERROR(IF(D61="Interior",ROUND(($AG61*$AF61)/1000*(Lookups!$C$43-$AB61)*$AN61*AQ61*AT61,6),0),"")</f>
        <v>0</v>
      </c>
      <c r="CX61" s="165">
        <f t="shared" si="36"/>
        <v>0</v>
      </c>
      <c r="CY61" s="165">
        <f t="shared" si="37"/>
        <v>0</v>
      </c>
      <c r="DA61" s="153">
        <f>IF(D61="Interior",ROUND(($AG61*AF61*(1-0.15))/1000*$AM61*(Lookups!$B$43+0.097-$AA61)*$AN61*$AO61+((W61*V61)/1000*AN61*AM61*AO61*0.15),3),0)</f>
        <v>0</v>
      </c>
      <c r="DB61" s="153">
        <f>IFERROR(IF(D61="Interior",ROUND(($AG61*$AF61)/1000*(Lookups!$C$43+0.097-$AB61)*$AN61*AQ61*AT61+(($AG61*$AF61)/1000*$AN61*AQ61*AT61*0.15),6),0),"")</f>
        <v>0</v>
      </c>
      <c r="DC61" s="165">
        <f t="shared" si="38"/>
        <v>0</v>
      </c>
      <c r="DD61" s="165">
        <f t="shared" si="39"/>
        <v>0</v>
      </c>
    </row>
    <row r="62" spans="1:108" s="164" customFormat="1">
      <c r="A62" s="150">
        <v>58</v>
      </c>
      <c r="B62" s="153" t="str">
        <f>IFERROR(INDEX(Lookups!$B$2:$B$38,MATCH('Project Info &amp; Summary'!$C$19,Lookups!$A$2:$A$38,0)),"")</f>
        <v/>
      </c>
      <c r="C62" s="153" t="str">
        <f>IFERROR(INDEX(Lookups!$C$2:$C$38,MATCH('Project Info &amp; Summary'!$C$19,Lookups!$A$2:$A$38,0)),"")</f>
        <v/>
      </c>
      <c r="D62" s="163"/>
      <c r="E62" s="160"/>
      <c r="F62" s="158"/>
      <c r="G62" s="158"/>
      <c r="H62" s="158"/>
      <c r="I62" s="158"/>
      <c r="J62" s="154" t="str">
        <f>IFERROR(INDEX(Lookups!$W$21:$W$26,MATCH(I62,Lookups!$V$21:$V$26,0)),"")</f>
        <v/>
      </c>
      <c r="K62" s="158"/>
      <c r="L62" s="162" t="str">
        <f>IFERROR(INDEX(Lookups!$Y$2:$Y$19,MATCH(_xlfn.CONCAT(I62,K62),Lookups!$X$2:$X$19,0)),"")</f>
        <v/>
      </c>
      <c r="M62" s="158"/>
      <c r="N62" s="153" t="str">
        <f>IFERROR(INDEX('Prescriptive Rebate Table'!$M$3:$M$20,MATCH(M62,'Prescriptive Rebate Table'!$L$3:$L$20,0)),"")</f>
        <v/>
      </c>
      <c r="O62" s="158"/>
      <c r="P62" s="154" t="str">
        <f>IFERROR(INDEX('Prescriptive Rebate Table'!$B$2:$H$64, MATCH(O62,'Prescriptive Rebate Table'!$C$2:$C$64,0),7),"")</f>
        <v/>
      </c>
      <c r="Q62" s="155" t="str">
        <f>IFERROR(INDEX('Prescriptive Rebate Table'!$B$2:$I$64, MATCH(O62,'Prescriptive Rebate Table'!$C$2:$C$64,0),8),"")</f>
        <v/>
      </c>
      <c r="R62" s="155" t="str">
        <f>IFERROR(INDEX('Prescriptive Rebate Table'!$B$2:$J$64, MATCH(O62,'Prescriptive Rebate Table'!$C$2:$C$64,0),9),"")</f>
        <v/>
      </c>
      <c r="S62" s="160"/>
      <c r="T62" s="145" t="str">
        <f>IFERROR(INDEX('Fixture Codes'!$M$8:$M$976,MATCH(S62,'Fixture Codes'!$B$8:$B$976,0)),"")</f>
        <v/>
      </c>
      <c r="U62" s="145" t="str">
        <f>IFERROR(INDEX('Fixture Codes'!$B$7:$M$976,MATCH(T62,'Fixture Codes'!$B$7:$B$976,0),5),"")</f>
        <v/>
      </c>
      <c r="V62" s="160"/>
      <c r="W62" s="145" t="str">
        <f>IFERROR(INDEX('Fixture Codes'!$L$8:$L$976,MATCH(T62,'Fixture Codes'!$B$8:$B$976,0)),"")</f>
        <v/>
      </c>
      <c r="X62" s="158"/>
      <c r="Y62" s="159"/>
      <c r="Z62" s="155" t="str">
        <f>IFERROR(INDEX(Lookups!B$68:B$87,MATCH($X62,Lookups!$A$68:$A$87,0)),"")</f>
        <v/>
      </c>
      <c r="AA62" s="150" t="str">
        <f>IFERROR(INDEX(Lookups!B$42:B$62,MATCH($X62,Lookups!$A$42:$A$62,0)),"")</f>
        <v/>
      </c>
      <c r="AB62" s="150" t="str">
        <f>IFERROR(INDEX(Lookups!C$42:C$62,MATCH($X62,Lookups!$A$42:$A$62,0)),"")</f>
        <v/>
      </c>
      <c r="AC62" s="160"/>
      <c r="AD62" s="160"/>
      <c r="AE62" s="150" t="str">
        <f>IFERROR(INDEX('Fixture Codes'!$B$7:$M$976,MATCH(AD62,'Fixture Codes'!$B$7:$B$976,0),5),"")</f>
        <v/>
      </c>
      <c r="AF62" s="160"/>
      <c r="AG62" s="145" t="str">
        <f>IFERROR(INDEX('Fixture Codes'!$L$8:$L$976,MATCH(AD62,'Fixture Codes'!$B$8:$B$976,0)),"")</f>
        <v/>
      </c>
      <c r="AH62" s="158"/>
      <c r="AI62" s="160"/>
      <c r="AJ62" s="150" t="str">
        <f>IFERROR(INDEX(Lookups!B$68:B$87,MATCH($AH62,Lookups!$A$68:$A$87,0)),"")</f>
        <v/>
      </c>
      <c r="AK62" s="150" t="str">
        <f>IFERROR(INDEX(Lookups!B$42:B$62,MATCH($AH62,Lookups!$A$42:$A$62,0)),"")</f>
        <v/>
      </c>
      <c r="AL62" s="150" t="str">
        <f>IFERROR(INDEX(Lookups!C$42:C$62,MATCH($AH62,Lookups!$A$42:$A$62,0)),"")</f>
        <v/>
      </c>
      <c r="AM62" s="150" t="str">
        <f>IFERROR(IF(M62="Exit Signs",8760,IF(INDEX('Fixture Codes'!$C$8:$C$976,MATCH(AD62,'Fixture Codes'!$B$8:$B$976,0))="Exit Sign",8760,INDEX(Lookups!$I$2:$I$428,MATCH(_xlfn.CONCAT(B62,H62),Lookups!$H$2:$H$428,0)))),"")</f>
        <v/>
      </c>
      <c r="AN62" s="153">
        <v>1</v>
      </c>
      <c r="AO62" s="150" t="str">
        <f>IF($D62="Interior",INDEX(Lookups!Q$2:Q$86,MATCH(_xlfn.CONCAT($C62,$L62),Lookups!$P$2:$P$86,0)),IF($D62="Exterior",1,""))</f>
        <v/>
      </c>
      <c r="AP62" s="150">
        <f t="shared" si="19"/>
        <v>1</v>
      </c>
      <c r="AQ62" s="150" t="str">
        <f>IF($D62="Interior",INDEX(Lookups!R$2:R$86,MATCH(_xlfn.CONCAT($C62,$L62),Lookups!$P$2:$P$86,0)),IF($D62="Exterior",1,""))</f>
        <v/>
      </c>
      <c r="AR62" s="150" t="str">
        <f>IF($D62="Interior",INDEX(Lookups!S$2:S$86,MATCH(_xlfn.CONCAT($C62,$L62),Lookups!$P$2:$P$86,0)),IF($D62="Exterior",1,""))</f>
        <v/>
      </c>
      <c r="AS62" s="150" t="str">
        <f>IF($D62="Interior",INDEX(Lookups!T$2:T$86,MATCH(_xlfn.CONCAT($C62,$L62),Lookups!$P$2:$P$86,0)),IF($D62="Exterior",1,""))</f>
        <v/>
      </c>
      <c r="AT62" s="150" t="str">
        <f>IFERROR(IF(M62="Exit Signs",1,IF(INDEX('Fixture Codes'!$C$8:$C$976,MATCH($AD62,'Fixture Codes'!$B$8:$B$976,0))="Exit Sign",1,INDEX(Lookups!J$2:J$428,MATCH(_xlfn.CONCAT($B62,$H62),Lookups!$H$2:$H$428,0)))),"")</f>
        <v/>
      </c>
      <c r="AU62" s="150" t="str">
        <f>IFERROR(IF(M62="Exit Signs",1,IF(INDEX('Fixture Codes'!$C$8:$C$976,MATCH($AD62,'Fixture Codes'!$B$8:$B$976,0))="Exit Sign",1,INDEX(Lookups!K$2:K$428,MATCH(_xlfn.CONCAT($B62,$H62),Lookups!$H$2:$H$428,0)))),"")</f>
        <v/>
      </c>
      <c r="AV62" s="150" t="str">
        <f>IFERROR(IF(M62="Exit Signs",1,IF(INDEX('Fixture Codes'!$C$8:$C$976,MATCH($AD62,'Fixture Codes'!$B$8:$B$976,0))="Exit Sign",1,INDEX(Lookups!L$2:L$428,MATCH(_xlfn.CONCAT($B62,$H62),Lookups!$H$2:$H$428,0)))),"")</f>
        <v/>
      </c>
      <c r="AW62" s="150" t="str">
        <f>IF(ISBLANK(K62),"",IF(K62="Gas",INDEX(Lookups!$AG$2:$AG$63,MATCH(O62,Lookups!$AD$2:$AD$63,0),0),0))</f>
        <v/>
      </c>
      <c r="AX62" s="150" t="str">
        <f>IF(ISBLANK(K62),"",IF(K62="Gas",INDEX(Lookups!$AF$2:$AF$63,MATCH(O62,Lookups!$AD$2:$AD$63,0),0),0))</f>
        <v/>
      </c>
      <c r="AY62" s="150" t="str">
        <f>IF(ISBLANK(K62),"",IF(K62="Gas",INDEX(Lookups!$AH$2:$AH$63,MATCH(O62,Lookups!$AD$2:$AD$63,0),0),0))</f>
        <v/>
      </c>
      <c r="AZ62" s="150" t="str">
        <f>IF(ISBLANK(K62),"",IF(K62="Gas",INDEX(Lookups!$AI$2:$AI$63,MATCH(O62,Lookups!$AD$2:$AD$63,0),0),0))</f>
        <v/>
      </c>
      <c r="BA62" s="150" t="str">
        <f t="shared" si="0"/>
        <v/>
      </c>
      <c r="BB62" s="156" t="str">
        <f>IF(ISBLANK(AH62),"",IF(AH62="None",0,IF(K62="Gas",INDEX(Lookups!$AF$51:$AF$69,MATCH(AH62,Lookups!$AD$51:$AD$69,0),0),0)))</f>
        <v/>
      </c>
      <c r="BC62" s="156" t="str">
        <f>IF(ISBLANK(AH62),"",IF(AH62="None",0,IF(K62="Gas",INDEX(Lookups!$AH$51:$AH$69,MATCH(AH62,Lookups!$AD$51:$AD$69,0),0),0)))</f>
        <v/>
      </c>
      <c r="BD62" s="156" t="str">
        <f>IF(ISBLANK(AH62),"",IF(AH62="None",0,IF(K62="Gas",INDEX(Lookups!$AI$51:$AI$69,MATCH(AH62,Lookups!$AD$51:$AD$69,0),0),0)))</f>
        <v/>
      </c>
      <c r="BE62" s="157"/>
      <c r="BF62" s="157"/>
      <c r="BG62" s="147" t="str">
        <f t="shared" si="20"/>
        <v/>
      </c>
      <c r="BH62" s="147" t="str">
        <f t="shared" si="21"/>
        <v/>
      </c>
      <c r="BI62" s="147" t="str">
        <f t="shared" si="1"/>
        <v/>
      </c>
      <c r="BJ62" s="147" t="str">
        <f t="shared" si="2"/>
        <v/>
      </c>
      <c r="BK62" s="148" t="str">
        <f t="shared" si="22"/>
        <v/>
      </c>
      <c r="BL62" s="147" t="str">
        <f t="shared" si="3"/>
        <v/>
      </c>
      <c r="BM62" s="148" t="str">
        <f t="shared" si="23"/>
        <v/>
      </c>
      <c r="BN62" s="147" t="str">
        <f t="shared" si="24"/>
        <v/>
      </c>
      <c r="BO62" s="147" t="str">
        <f t="shared" si="24"/>
        <v/>
      </c>
      <c r="BP62" s="147" t="str">
        <f t="shared" si="25"/>
        <v/>
      </c>
      <c r="BQ62" s="148" t="str">
        <f t="shared" si="26"/>
        <v/>
      </c>
      <c r="BR62" s="148" t="str">
        <f t="shared" si="27"/>
        <v/>
      </c>
      <c r="BS62" s="148" t="str">
        <f t="shared" si="28"/>
        <v/>
      </c>
      <c r="BT62" s="148" t="str">
        <f t="shared" si="7"/>
        <v/>
      </c>
      <c r="BU62" s="148" t="str">
        <f t="shared" si="8"/>
        <v/>
      </c>
      <c r="BV62" s="148" t="str">
        <f t="shared" si="9"/>
        <v/>
      </c>
      <c r="BW62" s="148" t="str">
        <f t="shared" si="29"/>
        <v/>
      </c>
      <c r="BX62" s="148" t="str">
        <f t="shared" si="10"/>
        <v/>
      </c>
      <c r="BY62" s="148" t="str">
        <f t="shared" si="11"/>
        <v/>
      </c>
      <c r="BZ62" s="149" t="str">
        <f>IFERROR(INDEX('Prescriptive Rebate Table'!$B$2:$E$64,MATCH(O62,'Prescriptive Rebate Table'!$C$2:$C$64,0),3),"")</f>
        <v/>
      </c>
      <c r="CA62" s="145" t="str">
        <f>IFERROR(INDEX('Prescriptive Rebate Table'!$B$2:$E$64,MATCH(O62,'Prescriptive Rebate Table'!$C$2:$C$64,0),4),"")</f>
        <v/>
      </c>
      <c r="CB62" s="149" t="str">
        <f t="shared" si="30"/>
        <v/>
      </c>
      <c r="CC62" s="145" t="str">
        <f t="shared" si="31"/>
        <v/>
      </c>
      <c r="CD62" s="149" t="str">
        <f t="shared" si="12"/>
        <v/>
      </c>
      <c r="CE62" s="149" t="str">
        <f t="shared" si="13"/>
        <v/>
      </c>
      <c r="CF62" s="149" t="str">
        <f>IF(BK62&lt;=0,0,IFERROR(IF(OR(ISBLANK(AC62),ISBLANK(CD62))=TRUE,"",IF(CA62="Per Foot",INDEX('Fixture Codes'!$I$8:$I$976,MATCH(AD62,'Fixture Codes'!$B$8:$B$976,0))/12*AF62*BZ62,IF(CA62="Lamp",INDEX('Fixture Codes'!$J$8:$J$976,MATCH(AD62,'Fixture Codes'!$B$8:$B$976,0))*AF62*BZ62,IF(CA62="Fixture",AF62*BZ62,IF(CA62="kWh",BK62*BZ62,0))))),""))</f>
        <v/>
      </c>
      <c r="CG62" s="149" t="str">
        <f t="shared" si="32"/>
        <v/>
      </c>
      <c r="CH62" s="149" t="str">
        <f t="shared" si="33"/>
        <v/>
      </c>
      <c r="CI62" s="152"/>
      <c r="CJ62" s="146"/>
      <c r="CK62" s="241">
        <f>IFERROR(IF(CL62="Yes",'Prescriptive Rebate Table'!$D$69,IF(ISBLANK(AI62),0,IF(AND(AH62=Lookups!$A$62,BK62&gt;0),'Prescriptive Rebate Table'!$D$68,IF(AND(BK62&gt;0,CJ62=AF62),'Prescriptive Rebate Table'!$D$67,IF(AND(BK62&gt;0,CJ62&lt;&gt;AF62),'Prescriptive Rebate Table'!D121,0))))),"")</f>
        <v>0</v>
      </c>
      <c r="CL62" s="240" t="s">
        <v>2712</v>
      </c>
      <c r="CM62" s="152"/>
      <c r="CN62" s="152"/>
      <c r="CO62" s="152"/>
      <c r="CP62" s="146">
        <f t="shared" si="14"/>
        <v>0</v>
      </c>
      <c r="CQ62" s="153">
        <f>IF(D62="Interior",ROUND(($AG62*AF62)/1000*$AM62*(Lookups!$B$54-$AA62)*$AN62*$AO62,3),0)</f>
        <v>0</v>
      </c>
      <c r="CR62" s="153">
        <f>IFERROR(IF(D62="Interior",ROUND(($AG62*$AF62)/1000*(Lookups!$C$54-$AB62)*$AN62*AQ62*AT62,6),0),"")</f>
        <v>0</v>
      </c>
      <c r="CS62" s="165">
        <f t="shared" si="34"/>
        <v>0</v>
      </c>
      <c r="CT62" s="165">
        <f t="shared" si="35"/>
        <v>0</v>
      </c>
      <c r="CV62" s="153">
        <f>IF(D62="Interior",ROUND(($AG62*AF62)/1000*$AM62*(Lookups!$B$43-$AA62)*$AN62*$AO62,3),0)</f>
        <v>0</v>
      </c>
      <c r="CW62" s="153">
        <f>IFERROR(IF(D62="Interior",ROUND(($AG62*$AF62)/1000*(Lookups!$C$43-$AB62)*$AN62*AQ62*AT62,6),0),"")</f>
        <v>0</v>
      </c>
      <c r="CX62" s="165">
        <f t="shared" si="36"/>
        <v>0</v>
      </c>
      <c r="CY62" s="165">
        <f t="shared" si="37"/>
        <v>0</v>
      </c>
      <c r="DA62" s="153">
        <f>IF(D62="Interior",ROUND(($AG62*AF62*(1-0.15))/1000*$AM62*(Lookups!$B$43+0.097-$AA62)*$AN62*$AO62+((W62*V62)/1000*AN62*AM62*AO62*0.15),3),0)</f>
        <v>0</v>
      </c>
      <c r="DB62" s="153">
        <f>IFERROR(IF(D62="Interior",ROUND(($AG62*$AF62)/1000*(Lookups!$C$43+0.097-$AB62)*$AN62*AQ62*AT62+(($AG62*$AF62)/1000*$AN62*AQ62*AT62*0.15),6),0),"")</f>
        <v>0</v>
      </c>
      <c r="DC62" s="165">
        <f t="shared" si="38"/>
        <v>0</v>
      </c>
      <c r="DD62" s="165">
        <f t="shared" si="39"/>
        <v>0</v>
      </c>
    </row>
    <row r="63" spans="1:108" s="164" customFormat="1">
      <c r="A63" s="150">
        <v>59</v>
      </c>
      <c r="B63" s="153" t="str">
        <f>IFERROR(INDEX(Lookups!$B$2:$B$38,MATCH('Project Info &amp; Summary'!$C$19,Lookups!$A$2:$A$38,0)),"")</f>
        <v/>
      </c>
      <c r="C63" s="153" t="str">
        <f>IFERROR(INDEX(Lookups!$C$2:$C$38,MATCH('Project Info &amp; Summary'!$C$19,Lookups!$A$2:$A$38,0)),"")</f>
        <v/>
      </c>
      <c r="D63" s="163"/>
      <c r="E63" s="160"/>
      <c r="F63" s="158"/>
      <c r="G63" s="158"/>
      <c r="H63" s="158"/>
      <c r="I63" s="158"/>
      <c r="J63" s="154" t="str">
        <f>IFERROR(INDEX(Lookups!$W$21:$W$26,MATCH(I63,Lookups!$V$21:$V$26,0)),"")</f>
        <v/>
      </c>
      <c r="K63" s="158"/>
      <c r="L63" s="162" t="str">
        <f>IFERROR(INDEX(Lookups!$Y$2:$Y$19,MATCH(_xlfn.CONCAT(I63,K63),Lookups!$X$2:$X$19,0)),"")</f>
        <v/>
      </c>
      <c r="M63" s="158"/>
      <c r="N63" s="153" t="str">
        <f>IFERROR(INDEX('Prescriptive Rebate Table'!$M$3:$M$20,MATCH(M63,'Prescriptive Rebate Table'!$L$3:$L$20,0)),"")</f>
        <v/>
      </c>
      <c r="O63" s="158"/>
      <c r="P63" s="154" t="str">
        <f>IFERROR(INDEX('Prescriptive Rebate Table'!$B$2:$H$64, MATCH(O63,'Prescriptive Rebate Table'!$C$2:$C$64,0),7),"")</f>
        <v/>
      </c>
      <c r="Q63" s="155" t="str">
        <f>IFERROR(INDEX('Prescriptive Rebate Table'!$B$2:$I$64, MATCH(O63,'Prescriptive Rebate Table'!$C$2:$C$64,0),8),"")</f>
        <v/>
      </c>
      <c r="R63" s="155" t="str">
        <f>IFERROR(INDEX('Prescriptive Rebate Table'!$B$2:$J$64, MATCH(O63,'Prescriptive Rebate Table'!$C$2:$C$64,0),9),"")</f>
        <v/>
      </c>
      <c r="S63" s="160"/>
      <c r="T63" s="145" t="str">
        <f>IFERROR(INDEX('Fixture Codes'!$M$8:$M$976,MATCH(S63,'Fixture Codes'!$B$8:$B$976,0)),"")</f>
        <v/>
      </c>
      <c r="U63" s="145" t="str">
        <f>IFERROR(INDEX('Fixture Codes'!$B$7:$M$976,MATCH(T63,'Fixture Codes'!$B$7:$B$976,0),5),"")</f>
        <v/>
      </c>
      <c r="V63" s="160"/>
      <c r="W63" s="145" t="str">
        <f>IFERROR(INDEX('Fixture Codes'!$L$8:$L$976,MATCH(T63,'Fixture Codes'!$B$8:$B$976,0)),"")</f>
        <v/>
      </c>
      <c r="X63" s="158"/>
      <c r="Y63" s="159"/>
      <c r="Z63" s="155" t="str">
        <f>IFERROR(INDEX(Lookups!B$68:B$87,MATCH($X63,Lookups!$A$68:$A$87,0)),"")</f>
        <v/>
      </c>
      <c r="AA63" s="150" t="str">
        <f>IFERROR(INDEX(Lookups!B$42:B$62,MATCH($X63,Lookups!$A$42:$A$62,0)),"")</f>
        <v/>
      </c>
      <c r="AB63" s="150" t="str">
        <f>IFERROR(INDEX(Lookups!C$42:C$62,MATCH($X63,Lookups!$A$42:$A$62,0)),"")</f>
        <v/>
      </c>
      <c r="AC63" s="160"/>
      <c r="AD63" s="160"/>
      <c r="AE63" s="150" t="str">
        <f>IFERROR(INDEX('Fixture Codes'!$B$7:$M$976,MATCH(AD63,'Fixture Codes'!$B$7:$B$976,0),5),"")</f>
        <v/>
      </c>
      <c r="AF63" s="160"/>
      <c r="AG63" s="145" t="str">
        <f>IFERROR(INDEX('Fixture Codes'!$L$8:$L$976,MATCH(AD63,'Fixture Codes'!$B$8:$B$976,0)),"")</f>
        <v/>
      </c>
      <c r="AH63" s="158"/>
      <c r="AI63" s="160"/>
      <c r="AJ63" s="150" t="str">
        <f>IFERROR(INDEX(Lookups!B$68:B$87,MATCH($AH63,Lookups!$A$68:$A$87,0)),"")</f>
        <v/>
      </c>
      <c r="AK63" s="150" t="str">
        <f>IFERROR(INDEX(Lookups!B$42:B$62,MATCH($AH63,Lookups!$A$42:$A$62,0)),"")</f>
        <v/>
      </c>
      <c r="AL63" s="150" t="str">
        <f>IFERROR(INDEX(Lookups!C$42:C$62,MATCH($AH63,Lookups!$A$42:$A$62,0)),"")</f>
        <v/>
      </c>
      <c r="AM63" s="150" t="str">
        <f>IFERROR(IF(M63="Exit Signs",8760,IF(INDEX('Fixture Codes'!$C$8:$C$976,MATCH(AD63,'Fixture Codes'!$B$8:$B$976,0))="Exit Sign",8760,INDEX(Lookups!$I$2:$I$428,MATCH(_xlfn.CONCAT(B63,H63),Lookups!$H$2:$H$428,0)))),"")</f>
        <v/>
      </c>
      <c r="AN63" s="153">
        <v>1</v>
      </c>
      <c r="AO63" s="150" t="str">
        <f>IF($D63="Interior",INDEX(Lookups!Q$2:Q$86,MATCH(_xlfn.CONCAT($C63,$L63),Lookups!$P$2:$P$86,0)),IF($D63="Exterior",1,""))</f>
        <v/>
      </c>
      <c r="AP63" s="150">
        <f t="shared" si="19"/>
        <v>1</v>
      </c>
      <c r="AQ63" s="150" t="str">
        <f>IF($D63="Interior",INDEX(Lookups!R$2:R$86,MATCH(_xlfn.CONCAT($C63,$L63),Lookups!$P$2:$P$86,0)),IF($D63="Exterior",1,""))</f>
        <v/>
      </c>
      <c r="AR63" s="150" t="str">
        <f>IF($D63="Interior",INDEX(Lookups!S$2:S$86,MATCH(_xlfn.CONCAT($C63,$L63),Lookups!$P$2:$P$86,0)),IF($D63="Exterior",1,""))</f>
        <v/>
      </c>
      <c r="AS63" s="150" t="str">
        <f>IF($D63="Interior",INDEX(Lookups!T$2:T$86,MATCH(_xlfn.CONCAT($C63,$L63),Lookups!$P$2:$P$86,0)),IF($D63="Exterior",1,""))</f>
        <v/>
      </c>
      <c r="AT63" s="150" t="str">
        <f>IFERROR(IF(M63="Exit Signs",1,IF(INDEX('Fixture Codes'!$C$8:$C$976,MATCH($AD63,'Fixture Codes'!$B$8:$B$976,0))="Exit Sign",1,INDEX(Lookups!J$2:J$428,MATCH(_xlfn.CONCAT($B63,$H63),Lookups!$H$2:$H$428,0)))),"")</f>
        <v/>
      </c>
      <c r="AU63" s="150" t="str">
        <f>IFERROR(IF(M63="Exit Signs",1,IF(INDEX('Fixture Codes'!$C$8:$C$976,MATCH($AD63,'Fixture Codes'!$B$8:$B$976,0))="Exit Sign",1,INDEX(Lookups!K$2:K$428,MATCH(_xlfn.CONCAT($B63,$H63),Lookups!$H$2:$H$428,0)))),"")</f>
        <v/>
      </c>
      <c r="AV63" s="150" t="str">
        <f>IFERROR(IF(M63="Exit Signs",1,IF(INDEX('Fixture Codes'!$C$8:$C$976,MATCH($AD63,'Fixture Codes'!$B$8:$B$976,0))="Exit Sign",1,INDEX(Lookups!L$2:L$428,MATCH(_xlfn.CONCAT($B63,$H63),Lookups!$H$2:$H$428,0)))),"")</f>
        <v/>
      </c>
      <c r="AW63" s="150" t="str">
        <f>IF(ISBLANK(K63),"",IF(K63="Gas",INDEX(Lookups!$AG$2:$AG$63,MATCH(O63,Lookups!$AD$2:$AD$63,0),0),0))</f>
        <v/>
      </c>
      <c r="AX63" s="150" t="str">
        <f>IF(ISBLANK(K63),"",IF(K63="Gas",INDEX(Lookups!$AF$2:$AF$63,MATCH(O63,Lookups!$AD$2:$AD$63,0),0),0))</f>
        <v/>
      </c>
      <c r="AY63" s="150" t="str">
        <f>IF(ISBLANK(K63),"",IF(K63="Gas",INDEX(Lookups!$AH$2:$AH$63,MATCH(O63,Lookups!$AD$2:$AD$63,0),0),0))</f>
        <v/>
      </c>
      <c r="AZ63" s="150" t="str">
        <f>IF(ISBLANK(K63),"",IF(K63="Gas",INDEX(Lookups!$AI$2:$AI$63,MATCH(O63,Lookups!$AD$2:$AD$63,0),0),0))</f>
        <v/>
      </c>
      <c r="BA63" s="150" t="str">
        <f t="shared" si="0"/>
        <v/>
      </c>
      <c r="BB63" s="156" t="str">
        <f>IF(ISBLANK(AH63),"",IF(AH63="None",0,IF(K63="Gas",INDEX(Lookups!$AF$51:$AF$69,MATCH(AH63,Lookups!$AD$51:$AD$69,0),0),0)))</f>
        <v/>
      </c>
      <c r="BC63" s="156" t="str">
        <f>IF(ISBLANK(AH63),"",IF(AH63="None",0,IF(K63="Gas",INDEX(Lookups!$AH$51:$AH$69,MATCH(AH63,Lookups!$AD$51:$AD$69,0),0),0)))</f>
        <v/>
      </c>
      <c r="BD63" s="156" t="str">
        <f>IF(ISBLANK(AH63),"",IF(AH63="None",0,IF(K63="Gas",INDEX(Lookups!$AI$51:$AI$69,MATCH(AH63,Lookups!$AD$51:$AD$69,0),0),0)))</f>
        <v/>
      </c>
      <c r="BE63" s="157"/>
      <c r="BF63" s="157"/>
      <c r="BG63" s="147" t="str">
        <f t="shared" si="20"/>
        <v/>
      </c>
      <c r="BH63" s="147" t="str">
        <f t="shared" si="21"/>
        <v/>
      </c>
      <c r="BI63" s="147" t="str">
        <f t="shared" si="1"/>
        <v/>
      </c>
      <c r="BJ63" s="147" t="str">
        <f t="shared" si="2"/>
        <v/>
      </c>
      <c r="BK63" s="148" t="str">
        <f t="shared" si="22"/>
        <v/>
      </c>
      <c r="BL63" s="147" t="str">
        <f t="shared" si="3"/>
        <v/>
      </c>
      <c r="BM63" s="148" t="str">
        <f t="shared" si="23"/>
        <v/>
      </c>
      <c r="BN63" s="147" t="str">
        <f t="shared" si="24"/>
        <v/>
      </c>
      <c r="BO63" s="147" t="str">
        <f t="shared" si="24"/>
        <v/>
      </c>
      <c r="BP63" s="147" t="str">
        <f t="shared" si="25"/>
        <v/>
      </c>
      <c r="BQ63" s="148" t="str">
        <f t="shared" si="26"/>
        <v/>
      </c>
      <c r="BR63" s="148" t="str">
        <f t="shared" si="27"/>
        <v/>
      </c>
      <c r="BS63" s="148" t="str">
        <f t="shared" si="28"/>
        <v/>
      </c>
      <c r="BT63" s="148" t="str">
        <f t="shared" si="7"/>
        <v/>
      </c>
      <c r="BU63" s="148" t="str">
        <f t="shared" si="8"/>
        <v/>
      </c>
      <c r="BV63" s="148" t="str">
        <f t="shared" si="9"/>
        <v/>
      </c>
      <c r="BW63" s="148" t="str">
        <f t="shared" si="29"/>
        <v/>
      </c>
      <c r="BX63" s="148" t="str">
        <f t="shared" si="10"/>
        <v/>
      </c>
      <c r="BY63" s="148" t="str">
        <f t="shared" si="11"/>
        <v/>
      </c>
      <c r="BZ63" s="149" t="str">
        <f>IFERROR(INDEX('Prescriptive Rebate Table'!$B$2:$E$64,MATCH(O63,'Prescriptive Rebate Table'!$C$2:$C$64,0),3),"")</f>
        <v/>
      </c>
      <c r="CA63" s="145" t="str">
        <f>IFERROR(INDEX('Prescriptive Rebate Table'!$B$2:$E$64,MATCH(O63,'Prescriptive Rebate Table'!$C$2:$C$64,0),4),"")</f>
        <v/>
      </c>
      <c r="CB63" s="149" t="str">
        <f t="shared" si="30"/>
        <v/>
      </c>
      <c r="CC63" s="145" t="str">
        <f t="shared" si="31"/>
        <v/>
      </c>
      <c r="CD63" s="149" t="str">
        <f t="shared" si="12"/>
        <v/>
      </c>
      <c r="CE63" s="149" t="str">
        <f t="shared" si="13"/>
        <v/>
      </c>
      <c r="CF63" s="149" t="str">
        <f>IF(BK63&lt;=0,0,IFERROR(IF(OR(ISBLANK(AC63),ISBLANK(CD63))=TRUE,"",IF(CA63="Per Foot",INDEX('Fixture Codes'!$I$8:$I$976,MATCH(AD63,'Fixture Codes'!$B$8:$B$976,0))/12*AF63*BZ63,IF(CA63="Lamp",INDEX('Fixture Codes'!$J$8:$J$976,MATCH(AD63,'Fixture Codes'!$B$8:$B$976,0))*AF63*BZ63,IF(CA63="Fixture",AF63*BZ63,IF(CA63="kWh",BK63*BZ63,0))))),""))</f>
        <v/>
      </c>
      <c r="CG63" s="149" t="str">
        <f t="shared" si="32"/>
        <v/>
      </c>
      <c r="CH63" s="149" t="str">
        <f t="shared" si="33"/>
        <v/>
      </c>
      <c r="CI63" s="152"/>
      <c r="CJ63" s="146"/>
      <c r="CK63" s="241">
        <f>IFERROR(IF(CL63="Yes",'Prescriptive Rebate Table'!$D$69,IF(ISBLANK(AI63),0,IF(AND(AH63=Lookups!$A$62,BK63&gt;0),'Prescriptive Rebate Table'!$D$68,IF(AND(BK63&gt;0,CJ63=AF63),'Prescriptive Rebate Table'!$D$67,IF(AND(BK63&gt;0,CJ63&lt;&gt;AF63),'Prescriptive Rebate Table'!D122,0))))),"")</f>
        <v>0</v>
      </c>
      <c r="CL63" s="240" t="s">
        <v>2712</v>
      </c>
      <c r="CM63" s="152"/>
      <c r="CN63" s="152"/>
      <c r="CO63" s="152"/>
      <c r="CP63" s="146">
        <f t="shared" si="14"/>
        <v>0</v>
      </c>
      <c r="CQ63" s="153">
        <f>IF(D63="Interior",ROUND(($AG63*AF63)/1000*$AM63*(Lookups!$B$54-$AA63)*$AN63*$AO63,3),0)</f>
        <v>0</v>
      </c>
      <c r="CR63" s="153">
        <f>IFERROR(IF(D63="Interior",ROUND(($AG63*$AF63)/1000*(Lookups!$C$54-$AB63)*$AN63*AQ63*AT63,6),0),"")</f>
        <v>0</v>
      </c>
      <c r="CS63" s="165">
        <f t="shared" si="34"/>
        <v>0</v>
      </c>
      <c r="CT63" s="165">
        <f t="shared" si="35"/>
        <v>0</v>
      </c>
      <c r="CV63" s="153">
        <f>IF(D63="Interior",ROUND(($AG63*AF63)/1000*$AM63*(Lookups!$B$43-$AA63)*$AN63*$AO63,3),0)</f>
        <v>0</v>
      </c>
      <c r="CW63" s="153">
        <f>IFERROR(IF(D63="Interior",ROUND(($AG63*$AF63)/1000*(Lookups!$C$43-$AB63)*$AN63*AQ63*AT63,6),0),"")</f>
        <v>0</v>
      </c>
      <c r="CX63" s="165">
        <f t="shared" si="36"/>
        <v>0</v>
      </c>
      <c r="CY63" s="165">
        <f t="shared" si="37"/>
        <v>0</v>
      </c>
      <c r="DA63" s="153">
        <f>IF(D63="Interior",ROUND(($AG63*AF63*(1-0.15))/1000*$AM63*(Lookups!$B$43+0.097-$AA63)*$AN63*$AO63+((W63*V63)/1000*AN63*AM63*AO63*0.15),3),0)</f>
        <v>0</v>
      </c>
      <c r="DB63" s="153">
        <f>IFERROR(IF(D63="Interior",ROUND(($AG63*$AF63)/1000*(Lookups!$C$43+0.097-$AB63)*$AN63*AQ63*AT63+(($AG63*$AF63)/1000*$AN63*AQ63*AT63*0.15),6),0),"")</f>
        <v>0</v>
      </c>
      <c r="DC63" s="165">
        <f t="shared" si="38"/>
        <v>0</v>
      </c>
      <c r="DD63" s="165">
        <f t="shared" si="39"/>
        <v>0</v>
      </c>
    </row>
    <row r="64" spans="1:108" s="164" customFormat="1">
      <c r="A64" s="150">
        <v>60</v>
      </c>
      <c r="B64" s="153" t="str">
        <f>IFERROR(INDEX(Lookups!$B$2:$B$38,MATCH('Project Info &amp; Summary'!$C$19,Lookups!$A$2:$A$38,0)),"")</f>
        <v/>
      </c>
      <c r="C64" s="153" t="str">
        <f>IFERROR(INDEX(Lookups!$C$2:$C$38,MATCH('Project Info &amp; Summary'!$C$19,Lookups!$A$2:$A$38,0)),"")</f>
        <v/>
      </c>
      <c r="D64" s="163"/>
      <c r="E64" s="160"/>
      <c r="F64" s="158"/>
      <c r="G64" s="158"/>
      <c r="H64" s="158"/>
      <c r="I64" s="158"/>
      <c r="J64" s="154" t="str">
        <f>IFERROR(INDEX(Lookups!$W$21:$W$26,MATCH(I64,Lookups!$V$21:$V$26,0)),"")</f>
        <v/>
      </c>
      <c r="K64" s="158"/>
      <c r="L64" s="162" t="str">
        <f>IFERROR(INDEX(Lookups!$Y$2:$Y$19,MATCH(_xlfn.CONCAT(I64,K64),Lookups!$X$2:$X$19,0)),"")</f>
        <v/>
      </c>
      <c r="M64" s="158"/>
      <c r="N64" s="153" t="str">
        <f>IFERROR(INDEX('Prescriptive Rebate Table'!$M$3:$M$20,MATCH(M64,'Prescriptive Rebate Table'!$L$3:$L$20,0)),"")</f>
        <v/>
      </c>
      <c r="O64" s="158"/>
      <c r="P64" s="154" t="str">
        <f>IFERROR(INDEX('Prescriptive Rebate Table'!$B$2:$H$64, MATCH(O64,'Prescriptive Rebate Table'!$C$2:$C$64,0),7),"")</f>
        <v/>
      </c>
      <c r="Q64" s="155" t="str">
        <f>IFERROR(INDEX('Prescriptive Rebate Table'!$B$2:$I$64, MATCH(O64,'Prescriptive Rebate Table'!$C$2:$C$64,0),8),"")</f>
        <v/>
      </c>
      <c r="R64" s="155" t="str">
        <f>IFERROR(INDEX('Prescriptive Rebate Table'!$B$2:$J$64, MATCH(O64,'Prescriptive Rebate Table'!$C$2:$C$64,0),9),"")</f>
        <v/>
      </c>
      <c r="S64" s="160"/>
      <c r="T64" s="145" t="str">
        <f>IFERROR(INDEX('Fixture Codes'!$M$8:$M$976,MATCH(S64,'Fixture Codes'!$B$8:$B$976,0)),"")</f>
        <v/>
      </c>
      <c r="U64" s="145" t="str">
        <f>IFERROR(INDEX('Fixture Codes'!$B$7:$M$976,MATCH(T64,'Fixture Codes'!$B$7:$B$976,0),5),"")</f>
        <v/>
      </c>
      <c r="V64" s="160"/>
      <c r="W64" s="145" t="str">
        <f>IFERROR(INDEX('Fixture Codes'!$L$8:$L$976,MATCH(T64,'Fixture Codes'!$B$8:$B$976,0)),"")</f>
        <v/>
      </c>
      <c r="X64" s="158"/>
      <c r="Y64" s="159"/>
      <c r="Z64" s="155" t="str">
        <f>IFERROR(INDEX(Lookups!B$68:B$87,MATCH($X64,Lookups!$A$68:$A$87,0)),"")</f>
        <v/>
      </c>
      <c r="AA64" s="150" t="str">
        <f>IFERROR(INDEX(Lookups!B$42:B$62,MATCH($X64,Lookups!$A$42:$A$62,0)),"")</f>
        <v/>
      </c>
      <c r="AB64" s="150" t="str">
        <f>IFERROR(INDEX(Lookups!C$42:C$62,MATCH($X64,Lookups!$A$42:$A$62,0)),"")</f>
        <v/>
      </c>
      <c r="AC64" s="160"/>
      <c r="AD64" s="160"/>
      <c r="AE64" s="150" t="str">
        <f>IFERROR(INDEX('Fixture Codes'!$B$7:$M$976,MATCH(AD64,'Fixture Codes'!$B$7:$B$976,0),5),"")</f>
        <v/>
      </c>
      <c r="AF64" s="160"/>
      <c r="AG64" s="145" t="str">
        <f>IFERROR(INDEX('Fixture Codes'!$L$8:$L$976,MATCH(AD64,'Fixture Codes'!$B$8:$B$976,0)),"")</f>
        <v/>
      </c>
      <c r="AH64" s="158"/>
      <c r="AI64" s="160"/>
      <c r="AJ64" s="150" t="str">
        <f>IFERROR(INDEX(Lookups!B$68:B$87,MATCH($AH64,Lookups!$A$68:$A$87,0)),"")</f>
        <v/>
      </c>
      <c r="AK64" s="150" t="str">
        <f>IFERROR(INDEX(Lookups!B$42:B$62,MATCH($AH64,Lookups!$A$42:$A$62,0)),"")</f>
        <v/>
      </c>
      <c r="AL64" s="150" t="str">
        <f>IFERROR(INDEX(Lookups!C$42:C$62,MATCH($AH64,Lookups!$A$42:$A$62,0)),"")</f>
        <v/>
      </c>
      <c r="AM64" s="150" t="str">
        <f>IFERROR(IF(M64="Exit Signs",8760,IF(INDEX('Fixture Codes'!$C$8:$C$976,MATCH(AD64,'Fixture Codes'!$B$8:$B$976,0))="Exit Sign",8760,INDEX(Lookups!$I$2:$I$428,MATCH(_xlfn.CONCAT(B64,H64),Lookups!$H$2:$H$428,0)))),"")</f>
        <v/>
      </c>
      <c r="AN64" s="153">
        <v>1</v>
      </c>
      <c r="AO64" s="150" t="str">
        <f>IF($D64="Interior",INDEX(Lookups!Q$2:Q$86,MATCH(_xlfn.CONCAT($C64,$L64),Lookups!$P$2:$P$86,0)),IF($D64="Exterior",1,""))</f>
        <v/>
      </c>
      <c r="AP64" s="150">
        <f t="shared" si="19"/>
        <v>1</v>
      </c>
      <c r="AQ64" s="150" t="str">
        <f>IF($D64="Interior",INDEX(Lookups!R$2:R$86,MATCH(_xlfn.CONCAT($C64,$L64),Lookups!$P$2:$P$86,0)),IF($D64="Exterior",1,""))</f>
        <v/>
      </c>
      <c r="AR64" s="150" t="str">
        <f>IF($D64="Interior",INDEX(Lookups!S$2:S$86,MATCH(_xlfn.CONCAT($C64,$L64),Lookups!$P$2:$P$86,0)),IF($D64="Exterior",1,""))</f>
        <v/>
      </c>
      <c r="AS64" s="150" t="str">
        <f>IF($D64="Interior",INDEX(Lookups!T$2:T$86,MATCH(_xlfn.CONCAT($C64,$L64),Lookups!$P$2:$P$86,0)),IF($D64="Exterior",1,""))</f>
        <v/>
      </c>
      <c r="AT64" s="150" t="str">
        <f>IFERROR(IF(M64="Exit Signs",1,IF(INDEX('Fixture Codes'!$C$8:$C$976,MATCH($AD64,'Fixture Codes'!$B$8:$B$976,0))="Exit Sign",1,INDEX(Lookups!J$2:J$428,MATCH(_xlfn.CONCAT($B64,$H64),Lookups!$H$2:$H$428,0)))),"")</f>
        <v/>
      </c>
      <c r="AU64" s="150" t="str">
        <f>IFERROR(IF(M64="Exit Signs",1,IF(INDEX('Fixture Codes'!$C$8:$C$976,MATCH($AD64,'Fixture Codes'!$B$8:$B$976,0))="Exit Sign",1,INDEX(Lookups!K$2:K$428,MATCH(_xlfn.CONCAT($B64,$H64),Lookups!$H$2:$H$428,0)))),"")</f>
        <v/>
      </c>
      <c r="AV64" s="150" t="str">
        <f>IFERROR(IF(M64="Exit Signs",1,IF(INDEX('Fixture Codes'!$C$8:$C$976,MATCH($AD64,'Fixture Codes'!$B$8:$B$976,0))="Exit Sign",1,INDEX(Lookups!L$2:L$428,MATCH(_xlfn.CONCAT($B64,$H64),Lookups!$H$2:$H$428,0)))),"")</f>
        <v/>
      </c>
      <c r="AW64" s="150" t="str">
        <f>IF(ISBLANK(K64),"",IF(K64="Gas",INDEX(Lookups!$AG$2:$AG$63,MATCH(O64,Lookups!$AD$2:$AD$63,0),0),0))</f>
        <v/>
      </c>
      <c r="AX64" s="150" t="str">
        <f>IF(ISBLANK(K64),"",IF(K64="Gas",INDEX(Lookups!$AF$2:$AF$63,MATCH(O64,Lookups!$AD$2:$AD$63,0),0),0))</f>
        <v/>
      </c>
      <c r="AY64" s="150" t="str">
        <f>IF(ISBLANK(K64),"",IF(K64="Gas",INDEX(Lookups!$AH$2:$AH$63,MATCH(O64,Lookups!$AD$2:$AD$63,0),0),0))</f>
        <v/>
      </c>
      <c r="AZ64" s="150" t="str">
        <f>IF(ISBLANK(K64),"",IF(K64="Gas",INDEX(Lookups!$AI$2:$AI$63,MATCH(O64,Lookups!$AD$2:$AD$63,0),0),0))</f>
        <v/>
      </c>
      <c r="BA64" s="150" t="str">
        <f t="shared" si="0"/>
        <v/>
      </c>
      <c r="BB64" s="156" t="str">
        <f>IF(ISBLANK(AH64),"",IF(AH64="None",0,IF(K64="Gas",INDEX(Lookups!$AF$51:$AF$69,MATCH(AH64,Lookups!$AD$51:$AD$69,0),0),0)))</f>
        <v/>
      </c>
      <c r="BC64" s="156" t="str">
        <f>IF(ISBLANK(AH64),"",IF(AH64="None",0,IF(K64="Gas",INDEX(Lookups!$AH$51:$AH$69,MATCH(AH64,Lookups!$AD$51:$AD$69,0),0),0)))</f>
        <v/>
      </c>
      <c r="BD64" s="156" t="str">
        <f>IF(ISBLANK(AH64),"",IF(AH64="None",0,IF(K64="Gas",INDEX(Lookups!$AI$51:$AI$69,MATCH(AH64,Lookups!$AD$51:$AD$69,0),0),0)))</f>
        <v/>
      </c>
      <c r="BE64" s="157"/>
      <c r="BF64" s="157"/>
      <c r="BG64" s="147" t="str">
        <f t="shared" si="20"/>
        <v/>
      </c>
      <c r="BH64" s="147" t="str">
        <f t="shared" si="21"/>
        <v/>
      </c>
      <c r="BI64" s="147" t="str">
        <f t="shared" si="1"/>
        <v/>
      </c>
      <c r="BJ64" s="147" t="str">
        <f t="shared" si="2"/>
        <v/>
      </c>
      <c r="BK64" s="148" t="str">
        <f t="shared" si="22"/>
        <v/>
      </c>
      <c r="BL64" s="147" t="str">
        <f t="shared" si="3"/>
        <v/>
      </c>
      <c r="BM64" s="148" t="str">
        <f t="shared" si="23"/>
        <v/>
      </c>
      <c r="BN64" s="147" t="str">
        <f t="shared" si="24"/>
        <v/>
      </c>
      <c r="BO64" s="147" t="str">
        <f t="shared" si="24"/>
        <v/>
      </c>
      <c r="BP64" s="147" t="str">
        <f t="shared" si="25"/>
        <v/>
      </c>
      <c r="BQ64" s="148" t="str">
        <f t="shared" si="26"/>
        <v/>
      </c>
      <c r="BR64" s="148" t="str">
        <f t="shared" si="27"/>
        <v/>
      </c>
      <c r="BS64" s="148" t="str">
        <f t="shared" si="28"/>
        <v/>
      </c>
      <c r="BT64" s="148" t="str">
        <f t="shared" si="7"/>
        <v/>
      </c>
      <c r="BU64" s="148" t="str">
        <f t="shared" si="8"/>
        <v/>
      </c>
      <c r="BV64" s="148" t="str">
        <f t="shared" si="9"/>
        <v/>
      </c>
      <c r="BW64" s="148" t="str">
        <f t="shared" si="29"/>
        <v/>
      </c>
      <c r="BX64" s="148" t="str">
        <f t="shared" si="10"/>
        <v/>
      </c>
      <c r="BY64" s="148" t="str">
        <f t="shared" si="11"/>
        <v/>
      </c>
      <c r="BZ64" s="149" t="str">
        <f>IFERROR(INDEX('Prescriptive Rebate Table'!$B$2:$E$64,MATCH(O64,'Prescriptive Rebate Table'!$C$2:$C$64,0),3),"")</f>
        <v/>
      </c>
      <c r="CA64" s="145" t="str">
        <f>IFERROR(INDEX('Prescriptive Rebate Table'!$B$2:$E$64,MATCH(O64,'Prescriptive Rebate Table'!$C$2:$C$64,0),4),"")</f>
        <v/>
      </c>
      <c r="CB64" s="149" t="str">
        <f t="shared" si="30"/>
        <v/>
      </c>
      <c r="CC64" s="145" t="str">
        <f t="shared" si="31"/>
        <v/>
      </c>
      <c r="CD64" s="149" t="str">
        <f t="shared" si="12"/>
        <v/>
      </c>
      <c r="CE64" s="149" t="str">
        <f t="shared" si="13"/>
        <v/>
      </c>
      <c r="CF64" s="149" t="str">
        <f>IF(BK64&lt;=0,0,IFERROR(IF(OR(ISBLANK(AC64),ISBLANK(CD64))=TRUE,"",IF(CA64="Per Foot",INDEX('Fixture Codes'!$I$8:$I$976,MATCH(AD64,'Fixture Codes'!$B$8:$B$976,0))/12*AF64*BZ64,IF(CA64="Lamp",INDEX('Fixture Codes'!$J$8:$J$976,MATCH(AD64,'Fixture Codes'!$B$8:$B$976,0))*AF64*BZ64,IF(CA64="Fixture",AF64*BZ64,IF(CA64="kWh",BK64*BZ64,0))))),""))</f>
        <v/>
      </c>
      <c r="CG64" s="149" t="str">
        <f t="shared" si="32"/>
        <v/>
      </c>
      <c r="CH64" s="149" t="str">
        <f t="shared" si="33"/>
        <v/>
      </c>
      <c r="CI64" s="152"/>
      <c r="CJ64" s="146"/>
      <c r="CK64" s="241">
        <f>IFERROR(IF(CL64="Yes",'Prescriptive Rebate Table'!$D$69,IF(ISBLANK(AI64),0,IF(AND(AH64=Lookups!$A$62,BK64&gt;0),'Prescriptive Rebate Table'!$D$68,IF(AND(BK64&gt;0,CJ64=AF64),'Prescriptive Rebate Table'!$D$67,IF(AND(BK64&gt;0,CJ64&lt;&gt;AF64),'Prescriptive Rebate Table'!D123,0))))),"")</f>
        <v>0</v>
      </c>
      <c r="CL64" s="240" t="s">
        <v>2712</v>
      </c>
      <c r="CM64" s="152"/>
      <c r="CN64" s="152"/>
      <c r="CO64" s="152"/>
      <c r="CP64" s="146">
        <f t="shared" si="14"/>
        <v>0</v>
      </c>
      <c r="CQ64" s="153">
        <f>IF(D64="Interior",ROUND(($AG64*AF64)/1000*$AM64*(Lookups!$B$54-$AA64)*$AN64*$AO64,3),0)</f>
        <v>0</v>
      </c>
      <c r="CR64" s="153">
        <f>IFERROR(IF(D64="Interior",ROUND(($AG64*$AF64)/1000*(Lookups!$C$54-$AB64)*$AN64*AQ64*AT64,6),0),"")</f>
        <v>0</v>
      </c>
      <c r="CS64" s="165">
        <f t="shared" si="34"/>
        <v>0</v>
      </c>
      <c r="CT64" s="165">
        <f t="shared" si="35"/>
        <v>0</v>
      </c>
      <c r="CV64" s="153">
        <f>IF(D64="Interior",ROUND(($AG64*AF64)/1000*$AM64*(Lookups!$B$43-$AA64)*$AN64*$AO64,3),0)</f>
        <v>0</v>
      </c>
      <c r="CW64" s="153">
        <f>IFERROR(IF(D64="Interior",ROUND(($AG64*$AF64)/1000*(Lookups!$C$43-$AB64)*$AN64*AQ64*AT64,6),0),"")</f>
        <v>0</v>
      </c>
      <c r="CX64" s="165">
        <f t="shared" si="36"/>
        <v>0</v>
      </c>
      <c r="CY64" s="165">
        <f t="shared" si="37"/>
        <v>0</v>
      </c>
      <c r="DA64" s="153">
        <f>IF(D64="Interior",ROUND(($AG64*AF64*(1-0.15))/1000*$AM64*(Lookups!$B$43+0.097-$AA64)*$AN64*$AO64+((W64*V64)/1000*AN64*AM64*AO64*0.15),3),0)</f>
        <v>0</v>
      </c>
      <c r="DB64" s="153">
        <f>IFERROR(IF(D64="Interior",ROUND(($AG64*$AF64)/1000*(Lookups!$C$43+0.097-$AB64)*$AN64*AQ64*AT64+(($AG64*$AF64)/1000*$AN64*AQ64*AT64*0.15),6),0),"")</f>
        <v>0</v>
      </c>
      <c r="DC64" s="165">
        <f t="shared" si="38"/>
        <v>0</v>
      </c>
      <c r="DD64" s="165">
        <f t="shared" si="39"/>
        <v>0</v>
      </c>
    </row>
    <row r="65" spans="1:108" s="164" customFormat="1">
      <c r="A65" s="150">
        <v>61</v>
      </c>
      <c r="B65" s="153" t="str">
        <f>IFERROR(INDEX(Lookups!$B$2:$B$38,MATCH('Project Info &amp; Summary'!$C$19,Lookups!$A$2:$A$38,0)),"")</f>
        <v/>
      </c>
      <c r="C65" s="153" t="str">
        <f>IFERROR(INDEX(Lookups!$C$2:$C$38,MATCH('Project Info &amp; Summary'!$C$19,Lookups!$A$2:$A$38,0)),"")</f>
        <v/>
      </c>
      <c r="D65" s="163"/>
      <c r="E65" s="160"/>
      <c r="F65" s="158"/>
      <c r="G65" s="158"/>
      <c r="H65" s="158"/>
      <c r="I65" s="158"/>
      <c r="J65" s="154" t="str">
        <f>IFERROR(INDEX(Lookups!$W$21:$W$26,MATCH(I65,Lookups!$V$21:$V$26,0)),"")</f>
        <v/>
      </c>
      <c r="K65" s="158"/>
      <c r="L65" s="162" t="str">
        <f>IFERROR(INDEX(Lookups!$Y$2:$Y$19,MATCH(_xlfn.CONCAT(I65,K65),Lookups!$X$2:$X$19,0)),"")</f>
        <v/>
      </c>
      <c r="M65" s="158"/>
      <c r="N65" s="153" t="str">
        <f>IFERROR(INDEX('Prescriptive Rebate Table'!$M$3:$M$20,MATCH(M65,'Prescriptive Rebate Table'!$L$3:$L$20,0)),"")</f>
        <v/>
      </c>
      <c r="O65" s="158"/>
      <c r="P65" s="154" t="str">
        <f>IFERROR(INDEX('Prescriptive Rebate Table'!$B$2:$H$64, MATCH(O65,'Prescriptive Rebate Table'!$C$2:$C$64,0),7),"")</f>
        <v/>
      </c>
      <c r="Q65" s="155" t="str">
        <f>IFERROR(INDEX('Prescriptive Rebate Table'!$B$2:$I$64, MATCH(O65,'Prescriptive Rebate Table'!$C$2:$C$64,0),8),"")</f>
        <v/>
      </c>
      <c r="R65" s="155" t="str">
        <f>IFERROR(INDEX('Prescriptive Rebate Table'!$B$2:$J$64, MATCH(O65,'Prescriptive Rebate Table'!$C$2:$C$64,0),9),"")</f>
        <v/>
      </c>
      <c r="S65" s="160"/>
      <c r="T65" s="145" t="str">
        <f>IFERROR(INDEX('Fixture Codes'!$M$8:$M$976,MATCH(S65,'Fixture Codes'!$B$8:$B$976,0)),"")</f>
        <v/>
      </c>
      <c r="U65" s="145" t="str">
        <f>IFERROR(INDEX('Fixture Codes'!$B$7:$M$976,MATCH(T65,'Fixture Codes'!$B$7:$B$976,0),5),"")</f>
        <v/>
      </c>
      <c r="V65" s="160"/>
      <c r="W65" s="145" t="str">
        <f>IFERROR(INDEX('Fixture Codes'!$L$8:$L$976,MATCH(T65,'Fixture Codes'!$B$8:$B$976,0)),"")</f>
        <v/>
      </c>
      <c r="X65" s="158"/>
      <c r="Y65" s="159"/>
      <c r="Z65" s="155" t="str">
        <f>IFERROR(INDEX(Lookups!B$68:B$87,MATCH($X65,Lookups!$A$68:$A$87,0)),"")</f>
        <v/>
      </c>
      <c r="AA65" s="150" t="str">
        <f>IFERROR(INDEX(Lookups!B$42:B$62,MATCH($X65,Lookups!$A$42:$A$62,0)),"")</f>
        <v/>
      </c>
      <c r="AB65" s="150" t="str">
        <f>IFERROR(INDEX(Lookups!C$42:C$62,MATCH($X65,Lookups!$A$42:$A$62,0)),"")</f>
        <v/>
      </c>
      <c r="AC65" s="160"/>
      <c r="AD65" s="160"/>
      <c r="AE65" s="150" t="str">
        <f>IFERROR(INDEX('Fixture Codes'!$B$7:$M$976,MATCH(AD65,'Fixture Codes'!$B$7:$B$976,0),5),"")</f>
        <v/>
      </c>
      <c r="AF65" s="160"/>
      <c r="AG65" s="145" t="str">
        <f>IFERROR(INDEX('Fixture Codes'!$L$8:$L$976,MATCH(AD65,'Fixture Codes'!$B$8:$B$976,0)),"")</f>
        <v/>
      </c>
      <c r="AH65" s="158"/>
      <c r="AI65" s="160"/>
      <c r="AJ65" s="150" t="str">
        <f>IFERROR(INDEX(Lookups!B$68:B$87,MATCH($AH65,Lookups!$A$68:$A$87,0)),"")</f>
        <v/>
      </c>
      <c r="AK65" s="150" t="str">
        <f>IFERROR(INDEX(Lookups!B$42:B$62,MATCH($AH65,Lookups!$A$42:$A$62,0)),"")</f>
        <v/>
      </c>
      <c r="AL65" s="150" t="str">
        <f>IFERROR(INDEX(Lookups!C$42:C$62,MATCH($AH65,Lookups!$A$42:$A$62,0)),"")</f>
        <v/>
      </c>
      <c r="AM65" s="150" t="str">
        <f>IFERROR(IF(M65="Exit Signs",8760,IF(INDEX('Fixture Codes'!$C$8:$C$976,MATCH(AD65,'Fixture Codes'!$B$8:$B$976,0))="Exit Sign",8760,INDEX(Lookups!$I$2:$I$428,MATCH(_xlfn.CONCAT(B65,H65),Lookups!$H$2:$H$428,0)))),"")</f>
        <v/>
      </c>
      <c r="AN65" s="153">
        <v>1</v>
      </c>
      <c r="AO65" s="150" t="str">
        <f>IF($D65="Interior",INDEX(Lookups!Q$2:Q$86,MATCH(_xlfn.CONCAT($C65,$L65),Lookups!$P$2:$P$86,0)),IF($D65="Exterior",1,""))</f>
        <v/>
      </c>
      <c r="AP65" s="150">
        <f t="shared" si="19"/>
        <v>1</v>
      </c>
      <c r="AQ65" s="150" t="str">
        <f>IF($D65="Interior",INDEX(Lookups!R$2:R$86,MATCH(_xlfn.CONCAT($C65,$L65),Lookups!$P$2:$P$86,0)),IF($D65="Exterior",1,""))</f>
        <v/>
      </c>
      <c r="AR65" s="150" t="str">
        <f>IF($D65="Interior",INDEX(Lookups!S$2:S$86,MATCH(_xlfn.CONCAT($C65,$L65),Lookups!$P$2:$P$86,0)),IF($D65="Exterior",1,""))</f>
        <v/>
      </c>
      <c r="AS65" s="150" t="str">
        <f>IF($D65="Interior",INDEX(Lookups!T$2:T$86,MATCH(_xlfn.CONCAT($C65,$L65),Lookups!$P$2:$P$86,0)),IF($D65="Exterior",1,""))</f>
        <v/>
      </c>
      <c r="AT65" s="150" t="str">
        <f>IFERROR(IF(M65="Exit Signs",1,IF(INDEX('Fixture Codes'!$C$8:$C$976,MATCH($AD65,'Fixture Codes'!$B$8:$B$976,0))="Exit Sign",1,INDEX(Lookups!J$2:J$428,MATCH(_xlfn.CONCAT($B65,$H65),Lookups!$H$2:$H$428,0)))),"")</f>
        <v/>
      </c>
      <c r="AU65" s="150" t="str">
        <f>IFERROR(IF(M65="Exit Signs",1,IF(INDEX('Fixture Codes'!$C$8:$C$976,MATCH($AD65,'Fixture Codes'!$B$8:$B$976,0))="Exit Sign",1,INDEX(Lookups!K$2:K$428,MATCH(_xlfn.CONCAT($B65,$H65),Lookups!$H$2:$H$428,0)))),"")</f>
        <v/>
      </c>
      <c r="AV65" s="150" t="str">
        <f>IFERROR(IF(M65="Exit Signs",1,IF(INDEX('Fixture Codes'!$C$8:$C$976,MATCH($AD65,'Fixture Codes'!$B$8:$B$976,0))="Exit Sign",1,INDEX(Lookups!L$2:L$428,MATCH(_xlfn.CONCAT($B65,$H65),Lookups!$H$2:$H$428,0)))),"")</f>
        <v/>
      </c>
      <c r="AW65" s="150" t="str">
        <f>IF(ISBLANK(K65),"",IF(K65="Gas",INDEX(Lookups!$AG$2:$AG$63,MATCH(O65,Lookups!$AD$2:$AD$63,0),0),0))</f>
        <v/>
      </c>
      <c r="AX65" s="150" t="str">
        <f>IF(ISBLANK(K65),"",IF(K65="Gas",INDEX(Lookups!$AF$2:$AF$63,MATCH(O65,Lookups!$AD$2:$AD$63,0),0),0))</f>
        <v/>
      </c>
      <c r="AY65" s="150" t="str">
        <f>IF(ISBLANK(K65),"",IF(K65="Gas",INDEX(Lookups!$AH$2:$AH$63,MATCH(O65,Lookups!$AD$2:$AD$63,0),0),0))</f>
        <v/>
      </c>
      <c r="AZ65" s="150" t="str">
        <f>IF(ISBLANK(K65),"",IF(K65="Gas",INDEX(Lookups!$AI$2:$AI$63,MATCH(O65,Lookups!$AD$2:$AD$63,0),0),0))</f>
        <v/>
      </c>
      <c r="BA65" s="150" t="str">
        <f t="shared" si="0"/>
        <v/>
      </c>
      <c r="BB65" s="156" t="str">
        <f>IF(ISBLANK(AH65),"",IF(AH65="None",0,IF(K65="Gas",INDEX(Lookups!$AF$51:$AF$69,MATCH(AH65,Lookups!$AD$51:$AD$69,0),0),0)))</f>
        <v/>
      </c>
      <c r="BC65" s="156" t="str">
        <f>IF(ISBLANK(AH65),"",IF(AH65="None",0,IF(K65="Gas",INDEX(Lookups!$AH$51:$AH$69,MATCH(AH65,Lookups!$AD$51:$AD$69,0),0),0)))</f>
        <v/>
      </c>
      <c r="BD65" s="156" t="str">
        <f>IF(ISBLANK(AH65),"",IF(AH65="None",0,IF(K65="Gas",INDEX(Lookups!$AI$51:$AI$69,MATCH(AH65,Lookups!$AD$51:$AD$69,0),0),0)))</f>
        <v/>
      </c>
      <c r="BE65" s="157"/>
      <c r="BF65" s="157"/>
      <c r="BG65" s="147" t="str">
        <f t="shared" si="20"/>
        <v/>
      </c>
      <c r="BH65" s="147" t="str">
        <f t="shared" si="21"/>
        <v/>
      </c>
      <c r="BI65" s="147" t="str">
        <f t="shared" si="1"/>
        <v/>
      </c>
      <c r="BJ65" s="147" t="str">
        <f t="shared" si="2"/>
        <v/>
      </c>
      <c r="BK65" s="148" t="str">
        <f t="shared" si="22"/>
        <v/>
      </c>
      <c r="BL65" s="147" t="str">
        <f t="shared" si="3"/>
        <v/>
      </c>
      <c r="BM65" s="148" t="str">
        <f t="shared" si="23"/>
        <v/>
      </c>
      <c r="BN65" s="147" t="str">
        <f t="shared" si="24"/>
        <v/>
      </c>
      <c r="BO65" s="147" t="str">
        <f t="shared" si="24"/>
        <v/>
      </c>
      <c r="BP65" s="147" t="str">
        <f t="shared" si="25"/>
        <v/>
      </c>
      <c r="BQ65" s="148" t="str">
        <f t="shared" si="26"/>
        <v/>
      </c>
      <c r="BR65" s="148" t="str">
        <f t="shared" si="27"/>
        <v/>
      </c>
      <c r="BS65" s="148" t="str">
        <f t="shared" si="28"/>
        <v/>
      </c>
      <c r="BT65" s="148" t="str">
        <f t="shared" si="7"/>
        <v/>
      </c>
      <c r="BU65" s="148" t="str">
        <f t="shared" si="8"/>
        <v/>
      </c>
      <c r="BV65" s="148" t="str">
        <f t="shared" si="9"/>
        <v/>
      </c>
      <c r="BW65" s="148" t="str">
        <f t="shared" si="29"/>
        <v/>
      </c>
      <c r="BX65" s="148" t="str">
        <f t="shared" si="10"/>
        <v/>
      </c>
      <c r="BY65" s="148" t="str">
        <f t="shared" si="11"/>
        <v/>
      </c>
      <c r="BZ65" s="149" t="str">
        <f>IFERROR(INDEX('Prescriptive Rebate Table'!$B$2:$E$64,MATCH(O65,'Prescriptive Rebate Table'!$C$2:$C$64,0),3),"")</f>
        <v/>
      </c>
      <c r="CA65" s="145" t="str">
        <f>IFERROR(INDEX('Prescriptive Rebate Table'!$B$2:$E$64,MATCH(O65,'Prescriptive Rebate Table'!$C$2:$C$64,0),4),"")</f>
        <v/>
      </c>
      <c r="CB65" s="149" t="str">
        <f t="shared" si="30"/>
        <v/>
      </c>
      <c r="CC65" s="145" t="str">
        <f t="shared" si="31"/>
        <v/>
      </c>
      <c r="CD65" s="149" t="str">
        <f t="shared" si="12"/>
        <v/>
      </c>
      <c r="CE65" s="149" t="str">
        <f t="shared" si="13"/>
        <v/>
      </c>
      <c r="CF65" s="149" t="str">
        <f>IF(BK65&lt;=0,0,IFERROR(IF(OR(ISBLANK(AC65),ISBLANK(CD65))=TRUE,"",IF(CA65="Per Foot",INDEX('Fixture Codes'!$I$8:$I$976,MATCH(AD65,'Fixture Codes'!$B$8:$B$976,0))/12*AF65*BZ65,IF(CA65="Lamp",INDEX('Fixture Codes'!$J$8:$J$976,MATCH(AD65,'Fixture Codes'!$B$8:$B$976,0))*AF65*BZ65,IF(CA65="Fixture",AF65*BZ65,IF(CA65="kWh",BK65*BZ65,0))))),""))</f>
        <v/>
      </c>
      <c r="CG65" s="149" t="str">
        <f t="shared" si="32"/>
        <v/>
      </c>
      <c r="CH65" s="149" t="str">
        <f t="shared" si="33"/>
        <v/>
      </c>
      <c r="CI65" s="152"/>
      <c r="CJ65" s="146"/>
      <c r="CK65" s="241">
        <f>IFERROR(IF(CL65="Yes",'Prescriptive Rebate Table'!$D$69,IF(ISBLANK(AI65),0,IF(AND(AH65=Lookups!$A$62,BK65&gt;0),'Prescriptive Rebate Table'!$D$68,IF(AND(BK65&gt;0,CJ65=AF65),'Prescriptive Rebate Table'!$D$67,IF(AND(BK65&gt;0,CJ65&lt;&gt;AF65),'Prescriptive Rebate Table'!D124,0))))),"")</f>
        <v>0</v>
      </c>
      <c r="CL65" s="240" t="s">
        <v>2712</v>
      </c>
      <c r="CM65" s="152"/>
      <c r="CN65" s="152"/>
      <c r="CO65" s="152"/>
      <c r="CP65" s="146">
        <f t="shared" si="14"/>
        <v>0</v>
      </c>
      <c r="CQ65" s="153">
        <f>IF(D65="Interior",ROUND(($AG65*AF65)/1000*$AM65*(Lookups!$B$54-$AA65)*$AN65*$AO65,3),0)</f>
        <v>0</v>
      </c>
      <c r="CR65" s="153">
        <f>IFERROR(IF(D65="Interior",ROUND(($AG65*$AF65)/1000*(Lookups!$C$54-$AB65)*$AN65*AQ65*AT65,6),0),"")</f>
        <v>0</v>
      </c>
      <c r="CS65" s="165">
        <f t="shared" si="34"/>
        <v>0</v>
      </c>
      <c r="CT65" s="165">
        <f t="shared" si="35"/>
        <v>0</v>
      </c>
      <c r="CV65" s="153"/>
      <c r="CW65" s="153"/>
      <c r="CX65" s="165"/>
      <c r="CY65" s="165"/>
      <c r="DA65" s="153">
        <f>IF(D65="Interior",ROUND(($AG65*AF65*(1-0.15))/1000*$AM65*(Lookups!$B$43+0.097-$AA65)*$AN65*$AO65+((W65*V65)/1000*AN65*AM65*AO65*0.15),3),0)</f>
        <v>0</v>
      </c>
      <c r="DB65" s="153">
        <f>IFERROR(IF(D65="Interior",ROUND(($AG65*$AF65)/1000*(Lookups!$C$43+0.097-$AB65)*$AN65*AQ65*AT65+(($AG65*$AF65)/1000*$AN65*AQ65*AT65*0.15),6),0),"")</f>
        <v>0</v>
      </c>
      <c r="DC65" s="165">
        <f t="shared" si="38"/>
        <v>0</v>
      </c>
      <c r="DD65" s="165">
        <f t="shared" si="39"/>
        <v>0</v>
      </c>
    </row>
    <row r="66" spans="1:108" s="164" customFormat="1">
      <c r="A66" s="150">
        <v>62</v>
      </c>
      <c r="B66" s="153" t="str">
        <f>IFERROR(INDEX(Lookups!$B$2:$B$38,MATCH('Project Info &amp; Summary'!$C$19,Lookups!$A$2:$A$38,0)),"")</f>
        <v/>
      </c>
      <c r="C66" s="153" t="str">
        <f>IFERROR(INDEX(Lookups!$C$2:$C$38,MATCH('Project Info &amp; Summary'!$C$19,Lookups!$A$2:$A$38,0)),"")</f>
        <v/>
      </c>
      <c r="D66" s="163"/>
      <c r="E66" s="160"/>
      <c r="F66" s="158"/>
      <c r="G66" s="158"/>
      <c r="H66" s="158"/>
      <c r="I66" s="158"/>
      <c r="J66" s="154" t="str">
        <f>IFERROR(INDEX(Lookups!$W$21:$W$26,MATCH(I66,Lookups!$V$21:$V$26,0)),"")</f>
        <v/>
      </c>
      <c r="K66" s="158"/>
      <c r="L66" s="162" t="str">
        <f>IFERROR(INDEX(Lookups!$Y$2:$Y$19,MATCH(_xlfn.CONCAT(I66,K66),Lookups!$X$2:$X$19,0)),"")</f>
        <v/>
      </c>
      <c r="M66" s="158"/>
      <c r="N66" s="153" t="str">
        <f>IFERROR(INDEX('Prescriptive Rebate Table'!$M$3:$M$20,MATCH(M66,'Prescriptive Rebate Table'!$L$3:$L$20,0)),"")</f>
        <v/>
      </c>
      <c r="O66" s="158"/>
      <c r="P66" s="154" t="str">
        <f>IFERROR(INDEX('Prescriptive Rebate Table'!$B$2:$H$64, MATCH(O66,'Prescriptive Rebate Table'!$C$2:$C$64,0),7),"")</f>
        <v/>
      </c>
      <c r="Q66" s="155" t="str">
        <f>IFERROR(INDEX('Prescriptive Rebate Table'!$B$2:$I$64, MATCH(O66,'Prescriptive Rebate Table'!$C$2:$C$64,0),8),"")</f>
        <v/>
      </c>
      <c r="R66" s="155" t="str">
        <f>IFERROR(INDEX('Prescriptive Rebate Table'!$B$2:$J$64, MATCH(O66,'Prescriptive Rebate Table'!$C$2:$C$64,0),9),"")</f>
        <v/>
      </c>
      <c r="S66" s="160"/>
      <c r="T66" s="145" t="str">
        <f>IFERROR(INDEX('Fixture Codes'!$M$8:$M$976,MATCH(S66,'Fixture Codes'!$B$8:$B$976,0)),"")</f>
        <v/>
      </c>
      <c r="U66" s="145" t="str">
        <f>IFERROR(INDEX('Fixture Codes'!$B$7:$M$976,MATCH(T66,'Fixture Codes'!$B$7:$B$976,0),5),"")</f>
        <v/>
      </c>
      <c r="V66" s="160"/>
      <c r="W66" s="145" t="str">
        <f>IFERROR(INDEX('Fixture Codes'!$L$8:$L$976,MATCH(T66,'Fixture Codes'!$B$8:$B$976,0)),"")</f>
        <v/>
      </c>
      <c r="X66" s="158"/>
      <c r="Y66" s="159"/>
      <c r="Z66" s="155" t="str">
        <f>IFERROR(INDEX(Lookups!B$68:B$87,MATCH($X66,Lookups!$A$68:$A$87,0)),"")</f>
        <v/>
      </c>
      <c r="AA66" s="150" t="str">
        <f>IFERROR(INDEX(Lookups!B$42:B$62,MATCH($X66,Lookups!$A$42:$A$62,0)),"")</f>
        <v/>
      </c>
      <c r="AB66" s="150" t="str">
        <f>IFERROR(INDEX(Lookups!C$42:C$62,MATCH($X66,Lookups!$A$42:$A$62,0)),"")</f>
        <v/>
      </c>
      <c r="AC66" s="160"/>
      <c r="AD66" s="160"/>
      <c r="AE66" s="150" t="str">
        <f>IFERROR(INDEX('Fixture Codes'!$B$7:$M$976,MATCH(AD66,'Fixture Codes'!$B$7:$B$976,0),5),"")</f>
        <v/>
      </c>
      <c r="AF66" s="160"/>
      <c r="AG66" s="145" t="str">
        <f>IFERROR(INDEX('Fixture Codes'!$L$8:$L$976,MATCH(AD66,'Fixture Codes'!$B$8:$B$976,0)),"")</f>
        <v/>
      </c>
      <c r="AH66" s="158"/>
      <c r="AI66" s="160"/>
      <c r="AJ66" s="150" t="str">
        <f>IFERROR(INDEX(Lookups!B$68:B$87,MATCH($AH66,Lookups!$A$68:$A$87,0)),"")</f>
        <v/>
      </c>
      <c r="AK66" s="150" t="str">
        <f>IFERROR(INDEX(Lookups!B$42:B$62,MATCH($AH66,Lookups!$A$42:$A$62,0)),"")</f>
        <v/>
      </c>
      <c r="AL66" s="150" t="str">
        <f>IFERROR(INDEX(Lookups!C$42:C$62,MATCH($AH66,Lookups!$A$42:$A$62,0)),"")</f>
        <v/>
      </c>
      <c r="AM66" s="150" t="str">
        <f>IFERROR(IF(M66="Exit Signs",8760,IF(INDEX('Fixture Codes'!$C$8:$C$976,MATCH(AD66,'Fixture Codes'!$B$8:$B$976,0))="Exit Sign",8760,INDEX(Lookups!$I$2:$I$428,MATCH(_xlfn.CONCAT(B66,H66),Lookups!$H$2:$H$428,0)))),"")</f>
        <v/>
      </c>
      <c r="AN66" s="153">
        <v>1</v>
      </c>
      <c r="AO66" s="150" t="str">
        <f>IF($D66="Interior",INDEX(Lookups!Q$2:Q$86,MATCH(_xlfn.CONCAT($C66,$L66),Lookups!$P$2:$P$86,0)),IF($D66="Exterior",1,""))</f>
        <v/>
      </c>
      <c r="AP66" s="150">
        <f t="shared" si="19"/>
        <v>1</v>
      </c>
      <c r="AQ66" s="150" t="str">
        <f>IF($D66="Interior",INDEX(Lookups!R$2:R$86,MATCH(_xlfn.CONCAT($C66,$L66),Lookups!$P$2:$P$86,0)),IF($D66="Exterior",1,""))</f>
        <v/>
      </c>
      <c r="AR66" s="150" t="str">
        <f>IF($D66="Interior",INDEX(Lookups!S$2:S$86,MATCH(_xlfn.CONCAT($C66,$L66),Lookups!$P$2:$P$86,0)),IF($D66="Exterior",1,""))</f>
        <v/>
      </c>
      <c r="AS66" s="150" t="str">
        <f>IF($D66="Interior",INDEX(Lookups!T$2:T$86,MATCH(_xlfn.CONCAT($C66,$L66),Lookups!$P$2:$P$86,0)),IF($D66="Exterior",1,""))</f>
        <v/>
      </c>
      <c r="AT66" s="150" t="str">
        <f>IFERROR(IF(M66="Exit Signs",1,IF(INDEX('Fixture Codes'!$C$8:$C$976,MATCH($AD66,'Fixture Codes'!$B$8:$B$976,0))="Exit Sign",1,INDEX(Lookups!J$2:J$428,MATCH(_xlfn.CONCAT($B66,$H66),Lookups!$H$2:$H$428,0)))),"")</f>
        <v/>
      </c>
      <c r="AU66" s="150" t="str">
        <f>IFERROR(IF(M66="Exit Signs",1,IF(INDEX('Fixture Codes'!$C$8:$C$976,MATCH($AD66,'Fixture Codes'!$B$8:$B$976,0))="Exit Sign",1,INDEX(Lookups!K$2:K$428,MATCH(_xlfn.CONCAT($B66,$H66),Lookups!$H$2:$H$428,0)))),"")</f>
        <v/>
      </c>
      <c r="AV66" s="150" t="str">
        <f>IFERROR(IF(M66="Exit Signs",1,IF(INDEX('Fixture Codes'!$C$8:$C$976,MATCH($AD66,'Fixture Codes'!$B$8:$B$976,0))="Exit Sign",1,INDEX(Lookups!L$2:L$428,MATCH(_xlfn.CONCAT($B66,$H66),Lookups!$H$2:$H$428,0)))),"")</f>
        <v/>
      </c>
      <c r="AW66" s="150" t="str">
        <f>IF(ISBLANK(K66),"",IF(K66="Gas",INDEX(Lookups!$AG$2:$AG$63,MATCH(O66,Lookups!$AD$2:$AD$63,0),0),0))</f>
        <v/>
      </c>
      <c r="AX66" s="150" t="str">
        <f>IF(ISBLANK(K66),"",IF(K66="Gas",INDEX(Lookups!$AF$2:$AF$63,MATCH(O66,Lookups!$AD$2:$AD$63,0),0),0))</f>
        <v/>
      </c>
      <c r="AY66" s="150" t="str">
        <f>IF(ISBLANK(K66),"",IF(K66="Gas",INDEX(Lookups!$AH$2:$AH$63,MATCH(O66,Lookups!$AD$2:$AD$63,0),0),0))</f>
        <v/>
      </c>
      <c r="AZ66" s="150" t="str">
        <f>IF(ISBLANK(K66),"",IF(K66="Gas",INDEX(Lookups!$AI$2:$AI$63,MATCH(O66,Lookups!$AD$2:$AD$63,0),0),0))</f>
        <v/>
      </c>
      <c r="BA66" s="150" t="str">
        <f t="shared" si="0"/>
        <v/>
      </c>
      <c r="BB66" s="156" t="str">
        <f>IF(ISBLANK(AH66),"",IF(AH66="None",0,IF(K66="Gas",INDEX(Lookups!$AF$51:$AF$69,MATCH(AH66,Lookups!$AD$51:$AD$69,0),0),0)))</f>
        <v/>
      </c>
      <c r="BC66" s="156" t="str">
        <f>IF(ISBLANK(AH66),"",IF(AH66="None",0,IF(K66="Gas",INDEX(Lookups!$AH$51:$AH$69,MATCH(AH66,Lookups!$AD$51:$AD$69,0),0),0)))</f>
        <v/>
      </c>
      <c r="BD66" s="156" t="str">
        <f>IF(ISBLANK(AH66),"",IF(AH66="None",0,IF(K66="Gas",INDEX(Lookups!$AI$51:$AI$69,MATCH(AH66,Lookups!$AD$51:$AD$69,0),0),0)))</f>
        <v/>
      </c>
      <c r="BE66" s="157"/>
      <c r="BF66" s="157"/>
      <c r="BG66" s="147" t="str">
        <f t="shared" si="20"/>
        <v/>
      </c>
      <c r="BH66" s="147" t="str">
        <f t="shared" si="21"/>
        <v/>
      </c>
      <c r="BI66" s="147" t="str">
        <f t="shared" si="1"/>
        <v/>
      </c>
      <c r="BJ66" s="147" t="str">
        <f t="shared" si="2"/>
        <v/>
      </c>
      <c r="BK66" s="148" t="str">
        <f t="shared" si="22"/>
        <v/>
      </c>
      <c r="BL66" s="147" t="str">
        <f t="shared" si="3"/>
        <v/>
      </c>
      <c r="BM66" s="148" t="str">
        <f t="shared" si="23"/>
        <v/>
      </c>
      <c r="BN66" s="147" t="str">
        <f t="shared" si="24"/>
        <v/>
      </c>
      <c r="BO66" s="147" t="str">
        <f t="shared" si="24"/>
        <v/>
      </c>
      <c r="BP66" s="147" t="str">
        <f t="shared" si="25"/>
        <v/>
      </c>
      <c r="BQ66" s="148" t="str">
        <f t="shared" si="26"/>
        <v/>
      </c>
      <c r="BR66" s="148" t="str">
        <f t="shared" si="27"/>
        <v/>
      </c>
      <c r="BS66" s="148" t="str">
        <f t="shared" si="28"/>
        <v/>
      </c>
      <c r="BT66" s="148" t="str">
        <f t="shared" si="7"/>
        <v/>
      </c>
      <c r="BU66" s="148" t="str">
        <f t="shared" si="8"/>
        <v/>
      </c>
      <c r="BV66" s="148" t="str">
        <f t="shared" si="9"/>
        <v/>
      </c>
      <c r="BW66" s="148" t="str">
        <f t="shared" si="29"/>
        <v/>
      </c>
      <c r="BX66" s="148" t="str">
        <f t="shared" si="10"/>
        <v/>
      </c>
      <c r="BY66" s="148" t="str">
        <f t="shared" si="11"/>
        <v/>
      </c>
      <c r="BZ66" s="149" t="str">
        <f>IFERROR(INDEX('Prescriptive Rebate Table'!$B$2:$E$64,MATCH(O66,'Prescriptive Rebate Table'!$C$2:$C$64,0),3),"")</f>
        <v/>
      </c>
      <c r="CA66" s="145" t="str">
        <f>IFERROR(INDEX('Prescriptive Rebate Table'!$B$2:$E$64,MATCH(O66,'Prescriptive Rebate Table'!$C$2:$C$64,0),4),"")</f>
        <v/>
      </c>
      <c r="CB66" s="149" t="str">
        <f t="shared" si="30"/>
        <v/>
      </c>
      <c r="CC66" s="145" t="str">
        <f t="shared" si="31"/>
        <v/>
      </c>
      <c r="CD66" s="149" t="str">
        <f t="shared" si="12"/>
        <v/>
      </c>
      <c r="CE66" s="149" t="str">
        <f t="shared" si="13"/>
        <v/>
      </c>
      <c r="CF66" s="149" t="str">
        <f>IF(BK66&lt;=0,0,IFERROR(IF(OR(ISBLANK(AC66),ISBLANK(CD66))=TRUE,"",IF(CA66="Per Foot",INDEX('Fixture Codes'!$I$8:$I$976,MATCH(AD66,'Fixture Codes'!$B$8:$B$976,0))/12*AF66*BZ66,IF(CA66="Lamp",INDEX('Fixture Codes'!$J$8:$J$976,MATCH(AD66,'Fixture Codes'!$B$8:$B$976,0))*AF66*BZ66,IF(CA66="Fixture",AF66*BZ66,IF(CA66="kWh",BK66*BZ66,0))))),""))</f>
        <v/>
      </c>
      <c r="CG66" s="149" t="str">
        <f t="shared" si="32"/>
        <v/>
      </c>
      <c r="CH66" s="149" t="str">
        <f t="shared" si="33"/>
        <v/>
      </c>
      <c r="CI66" s="152"/>
      <c r="CJ66" s="146"/>
      <c r="CK66" s="241">
        <f>IFERROR(IF(CL66="Yes",'Prescriptive Rebate Table'!$D$69,IF(ISBLANK(AI66),0,IF(AND(AH66=Lookups!$A$62,BK66&gt;0),'Prescriptive Rebate Table'!$D$68,IF(AND(BK66&gt;0,CJ66=AF66),'Prescriptive Rebate Table'!$D$67,IF(AND(BK66&gt;0,CJ66&lt;&gt;AF66),'Prescriptive Rebate Table'!D125,0))))),"")</f>
        <v>0</v>
      </c>
      <c r="CL66" s="240" t="s">
        <v>2712</v>
      </c>
      <c r="CM66" s="152"/>
      <c r="CN66" s="152"/>
      <c r="CO66" s="152"/>
      <c r="CP66" s="146">
        <f t="shared" si="14"/>
        <v>0</v>
      </c>
      <c r="CQ66" s="153">
        <f>IF(D66="Interior",ROUND(($AG66*AF66)/1000*$AM66*(Lookups!$B$54-$AA66)*$AN66*$AO66,3),0)</f>
        <v>0</v>
      </c>
      <c r="CR66" s="153">
        <f>IFERROR(IF(D66="Interior",ROUND(($AG66*$AF66)/1000*(Lookups!$C$54-$AB66)*$AN66*AQ66*AT66,6),0),"")</f>
        <v>0</v>
      </c>
      <c r="CS66" s="165">
        <f t="shared" si="34"/>
        <v>0</v>
      </c>
      <c r="CT66" s="165">
        <f t="shared" si="35"/>
        <v>0</v>
      </c>
      <c r="CV66" s="153"/>
      <c r="CW66" s="153"/>
      <c r="CX66" s="165"/>
      <c r="CY66" s="165"/>
      <c r="DA66" s="153">
        <f>IF(D66="Interior",ROUND(($AG66*AF66*(1-0.15))/1000*$AM66*(Lookups!$B$43+0.097-$AA66)*$AN66*$AO66+((W66*V66)/1000*AN66*AM66*AO66*0.15),3),0)</f>
        <v>0</v>
      </c>
      <c r="DB66" s="153">
        <f>IFERROR(IF(D66="Interior",ROUND(($AG66*$AF66)/1000*(Lookups!$C$43+0.097-$AB66)*$AN66*AQ66*AT66+(($AG66*$AF66)/1000*$AN66*AQ66*AT66*0.15),6),0),"")</f>
        <v>0</v>
      </c>
      <c r="DC66" s="165">
        <f t="shared" si="38"/>
        <v>0</v>
      </c>
      <c r="DD66" s="165">
        <f t="shared" si="39"/>
        <v>0</v>
      </c>
    </row>
    <row r="67" spans="1:108" s="164" customFormat="1">
      <c r="A67" s="150">
        <v>63</v>
      </c>
      <c r="B67" s="153" t="str">
        <f>IFERROR(INDEX(Lookups!$B$2:$B$38,MATCH('Project Info &amp; Summary'!$C$19,Lookups!$A$2:$A$38,0)),"")</f>
        <v/>
      </c>
      <c r="C67" s="153" t="str">
        <f>IFERROR(INDEX(Lookups!$C$2:$C$38,MATCH('Project Info &amp; Summary'!$C$19,Lookups!$A$2:$A$38,0)),"")</f>
        <v/>
      </c>
      <c r="D67" s="163"/>
      <c r="E67" s="160"/>
      <c r="F67" s="158"/>
      <c r="G67" s="158"/>
      <c r="H67" s="158"/>
      <c r="I67" s="158"/>
      <c r="J67" s="154" t="str">
        <f>IFERROR(INDEX(Lookups!$W$21:$W$26,MATCH(I67,Lookups!$V$21:$V$26,0)),"")</f>
        <v/>
      </c>
      <c r="K67" s="158"/>
      <c r="L67" s="162" t="str">
        <f>IFERROR(INDEX(Lookups!$Y$2:$Y$19,MATCH(_xlfn.CONCAT(I67,K67),Lookups!$X$2:$X$19,0)),"")</f>
        <v/>
      </c>
      <c r="M67" s="158"/>
      <c r="N67" s="153" t="str">
        <f>IFERROR(INDEX('Prescriptive Rebate Table'!$M$3:$M$20,MATCH(M67,'Prescriptive Rebate Table'!$L$3:$L$20,0)),"")</f>
        <v/>
      </c>
      <c r="O67" s="158"/>
      <c r="P67" s="154" t="str">
        <f>IFERROR(INDEX('Prescriptive Rebate Table'!$B$2:$H$64, MATCH(O67,'Prescriptive Rebate Table'!$C$2:$C$64,0),7),"")</f>
        <v/>
      </c>
      <c r="Q67" s="155" t="str">
        <f>IFERROR(INDEX('Prescriptive Rebate Table'!$B$2:$I$64, MATCH(O67,'Prescriptive Rebate Table'!$C$2:$C$64,0),8),"")</f>
        <v/>
      </c>
      <c r="R67" s="155" t="str">
        <f>IFERROR(INDEX('Prescriptive Rebate Table'!$B$2:$J$64, MATCH(O67,'Prescriptive Rebate Table'!$C$2:$C$64,0),9),"")</f>
        <v/>
      </c>
      <c r="S67" s="160"/>
      <c r="T67" s="145" t="str">
        <f>IFERROR(INDEX('Fixture Codes'!$M$8:$M$976,MATCH(S67,'Fixture Codes'!$B$8:$B$976,0)),"")</f>
        <v/>
      </c>
      <c r="U67" s="145" t="str">
        <f>IFERROR(INDEX('Fixture Codes'!$B$7:$M$976,MATCH(T67,'Fixture Codes'!$B$7:$B$976,0),5),"")</f>
        <v/>
      </c>
      <c r="V67" s="160"/>
      <c r="W67" s="145" t="str">
        <f>IFERROR(INDEX('Fixture Codes'!$L$8:$L$976,MATCH(T67,'Fixture Codes'!$B$8:$B$976,0)),"")</f>
        <v/>
      </c>
      <c r="X67" s="158"/>
      <c r="Y67" s="159"/>
      <c r="Z67" s="155" t="str">
        <f>IFERROR(INDEX(Lookups!B$68:B$87,MATCH($X67,Lookups!$A$68:$A$87,0)),"")</f>
        <v/>
      </c>
      <c r="AA67" s="150" t="str">
        <f>IFERROR(INDEX(Lookups!B$42:B$62,MATCH($X67,Lookups!$A$42:$A$62,0)),"")</f>
        <v/>
      </c>
      <c r="AB67" s="150" t="str">
        <f>IFERROR(INDEX(Lookups!C$42:C$62,MATCH($X67,Lookups!$A$42:$A$62,0)),"")</f>
        <v/>
      </c>
      <c r="AC67" s="160"/>
      <c r="AD67" s="160"/>
      <c r="AE67" s="150" t="str">
        <f>IFERROR(INDEX('Fixture Codes'!$B$7:$M$976,MATCH(AD67,'Fixture Codes'!$B$7:$B$976,0),5),"")</f>
        <v/>
      </c>
      <c r="AF67" s="160"/>
      <c r="AG67" s="145" t="str">
        <f>IFERROR(INDEX('Fixture Codes'!$L$8:$L$976,MATCH(AD67,'Fixture Codes'!$B$8:$B$976,0)),"")</f>
        <v/>
      </c>
      <c r="AH67" s="158"/>
      <c r="AI67" s="160"/>
      <c r="AJ67" s="150" t="str">
        <f>IFERROR(INDEX(Lookups!B$68:B$87,MATCH($AH67,Lookups!$A$68:$A$87,0)),"")</f>
        <v/>
      </c>
      <c r="AK67" s="150" t="str">
        <f>IFERROR(INDEX(Lookups!B$42:B$62,MATCH($AH67,Lookups!$A$42:$A$62,0)),"")</f>
        <v/>
      </c>
      <c r="AL67" s="150" t="str">
        <f>IFERROR(INDEX(Lookups!C$42:C$62,MATCH($AH67,Lookups!$A$42:$A$62,0)),"")</f>
        <v/>
      </c>
      <c r="AM67" s="150" t="str">
        <f>IFERROR(IF(M67="Exit Signs",8760,IF(INDEX('Fixture Codes'!$C$8:$C$976,MATCH(AD67,'Fixture Codes'!$B$8:$B$976,0))="Exit Sign",8760,INDEX(Lookups!$I$2:$I$428,MATCH(_xlfn.CONCAT(B67,H67),Lookups!$H$2:$H$428,0)))),"")</f>
        <v/>
      </c>
      <c r="AN67" s="153">
        <v>1</v>
      </c>
      <c r="AO67" s="150" t="str">
        <f>IF($D67="Interior",INDEX(Lookups!Q$2:Q$86,MATCH(_xlfn.CONCAT($C67,$L67),Lookups!$P$2:$P$86,0)),IF($D67="Exterior",1,""))</f>
        <v/>
      </c>
      <c r="AP67" s="150">
        <f t="shared" si="19"/>
        <v>1</v>
      </c>
      <c r="AQ67" s="150" t="str">
        <f>IF($D67="Interior",INDEX(Lookups!R$2:R$86,MATCH(_xlfn.CONCAT($C67,$L67),Lookups!$P$2:$P$86,0)),IF($D67="Exterior",1,""))</f>
        <v/>
      </c>
      <c r="AR67" s="150" t="str">
        <f>IF($D67="Interior",INDEX(Lookups!S$2:S$86,MATCH(_xlfn.CONCAT($C67,$L67),Lookups!$P$2:$P$86,0)),IF($D67="Exterior",1,""))</f>
        <v/>
      </c>
      <c r="AS67" s="150" t="str">
        <f>IF($D67="Interior",INDEX(Lookups!T$2:T$86,MATCH(_xlfn.CONCAT($C67,$L67),Lookups!$P$2:$P$86,0)),IF($D67="Exterior",1,""))</f>
        <v/>
      </c>
      <c r="AT67" s="150" t="str">
        <f>IFERROR(IF(M67="Exit Signs",1,IF(INDEX('Fixture Codes'!$C$8:$C$976,MATCH($AD67,'Fixture Codes'!$B$8:$B$976,0))="Exit Sign",1,INDEX(Lookups!J$2:J$428,MATCH(_xlfn.CONCAT($B67,$H67),Lookups!$H$2:$H$428,0)))),"")</f>
        <v/>
      </c>
      <c r="AU67" s="150" t="str">
        <f>IFERROR(IF(M67="Exit Signs",1,IF(INDEX('Fixture Codes'!$C$8:$C$976,MATCH($AD67,'Fixture Codes'!$B$8:$B$976,0))="Exit Sign",1,INDEX(Lookups!K$2:K$428,MATCH(_xlfn.CONCAT($B67,$H67),Lookups!$H$2:$H$428,0)))),"")</f>
        <v/>
      </c>
      <c r="AV67" s="150" t="str">
        <f>IFERROR(IF(M67="Exit Signs",1,IF(INDEX('Fixture Codes'!$C$8:$C$976,MATCH($AD67,'Fixture Codes'!$B$8:$B$976,0))="Exit Sign",1,INDEX(Lookups!L$2:L$428,MATCH(_xlfn.CONCAT($B67,$H67),Lookups!$H$2:$H$428,0)))),"")</f>
        <v/>
      </c>
      <c r="AW67" s="150" t="str">
        <f>IF(ISBLANK(K67),"",IF(K67="Gas",INDEX(Lookups!$AG$2:$AG$63,MATCH(O67,Lookups!$AD$2:$AD$63,0),0),0))</f>
        <v/>
      </c>
      <c r="AX67" s="150" t="str">
        <f>IF(ISBLANK(K67),"",IF(K67="Gas",INDEX(Lookups!$AF$2:$AF$63,MATCH(O67,Lookups!$AD$2:$AD$63,0),0),0))</f>
        <v/>
      </c>
      <c r="AY67" s="150" t="str">
        <f>IF(ISBLANK(K67),"",IF(K67="Gas",INDEX(Lookups!$AH$2:$AH$63,MATCH(O67,Lookups!$AD$2:$AD$63,0),0),0))</f>
        <v/>
      </c>
      <c r="AZ67" s="150" t="str">
        <f>IF(ISBLANK(K67),"",IF(K67="Gas",INDEX(Lookups!$AI$2:$AI$63,MATCH(O67,Lookups!$AD$2:$AD$63,0),0),0))</f>
        <v/>
      </c>
      <c r="BA67" s="150" t="str">
        <f t="shared" si="0"/>
        <v/>
      </c>
      <c r="BB67" s="156" t="str">
        <f>IF(ISBLANK(AH67),"",IF(AH67="None",0,IF(K67="Gas",INDEX(Lookups!$AF$51:$AF$69,MATCH(AH67,Lookups!$AD$51:$AD$69,0),0),0)))</f>
        <v/>
      </c>
      <c r="BC67" s="156" t="str">
        <f>IF(ISBLANK(AH67),"",IF(AH67="None",0,IF(K67="Gas",INDEX(Lookups!$AH$51:$AH$69,MATCH(AH67,Lookups!$AD$51:$AD$69,0),0),0)))</f>
        <v/>
      </c>
      <c r="BD67" s="156" t="str">
        <f>IF(ISBLANK(AH67),"",IF(AH67="None",0,IF(K67="Gas",INDEX(Lookups!$AI$51:$AI$69,MATCH(AH67,Lookups!$AD$51:$AD$69,0),0),0)))</f>
        <v/>
      </c>
      <c r="BE67" s="157"/>
      <c r="BF67" s="157"/>
      <c r="BG67" s="147" t="str">
        <f t="shared" si="20"/>
        <v/>
      </c>
      <c r="BH67" s="147" t="str">
        <f t="shared" si="21"/>
        <v/>
      </c>
      <c r="BI67" s="147" t="str">
        <f t="shared" si="1"/>
        <v/>
      </c>
      <c r="BJ67" s="147" t="str">
        <f t="shared" si="2"/>
        <v/>
      </c>
      <c r="BK67" s="148" t="str">
        <f t="shared" si="22"/>
        <v/>
      </c>
      <c r="BL67" s="147" t="str">
        <f t="shared" si="3"/>
        <v/>
      </c>
      <c r="BM67" s="148" t="str">
        <f t="shared" si="23"/>
        <v/>
      </c>
      <c r="BN67" s="147" t="str">
        <f t="shared" si="24"/>
        <v/>
      </c>
      <c r="BO67" s="147" t="str">
        <f t="shared" si="24"/>
        <v/>
      </c>
      <c r="BP67" s="147" t="str">
        <f t="shared" si="25"/>
        <v/>
      </c>
      <c r="BQ67" s="148" t="str">
        <f t="shared" si="26"/>
        <v/>
      </c>
      <c r="BR67" s="148" t="str">
        <f t="shared" si="27"/>
        <v/>
      </c>
      <c r="BS67" s="148" t="str">
        <f t="shared" si="28"/>
        <v/>
      </c>
      <c r="BT67" s="148" t="str">
        <f t="shared" si="7"/>
        <v/>
      </c>
      <c r="BU67" s="148" t="str">
        <f t="shared" si="8"/>
        <v/>
      </c>
      <c r="BV67" s="148" t="str">
        <f t="shared" si="9"/>
        <v/>
      </c>
      <c r="BW67" s="148" t="str">
        <f t="shared" si="29"/>
        <v/>
      </c>
      <c r="BX67" s="148" t="str">
        <f t="shared" si="10"/>
        <v/>
      </c>
      <c r="BY67" s="148" t="str">
        <f t="shared" si="11"/>
        <v/>
      </c>
      <c r="BZ67" s="149" t="str">
        <f>IFERROR(INDEX('Prescriptive Rebate Table'!$B$2:$E$64,MATCH(O67,'Prescriptive Rebate Table'!$C$2:$C$64,0),3),"")</f>
        <v/>
      </c>
      <c r="CA67" s="145" t="str">
        <f>IFERROR(INDEX('Prescriptive Rebate Table'!$B$2:$E$64,MATCH(O67,'Prescriptive Rebate Table'!$C$2:$C$64,0),4),"")</f>
        <v/>
      </c>
      <c r="CB67" s="149" t="str">
        <f t="shared" si="30"/>
        <v/>
      </c>
      <c r="CC67" s="145" t="str">
        <f t="shared" si="31"/>
        <v/>
      </c>
      <c r="CD67" s="149" t="str">
        <f t="shared" si="12"/>
        <v/>
      </c>
      <c r="CE67" s="149" t="str">
        <f t="shared" si="13"/>
        <v/>
      </c>
      <c r="CF67" s="149" t="str">
        <f>IF(BK67&lt;=0,0,IFERROR(IF(OR(ISBLANK(AC67),ISBLANK(CD67))=TRUE,"",IF(CA67="Per Foot",INDEX('Fixture Codes'!$I$8:$I$976,MATCH(AD67,'Fixture Codes'!$B$8:$B$976,0))/12*AF67*BZ67,IF(CA67="Lamp",INDEX('Fixture Codes'!$J$8:$J$976,MATCH(AD67,'Fixture Codes'!$B$8:$B$976,0))*AF67*BZ67,IF(CA67="Fixture",AF67*BZ67,IF(CA67="kWh",BK67*BZ67,0))))),""))</f>
        <v/>
      </c>
      <c r="CG67" s="149" t="str">
        <f t="shared" si="32"/>
        <v/>
      </c>
      <c r="CH67" s="149" t="str">
        <f t="shared" si="33"/>
        <v/>
      </c>
      <c r="CI67" s="152"/>
      <c r="CJ67" s="146"/>
      <c r="CK67" s="241">
        <f>IFERROR(IF(CL67="Yes",'Prescriptive Rebate Table'!$D$69,IF(ISBLANK(AI67),0,IF(AND(AH67=Lookups!$A$62,BK67&gt;0),'Prescriptive Rebate Table'!$D$68,IF(AND(BK67&gt;0,CJ67=AF67),'Prescriptive Rebate Table'!$D$67,IF(AND(BK67&gt;0,CJ67&lt;&gt;AF67),'Prescriptive Rebate Table'!D126,0))))),"")</f>
        <v>0</v>
      </c>
      <c r="CL67" s="240" t="s">
        <v>2712</v>
      </c>
      <c r="CM67" s="152"/>
      <c r="CN67" s="152"/>
      <c r="CO67" s="152"/>
      <c r="CP67" s="146">
        <f t="shared" si="14"/>
        <v>0</v>
      </c>
      <c r="CQ67" s="153">
        <f>IF(D67="Interior",ROUND(($AG67*AF67)/1000*$AM67*(Lookups!$B$54-$AA67)*$AN67*$AO67,3),0)</f>
        <v>0</v>
      </c>
      <c r="CR67" s="153">
        <f>IFERROR(IF(D67="Interior",ROUND(($AG67*$AF67)/1000*(Lookups!$C$54-$AB67)*$AN67*AQ67*AT67,6),0),"")</f>
        <v>0</v>
      </c>
      <c r="CS67" s="165">
        <f t="shared" si="34"/>
        <v>0</v>
      </c>
      <c r="CT67" s="165">
        <f t="shared" si="35"/>
        <v>0</v>
      </c>
      <c r="CV67" s="153"/>
      <c r="CW67" s="153"/>
      <c r="CX67" s="165"/>
      <c r="CY67" s="165"/>
      <c r="DA67" s="153">
        <f>IF(D67="Interior",ROUND(($AG67*AF67*(1-0.15))/1000*$AM67*(Lookups!$B$43+0.097-$AA67)*$AN67*$AO67+((W67*V67)/1000*AN67*AM67*AO67*0.15),3),0)</f>
        <v>0</v>
      </c>
      <c r="DB67" s="153">
        <f>IFERROR(IF(D67="Interior",ROUND(($AG67*$AF67)/1000*(Lookups!$C$43+0.097-$AB67)*$AN67*AQ67*AT67+(($AG67*$AF67)/1000*$AN67*AQ67*AT67*0.15),6),0),"")</f>
        <v>0</v>
      </c>
      <c r="DC67" s="165">
        <f t="shared" si="38"/>
        <v>0</v>
      </c>
      <c r="DD67" s="165">
        <f t="shared" si="39"/>
        <v>0</v>
      </c>
    </row>
    <row r="68" spans="1:108" s="164" customFormat="1">
      <c r="A68" s="150">
        <v>64</v>
      </c>
      <c r="B68" s="153" t="str">
        <f>IFERROR(INDEX(Lookups!$B$2:$B$38,MATCH('Project Info &amp; Summary'!$C$19,Lookups!$A$2:$A$38,0)),"")</f>
        <v/>
      </c>
      <c r="C68" s="153" t="str">
        <f>IFERROR(INDEX(Lookups!$C$2:$C$38,MATCH('Project Info &amp; Summary'!$C$19,Lookups!$A$2:$A$38,0)),"")</f>
        <v/>
      </c>
      <c r="D68" s="163"/>
      <c r="E68" s="160"/>
      <c r="F68" s="158"/>
      <c r="G68" s="158"/>
      <c r="H68" s="158"/>
      <c r="I68" s="158"/>
      <c r="J68" s="154" t="str">
        <f>IFERROR(INDEX(Lookups!$W$21:$W$26,MATCH(I68,Lookups!$V$21:$V$26,0)),"")</f>
        <v/>
      </c>
      <c r="K68" s="158"/>
      <c r="L68" s="162" t="str">
        <f>IFERROR(INDEX(Lookups!$Y$2:$Y$19,MATCH(_xlfn.CONCAT(I68,K68),Lookups!$X$2:$X$19,0)),"")</f>
        <v/>
      </c>
      <c r="M68" s="158"/>
      <c r="N68" s="153" t="str">
        <f>IFERROR(INDEX('Prescriptive Rebate Table'!$M$3:$M$20,MATCH(M68,'Prescriptive Rebate Table'!$L$3:$L$20,0)),"")</f>
        <v/>
      </c>
      <c r="O68" s="158"/>
      <c r="P68" s="154" t="str">
        <f>IFERROR(INDEX('Prescriptive Rebate Table'!$B$2:$H$64, MATCH(O68,'Prescriptive Rebate Table'!$C$2:$C$64,0),7),"")</f>
        <v/>
      </c>
      <c r="Q68" s="155" t="str">
        <f>IFERROR(INDEX('Prescriptive Rebate Table'!$B$2:$I$64, MATCH(O68,'Prescriptive Rebate Table'!$C$2:$C$64,0),8),"")</f>
        <v/>
      </c>
      <c r="R68" s="155" t="str">
        <f>IFERROR(INDEX('Prescriptive Rebate Table'!$B$2:$J$64, MATCH(O68,'Prescriptive Rebate Table'!$C$2:$C$64,0),9),"")</f>
        <v/>
      </c>
      <c r="S68" s="160"/>
      <c r="T68" s="145" t="str">
        <f>IFERROR(INDEX('Fixture Codes'!$M$8:$M$976,MATCH(S68,'Fixture Codes'!$B$8:$B$976,0)),"")</f>
        <v/>
      </c>
      <c r="U68" s="145" t="str">
        <f>IFERROR(INDEX('Fixture Codes'!$B$7:$M$976,MATCH(T68,'Fixture Codes'!$B$7:$B$976,0),5),"")</f>
        <v/>
      </c>
      <c r="V68" s="160"/>
      <c r="W68" s="145" t="str">
        <f>IFERROR(INDEX('Fixture Codes'!$L$8:$L$976,MATCH(T68,'Fixture Codes'!$B$8:$B$976,0)),"")</f>
        <v/>
      </c>
      <c r="X68" s="158"/>
      <c r="Y68" s="159"/>
      <c r="Z68" s="155" t="str">
        <f>IFERROR(INDEX(Lookups!B$68:B$87,MATCH($X68,Lookups!$A$68:$A$87,0)),"")</f>
        <v/>
      </c>
      <c r="AA68" s="150" t="str">
        <f>IFERROR(INDEX(Lookups!B$42:B$62,MATCH($X68,Lookups!$A$42:$A$62,0)),"")</f>
        <v/>
      </c>
      <c r="AB68" s="150" t="str">
        <f>IFERROR(INDEX(Lookups!C$42:C$62,MATCH($X68,Lookups!$A$42:$A$62,0)),"")</f>
        <v/>
      </c>
      <c r="AC68" s="160"/>
      <c r="AD68" s="160"/>
      <c r="AE68" s="150" t="str">
        <f>IFERROR(INDEX('Fixture Codes'!$B$7:$M$976,MATCH(AD68,'Fixture Codes'!$B$7:$B$976,0),5),"")</f>
        <v/>
      </c>
      <c r="AF68" s="160"/>
      <c r="AG68" s="145" t="str">
        <f>IFERROR(INDEX('Fixture Codes'!$L$8:$L$976,MATCH(AD68,'Fixture Codes'!$B$8:$B$976,0)),"")</f>
        <v/>
      </c>
      <c r="AH68" s="158"/>
      <c r="AI68" s="160"/>
      <c r="AJ68" s="150" t="str">
        <f>IFERROR(INDEX(Lookups!B$68:B$87,MATCH($AH68,Lookups!$A$68:$A$87,0)),"")</f>
        <v/>
      </c>
      <c r="AK68" s="150" t="str">
        <f>IFERROR(INDEX(Lookups!B$42:B$62,MATCH($AH68,Lookups!$A$42:$A$62,0)),"")</f>
        <v/>
      </c>
      <c r="AL68" s="150" t="str">
        <f>IFERROR(INDEX(Lookups!C$42:C$62,MATCH($AH68,Lookups!$A$42:$A$62,0)),"")</f>
        <v/>
      </c>
      <c r="AM68" s="150" t="str">
        <f>IFERROR(IF(M68="Exit Signs",8760,IF(INDEX('Fixture Codes'!$C$8:$C$976,MATCH(AD68,'Fixture Codes'!$B$8:$B$976,0))="Exit Sign",8760,INDEX(Lookups!$I$2:$I$428,MATCH(_xlfn.CONCAT(B68,H68),Lookups!$H$2:$H$428,0)))),"")</f>
        <v/>
      </c>
      <c r="AN68" s="153">
        <v>1</v>
      </c>
      <c r="AO68" s="150" t="str">
        <f>IF($D68="Interior",INDEX(Lookups!Q$2:Q$86,MATCH(_xlfn.CONCAT($C68,$L68),Lookups!$P$2:$P$86,0)),IF($D68="Exterior",1,""))</f>
        <v/>
      </c>
      <c r="AP68" s="150">
        <f t="shared" si="19"/>
        <v>1</v>
      </c>
      <c r="AQ68" s="150" t="str">
        <f>IF($D68="Interior",INDEX(Lookups!R$2:R$86,MATCH(_xlfn.CONCAT($C68,$L68),Lookups!$P$2:$P$86,0)),IF($D68="Exterior",1,""))</f>
        <v/>
      </c>
      <c r="AR68" s="150" t="str">
        <f>IF($D68="Interior",INDEX(Lookups!S$2:S$86,MATCH(_xlfn.CONCAT($C68,$L68),Lookups!$P$2:$P$86,0)),IF($D68="Exterior",1,""))</f>
        <v/>
      </c>
      <c r="AS68" s="150" t="str">
        <f>IF($D68="Interior",INDEX(Lookups!T$2:T$86,MATCH(_xlfn.CONCAT($C68,$L68),Lookups!$P$2:$P$86,0)),IF($D68="Exterior",1,""))</f>
        <v/>
      </c>
      <c r="AT68" s="150" t="str">
        <f>IFERROR(IF(M68="Exit Signs",1,IF(INDEX('Fixture Codes'!$C$8:$C$976,MATCH($AD68,'Fixture Codes'!$B$8:$B$976,0))="Exit Sign",1,INDEX(Lookups!J$2:J$428,MATCH(_xlfn.CONCAT($B68,$H68),Lookups!$H$2:$H$428,0)))),"")</f>
        <v/>
      </c>
      <c r="AU68" s="150" t="str">
        <f>IFERROR(IF(M68="Exit Signs",1,IF(INDEX('Fixture Codes'!$C$8:$C$976,MATCH($AD68,'Fixture Codes'!$B$8:$B$976,0))="Exit Sign",1,INDEX(Lookups!K$2:K$428,MATCH(_xlfn.CONCAT($B68,$H68),Lookups!$H$2:$H$428,0)))),"")</f>
        <v/>
      </c>
      <c r="AV68" s="150" t="str">
        <f>IFERROR(IF(M68="Exit Signs",1,IF(INDEX('Fixture Codes'!$C$8:$C$976,MATCH($AD68,'Fixture Codes'!$B$8:$B$976,0))="Exit Sign",1,INDEX(Lookups!L$2:L$428,MATCH(_xlfn.CONCAT($B68,$H68),Lookups!$H$2:$H$428,0)))),"")</f>
        <v/>
      </c>
      <c r="AW68" s="150" t="str">
        <f>IF(ISBLANK(K68),"",IF(K68="Gas",INDEX(Lookups!$AG$2:$AG$63,MATCH(O68,Lookups!$AD$2:$AD$63,0),0),0))</f>
        <v/>
      </c>
      <c r="AX68" s="150" t="str">
        <f>IF(ISBLANK(K68),"",IF(K68="Gas",INDEX(Lookups!$AF$2:$AF$63,MATCH(O68,Lookups!$AD$2:$AD$63,0),0),0))</f>
        <v/>
      </c>
      <c r="AY68" s="150" t="str">
        <f>IF(ISBLANK(K68),"",IF(K68="Gas",INDEX(Lookups!$AH$2:$AH$63,MATCH(O68,Lookups!$AD$2:$AD$63,0),0),0))</f>
        <v/>
      </c>
      <c r="AZ68" s="150" t="str">
        <f>IF(ISBLANK(K68),"",IF(K68="Gas",INDEX(Lookups!$AI$2:$AI$63,MATCH(O68,Lookups!$AD$2:$AD$63,0),0),0))</f>
        <v/>
      </c>
      <c r="BA68" s="150" t="str">
        <f t="shared" si="0"/>
        <v/>
      </c>
      <c r="BB68" s="156" t="str">
        <f>IF(ISBLANK(AH68),"",IF(AH68="None",0,IF(K68="Gas",INDEX(Lookups!$AF$51:$AF$69,MATCH(AH68,Lookups!$AD$51:$AD$69,0),0),0)))</f>
        <v/>
      </c>
      <c r="BC68" s="156" t="str">
        <f>IF(ISBLANK(AH68),"",IF(AH68="None",0,IF(K68="Gas",INDEX(Lookups!$AH$51:$AH$69,MATCH(AH68,Lookups!$AD$51:$AD$69,0),0),0)))</f>
        <v/>
      </c>
      <c r="BD68" s="156" t="str">
        <f>IF(ISBLANK(AH68),"",IF(AH68="None",0,IF(K68="Gas",INDEX(Lookups!$AI$51:$AI$69,MATCH(AH68,Lookups!$AD$51:$AD$69,0),0),0)))</f>
        <v/>
      </c>
      <c r="BE68" s="157"/>
      <c r="BF68" s="157"/>
      <c r="BG68" s="147" t="str">
        <f t="shared" si="20"/>
        <v/>
      </c>
      <c r="BH68" s="147" t="str">
        <f t="shared" si="21"/>
        <v/>
      </c>
      <c r="BI68" s="147" t="str">
        <f t="shared" si="1"/>
        <v/>
      </c>
      <c r="BJ68" s="147" t="str">
        <f t="shared" si="2"/>
        <v/>
      </c>
      <c r="BK68" s="148" t="str">
        <f t="shared" si="22"/>
        <v/>
      </c>
      <c r="BL68" s="147" t="str">
        <f t="shared" si="3"/>
        <v/>
      </c>
      <c r="BM68" s="148" t="str">
        <f t="shared" si="23"/>
        <v/>
      </c>
      <c r="BN68" s="147" t="str">
        <f t="shared" si="24"/>
        <v/>
      </c>
      <c r="BO68" s="147" t="str">
        <f t="shared" si="24"/>
        <v/>
      </c>
      <c r="BP68" s="147" t="str">
        <f t="shared" si="25"/>
        <v/>
      </c>
      <c r="BQ68" s="148" t="str">
        <f t="shared" si="26"/>
        <v/>
      </c>
      <c r="BR68" s="148" t="str">
        <f t="shared" si="27"/>
        <v/>
      </c>
      <c r="BS68" s="148" t="str">
        <f t="shared" si="28"/>
        <v/>
      </c>
      <c r="BT68" s="148" t="str">
        <f t="shared" si="7"/>
        <v/>
      </c>
      <c r="BU68" s="148" t="str">
        <f t="shared" si="8"/>
        <v/>
      </c>
      <c r="BV68" s="148" t="str">
        <f t="shared" si="9"/>
        <v/>
      </c>
      <c r="BW68" s="148" t="str">
        <f t="shared" si="29"/>
        <v/>
      </c>
      <c r="BX68" s="148" t="str">
        <f t="shared" si="10"/>
        <v/>
      </c>
      <c r="BY68" s="148" t="str">
        <f t="shared" si="11"/>
        <v/>
      </c>
      <c r="BZ68" s="149" t="str">
        <f>IFERROR(INDEX('Prescriptive Rebate Table'!$B$2:$E$64,MATCH(O68,'Prescriptive Rebate Table'!$C$2:$C$64,0),3),"")</f>
        <v/>
      </c>
      <c r="CA68" s="145" t="str">
        <f>IFERROR(INDEX('Prescriptive Rebate Table'!$B$2:$E$64,MATCH(O68,'Prescriptive Rebate Table'!$C$2:$C$64,0),4),"")</f>
        <v/>
      </c>
      <c r="CB68" s="149" t="str">
        <f t="shared" si="30"/>
        <v/>
      </c>
      <c r="CC68" s="145" t="str">
        <f t="shared" si="31"/>
        <v/>
      </c>
      <c r="CD68" s="149" t="str">
        <f t="shared" si="12"/>
        <v/>
      </c>
      <c r="CE68" s="149" t="str">
        <f t="shared" si="13"/>
        <v/>
      </c>
      <c r="CF68" s="149" t="str">
        <f>IF(BK68&lt;=0,0,IFERROR(IF(OR(ISBLANK(AC68),ISBLANK(CD68))=TRUE,"",IF(CA68="Per Foot",INDEX('Fixture Codes'!$I$8:$I$976,MATCH(AD68,'Fixture Codes'!$B$8:$B$976,0))/12*AF68*BZ68,IF(CA68="Lamp",INDEX('Fixture Codes'!$J$8:$J$976,MATCH(AD68,'Fixture Codes'!$B$8:$B$976,0))*AF68*BZ68,IF(CA68="Fixture",AF68*BZ68,IF(CA68="kWh",BK68*BZ68,0))))),""))</f>
        <v/>
      </c>
      <c r="CG68" s="149" t="str">
        <f t="shared" si="32"/>
        <v/>
      </c>
      <c r="CH68" s="149" t="str">
        <f t="shared" si="33"/>
        <v/>
      </c>
      <c r="CI68" s="152"/>
      <c r="CJ68" s="146"/>
      <c r="CK68" s="241">
        <f>IFERROR(IF(CL68="Yes",'Prescriptive Rebate Table'!$D$69,IF(ISBLANK(AI68),0,IF(AND(AH68=Lookups!$A$62,BK68&gt;0),'Prescriptive Rebate Table'!$D$68,IF(AND(BK68&gt;0,CJ68=AF68),'Prescriptive Rebate Table'!$D$67,IF(AND(BK68&gt;0,CJ68&lt;&gt;AF68),'Prescriptive Rebate Table'!D127,0))))),"")</f>
        <v>0</v>
      </c>
      <c r="CL68" s="240" t="s">
        <v>2712</v>
      </c>
      <c r="CM68" s="152"/>
      <c r="CN68" s="152"/>
      <c r="CO68" s="152"/>
      <c r="CP68" s="146">
        <f t="shared" si="14"/>
        <v>0</v>
      </c>
      <c r="CQ68" s="153">
        <f>IF(D68="Interior",ROUND(($AG68*AF68)/1000*$AM68*(Lookups!$B$54-$AA68)*$AN68*$AO68,3),0)</f>
        <v>0</v>
      </c>
      <c r="CR68" s="153">
        <f>IFERROR(IF(D68="Interior",ROUND(($AG68*$AF68)/1000*(Lookups!$C$54-$AB68)*$AN68*AQ68*AT68,6),0),"")</f>
        <v>0</v>
      </c>
      <c r="CS68" s="165">
        <f t="shared" si="34"/>
        <v>0</v>
      </c>
      <c r="CT68" s="165">
        <f t="shared" si="35"/>
        <v>0</v>
      </c>
      <c r="CV68" s="153"/>
      <c r="CW68" s="153"/>
      <c r="CX68" s="165"/>
      <c r="CY68" s="165"/>
      <c r="DA68" s="153">
        <f>IF(D68="Interior",ROUND(($AG68*AF68*(1-0.15))/1000*$AM68*(Lookups!$B$43+0.097-$AA68)*$AN68*$AO68+((W68*V68)/1000*AN68*AM68*AO68*0.15),3),0)</f>
        <v>0</v>
      </c>
      <c r="DB68" s="153">
        <f>IFERROR(IF(D68="Interior",ROUND(($AG68*$AF68)/1000*(Lookups!$C$43+0.097-$AB68)*$AN68*AQ68*AT68+(($AG68*$AF68)/1000*$AN68*AQ68*AT68*0.15),6),0),"")</f>
        <v>0</v>
      </c>
      <c r="DC68" s="165">
        <f t="shared" si="38"/>
        <v>0</v>
      </c>
      <c r="DD68" s="165">
        <f t="shared" si="39"/>
        <v>0</v>
      </c>
    </row>
    <row r="69" spans="1:108" s="164" customFormat="1">
      <c r="A69" s="150">
        <v>65</v>
      </c>
      <c r="B69" s="153" t="str">
        <f>IFERROR(INDEX(Lookups!$B$2:$B$38,MATCH('Project Info &amp; Summary'!$C$19,Lookups!$A$2:$A$38,0)),"")</f>
        <v/>
      </c>
      <c r="C69" s="153" t="str">
        <f>IFERROR(INDEX(Lookups!$C$2:$C$38,MATCH('Project Info &amp; Summary'!$C$19,Lookups!$A$2:$A$38,0)),"")</f>
        <v/>
      </c>
      <c r="D69" s="163"/>
      <c r="E69" s="160"/>
      <c r="F69" s="158"/>
      <c r="G69" s="158"/>
      <c r="H69" s="158"/>
      <c r="I69" s="158"/>
      <c r="J69" s="154" t="str">
        <f>IFERROR(INDEX(Lookups!$W$21:$W$26,MATCH(I69,Lookups!$V$21:$V$26,0)),"")</f>
        <v/>
      </c>
      <c r="K69" s="158"/>
      <c r="L69" s="162" t="str">
        <f>IFERROR(INDEX(Lookups!$Y$2:$Y$19,MATCH(_xlfn.CONCAT(I69,K69),Lookups!$X$2:$X$19,0)),"")</f>
        <v/>
      </c>
      <c r="M69" s="158"/>
      <c r="N69" s="153" t="str">
        <f>IFERROR(INDEX('Prescriptive Rebate Table'!$M$3:$M$20,MATCH(M69,'Prescriptive Rebate Table'!$L$3:$L$20,0)),"")</f>
        <v/>
      </c>
      <c r="O69" s="158"/>
      <c r="P69" s="154" t="str">
        <f>IFERROR(INDEX('Prescriptive Rebate Table'!$B$2:$H$64, MATCH(O69,'Prescriptive Rebate Table'!$C$2:$C$64,0),7),"")</f>
        <v/>
      </c>
      <c r="Q69" s="155" t="str">
        <f>IFERROR(INDEX('Prescriptive Rebate Table'!$B$2:$I$64, MATCH(O69,'Prescriptive Rebate Table'!$C$2:$C$64,0),8),"")</f>
        <v/>
      </c>
      <c r="R69" s="155" t="str">
        <f>IFERROR(INDEX('Prescriptive Rebate Table'!$B$2:$J$64, MATCH(O69,'Prescriptive Rebate Table'!$C$2:$C$64,0),9),"")</f>
        <v/>
      </c>
      <c r="S69" s="160"/>
      <c r="T69" s="145" t="str">
        <f>IFERROR(INDEX('Fixture Codes'!$M$8:$M$976,MATCH(S69,'Fixture Codes'!$B$8:$B$976,0)),"")</f>
        <v/>
      </c>
      <c r="U69" s="145" t="str">
        <f>IFERROR(INDEX('Fixture Codes'!$B$7:$M$976,MATCH(T69,'Fixture Codes'!$B$7:$B$976,0),5),"")</f>
        <v/>
      </c>
      <c r="V69" s="160"/>
      <c r="W69" s="145" t="str">
        <f>IFERROR(INDEX('Fixture Codes'!$L$8:$L$976,MATCH(T69,'Fixture Codes'!$B$8:$B$976,0)),"")</f>
        <v/>
      </c>
      <c r="X69" s="158"/>
      <c r="Y69" s="159"/>
      <c r="Z69" s="155" t="str">
        <f>IFERROR(INDEX(Lookups!B$68:B$87,MATCH($X69,Lookups!$A$68:$A$87,0)),"")</f>
        <v/>
      </c>
      <c r="AA69" s="150" t="str">
        <f>IFERROR(INDEX(Lookups!B$42:B$62,MATCH($X69,Lookups!$A$42:$A$62,0)),"")</f>
        <v/>
      </c>
      <c r="AB69" s="150" t="str">
        <f>IFERROR(INDEX(Lookups!C$42:C$62,MATCH($X69,Lookups!$A$42:$A$62,0)),"")</f>
        <v/>
      </c>
      <c r="AC69" s="160"/>
      <c r="AD69" s="160"/>
      <c r="AE69" s="150" t="str">
        <f>IFERROR(INDEX('Fixture Codes'!$B$7:$M$976,MATCH(AD69,'Fixture Codes'!$B$7:$B$976,0),5),"")</f>
        <v/>
      </c>
      <c r="AF69" s="160"/>
      <c r="AG69" s="145" t="str">
        <f>IFERROR(INDEX('Fixture Codes'!$L$8:$L$976,MATCH(AD69,'Fixture Codes'!$B$8:$B$976,0)),"")</f>
        <v/>
      </c>
      <c r="AH69" s="158"/>
      <c r="AI69" s="160"/>
      <c r="AJ69" s="150" t="str">
        <f>IFERROR(INDEX(Lookups!B$68:B$87,MATCH($AH69,Lookups!$A$68:$A$87,0)),"")</f>
        <v/>
      </c>
      <c r="AK69" s="150" t="str">
        <f>IFERROR(INDEX(Lookups!B$42:B$62,MATCH($AH69,Lookups!$A$42:$A$62,0)),"")</f>
        <v/>
      </c>
      <c r="AL69" s="150" t="str">
        <f>IFERROR(INDEX(Lookups!C$42:C$62,MATCH($AH69,Lookups!$A$42:$A$62,0)),"")</f>
        <v/>
      </c>
      <c r="AM69" s="150" t="str">
        <f>IFERROR(IF(M69="Exit Signs",8760,IF(INDEX('Fixture Codes'!$C$8:$C$976,MATCH(AD69,'Fixture Codes'!$B$8:$B$976,0))="Exit Sign",8760,INDEX(Lookups!$I$2:$I$428,MATCH(_xlfn.CONCAT(B69,H69),Lookups!$H$2:$H$428,0)))),"")</f>
        <v/>
      </c>
      <c r="AN69" s="153">
        <v>1</v>
      </c>
      <c r="AO69" s="150" t="str">
        <f>IF($D69="Interior",INDEX(Lookups!Q$2:Q$86,MATCH(_xlfn.CONCAT($C69,$L69),Lookups!$P$2:$P$86,0)),IF($D69="Exterior",1,""))</f>
        <v/>
      </c>
      <c r="AP69" s="150">
        <f t="shared" si="19"/>
        <v>1</v>
      </c>
      <c r="AQ69" s="150" t="str">
        <f>IF($D69="Interior",INDEX(Lookups!R$2:R$86,MATCH(_xlfn.CONCAT($C69,$L69),Lookups!$P$2:$P$86,0)),IF($D69="Exterior",1,""))</f>
        <v/>
      </c>
      <c r="AR69" s="150" t="str">
        <f>IF($D69="Interior",INDEX(Lookups!S$2:S$86,MATCH(_xlfn.CONCAT($C69,$L69),Lookups!$P$2:$P$86,0)),IF($D69="Exterior",1,""))</f>
        <v/>
      </c>
      <c r="AS69" s="150" t="str">
        <f>IF($D69="Interior",INDEX(Lookups!T$2:T$86,MATCH(_xlfn.CONCAT($C69,$L69),Lookups!$P$2:$P$86,0)),IF($D69="Exterior",1,""))</f>
        <v/>
      </c>
      <c r="AT69" s="150" t="str">
        <f>IFERROR(IF(M69="Exit Signs",1,IF(INDEX('Fixture Codes'!$C$8:$C$976,MATCH($AD69,'Fixture Codes'!$B$8:$B$976,0))="Exit Sign",1,INDEX(Lookups!J$2:J$428,MATCH(_xlfn.CONCAT($B69,$H69),Lookups!$H$2:$H$428,0)))),"")</f>
        <v/>
      </c>
      <c r="AU69" s="150" t="str">
        <f>IFERROR(IF(M69="Exit Signs",1,IF(INDEX('Fixture Codes'!$C$8:$C$976,MATCH($AD69,'Fixture Codes'!$B$8:$B$976,0))="Exit Sign",1,INDEX(Lookups!K$2:K$428,MATCH(_xlfn.CONCAT($B69,$H69),Lookups!$H$2:$H$428,0)))),"")</f>
        <v/>
      </c>
      <c r="AV69" s="150" t="str">
        <f>IFERROR(IF(M69="Exit Signs",1,IF(INDEX('Fixture Codes'!$C$8:$C$976,MATCH($AD69,'Fixture Codes'!$B$8:$B$976,0))="Exit Sign",1,INDEX(Lookups!L$2:L$428,MATCH(_xlfn.CONCAT($B69,$H69),Lookups!$H$2:$H$428,0)))),"")</f>
        <v/>
      </c>
      <c r="AW69" s="150" t="str">
        <f>IF(ISBLANK(K69),"",IF(K69="Gas",INDEX(Lookups!$AG$2:$AG$63,MATCH(O69,Lookups!$AD$2:$AD$63,0),0),0))</f>
        <v/>
      </c>
      <c r="AX69" s="150" t="str">
        <f>IF(ISBLANK(K69),"",IF(K69="Gas",INDEX(Lookups!$AF$2:$AF$63,MATCH(O69,Lookups!$AD$2:$AD$63,0),0),0))</f>
        <v/>
      </c>
      <c r="AY69" s="150" t="str">
        <f>IF(ISBLANK(K69),"",IF(K69="Gas",INDEX(Lookups!$AH$2:$AH$63,MATCH(O69,Lookups!$AD$2:$AD$63,0),0),0))</f>
        <v/>
      </c>
      <c r="AZ69" s="150" t="str">
        <f>IF(ISBLANK(K69),"",IF(K69="Gas",INDEX(Lookups!$AI$2:$AI$63,MATCH(O69,Lookups!$AD$2:$AD$63,0),0),0))</f>
        <v/>
      </c>
      <c r="BA69" s="150" t="str">
        <f t="shared" ref="BA69:BA132" si="40">(IF(ISBLANK(M69),"",IF(D69="Interior",IF(K69="Gas",IF(M69="Linear Fluorescents",0.224,1),0))))</f>
        <v/>
      </c>
      <c r="BB69" s="156" t="str">
        <f>IF(ISBLANK(AH69),"",IF(AH69="None",0,IF(K69="Gas",INDEX(Lookups!$AF$51:$AF$69,MATCH(AH69,Lookups!$AD$51:$AD$69,0),0),0)))</f>
        <v/>
      </c>
      <c r="BC69" s="156" t="str">
        <f>IF(ISBLANK(AH69),"",IF(AH69="None",0,IF(K69="Gas",INDEX(Lookups!$AH$51:$AH$69,MATCH(AH69,Lookups!$AD$51:$AD$69,0),0),0)))</f>
        <v/>
      </c>
      <c r="BD69" s="156" t="str">
        <f>IF(ISBLANK(AH69),"",IF(AH69="None",0,IF(K69="Gas",INDEX(Lookups!$AI$51:$AI$69,MATCH(AH69,Lookups!$AD$51:$AD$69,0),0),0)))</f>
        <v/>
      </c>
      <c r="BE69" s="157"/>
      <c r="BF69" s="157"/>
      <c r="BG69" s="147" t="str">
        <f t="shared" si="20"/>
        <v/>
      </c>
      <c r="BH69" s="147" t="str">
        <f t="shared" si="21"/>
        <v/>
      </c>
      <c r="BI69" s="147" t="str">
        <f t="shared" ref="BI69:BI132" si="41">IFERROR(ROUND(($W69*$V69-$AG69*$AF69)/1000*$AN69*AR69*AU69,6),"")</f>
        <v/>
      </c>
      <c r="BJ69" s="147" t="str">
        <f t="shared" ref="BJ69:BJ132" si="42">IFERROR(ROUND(($W69*$V69-$AG69*$AF69)/1000*$AN69*AS69*AV69,6),"")</f>
        <v/>
      </c>
      <c r="BK69" s="148" t="str">
        <f t="shared" si="22"/>
        <v/>
      </c>
      <c r="BL69" s="147" t="str">
        <f t="shared" ref="BL69:BL132" si="43">IF(BK69="","",IFERROR(IF(K69="Gas",(-BK69/AO69)*AX69*AW69*BA69*AY69/AZ69,0),0))</f>
        <v/>
      </c>
      <c r="BM69" s="148" t="str">
        <f t="shared" si="23"/>
        <v/>
      </c>
      <c r="BN69" s="147" t="str">
        <f t="shared" si="24"/>
        <v/>
      </c>
      <c r="BO69" s="147" t="str">
        <f t="shared" si="24"/>
        <v/>
      </c>
      <c r="BP69" s="147" t="str">
        <f t="shared" si="25"/>
        <v/>
      </c>
      <c r="BQ69" s="148" t="str">
        <f t="shared" si="26"/>
        <v/>
      </c>
      <c r="BR69" s="148" t="str">
        <f t="shared" si="27"/>
        <v/>
      </c>
      <c r="BS69" s="148" t="str">
        <f t="shared" si="28"/>
        <v/>
      </c>
      <c r="BT69" s="148" t="str">
        <f t="shared" ref="BT69:BT132" si="44">IF(SUM(BH69,BN69)=0,"",SUM(BH69,BN69))</f>
        <v/>
      </c>
      <c r="BU69" s="148" t="str">
        <f t="shared" ref="BU69:BU132" si="45">IF(SUM(BI69,BO69)=0,"",SUM(BI69,BO69))</f>
        <v/>
      </c>
      <c r="BV69" s="148" t="str">
        <f t="shared" ref="BV69:BV132" si="46">IF(SUM(BJ69,BP69)=0,"",SUM(BJ69,BP69))</f>
        <v/>
      </c>
      <c r="BW69" s="148" t="str">
        <f t="shared" ref="BW69:BW132" si="47">IF(SUM(BK69,BQ69)=0,"",SUM(BK69,BQ69))</f>
        <v/>
      </c>
      <c r="BX69" s="148" t="str">
        <f t="shared" ref="BX69:BX132" si="48">IF(ISBLANK(D69),"",IF(SUM(BL69,BR69)=0,0,SUM(BL69,BR69)))</f>
        <v/>
      </c>
      <c r="BY69" s="148" t="str">
        <f t="shared" ref="BY69:BY132" si="49">IF(ISBLANK(D69),"",IF(SUM(BM69,BS69)=0,0,SUM(BM69,BS69)))</f>
        <v/>
      </c>
      <c r="BZ69" s="149" t="str">
        <f>IFERROR(INDEX('Prescriptive Rebate Table'!$B$2:$E$64,MATCH(O69,'Prescriptive Rebate Table'!$C$2:$C$64,0),3),"")</f>
        <v/>
      </c>
      <c r="CA69" s="145" t="str">
        <f>IFERROR(INDEX('Prescriptive Rebate Table'!$B$2:$E$64,MATCH(O69,'Prescriptive Rebate Table'!$C$2:$C$64,0),4),"")</f>
        <v/>
      </c>
      <c r="CB69" s="149" t="str">
        <f t="shared" si="30"/>
        <v/>
      </c>
      <c r="CC69" s="145" t="str">
        <f t="shared" si="31"/>
        <v/>
      </c>
      <c r="CD69" s="149" t="str">
        <f t="shared" ref="CD69:CD132" si="50">IFERROR(IF(AF69="","",AF69*BE69),"")</f>
        <v/>
      </c>
      <c r="CE69" s="149" t="str">
        <f t="shared" ref="CE69:CE132" si="51">IFERROR(IF(AI69="","",AI69*BF69),"")</f>
        <v/>
      </c>
      <c r="CF69" s="149" t="str">
        <f>IF(BK69&lt;=0,0,IFERROR(IF(OR(ISBLANK(AC69),ISBLANK(CD69))=TRUE,"",IF(CA69="Per Foot",INDEX('Fixture Codes'!$I$8:$I$976,MATCH(AD69,'Fixture Codes'!$B$8:$B$976,0))/12*AF69*BZ69,IF(CA69="Lamp",INDEX('Fixture Codes'!$J$8:$J$976,MATCH(AD69,'Fixture Codes'!$B$8:$B$976,0))*AF69*BZ69,IF(CA69="Fixture",AF69*BZ69,IF(CA69="kWh",BK69*BZ69,0))))),""))</f>
        <v/>
      </c>
      <c r="CG69" s="149" t="str">
        <f t="shared" si="32"/>
        <v/>
      </c>
      <c r="CH69" s="149" t="str">
        <f t="shared" si="33"/>
        <v/>
      </c>
      <c r="CI69" s="152"/>
      <c r="CJ69" s="146"/>
      <c r="CK69" s="241">
        <f>IFERROR(IF(CL69="Yes",'Prescriptive Rebate Table'!$D$69,IF(ISBLANK(AI69),0,IF(AND(AH69=Lookups!$A$62,BK69&gt;0),'Prescriptive Rebate Table'!$D$68,IF(AND(BK69&gt;0,CJ69=AF69),'Prescriptive Rebate Table'!$D$67,IF(AND(BK69&gt;0,CJ69&lt;&gt;AF69),'Prescriptive Rebate Table'!D128,0))))),"")</f>
        <v>0</v>
      </c>
      <c r="CL69" s="240" t="s">
        <v>2712</v>
      </c>
      <c r="CM69" s="152"/>
      <c r="CN69" s="152"/>
      <c r="CO69" s="152"/>
      <c r="CP69" s="146">
        <f t="shared" ref="CP69:CP132" si="52">IF(D69="Interior",ROUNDUP($AF69/2,0),0)</f>
        <v>0</v>
      </c>
      <c r="CQ69" s="153">
        <f>IF(D69="Interior",ROUND(($AG69*AF69)/1000*$AM69*(Lookups!$B$54-$AA69)*$AN69*$AO69,3),0)</f>
        <v>0</v>
      </c>
      <c r="CR69" s="153">
        <f>IFERROR(IF(D69="Interior",ROUND(($AG69*$AF69)/1000*(Lookups!$C$54-$AB69)*$AN69*AQ69*AT69,6),0),"")</f>
        <v>0</v>
      </c>
      <c r="CS69" s="165">
        <f t="shared" si="34"/>
        <v>0</v>
      </c>
      <c r="CT69" s="165">
        <f t="shared" si="35"/>
        <v>0</v>
      </c>
      <c r="CV69" s="153"/>
      <c r="CW69" s="153"/>
      <c r="CX69" s="165"/>
      <c r="CY69" s="165"/>
      <c r="DA69" s="153">
        <f>IF(D69="Interior",ROUND(($AG69*AF69*(1-0.15))/1000*$AM69*(Lookups!$B$43+0.097-$AA69)*$AN69*$AO69+((W69*V69)/1000*AN69*AM69*AO69*0.15),3),0)</f>
        <v>0</v>
      </c>
      <c r="DB69" s="153">
        <f>IFERROR(IF(D69="Interior",ROUND(($AG69*$AF69)/1000*(Lookups!$C$43+0.097-$AB69)*$AN69*AQ69*AT69+(($AG69*$AF69)/1000*$AN69*AQ69*AT69*0.15),6),0),"")</f>
        <v>0</v>
      </c>
      <c r="DC69" s="165">
        <f t="shared" ref="DC69:DC100" si="53">IFERROR(IF(D69="Interior",IF(AF69*AG69&gt;200,AF69*AG69*0.6,AF69*50),0),0)</f>
        <v>0</v>
      </c>
      <c r="DD69" s="165">
        <f t="shared" ref="DD69:DD100" si="54">IF(D69="Interior",AF69*49,0)</f>
        <v>0</v>
      </c>
    </row>
    <row r="70" spans="1:108" s="164" customFormat="1">
      <c r="A70" s="150">
        <v>66</v>
      </c>
      <c r="B70" s="153" t="str">
        <f>IFERROR(INDEX(Lookups!$B$2:$B$38,MATCH('Project Info &amp; Summary'!$C$19,Lookups!$A$2:$A$38,0)),"")</f>
        <v/>
      </c>
      <c r="C70" s="153" t="str">
        <f>IFERROR(INDEX(Lookups!$C$2:$C$38,MATCH('Project Info &amp; Summary'!$C$19,Lookups!$A$2:$A$38,0)),"")</f>
        <v/>
      </c>
      <c r="D70" s="163"/>
      <c r="E70" s="160"/>
      <c r="F70" s="158"/>
      <c r="G70" s="158"/>
      <c r="H70" s="158"/>
      <c r="I70" s="158"/>
      <c r="J70" s="154" t="str">
        <f>IFERROR(INDEX(Lookups!$W$21:$W$26,MATCH(I70,Lookups!$V$21:$V$26,0)),"")</f>
        <v/>
      </c>
      <c r="K70" s="158"/>
      <c r="L70" s="162" t="str">
        <f>IFERROR(INDEX(Lookups!$Y$2:$Y$19,MATCH(_xlfn.CONCAT(I70,K70),Lookups!$X$2:$X$19,0)),"")</f>
        <v/>
      </c>
      <c r="M70" s="158"/>
      <c r="N70" s="153" t="str">
        <f>IFERROR(INDEX('Prescriptive Rebate Table'!$M$3:$M$20,MATCH(M70,'Prescriptive Rebate Table'!$L$3:$L$20,0)),"")</f>
        <v/>
      </c>
      <c r="O70" s="158"/>
      <c r="P70" s="154" t="str">
        <f>IFERROR(INDEX('Prescriptive Rebate Table'!$B$2:$H$64, MATCH(O70,'Prescriptive Rebate Table'!$C$2:$C$64,0),7),"")</f>
        <v/>
      </c>
      <c r="Q70" s="155" t="str">
        <f>IFERROR(INDEX('Prescriptive Rebate Table'!$B$2:$I$64, MATCH(O70,'Prescriptive Rebate Table'!$C$2:$C$64,0),8),"")</f>
        <v/>
      </c>
      <c r="R70" s="155" t="str">
        <f>IFERROR(INDEX('Prescriptive Rebate Table'!$B$2:$J$64, MATCH(O70,'Prescriptive Rebate Table'!$C$2:$C$64,0),9),"")</f>
        <v/>
      </c>
      <c r="S70" s="160"/>
      <c r="T70" s="145" t="str">
        <f>IFERROR(INDEX('Fixture Codes'!$M$8:$M$976,MATCH(S70,'Fixture Codes'!$B$8:$B$976,0)),"")</f>
        <v/>
      </c>
      <c r="U70" s="145" t="str">
        <f>IFERROR(INDEX('Fixture Codes'!$B$7:$M$976,MATCH(T70,'Fixture Codes'!$B$7:$B$976,0),5),"")</f>
        <v/>
      </c>
      <c r="V70" s="160"/>
      <c r="W70" s="145" t="str">
        <f>IFERROR(INDEX('Fixture Codes'!$L$8:$L$976,MATCH(T70,'Fixture Codes'!$B$8:$B$976,0)),"")</f>
        <v/>
      </c>
      <c r="X70" s="158"/>
      <c r="Y70" s="159"/>
      <c r="Z70" s="155" t="str">
        <f>IFERROR(INDEX(Lookups!B$68:B$87,MATCH($X70,Lookups!$A$68:$A$87,0)),"")</f>
        <v/>
      </c>
      <c r="AA70" s="150" t="str">
        <f>IFERROR(INDEX(Lookups!B$42:B$62,MATCH($X70,Lookups!$A$42:$A$62,0)),"")</f>
        <v/>
      </c>
      <c r="AB70" s="150" t="str">
        <f>IFERROR(INDEX(Lookups!C$42:C$62,MATCH($X70,Lookups!$A$42:$A$62,0)),"")</f>
        <v/>
      </c>
      <c r="AC70" s="160"/>
      <c r="AD70" s="160"/>
      <c r="AE70" s="150" t="str">
        <f>IFERROR(INDEX('Fixture Codes'!$B$7:$M$976,MATCH(AD70,'Fixture Codes'!$B$7:$B$976,0),5),"")</f>
        <v/>
      </c>
      <c r="AF70" s="160"/>
      <c r="AG70" s="145" t="str">
        <f>IFERROR(INDEX('Fixture Codes'!$L$8:$L$976,MATCH(AD70,'Fixture Codes'!$B$8:$B$976,0)),"")</f>
        <v/>
      </c>
      <c r="AH70" s="158"/>
      <c r="AI70" s="160"/>
      <c r="AJ70" s="150" t="str">
        <f>IFERROR(INDEX(Lookups!B$68:B$87,MATCH($AH70,Lookups!$A$68:$A$87,0)),"")</f>
        <v/>
      </c>
      <c r="AK70" s="150" t="str">
        <f>IFERROR(INDEX(Lookups!B$42:B$62,MATCH($AH70,Lookups!$A$42:$A$62,0)),"")</f>
        <v/>
      </c>
      <c r="AL70" s="150" t="str">
        <f>IFERROR(INDEX(Lookups!C$42:C$62,MATCH($AH70,Lookups!$A$42:$A$62,0)),"")</f>
        <v/>
      </c>
      <c r="AM70" s="150" t="str">
        <f>IFERROR(IF(M70="Exit Signs",8760,IF(INDEX('Fixture Codes'!$C$8:$C$976,MATCH(AD70,'Fixture Codes'!$B$8:$B$976,0))="Exit Sign",8760,INDEX(Lookups!$I$2:$I$428,MATCH(_xlfn.CONCAT(B70,H70),Lookups!$H$2:$H$428,0)))),"")</f>
        <v/>
      </c>
      <c r="AN70" s="153">
        <v>1</v>
      </c>
      <c r="AO70" s="150" t="str">
        <f>IF($D70="Interior",INDEX(Lookups!Q$2:Q$86,MATCH(_xlfn.CONCAT($C70,$L70),Lookups!$P$2:$P$86,0)),IF($D70="Exterior",1,""))</f>
        <v/>
      </c>
      <c r="AP70" s="150">
        <f t="shared" ref="AP70:AP133" si="55">IF(OR(O70="LED A lamp",O70="LED BR/R lamp",O70= "LED MR lamp",O70= "LED PAR lamp - PAR20",O70= "LED PAR lamp - PAR30 &amp; PAR38"),0.2,IF(O70="LED Decorative or Globe lamp",0.1,1))</f>
        <v>1</v>
      </c>
      <c r="AQ70" s="150" t="str">
        <f>IF($D70="Interior",INDEX(Lookups!R$2:R$86,MATCH(_xlfn.CONCAT($C70,$L70),Lookups!$P$2:$P$86,0)),IF($D70="Exterior",1,""))</f>
        <v/>
      </c>
      <c r="AR70" s="150" t="str">
        <f>IF($D70="Interior",INDEX(Lookups!S$2:S$86,MATCH(_xlfn.CONCAT($C70,$L70),Lookups!$P$2:$P$86,0)),IF($D70="Exterior",1,""))</f>
        <v/>
      </c>
      <c r="AS70" s="150" t="str">
        <f>IF($D70="Interior",INDEX(Lookups!T$2:T$86,MATCH(_xlfn.CONCAT($C70,$L70),Lookups!$P$2:$P$86,0)),IF($D70="Exterior",1,""))</f>
        <v/>
      </c>
      <c r="AT70" s="150" t="str">
        <f>IFERROR(IF(M70="Exit Signs",1,IF(INDEX('Fixture Codes'!$C$8:$C$976,MATCH($AD70,'Fixture Codes'!$B$8:$B$976,0))="Exit Sign",1,INDEX(Lookups!J$2:J$428,MATCH(_xlfn.CONCAT($B70,$H70),Lookups!$H$2:$H$428,0)))),"")</f>
        <v/>
      </c>
      <c r="AU70" s="150" t="str">
        <f>IFERROR(IF(M70="Exit Signs",1,IF(INDEX('Fixture Codes'!$C$8:$C$976,MATCH($AD70,'Fixture Codes'!$B$8:$B$976,0))="Exit Sign",1,INDEX(Lookups!K$2:K$428,MATCH(_xlfn.CONCAT($B70,$H70),Lookups!$H$2:$H$428,0)))),"")</f>
        <v/>
      </c>
      <c r="AV70" s="150" t="str">
        <f>IFERROR(IF(M70="Exit Signs",1,IF(INDEX('Fixture Codes'!$C$8:$C$976,MATCH($AD70,'Fixture Codes'!$B$8:$B$976,0))="Exit Sign",1,INDEX(Lookups!L$2:L$428,MATCH(_xlfn.CONCAT($B70,$H70),Lookups!$H$2:$H$428,0)))),"")</f>
        <v/>
      </c>
      <c r="AW70" s="150" t="str">
        <f>IF(ISBLANK(K70),"",IF(K70="Gas",INDEX(Lookups!$AG$2:$AG$63,MATCH(O70,Lookups!$AD$2:$AD$63,0),0),0))</f>
        <v/>
      </c>
      <c r="AX70" s="150" t="str">
        <f>IF(ISBLANK(K70),"",IF(K70="Gas",INDEX(Lookups!$AF$2:$AF$63,MATCH(O70,Lookups!$AD$2:$AD$63,0),0),0))</f>
        <v/>
      </c>
      <c r="AY70" s="150" t="str">
        <f>IF(ISBLANK(K70),"",IF(K70="Gas",INDEX(Lookups!$AH$2:$AH$63,MATCH(O70,Lookups!$AD$2:$AD$63,0),0),0))</f>
        <v/>
      </c>
      <c r="AZ70" s="150" t="str">
        <f>IF(ISBLANK(K70),"",IF(K70="Gas",INDEX(Lookups!$AI$2:$AI$63,MATCH(O70,Lookups!$AD$2:$AD$63,0),0),0))</f>
        <v/>
      </c>
      <c r="BA70" s="150" t="str">
        <f t="shared" si="40"/>
        <v/>
      </c>
      <c r="BB70" s="156" t="str">
        <f>IF(ISBLANK(AH70),"",IF(AH70="None",0,IF(K70="Gas",INDEX(Lookups!$AF$51:$AF$69,MATCH(AH70,Lookups!$AD$51:$AD$69,0),0),0)))</f>
        <v/>
      </c>
      <c r="BC70" s="156" t="str">
        <f>IF(ISBLANK(AH70),"",IF(AH70="None",0,IF(K70="Gas",INDEX(Lookups!$AH$51:$AH$69,MATCH(AH70,Lookups!$AD$51:$AD$69,0),0),0)))</f>
        <v/>
      </c>
      <c r="BD70" s="156" t="str">
        <f>IF(ISBLANK(AH70),"",IF(AH70="None",0,IF(K70="Gas",INDEX(Lookups!$AI$51:$AI$69,MATCH(AH70,Lookups!$AD$51:$AD$69,0),0),0)))</f>
        <v/>
      </c>
      <c r="BE70" s="157"/>
      <c r="BF70" s="157"/>
      <c r="BG70" s="147" t="str">
        <f t="shared" ref="BG70:BG133" si="56">IFERROR(-(AF70*AG70-V70*W70)/1000,"")</f>
        <v/>
      </c>
      <c r="BH70" s="147" t="str">
        <f t="shared" ref="BH70:BH133" si="57">IFERROR(AP70*($W70*$V70-$AG70*$AF70)/1000*$AN70*AQ70*AT70,"")</f>
        <v/>
      </c>
      <c r="BI70" s="147" t="str">
        <f t="shared" si="41"/>
        <v/>
      </c>
      <c r="BJ70" s="147" t="str">
        <f t="shared" si="42"/>
        <v/>
      </c>
      <c r="BK70" s="148" t="str">
        <f t="shared" ref="BK70:BK133" si="58">IFERROR(ROUND(AP70*(W70*V70-AG70*AF70)/1000*AN70*AM70*AO70,3),"")</f>
        <v/>
      </c>
      <c r="BL70" s="147" t="str">
        <f t="shared" si="43"/>
        <v/>
      </c>
      <c r="BM70" s="148" t="str">
        <f t="shared" ref="BM70:BM133" si="59">IF(BL70="","",BL70*10)</f>
        <v/>
      </c>
      <c r="BN70" s="147" t="str">
        <f t="shared" ref="BN70:BO133" si="60">IFERROR(IF($AA70=$AK70,"",ROUND(($AG70*$AF70)/1000*($AL70-$AB70)*$AN70*AQ70*AT70,6)),"")</f>
        <v/>
      </c>
      <c r="BO70" s="147" t="str">
        <f t="shared" si="60"/>
        <v/>
      </c>
      <c r="BP70" s="147" t="str">
        <f t="shared" ref="BP70:BP133" si="61">IFERROR(IF($AA70=$AK70,"",ROUND(($AG70*$AF70)/1000*($AL70-$AB70)*$AN70*AS70*AV70,6)),"")</f>
        <v/>
      </c>
      <c r="BQ70" s="148" t="str">
        <f t="shared" ref="BQ70:BQ133" si="62">IFERROR(IF(AA70=AK70,"",ROUND((AG70*AF70)/1000*AM70*(AK70-AA70)*AN70*AO70,3)),"")</f>
        <v/>
      </c>
      <c r="BR70" s="148" t="str">
        <f t="shared" ref="BR70:BR133" si="63">IF(BQ70="","",IF(K70="Gas",(-BQ70/AO70)*BB70*AW70*BC70/BD70,0))</f>
        <v/>
      </c>
      <c r="BS70" s="148" t="str">
        <f t="shared" ref="BS70:BS133" si="64">IF(BR70="","",BR70*10)</f>
        <v/>
      </c>
      <c r="BT70" s="148" t="str">
        <f t="shared" si="44"/>
        <v/>
      </c>
      <c r="BU70" s="148" t="str">
        <f t="shared" si="45"/>
        <v/>
      </c>
      <c r="BV70" s="148" t="str">
        <f t="shared" si="46"/>
        <v/>
      </c>
      <c r="BW70" s="148" t="str">
        <f t="shared" si="47"/>
        <v/>
      </c>
      <c r="BX70" s="148" t="str">
        <f t="shared" si="48"/>
        <v/>
      </c>
      <c r="BY70" s="148" t="str">
        <f t="shared" si="49"/>
        <v/>
      </c>
      <c r="BZ70" s="149" t="str">
        <f>IFERROR(INDEX('Prescriptive Rebate Table'!$B$2:$E$64,MATCH(O70,'Prescriptive Rebate Table'!$C$2:$C$64,0),3),"")</f>
        <v/>
      </c>
      <c r="CA70" s="145" t="str">
        <f>IFERROR(INDEX('Prescriptive Rebate Table'!$B$2:$E$64,MATCH(O70,'Prescriptive Rebate Table'!$C$2:$C$64,0),4),"")</f>
        <v/>
      </c>
      <c r="CB70" s="149" t="str">
        <f t="shared" ref="CB70:CB133" si="65">IFERROR(IF(OR(AI70="",AH70=X70),"",CK70),"")</f>
        <v/>
      </c>
      <c r="CC70" s="145" t="str">
        <f t="shared" ref="CC70:CC133" si="66">IF(CB70="","","/kWh")</f>
        <v/>
      </c>
      <c r="CD70" s="149" t="str">
        <f t="shared" si="50"/>
        <v/>
      </c>
      <c r="CE70" s="149" t="str">
        <f t="shared" si="51"/>
        <v/>
      </c>
      <c r="CF70" s="149" t="str">
        <f>IF(BK70&lt;=0,0,IFERROR(IF(OR(ISBLANK(AC70),ISBLANK(CD70))=TRUE,"",IF(CA70="Per Foot",INDEX('Fixture Codes'!$I$8:$I$976,MATCH(AD70,'Fixture Codes'!$B$8:$B$976,0))/12*AF70*BZ70,IF(CA70="Lamp",INDEX('Fixture Codes'!$J$8:$J$976,MATCH(AD70,'Fixture Codes'!$B$8:$B$976,0))*AF70*BZ70,IF(CA70="Fixture",AF70*BZ70,IF(CA70="kWh",BK70*BZ70,0))))),""))</f>
        <v/>
      </c>
      <c r="CG70" s="149" t="str">
        <f t="shared" ref="CG70:CG133" si="67">IF(BQ70&lt;=0,0,IFERROR(IF(OR(ISBLANK(AC70),ISBLANK(CE70))=TRUE,"",IF(CC70="Control",AI70*CB70,IF(CC70="/kWh",CB70*BQ70,IF(CC70="Fixture",AF70*CB70,IF(CC70="Per Watt",AG70*AF70*CB70,0))))),""))</f>
        <v/>
      </c>
      <c r="CH70" s="149" t="str">
        <f t="shared" ref="CH70:CH133" si="68">IF(SUM(CF70,CG70)=0,"",SUM(CF70,CG70))</f>
        <v/>
      </c>
      <c r="CI70" s="152"/>
      <c r="CJ70" s="146"/>
      <c r="CK70" s="241">
        <f>IFERROR(IF(CL70="Yes",'Prescriptive Rebate Table'!$D$69,IF(ISBLANK(AI70),0,IF(AND(AH70=Lookups!$A$62,BK70&gt;0),'Prescriptive Rebate Table'!$D$68,IF(AND(BK70&gt;0,CJ70=AF70),'Prescriptive Rebate Table'!$D$67,IF(AND(BK70&gt;0,CJ70&lt;&gt;AF70),'Prescriptive Rebate Table'!D129,0))))),"")</f>
        <v>0</v>
      </c>
      <c r="CL70" s="240" t="s">
        <v>2712</v>
      </c>
      <c r="CM70" s="152"/>
      <c r="CN70" s="152"/>
      <c r="CO70" s="152"/>
      <c r="CP70" s="146">
        <f t="shared" si="52"/>
        <v>0</v>
      </c>
      <c r="CQ70" s="153">
        <f>IF(D70="Interior",ROUND(($AG70*AF70)/1000*$AM70*(Lookups!$B$54-$AA70)*$AN70*$AO70,3),0)</f>
        <v>0</v>
      </c>
      <c r="CR70" s="153">
        <f>IFERROR(IF(D70="Interior",ROUND(($AG70*$AF70)/1000*(Lookups!$C$54-$AB70)*$AN70*AQ70*AT70,6),0),"")</f>
        <v>0</v>
      </c>
      <c r="CS70" s="165">
        <f t="shared" ref="CS70:CS133" si="69">$CP70*30</f>
        <v>0</v>
      </c>
      <c r="CT70" s="165">
        <f t="shared" ref="CT70:CT133" si="70">$CP70*36</f>
        <v>0</v>
      </c>
      <c r="CV70" s="153"/>
      <c r="CW70" s="153"/>
      <c r="CX70" s="165"/>
      <c r="CY70" s="165"/>
      <c r="DA70" s="153">
        <f>IF(D70="Interior",ROUND(($AG70*AF70*(1-0.15))/1000*$AM70*(Lookups!$B$43+0.097-$AA70)*$AN70*$AO70+((W70*V70)/1000*AN70*AM70*AO70*0.15),3),0)</f>
        <v>0</v>
      </c>
      <c r="DB70" s="153">
        <f>IFERROR(IF(D70="Interior",ROUND(($AG70*$AF70)/1000*(Lookups!$C$43+0.097-$AB70)*$AN70*AQ70*AT70+(($AG70*$AF70)/1000*$AN70*AQ70*AT70*0.15),6),0),"")</f>
        <v>0</v>
      </c>
      <c r="DC70" s="165">
        <f t="shared" si="53"/>
        <v>0</v>
      </c>
      <c r="DD70" s="165">
        <f t="shared" si="54"/>
        <v>0</v>
      </c>
    </row>
    <row r="71" spans="1:108" s="164" customFormat="1">
      <c r="A71" s="150">
        <v>67</v>
      </c>
      <c r="B71" s="153" t="str">
        <f>IFERROR(INDEX(Lookups!$B$2:$B$38,MATCH('Project Info &amp; Summary'!$C$19,Lookups!$A$2:$A$38,0)),"")</f>
        <v/>
      </c>
      <c r="C71" s="153" t="str">
        <f>IFERROR(INDEX(Lookups!$C$2:$C$38,MATCH('Project Info &amp; Summary'!$C$19,Lookups!$A$2:$A$38,0)),"")</f>
        <v/>
      </c>
      <c r="D71" s="163"/>
      <c r="E71" s="160"/>
      <c r="F71" s="158"/>
      <c r="G71" s="158"/>
      <c r="H71" s="158"/>
      <c r="I71" s="158"/>
      <c r="J71" s="154" t="str">
        <f>IFERROR(INDEX(Lookups!$W$21:$W$26,MATCH(I71,Lookups!$V$21:$V$26,0)),"")</f>
        <v/>
      </c>
      <c r="K71" s="158"/>
      <c r="L71" s="162" t="str">
        <f>IFERROR(INDEX(Lookups!$Y$2:$Y$19,MATCH(_xlfn.CONCAT(I71,K71),Lookups!$X$2:$X$19,0)),"")</f>
        <v/>
      </c>
      <c r="M71" s="158"/>
      <c r="N71" s="153" t="str">
        <f>IFERROR(INDEX('Prescriptive Rebate Table'!$M$3:$M$20,MATCH(M71,'Prescriptive Rebate Table'!$L$3:$L$20,0)),"")</f>
        <v/>
      </c>
      <c r="O71" s="158"/>
      <c r="P71" s="154" t="str">
        <f>IFERROR(INDEX('Prescriptive Rebate Table'!$B$2:$H$64, MATCH(O71,'Prescriptive Rebate Table'!$C$2:$C$64,0),7),"")</f>
        <v/>
      </c>
      <c r="Q71" s="155" t="str">
        <f>IFERROR(INDEX('Prescriptive Rebate Table'!$B$2:$I$64, MATCH(O71,'Prescriptive Rebate Table'!$C$2:$C$64,0),8),"")</f>
        <v/>
      </c>
      <c r="R71" s="155" t="str">
        <f>IFERROR(INDEX('Prescriptive Rebate Table'!$B$2:$J$64, MATCH(O71,'Prescriptive Rebate Table'!$C$2:$C$64,0),9),"")</f>
        <v/>
      </c>
      <c r="S71" s="160"/>
      <c r="T71" s="145" t="str">
        <f>IFERROR(INDEX('Fixture Codes'!$M$8:$M$976,MATCH(S71,'Fixture Codes'!$B$8:$B$976,0)),"")</f>
        <v/>
      </c>
      <c r="U71" s="145" t="str">
        <f>IFERROR(INDEX('Fixture Codes'!$B$7:$M$976,MATCH(T71,'Fixture Codes'!$B$7:$B$976,0),5),"")</f>
        <v/>
      </c>
      <c r="V71" s="160"/>
      <c r="W71" s="145" t="str">
        <f>IFERROR(INDEX('Fixture Codes'!$L$8:$L$976,MATCH(T71,'Fixture Codes'!$B$8:$B$976,0)),"")</f>
        <v/>
      </c>
      <c r="X71" s="158"/>
      <c r="Y71" s="159"/>
      <c r="Z71" s="155" t="str">
        <f>IFERROR(INDEX(Lookups!B$68:B$87,MATCH($X71,Lookups!$A$68:$A$87,0)),"")</f>
        <v/>
      </c>
      <c r="AA71" s="150" t="str">
        <f>IFERROR(INDEX(Lookups!B$42:B$62,MATCH($X71,Lookups!$A$42:$A$62,0)),"")</f>
        <v/>
      </c>
      <c r="AB71" s="150" t="str">
        <f>IFERROR(INDEX(Lookups!C$42:C$62,MATCH($X71,Lookups!$A$42:$A$62,0)),"")</f>
        <v/>
      </c>
      <c r="AC71" s="160"/>
      <c r="AD71" s="160"/>
      <c r="AE71" s="150" t="str">
        <f>IFERROR(INDEX('Fixture Codes'!$B$7:$M$976,MATCH(AD71,'Fixture Codes'!$B$7:$B$976,0),5),"")</f>
        <v/>
      </c>
      <c r="AF71" s="160"/>
      <c r="AG71" s="145" t="str">
        <f>IFERROR(INDEX('Fixture Codes'!$L$8:$L$976,MATCH(AD71,'Fixture Codes'!$B$8:$B$976,0)),"")</f>
        <v/>
      </c>
      <c r="AH71" s="158"/>
      <c r="AI71" s="160"/>
      <c r="AJ71" s="150" t="str">
        <f>IFERROR(INDEX(Lookups!B$68:B$87,MATCH($AH71,Lookups!$A$68:$A$87,0)),"")</f>
        <v/>
      </c>
      <c r="AK71" s="150" t="str">
        <f>IFERROR(INDEX(Lookups!B$42:B$62,MATCH($AH71,Lookups!$A$42:$A$62,0)),"")</f>
        <v/>
      </c>
      <c r="AL71" s="150" t="str">
        <f>IFERROR(INDEX(Lookups!C$42:C$62,MATCH($AH71,Lookups!$A$42:$A$62,0)),"")</f>
        <v/>
      </c>
      <c r="AM71" s="150" t="str">
        <f>IFERROR(IF(M71="Exit Signs",8760,IF(INDEX('Fixture Codes'!$C$8:$C$976,MATCH(AD71,'Fixture Codes'!$B$8:$B$976,0))="Exit Sign",8760,INDEX(Lookups!$I$2:$I$428,MATCH(_xlfn.CONCAT(B71,H71),Lookups!$H$2:$H$428,0)))),"")</f>
        <v/>
      </c>
      <c r="AN71" s="153">
        <v>1</v>
      </c>
      <c r="AO71" s="150" t="str">
        <f>IF($D71="Interior",INDEX(Lookups!Q$2:Q$86,MATCH(_xlfn.CONCAT($C71,$L71),Lookups!$P$2:$P$86,0)),IF($D71="Exterior",1,""))</f>
        <v/>
      </c>
      <c r="AP71" s="150">
        <f t="shared" si="55"/>
        <v>1</v>
      </c>
      <c r="AQ71" s="150" t="str">
        <f>IF($D71="Interior",INDEX(Lookups!R$2:R$86,MATCH(_xlfn.CONCAT($C71,$L71),Lookups!$P$2:$P$86,0)),IF($D71="Exterior",1,""))</f>
        <v/>
      </c>
      <c r="AR71" s="150" t="str">
        <f>IF($D71="Interior",INDEX(Lookups!S$2:S$86,MATCH(_xlfn.CONCAT($C71,$L71),Lookups!$P$2:$P$86,0)),IF($D71="Exterior",1,""))</f>
        <v/>
      </c>
      <c r="AS71" s="150" t="str">
        <f>IF($D71="Interior",INDEX(Lookups!T$2:T$86,MATCH(_xlfn.CONCAT($C71,$L71),Lookups!$P$2:$P$86,0)),IF($D71="Exterior",1,""))</f>
        <v/>
      </c>
      <c r="AT71" s="150" t="str">
        <f>IFERROR(IF(M71="Exit Signs",1,IF(INDEX('Fixture Codes'!$C$8:$C$976,MATCH($AD71,'Fixture Codes'!$B$8:$B$976,0))="Exit Sign",1,INDEX(Lookups!J$2:J$428,MATCH(_xlfn.CONCAT($B71,$H71),Lookups!$H$2:$H$428,0)))),"")</f>
        <v/>
      </c>
      <c r="AU71" s="150" t="str">
        <f>IFERROR(IF(M71="Exit Signs",1,IF(INDEX('Fixture Codes'!$C$8:$C$976,MATCH($AD71,'Fixture Codes'!$B$8:$B$976,0))="Exit Sign",1,INDEX(Lookups!K$2:K$428,MATCH(_xlfn.CONCAT($B71,$H71),Lookups!$H$2:$H$428,0)))),"")</f>
        <v/>
      </c>
      <c r="AV71" s="150" t="str">
        <f>IFERROR(IF(M71="Exit Signs",1,IF(INDEX('Fixture Codes'!$C$8:$C$976,MATCH($AD71,'Fixture Codes'!$B$8:$B$976,0))="Exit Sign",1,INDEX(Lookups!L$2:L$428,MATCH(_xlfn.CONCAT($B71,$H71),Lookups!$H$2:$H$428,0)))),"")</f>
        <v/>
      </c>
      <c r="AW71" s="150" t="str">
        <f>IF(ISBLANK(K71),"",IF(K71="Gas",INDEX(Lookups!$AG$2:$AG$63,MATCH(O71,Lookups!$AD$2:$AD$63,0),0),0))</f>
        <v/>
      </c>
      <c r="AX71" s="150" t="str">
        <f>IF(ISBLANK(K71),"",IF(K71="Gas",INDEX(Lookups!$AF$2:$AF$63,MATCH(O71,Lookups!$AD$2:$AD$63,0),0),0))</f>
        <v/>
      </c>
      <c r="AY71" s="150" t="str">
        <f>IF(ISBLANK(K71),"",IF(K71="Gas",INDEX(Lookups!$AH$2:$AH$63,MATCH(O71,Lookups!$AD$2:$AD$63,0),0),0))</f>
        <v/>
      </c>
      <c r="AZ71" s="150" t="str">
        <f>IF(ISBLANK(K71),"",IF(K71="Gas",INDEX(Lookups!$AI$2:$AI$63,MATCH(O71,Lookups!$AD$2:$AD$63,0),0),0))</f>
        <v/>
      </c>
      <c r="BA71" s="150" t="str">
        <f t="shared" si="40"/>
        <v/>
      </c>
      <c r="BB71" s="156" t="str">
        <f>IF(ISBLANK(AH71),"",IF(AH71="None",0,IF(K71="Gas",INDEX(Lookups!$AF$51:$AF$69,MATCH(AH71,Lookups!$AD$51:$AD$69,0),0),0)))</f>
        <v/>
      </c>
      <c r="BC71" s="156" t="str">
        <f>IF(ISBLANK(AH71),"",IF(AH71="None",0,IF(K71="Gas",INDEX(Lookups!$AH$51:$AH$69,MATCH(AH71,Lookups!$AD$51:$AD$69,0),0),0)))</f>
        <v/>
      </c>
      <c r="BD71" s="156" t="str">
        <f>IF(ISBLANK(AH71),"",IF(AH71="None",0,IF(K71="Gas",INDEX(Lookups!$AI$51:$AI$69,MATCH(AH71,Lookups!$AD$51:$AD$69,0),0),0)))</f>
        <v/>
      </c>
      <c r="BE71" s="157"/>
      <c r="BF71" s="157"/>
      <c r="BG71" s="147" t="str">
        <f t="shared" si="56"/>
        <v/>
      </c>
      <c r="BH71" s="147" t="str">
        <f t="shared" si="57"/>
        <v/>
      </c>
      <c r="BI71" s="147" t="str">
        <f t="shared" si="41"/>
        <v/>
      </c>
      <c r="BJ71" s="147" t="str">
        <f t="shared" si="42"/>
        <v/>
      </c>
      <c r="BK71" s="148" t="str">
        <f t="shared" si="58"/>
        <v/>
      </c>
      <c r="BL71" s="147" t="str">
        <f t="shared" si="43"/>
        <v/>
      </c>
      <c r="BM71" s="148" t="str">
        <f t="shared" si="59"/>
        <v/>
      </c>
      <c r="BN71" s="147" t="str">
        <f t="shared" si="60"/>
        <v/>
      </c>
      <c r="BO71" s="147" t="str">
        <f t="shared" si="60"/>
        <v/>
      </c>
      <c r="BP71" s="147" t="str">
        <f t="shared" si="61"/>
        <v/>
      </c>
      <c r="BQ71" s="148" t="str">
        <f t="shared" si="62"/>
        <v/>
      </c>
      <c r="BR71" s="148" t="str">
        <f t="shared" si="63"/>
        <v/>
      </c>
      <c r="BS71" s="148" t="str">
        <f t="shared" si="64"/>
        <v/>
      </c>
      <c r="BT71" s="148" t="str">
        <f t="shared" si="44"/>
        <v/>
      </c>
      <c r="BU71" s="148" t="str">
        <f t="shared" si="45"/>
        <v/>
      </c>
      <c r="BV71" s="148" t="str">
        <f t="shared" si="46"/>
        <v/>
      </c>
      <c r="BW71" s="148" t="str">
        <f t="shared" si="47"/>
        <v/>
      </c>
      <c r="BX71" s="148" t="str">
        <f t="shared" si="48"/>
        <v/>
      </c>
      <c r="BY71" s="148" t="str">
        <f t="shared" si="49"/>
        <v/>
      </c>
      <c r="BZ71" s="149" t="str">
        <f>IFERROR(INDEX('Prescriptive Rebate Table'!$B$2:$E$64,MATCH(O71,'Prescriptive Rebate Table'!$C$2:$C$64,0),3),"")</f>
        <v/>
      </c>
      <c r="CA71" s="145" t="str">
        <f>IFERROR(INDEX('Prescriptive Rebate Table'!$B$2:$E$64,MATCH(O71,'Prescriptive Rebate Table'!$C$2:$C$64,0),4),"")</f>
        <v/>
      </c>
      <c r="CB71" s="149" t="str">
        <f t="shared" si="65"/>
        <v/>
      </c>
      <c r="CC71" s="145" t="str">
        <f t="shared" si="66"/>
        <v/>
      </c>
      <c r="CD71" s="149" t="str">
        <f t="shared" si="50"/>
        <v/>
      </c>
      <c r="CE71" s="149" t="str">
        <f t="shared" si="51"/>
        <v/>
      </c>
      <c r="CF71" s="149" t="str">
        <f>IF(BK71&lt;=0,0,IFERROR(IF(OR(ISBLANK(AC71),ISBLANK(CD71))=TRUE,"",IF(CA71="Per Foot",INDEX('Fixture Codes'!$I$8:$I$976,MATCH(AD71,'Fixture Codes'!$B$8:$B$976,0))/12*AF71*BZ71,IF(CA71="Lamp",INDEX('Fixture Codes'!$J$8:$J$976,MATCH(AD71,'Fixture Codes'!$B$8:$B$976,0))*AF71*BZ71,IF(CA71="Fixture",AF71*BZ71,IF(CA71="kWh",BK71*BZ71,0))))),""))</f>
        <v/>
      </c>
      <c r="CG71" s="149" t="str">
        <f t="shared" si="67"/>
        <v/>
      </c>
      <c r="CH71" s="149" t="str">
        <f t="shared" si="68"/>
        <v/>
      </c>
      <c r="CI71" s="152"/>
      <c r="CJ71" s="146"/>
      <c r="CK71" s="241">
        <f>IFERROR(IF(CL71="Yes",'Prescriptive Rebate Table'!$D$69,IF(ISBLANK(AI71),0,IF(AND(AH71=Lookups!$A$62,BK71&gt;0),'Prescriptive Rebate Table'!$D$68,IF(AND(BK71&gt;0,CJ71=AF71),'Prescriptive Rebate Table'!$D$67,IF(AND(BK71&gt;0,CJ71&lt;&gt;AF71),'Prescriptive Rebate Table'!D130,0))))),"")</f>
        <v>0</v>
      </c>
      <c r="CL71" s="240" t="s">
        <v>2712</v>
      </c>
      <c r="CM71" s="152"/>
      <c r="CN71" s="152"/>
      <c r="CO71" s="152"/>
      <c r="CP71" s="146">
        <f t="shared" si="52"/>
        <v>0</v>
      </c>
      <c r="CQ71" s="153">
        <f>IF(D71="Interior",ROUND(($AG71*AF71)/1000*$AM71*(Lookups!$B$54-$AA71)*$AN71*$AO71,3),0)</f>
        <v>0</v>
      </c>
      <c r="CR71" s="153">
        <f>IFERROR(IF(D71="Interior",ROUND(($AG71*$AF71)/1000*(Lookups!$C$54-$AB71)*$AN71*AQ71*AT71,6),0),"")</f>
        <v>0</v>
      </c>
      <c r="CS71" s="165">
        <f t="shared" si="69"/>
        <v>0</v>
      </c>
      <c r="CT71" s="165">
        <f t="shared" si="70"/>
        <v>0</v>
      </c>
      <c r="CV71" s="153"/>
      <c r="CW71" s="153"/>
      <c r="CX71" s="165"/>
      <c r="CY71" s="165"/>
      <c r="DA71" s="153">
        <f>IF(D71="Interior",ROUND(($AG71*AF71*(1-0.15))/1000*$AM71*(Lookups!$B$43+0.097-$AA71)*$AN71*$AO71+((W71*V71)/1000*AN71*AM71*AO71*0.15),3),0)</f>
        <v>0</v>
      </c>
      <c r="DB71" s="153">
        <f>IFERROR(IF(D71="Interior",ROUND(($AG71*$AF71)/1000*(Lookups!$C$43+0.097-$AB71)*$AN71*AQ71*AT71+(($AG71*$AF71)/1000*$AN71*AQ71*AT71*0.15),6),0),"")</f>
        <v>0</v>
      </c>
      <c r="DC71" s="165">
        <f t="shared" si="53"/>
        <v>0</v>
      </c>
      <c r="DD71" s="165">
        <f t="shared" si="54"/>
        <v>0</v>
      </c>
    </row>
    <row r="72" spans="1:108" s="164" customFormat="1">
      <c r="A72" s="150">
        <v>68</v>
      </c>
      <c r="B72" s="153" t="str">
        <f>IFERROR(INDEX(Lookups!$B$2:$B$38,MATCH('Project Info &amp; Summary'!$C$19,Lookups!$A$2:$A$38,0)),"")</f>
        <v/>
      </c>
      <c r="C72" s="153" t="str">
        <f>IFERROR(INDEX(Lookups!$C$2:$C$38,MATCH('Project Info &amp; Summary'!$C$19,Lookups!$A$2:$A$38,0)),"")</f>
        <v/>
      </c>
      <c r="D72" s="163"/>
      <c r="E72" s="160"/>
      <c r="F72" s="158"/>
      <c r="G72" s="158"/>
      <c r="H72" s="158"/>
      <c r="I72" s="158"/>
      <c r="J72" s="154" t="str">
        <f>IFERROR(INDEX(Lookups!$W$21:$W$26,MATCH(I72,Lookups!$V$21:$V$26,0)),"")</f>
        <v/>
      </c>
      <c r="K72" s="158"/>
      <c r="L72" s="162" t="str">
        <f>IFERROR(INDEX(Lookups!$Y$2:$Y$19,MATCH(_xlfn.CONCAT(I72,K72),Lookups!$X$2:$X$19,0)),"")</f>
        <v/>
      </c>
      <c r="M72" s="158"/>
      <c r="N72" s="153" t="str">
        <f>IFERROR(INDEX('Prescriptive Rebate Table'!$M$3:$M$20,MATCH(M72,'Prescriptive Rebate Table'!$L$3:$L$20,0)),"")</f>
        <v/>
      </c>
      <c r="O72" s="158"/>
      <c r="P72" s="154" t="str">
        <f>IFERROR(INDEX('Prescriptive Rebate Table'!$B$2:$H$64, MATCH(O72,'Prescriptive Rebate Table'!$C$2:$C$64,0),7),"")</f>
        <v/>
      </c>
      <c r="Q72" s="155" t="str">
        <f>IFERROR(INDEX('Prescriptive Rebate Table'!$B$2:$I$64, MATCH(O72,'Prescriptive Rebate Table'!$C$2:$C$64,0),8),"")</f>
        <v/>
      </c>
      <c r="R72" s="155" t="str">
        <f>IFERROR(INDEX('Prescriptive Rebate Table'!$B$2:$J$64, MATCH(O72,'Prescriptive Rebate Table'!$C$2:$C$64,0),9),"")</f>
        <v/>
      </c>
      <c r="S72" s="160"/>
      <c r="T72" s="145" t="str">
        <f>IFERROR(INDEX('Fixture Codes'!$M$8:$M$976,MATCH(S72,'Fixture Codes'!$B$8:$B$976,0)),"")</f>
        <v/>
      </c>
      <c r="U72" s="145" t="str">
        <f>IFERROR(INDEX('Fixture Codes'!$B$7:$M$976,MATCH(T72,'Fixture Codes'!$B$7:$B$976,0),5),"")</f>
        <v/>
      </c>
      <c r="V72" s="160"/>
      <c r="W72" s="145" t="str">
        <f>IFERROR(INDEX('Fixture Codes'!$L$8:$L$976,MATCH(T72,'Fixture Codes'!$B$8:$B$976,0)),"")</f>
        <v/>
      </c>
      <c r="X72" s="158"/>
      <c r="Y72" s="159"/>
      <c r="Z72" s="155" t="str">
        <f>IFERROR(INDEX(Lookups!B$68:B$87,MATCH($X72,Lookups!$A$68:$A$87,0)),"")</f>
        <v/>
      </c>
      <c r="AA72" s="150" t="str">
        <f>IFERROR(INDEX(Lookups!B$42:B$62,MATCH($X72,Lookups!$A$42:$A$62,0)),"")</f>
        <v/>
      </c>
      <c r="AB72" s="150" t="str">
        <f>IFERROR(INDEX(Lookups!C$42:C$62,MATCH($X72,Lookups!$A$42:$A$62,0)),"")</f>
        <v/>
      </c>
      <c r="AC72" s="160"/>
      <c r="AD72" s="160"/>
      <c r="AE72" s="150" t="str">
        <f>IFERROR(INDEX('Fixture Codes'!$B$7:$M$976,MATCH(AD72,'Fixture Codes'!$B$7:$B$976,0),5),"")</f>
        <v/>
      </c>
      <c r="AF72" s="160"/>
      <c r="AG72" s="145" t="str">
        <f>IFERROR(INDEX('Fixture Codes'!$L$8:$L$976,MATCH(AD72,'Fixture Codes'!$B$8:$B$976,0)),"")</f>
        <v/>
      </c>
      <c r="AH72" s="158"/>
      <c r="AI72" s="160"/>
      <c r="AJ72" s="150" t="str">
        <f>IFERROR(INDEX(Lookups!B$68:B$87,MATCH($AH72,Lookups!$A$68:$A$87,0)),"")</f>
        <v/>
      </c>
      <c r="AK72" s="150" t="str">
        <f>IFERROR(INDEX(Lookups!B$42:B$62,MATCH($AH72,Lookups!$A$42:$A$62,0)),"")</f>
        <v/>
      </c>
      <c r="AL72" s="150" t="str">
        <f>IFERROR(INDEX(Lookups!C$42:C$62,MATCH($AH72,Lookups!$A$42:$A$62,0)),"")</f>
        <v/>
      </c>
      <c r="AM72" s="150" t="str">
        <f>IFERROR(IF(M72="Exit Signs",8760,IF(INDEX('Fixture Codes'!$C$8:$C$976,MATCH(AD72,'Fixture Codes'!$B$8:$B$976,0))="Exit Sign",8760,INDEX(Lookups!$I$2:$I$428,MATCH(_xlfn.CONCAT(B72,H72),Lookups!$H$2:$H$428,0)))),"")</f>
        <v/>
      </c>
      <c r="AN72" s="153">
        <v>1</v>
      </c>
      <c r="AO72" s="150" t="str">
        <f>IF($D72="Interior",INDEX(Lookups!Q$2:Q$86,MATCH(_xlfn.CONCAT($C72,$L72),Lookups!$P$2:$P$86,0)),IF($D72="Exterior",1,""))</f>
        <v/>
      </c>
      <c r="AP72" s="150">
        <f t="shared" si="55"/>
        <v>1</v>
      </c>
      <c r="AQ72" s="150" t="str">
        <f>IF($D72="Interior",INDEX(Lookups!R$2:R$86,MATCH(_xlfn.CONCAT($C72,$L72),Lookups!$P$2:$P$86,0)),IF($D72="Exterior",1,""))</f>
        <v/>
      </c>
      <c r="AR72" s="150" t="str">
        <f>IF($D72="Interior",INDEX(Lookups!S$2:S$86,MATCH(_xlfn.CONCAT($C72,$L72),Lookups!$P$2:$P$86,0)),IF($D72="Exterior",1,""))</f>
        <v/>
      </c>
      <c r="AS72" s="150" t="str">
        <f>IF($D72="Interior",INDEX(Lookups!T$2:T$86,MATCH(_xlfn.CONCAT($C72,$L72),Lookups!$P$2:$P$86,0)),IF($D72="Exterior",1,""))</f>
        <v/>
      </c>
      <c r="AT72" s="150" t="str">
        <f>IFERROR(IF(M72="Exit Signs",1,IF(INDEX('Fixture Codes'!$C$8:$C$976,MATCH($AD72,'Fixture Codes'!$B$8:$B$976,0))="Exit Sign",1,INDEX(Lookups!J$2:J$428,MATCH(_xlfn.CONCAT($B72,$H72),Lookups!$H$2:$H$428,0)))),"")</f>
        <v/>
      </c>
      <c r="AU72" s="150" t="str">
        <f>IFERROR(IF(M72="Exit Signs",1,IF(INDEX('Fixture Codes'!$C$8:$C$976,MATCH($AD72,'Fixture Codes'!$B$8:$B$976,0))="Exit Sign",1,INDEX(Lookups!K$2:K$428,MATCH(_xlfn.CONCAT($B72,$H72),Lookups!$H$2:$H$428,0)))),"")</f>
        <v/>
      </c>
      <c r="AV72" s="150" t="str">
        <f>IFERROR(IF(M72="Exit Signs",1,IF(INDEX('Fixture Codes'!$C$8:$C$976,MATCH($AD72,'Fixture Codes'!$B$8:$B$976,0))="Exit Sign",1,INDEX(Lookups!L$2:L$428,MATCH(_xlfn.CONCAT($B72,$H72),Lookups!$H$2:$H$428,0)))),"")</f>
        <v/>
      </c>
      <c r="AW72" s="150" t="str">
        <f>IF(ISBLANK(K72),"",IF(K72="Gas",INDEX(Lookups!$AG$2:$AG$63,MATCH(O72,Lookups!$AD$2:$AD$63,0),0),0))</f>
        <v/>
      </c>
      <c r="AX72" s="150" t="str">
        <f>IF(ISBLANK(K72),"",IF(K72="Gas",INDEX(Lookups!$AF$2:$AF$63,MATCH(O72,Lookups!$AD$2:$AD$63,0),0),0))</f>
        <v/>
      </c>
      <c r="AY72" s="150" t="str">
        <f>IF(ISBLANK(K72),"",IF(K72="Gas",INDEX(Lookups!$AH$2:$AH$63,MATCH(O72,Lookups!$AD$2:$AD$63,0),0),0))</f>
        <v/>
      </c>
      <c r="AZ72" s="150" t="str">
        <f>IF(ISBLANK(K72),"",IF(K72="Gas",INDEX(Lookups!$AI$2:$AI$63,MATCH(O72,Lookups!$AD$2:$AD$63,0),0),0))</f>
        <v/>
      </c>
      <c r="BA72" s="150" t="str">
        <f t="shared" si="40"/>
        <v/>
      </c>
      <c r="BB72" s="156" t="str">
        <f>IF(ISBLANK(AH72),"",IF(AH72="None",0,IF(K72="Gas",INDEX(Lookups!$AF$51:$AF$69,MATCH(AH72,Lookups!$AD$51:$AD$69,0),0),0)))</f>
        <v/>
      </c>
      <c r="BC72" s="156" t="str">
        <f>IF(ISBLANK(AH72),"",IF(AH72="None",0,IF(K72="Gas",INDEX(Lookups!$AH$51:$AH$69,MATCH(AH72,Lookups!$AD$51:$AD$69,0),0),0)))</f>
        <v/>
      </c>
      <c r="BD72" s="156" t="str">
        <f>IF(ISBLANK(AH72),"",IF(AH72="None",0,IF(K72="Gas",INDEX(Lookups!$AI$51:$AI$69,MATCH(AH72,Lookups!$AD$51:$AD$69,0),0),0)))</f>
        <v/>
      </c>
      <c r="BE72" s="157"/>
      <c r="BF72" s="157"/>
      <c r="BG72" s="147" t="str">
        <f t="shared" si="56"/>
        <v/>
      </c>
      <c r="BH72" s="147" t="str">
        <f t="shared" si="57"/>
        <v/>
      </c>
      <c r="BI72" s="147" t="str">
        <f t="shared" si="41"/>
        <v/>
      </c>
      <c r="BJ72" s="147" t="str">
        <f t="shared" si="42"/>
        <v/>
      </c>
      <c r="BK72" s="148" t="str">
        <f t="shared" si="58"/>
        <v/>
      </c>
      <c r="BL72" s="147" t="str">
        <f t="shared" si="43"/>
        <v/>
      </c>
      <c r="BM72" s="148" t="str">
        <f t="shared" si="59"/>
        <v/>
      </c>
      <c r="BN72" s="147" t="str">
        <f t="shared" si="60"/>
        <v/>
      </c>
      <c r="BO72" s="147" t="str">
        <f t="shared" si="60"/>
        <v/>
      </c>
      <c r="BP72" s="147" t="str">
        <f t="shared" si="61"/>
        <v/>
      </c>
      <c r="BQ72" s="148" t="str">
        <f t="shared" si="62"/>
        <v/>
      </c>
      <c r="BR72" s="148" t="str">
        <f t="shared" si="63"/>
        <v/>
      </c>
      <c r="BS72" s="148" t="str">
        <f t="shared" si="64"/>
        <v/>
      </c>
      <c r="BT72" s="148" t="str">
        <f t="shared" si="44"/>
        <v/>
      </c>
      <c r="BU72" s="148" t="str">
        <f t="shared" si="45"/>
        <v/>
      </c>
      <c r="BV72" s="148" t="str">
        <f t="shared" si="46"/>
        <v/>
      </c>
      <c r="BW72" s="148" t="str">
        <f t="shared" si="47"/>
        <v/>
      </c>
      <c r="BX72" s="148" t="str">
        <f t="shared" si="48"/>
        <v/>
      </c>
      <c r="BY72" s="148" t="str">
        <f t="shared" si="49"/>
        <v/>
      </c>
      <c r="BZ72" s="149" t="str">
        <f>IFERROR(INDEX('Prescriptive Rebate Table'!$B$2:$E$64,MATCH(O72,'Prescriptive Rebate Table'!$C$2:$C$64,0),3),"")</f>
        <v/>
      </c>
      <c r="CA72" s="145" t="str">
        <f>IFERROR(INDEX('Prescriptive Rebate Table'!$B$2:$E$64,MATCH(O72,'Prescriptive Rebate Table'!$C$2:$C$64,0),4),"")</f>
        <v/>
      </c>
      <c r="CB72" s="149" t="str">
        <f t="shared" si="65"/>
        <v/>
      </c>
      <c r="CC72" s="145" t="str">
        <f t="shared" si="66"/>
        <v/>
      </c>
      <c r="CD72" s="149" t="str">
        <f t="shared" si="50"/>
        <v/>
      </c>
      <c r="CE72" s="149" t="str">
        <f t="shared" si="51"/>
        <v/>
      </c>
      <c r="CF72" s="149" t="str">
        <f>IF(BK72&lt;=0,0,IFERROR(IF(OR(ISBLANK(AC72),ISBLANK(CD72))=TRUE,"",IF(CA72="Per Foot",INDEX('Fixture Codes'!$I$8:$I$976,MATCH(AD72,'Fixture Codes'!$B$8:$B$976,0))/12*AF72*BZ72,IF(CA72="Lamp",INDEX('Fixture Codes'!$J$8:$J$976,MATCH(AD72,'Fixture Codes'!$B$8:$B$976,0))*AF72*BZ72,IF(CA72="Fixture",AF72*BZ72,IF(CA72="kWh",BK72*BZ72,0))))),""))</f>
        <v/>
      </c>
      <c r="CG72" s="149" t="str">
        <f t="shared" si="67"/>
        <v/>
      </c>
      <c r="CH72" s="149" t="str">
        <f t="shared" si="68"/>
        <v/>
      </c>
      <c r="CI72" s="152"/>
      <c r="CJ72" s="146"/>
      <c r="CK72" s="241">
        <f>IFERROR(IF(CL72="Yes",'Prescriptive Rebate Table'!$D$69,IF(ISBLANK(AI72),0,IF(AND(AH72=Lookups!$A$62,BK72&gt;0),'Prescriptive Rebate Table'!$D$68,IF(AND(BK72&gt;0,CJ72=AF72),'Prescriptive Rebate Table'!$D$67,IF(AND(BK72&gt;0,CJ72&lt;&gt;AF72),'Prescriptive Rebate Table'!D131,0))))),"")</f>
        <v>0</v>
      </c>
      <c r="CL72" s="240" t="s">
        <v>2712</v>
      </c>
      <c r="CM72" s="152"/>
      <c r="CN72" s="152"/>
      <c r="CO72" s="152"/>
      <c r="CP72" s="146">
        <f t="shared" si="52"/>
        <v>0</v>
      </c>
      <c r="CQ72" s="153">
        <f>IF(D72="Interior",ROUND(($AG72*AF72)/1000*$AM72*(Lookups!$B$54-$AA72)*$AN72*$AO72,3),0)</f>
        <v>0</v>
      </c>
      <c r="CR72" s="153">
        <f>IFERROR(IF(D72="Interior",ROUND(($AG72*$AF72)/1000*(Lookups!$C$54-$AB72)*$AN72*AQ72*AT72,6),0),"")</f>
        <v>0</v>
      </c>
      <c r="CS72" s="165">
        <f t="shared" si="69"/>
        <v>0</v>
      </c>
      <c r="CT72" s="165">
        <f t="shared" si="70"/>
        <v>0</v>
      </c>
      <c r="CV72" s="153"/>
      <c r="CW72" s="153"/>
      <c r="CX72" s="165"/>
      <c r="CY72" s="165"/>
      <c r="DA72" s="153">
        <f>IF(D72="Interior",ROUND(($AG72*AF72*(1-0.15))/1000*$AM72*(Lookups!$B$43+0.097-$AA72)*$AN72*$AO72+((W72*V72)/1000*AN72*AM72*AO72*0.15),3),0)</f>
        <v>0</v>
      </c>
      <c r="DB72" s="153">
        <f>IFERROR(IF(D72="Interior",ROUND(($AG72*$AF72)/1000*(Lookups!$C$43+0.097-$AB72)*$AN72*AQ72*AT72+(($AG72*$AF72)/1000*$AN72*AQ72*AT72*0.15),6),0),"")</f>
        <v>0</v>
      </c>
      <c r="DC72" s="165">
        <f t="shared" si="53"/>
        <v>0</v>
      </c>
      <c r="DD72" s="165">
        <f t="shared" si="54"/>
        <v>0</v>
      </c>
    </row>
    <row r="73" spans="1:108" s="164" customFormat="1">
      <c r="A73" s="150">
        <v>69</v>
      </c>
      <c r="B73" s="153" t="str">
        <f>IFERROR(INDEX(Lookups!$B$2:$B$38,MATCH('Project Info &amp; Summary'!$C$19,Lookups!$A$2:$A$38,0)),"")</f>
        <v/>
      </c>
      <c r="C73" s="153" t="str">
        <f>IFERROR(INDEX(Lookups!$C$2:$C$38,MATCH('Project Info &amp; Summary'!$C$19,Lookups!$A$2:$A$38,0)),"")</f>
        <v/>
      </c>
      <c r="D73" s="163"/>
      <c r="E73" s="160"/>
      <c r="F73" s="158"/>
      <c r="G73" s="158"/>
      <c r="H73" s="158"/>
      <c r="I73" s="158"/>
      <c r="J73" s="154" t="str">
        <f>IFERROR(INDEX(Lookups!$W$21:$W$26,MATCH(I73,Lookups!$V$21:$V$26,0)),"")</f>
        <v/>
      </c>
      <c r="K73" s="158"/>
      <c r="L73" s="162" t="str">
        <f>IFERROR(INDEX(Lookups!$Y$2:$Y$19,MATCH(_xlfn.CONCAT(I73,K73),Lookups!$X$2:$X$19,0)),"")</f>
        <v/>
      </c>
      <c r="M73" s="158"/>
      <c r="N73" s="153" t="str">
        <f>IFERROR(INDEX('Prescriptive Rebate Table'!$M$3:$M$20,MATCH(M73,'Prescriptive Rebate Table'!$L$3:$L$20,0)),"")</f>
        <v/>
      </c>
      <c r="O73" s="158"/>
      <c r="P73" s="154" t="str">
        <f>IFERROR(INDEX('Prescriptive Rebate Table'!$B$2:$H$64, MATCH(O73,'Prescriptive Rebate Table'!$C$2:$C$64,0),7),"")</f>
        <v/>
      </c>
      <c r="Q73" s="155" t="str">
        <f>IFERROR(INDEX('Prescriptive Rebate Table'!$B$2:$I$64, MATCH(O73,'Prescriptive Rebate Table'!$C$2:$C$64,0),8),"")</f>
        <v/>
      </c>
      <c r="R73" s="155" t="str">
        <f>IFERROR(INDEX('Prescriptive Rebate Table'!$B$2:$J$64, MATCH(O73,'Prescriptive Rebate Table'!$C$2:$C$64,0),9),"")</f>
        <v/>
      </c>
      <c r="S73" s="160"/>
      <c r="T73" s="145" t="str">
        <f>IFERROR(INDEX('Fixture Codes'!$M$8:$M$976,MATCH(S73,'Fixture Codes'!$B$8:$B$976,0)),"")</f>
        <v/>
      </c>
      <c r="U73" s="145" t="str">
        <f>IFERROR(INDEX('Fixture Codes'!$B$7:$M$976,MATCH(T73,'Fixture Codes'!$B$7:$B$976,0),5),"")</f>
        <v/>
      </c>
      <c r="V73" s="160"/>
      <c r="W73" s="145" t="str">
        <f>IFERROR(INDEX('Fixture Codes'!$L$8:$L$976,MATCH(T73,'Fixture Codes'!$B$8:$B$976,0)),"")</f>
        <v/>
      </c>
      <c r="X73" s="158"/>
      <c r="Y73" s="159"/>
      <c r="Z73" s="155" t="str">
        <f>IFERROR(INDEX(Lookups!B$68:B$87,MATCH($X73,Lookups!$A$68:$A$87,0)),"")</f>
        <v/>
      </c>
      <c r="AA73" s="150" t="str">
        <f>IFERROR(INDEX(Lookups!B$42:B$62,MATCH($X73,Lookups!$A$42:$A$62,0)),"")</f>
        <v/>
      </c>
      <c r="AB73" s="150" t="str">
        <f>IFERROR(INDEX(Lookups!C$42:C$62,MATCH($X73,Lookups!$A$42:$A$62,0)),"")</f>
        <v/>
      </c>
      <c r="AC73" s="160"/>
      <c r="AD73" s="160"/>
      <c r="AE73" s="150" t="str">
        <f>IFERROR(INDEX('Fixture Codes'!$B$7:$M$976,MATCH(AD73,'Fixture Codes'!$B$7:$B$976,0),5),"")</f>
        <v/>
      </c>
      <c r="AF73" s="160"/>
      <c r="AG73" s="145" t="str">
        <f>IFERROR(INDEX('Fixture Codes'!$L$8:$L$976,MATCH(AD73,'Fixture Codes'!$B$8:$B$976,0)),"")</f>
        <v/>
      </c>
      <c r="AH73" s="158"/>
      <c r="AI73" s="160"/>
      <c r="AJ73" s="150" t="str">
        <f>IFERROR(INDEX(Lookups!B$68:B$87,MATCH($AH73,Lookups!$A$68:$A$87,0)),"")</f>
        <v/>
      </c>
      <c r="AK73" s="150" t="str">
        <f>IFERROR(INDEX(Lookups!B$42:B$62,MATCH($AH73,Lookups!$A$42:$A$62,0)),"")</f>
        <v/>
      </c>
      <c r="AL73" s="150" t="str">
        <f>IFERROR(INDEX(Lookups!C$42:C$62,MATCH($AH73,Lookups!$A$42:$A$62,0)),"")</f>
        <v/>
      </c>
      <c r="AM73" s="150" t="str">
        <f>IFERROR(IF(M73="Exit Signs",8760,IF(INDEX('Fixture Codes'!$C$8:$C$976,MATCH(AD73,'Fixture Codes'!$B$8:$B$976,0))="Exit Sign",8760,INDEX(Lookups!$I$2:$I$428,MATCH(_xlfn.CONCAT(B73,H73),Lookups!$H$2:$H$428,0)))),"")</f>
        <v/>
      </c>
      <c r="AN73" s="153">
        <v>1</v>
      </c>
      <c r="AO73" s="150" t="str">
        <f>IF($D73="Interior",INDEX(Lookups!Q$2:Q$86,MATCH(_xlfn.CONCAT($C73,$L73),Lookups!$P$2:$P$86,0)),IF($D73="Exterior",1,""))</f>
        <v/>
      </c>
      <c r="AP73" s="150">
        <f t="shared" si="55"/>
        <v>1</v>
      </c>
      <c r="AQ73" s="150" t="str">
        <f>IF($D73="Interior",INDEX(Lookups!R$2:R$86,MATCH(_xlfn.CONCAT($C73,$L73),Lookups!$P$2:$P$86,0)),IF($D73="Exterior",1,""))</f>
        <v/>
      </c>
      <c r="AR73" s="150" t="str">
        <f>IF($D73="Interior",INDEX(Lookups!S$2:S$86,MATCH(_xlfn.CONCAT($C73,$L73),Lookups!$P$2:$P$86,0)),IF($D73="Exterior",1,""))</f>
        <v/>
      </c>
      <c r="AS73" s="150" t="str">
        <f>IF($D73="Interior",INDEX(Lookups!T$2:T$86,MATCH(_xlfn.CONCAT($C73,$L73),Lookups!$P$2:$P$86,0)),IF($D73="Exterior",1,""))</f>
        <v/>
      </c>
      <c r="AT73" s="150" t="str">
        <f>IFERROR(IF(M73="Exit Signs",1,IF(INDEX('Fixture Codes'!$C$8:$C$976,MATCH($AD73,'Fixture Codes'!$B$8:$B$976,0))="Exit Sign",1,INDEX(Lookups!J$2:J$428,MATCH(_xlfn.CONCAT($B73,$H73),Lookups!$H$2:$H$428,0)))),"")</f>
        <v/>
      </c>
      <c r="AU73" s="150" t="str">
        <f>IFERROR(IF(M73="Exit Signs",1,IF(INDEX('Fixture Codes'!$C$8:$C$976,MATCH($AD73,'Fixture Codes'!$B$8:$B$976,0))="Exit Sign",1,INDEX(Lookups!K$2:K$428,MATCH(_xlfn.CONCAT($B73,$H73),Lookups!$H$2:$H$428,0)))),"")</f>
        <v/>
      </c>
      <c r="AV73" s="150" t="str">
        <f>IFERROR(IF(M73="Exit Signs",1,IF(INDEX('Fixture Codes'!$C$8:$C$976,MATCH($AD73,'Fixture Codes'!$B$8:$B$976,0))="Exit Sign",1,INDEX(Lookups!L$2:L$428,MATCH(_xlfn.CONCAT($B73,$H73),Lookups!$H$2:$H$428,0)))),"")</f>
        <v/>
      </c>
      <c r="AW73" s="150" t="str">
        <f>IF(ISBLANK(K73),"",IF(K73="Gas",INDEX(Lookups!$AG$2:$AG$63,MATCH(O73,Lookups!$AD$2:$AD$63,0),0),0))</f>
        <v/>
      </c>
      <c r="AX73" s="150" t="str">
        <f>IF(ISBLANK(K73),"",IF(K73="Gas",INDEX(Lookups!$AF$2:$AF$63,MATCH(O73,Lookups!$AD$2:$AD$63,0),0),0))</f>
        <v/>
      </c>
      <c r="AY73" s="150" t="str">
        <f>IF(ISBLANK(K73),"",IF(K73="Gas",INDEX(Lookups!$AH$2:$AH$63,MATCH(O73,Lookups!$AD$2:$AD$63,0),0),0))</f>
        <v/>
      </c>
      <c r="AZ73" s="150" t="str">
        <f>IF(ISBLANK(K73),"",IF(K73="Gas",INDEX(Lookups!$AI$2:$AI$63,MATCH(O73,Lookups!$AD$2:$AD$63,0),0),0))</f>
        <v/>
      </c>
      <c r="BA73" s="150" t="str">
        <f t="shared" si="40"/>
        <v/>
      </c>
      <c r="BB73" s="156" t="str">
        <f>IF(ISBLANK(AH73),"",IF(AH73="None",0,IF(K73="Gas",INDEX(Lookups!$AF$51:$AF$69,MATCH(AH73,Lookups!$AD$51:$AD$69,0),0),0)))</f>
        <v/>
      </c>
      <c r="BC73" s="156" t="str">
        <f>IF(ISBLANK(AH73),"",IF(AH73="None",0,IF(K73="Gas",INDEX(Lookups!$AH$51:$AH$69,MATCH(AH73,Lookups!$AD$51:$AD$69,0),0),0)))</f>
        <v/>
      </c>
      <c r="BD73" s="156" t="str">
        <f>IF(ISBLANK(AH73),"",IF(AH73="None",0,IF(K73="Gas",INDEX(Lookups!$AI$51:$AI$69,MATCH(AH73,Lookups!$AD$51:$AD$69,0),0),0)))</f>
        <v/>
      </c>
      <c r="BE73" s="157"/>
      <c r="BF73" s="157"/>
      <c r="BG73" s="147" t="str">
        <f t="shared" si="56"/>
        <v/>
      </c>
      <c r="BH73" s="147" t="str">
        <f t="shared" si="57"/>
        <v/>
      </c>
      <c r="BI73" s="147" t="str">
        <f t="shared" si="41"/>
        <v/>
      </c>
      <c r="BJ73" s="147" t="str">
        <f t="shared" si="42"/>
        <v/>
      </c>
      <c r="BK73" s="148" t="str">
        <f t="shared" si="58"/>
        <v/>
      </c>
      <c r="BL73" s="147" t="str">
        <f t="shared" si="43"/>
        <v/>
      </c>
      <c r="BM73" s="148" t="str">
        <f t="shared" si="59"/>
        <v/>
      </c>
      <c r="BN73" s="147" t="str">
        <f t="shared" si="60"/>
        <v/>
      </c>
      <c r="BO73" s="147" t="str">
        <f t="shared" si="60"/>
        <v/>
      </c>
      <c r="BP73" s="147" t="str">
        <f t="shared" si="61"/>
        <v/>
      </c>
      <c r="BQ73" s="148" t="str">
        <f t="shared" si="62"/>
        <v/>
      </c>
      <c r="BR73" s="148" t="str">
        <f t="shared" si="63"/>
        <v/>
      </c>
      <c r="BS73" s="148" t="str">
        <f t="shared" si="64"/>
        <v/>
      </c>
      <c r="BT73" s="148" t="str">
        <f t="shared" si="44"/>
        <v/>
      </c>
      <c r="BU73" s="148" t="str">
        <f t="shared" si="45"/>
        <v/>
      </c>
      <c r="BV73" s="148" t="str">
        <f t="shared" si="46"/>
        <v/>
      </c>
      <c r="BW73" s="148" t="str">
        <f t="shared" si="47"/>
        <v/>
      </c>
      <c r="BX73" s="148" t="str">
        <f t="shared" si="48"/>
        <v/>
      </c>
      <c r="BY73" s="148" t="str">
        <f t="shared" si="49"/>
        <v/>
      </c>
      <c r="BZ73" s="149" t="str">
        <f>IFERROR(INDEX('Prescriptive Rebate Table'!$B$2:$E$64,MATCH(O73,'Prescriptive Rebate Table'!$C$2:$C$64,0),3),"")</f>
        <v/>
      </c>
      <c r="CA73" s="145" t="str">
        <f>IFERROR(INDEX('Prescriptive Rebate Table'!$B$2:$E$64,MATCH(O73,'Prescriptive Rebate Table'!$C$2:$C$64,0),4),"")</f>
        <v/>
      </c>
      <c r="CB73" s="149" t="str">
        <f t="shared" si="65"/>
        <v/>
      </c>
      <c r="CC73" s="145" t="str">
        <f t="shared" si="66"/>
        <v/>
      </c>
      <c r="CD73" s="149" t="str">
        <f t="shared" si="50"/>
        <v/>
      </c>
      <c r="CE73" s="149" t="str">
        <f t="shared" si="51"/>
        <v/>
      </c>
      <c r="CF73" s="149" t="str">
        <f>IF(BK73&lt;=0,0,IFERROR(IF(OR(ISBLANK(AC73),ISBLANK(CD73))=TRUE,"",IF(CA73="Per Foot",INDEX('Fixture Codes'!$I$8:$I$976,MATCH(AD73,'Fixture Codes'!$B$8:$B$976,0))/12*AF73*BZ73,IF(CA73="Lamp",INDEX('Fixture Codes'!$J$8:$J$976,MATCH(AD73,'Fixture Codes'!$B$8:$B$976,0))*AF73*BZ73,IF(CA73="Fixture",AF73*BZ73,IF(CA73="kWh",BK73*BZ73,0))))),""))</f>
        <v/>
      </c>
      <c r="CG73" s="149" t="str">
        <f t="shared" si="67"/>
        <v/>
      </c>
      <c r="CH73" s="149" t="str">
        <f t="shared" si="68"/>
        <v/>
      </c>
      <c r="CI73" s="152"/>
      <c r="CJ73" s="146"/>
      <c r="CK73" s="241">
        <f>IFERROR(IF(CL73="Yes",'Prescriptive Rebate Table'!$D$69,IF(ISBLANK(AI73),0,IF(AND(AH73=Lookups!$A$62,BK73&gt;0),'Prescriptive Rebate Table'!$D$68,IF(AND(BK73&gt;0,CJ73=AF73),'Prescriptive Rebate Table'!$D$67,IF(AND(BK73&gt;0,CJ73&lt;&gt;AF73),'Prescriptive Rebate Table'!D132,0))))),"")</f>
        <v>0</v>
      </c>
      <c r="CL73" s="240" t="s">
        <v>2712</v>
      </c>
      <c r="CM73" s="152"/>
      <c r="CN73" s="152"/>
      <c r="CO73" s="152"/>
      <c r="CP73" s="146">
        <f t="shared" si="52"/>
        <v>0</v>
      </c>
      <c r="CQ73" s="153">
        <f>IF(D73="Interior",ROUND(($AG73*AF73)/1000*$AM73*(Lookups!$B$54-$AA73)*$AN73*$AO73,3),0)</f>
        <v>0</v>
      </c>
      <c r="CR73" s="153">
        <f>IFERROR(IF(D73="Interior",ROUND(($AG73*$AF73)/1000*(Lookups!$C$54-$AB73)*$AN73*AQ73*AT73,6),0),"")</f>
        <v>0</v>
      </c>
      <c r="CS73" s="165">
        <f t="shared" si="69"/>
        <v>0</v>
      </c>
      <c r="CT73" s="165">
        <f t="shared" si="70"/>
        <v>0</v>
      </c>
      <c r="CV73" s="153"/>
      <c r="CW73" s="153"/>
      <c r="CX73" s="165"/>
      <c r="CY73" s="165"/>
      <c r="DA73" s="153">
        <f>IF(D73="Interior",ROUND(($AG73*AF73*(1-0.15))/1000*$AM73*(Lookups!$B$43+0.097-$AA73)*$AN73*$AO73+((W73*V73)/1000*AN73*AM73*AO73*0.15),3),0)</f>
        <v>0</v>
      </c>
      <c r="DB73" s="153">
        <f>IFERROR(IF(D73="Interior",ROUND(($AG73*$AF73)/1000*(Lookups!$C$43+0.097-$AB73)*$AN73*AQ73*AT73+(($AG73*$AF73)/1000*$AN73*AQ73*AT73*0.15),6),0),"")</f>
        <v>0</v>
      </c>
      <c r="DC73" s="165">
        <f t="shared" si="53"/>
        <v>0</v>
      </c>
      <c r="DD73" s="165">
        <f t="shared" si="54"/>
        <v>0</v>
      </c>
    </row>
    <row r="74" spans="1:108" s="164" customFormat="1">
      <c r="A74" s="150">
        <v>70</v>
      </c>
      <c r="B74" s="153" t="str">
        <f>IFERROR(INDEX(Lookups!$B$2:$B$38,MATCH('Project Info &amp; Summary'!$C$19,Lookups!$A$2:$A$38,0)),"")</f>
        <v/>
      </c>
      <c r="C74" s="153" t="str">
        <f>IFERROR(INDEX(Lookups!$C$2:$C$38,MATCH('Project Info &amp; Summary'!$C$19,Lookups!$A$2:$A$38,0)),"")</f>
        <v/>
      </c>
      <c r="D74" s="163"/>
      <c r="E74" s="160"/>
      <c r="F74" s="158"/>
      <c r="G74" s="158"/>
      <c r="H74" s="158"/>
      <c r="I74" s="158"/>
      <c r="J74" s="154" t="str">
        <f>IFERROR(INDEX(Lookups!$W$21:$W$26,MATCH(I74,Lookups!$V$21:$V$26,0)),"")</f>
        <v/>
      </c>
      <c r="K74" s="158"/>
      <c r="L74" s="162" t="str">
        <f>IFERROR(INDEX(Lookups!$Y$2:$Y$19,MATCH(_xlfn.CONCAT(I74,K74),Lookups!$X$2:$X$19,0)),"")</f>
        <v/>
      </c>
      <c r="M74" s="158"/>
      <c r="N74" s="153" t="str">
        <f>IFERROR(INDEX('Prescriptive Rebate Table'!$M$3:$M$20,MATCH(M74,'Prescriptive Rebate Table'!$L$3:$L$20,0)),"")</f>
        <v/>
      </c>
      <c r="O74" s="158"/>
      <c r="P74" s="154" t="str">
        <f>IFERROR(INDEX('Prescriptive Rebate Table'!$B$2:$H$64, MATCH(O74,'Prescriptive Rebate Table'!$C$2:$C$64,0),7),"")</f>
        <v/>
      </c>
      <c r="Q74" s="155" t="str">
        <f>IFERROR(INDEX('Prescriptive Rebate Table'!$B$2:$I$64, MATCH(O74,'Prescriptive Rebate Table'!$C$2:$C$64,0),8),"")</f>
        <v/>
      </c>
      <c r="R74" s="155" t="str">
        <f>IFERROR(INDEX('Prescriptive Rebate Table'!$B$2:$J$64, MATCH(O74,'Prescriptive Rebate Table'!$C$2:$C$64,0),9),"")</f>
        <v/>
      </c>
      <c r="S74" s="160"/>
      <c r="T74" s="145" t="str">
        <f>IFERROR(INDEX('Fixture Codes'!$M$8:$M$976,MATCH(S74,'Fixture Codes'!$B$8:$B$976,0)),"")</f>
        <v/>
      </c>
      <c r="U74" s="145" t="str">
        <f>IFERROR(INDEX('Fixture Codes'!$B$7:$M$976,MATCH(T74,'Fixture Codes'!$B$7:$B$976,0),5),"")</f>
        <v/>
      </c>
      <c r="V74" s="160"/>
      <c r="W74" s="145" t="str">
        <f>IFERROR(INDEX('Fixture Codes'!$L$8:$L$976,MATCH(T74,'Fixture Codes'!$B$8:$B$976,0)),"")</f>
        <v/>
      </c>
      <c r="X74" s="158"/>
      <c r="Y74" s="159"/>
      <c r="Z74" s="155" t="str">
        <f>IFERROR(INDEX(Lookups!B$68:B$87,MATCH($X74,Lookups!$A$68:$A$87,0)),"")</f>
        <v/>
      </c>
      <c r="AA74" s="150" t="str">
        <f>IFERROR(INDEX(Lookups!B$42:B$62,MATCH($X74,Lookups!$A$42:$A$62,0)),"")</f>
        <v/>
      </c>
      <c r="AB74" s="150" t="str">
        <f>IFERROR(INDEX(Lookups!C$42:C$62,MATCH($X74,Lookups!$A$42:$A$62,0)),"")</f>
        <v/>
      </c>
      <c r="AC74" s="160"/>
      <c r="AD74" s="160"/>
      <c r="AE74" s="150" t="str">
        <f>IFERROR(INDEX('Fixture Codes'!$B$7:$M$976,MATCH(AD74,'Fixture Codes'!$B$7:$B$976,0),5),"")</f>
        <v/>
      </c>
      <c r="AF74" s="160"/>
      <c r="AG74" s="145" t="str">
        <f>IFERROR(INDEX('Fixture Codes'!$L$8:$L$976,MATCH(AD74,'Fixture Codes'!$B$8:$B$976,0)),"")</f>
        <v/>
      </c>
      <c r="AH74" s="158"/>
      <c r="AI74" s="160"/>
      <c r="AJ74" s="150" t="str">
        <f>IFERROR(INDEX(Lookups!B$68:B$87,MATCH($AH74,Lookups!$A$68:$A$87,0)),"")</f>
        <v/>
      </c>
      <c r="AK74" s="150" t="str">
        <f>IFERROR(INDEX(Lookups!B$42:B$62,MATCH($AH74,Lookups!$A$42:$A$62,0)),"")</f>
        <v/>
      </c>
      <c r="AL74" s="150" t="str">
        <f>IFERROR(INDEX(Lookups!C$42:C$62,MATCH($AH74,Lookups!$A$42:$A$62,0)),"")</f>
        <v/>
      </c>
      <c r="AM74" s="150" t="str">
        <f>IFERROR(IF(M74="Exit Signs",8760,IF(INDEX('Fixture Codes'!$C$8:$C$976,MATCH(AD74,'Fixture Codes'!$B$8:$B$976,0))="Exit Sign",8760,INDEX(Lookups!$I$2:$I$428,MATCH(_xlfn.CONCAT(B74,H74),Lookups!$H$2:$H$428,0)))),"")</f>
        <v/>
      </c>
      <c r="AN74" s="153">
        <v>1</v>
      </c>
      <c r="AO74" s="150" t="str">
        <f>IF($D74="Interior",INDEX(Lookups!Q$2:Q$86,MATCH(_xlfn.CONCAT($C74,$L74),Lookups!$P$2:$P$86,0)),IF($D74="Exterior",1,""))</f>
        <v/>
      </c>
      <c r="AP74" s="150">
        <f t="shared" si="55"/>
        <v>1</v>
      </c>
      <c r="AQ74" s="150" t="str">
        <f>IF($D74="Interior",INDEX(Lookups!R$2:R$86,MATCH(_xlfn.CONCAT($C74,$L74),Lookups!$P$2:$P$86,0)),IF($D74="Exterior",1,""))</f>
        <v/>
      </c>
      <c r="AR74" s="150" t="str">
        <f>IF($D74="Interior",INDEX(Lookups!S$2:S$86,MATCH(_xlfn.CONCAT($C74,$L74),Lookups!$P$2:$P$86,0)),IF($D74="Exterior",1,""))</f>
        <v/>
      </c>
      <c r="AS74" s="150" t="str">
        <f>IF($D74="Interior",INDEX(Lookups!T$2:T$86,MATCH(_xlfn.CONCAT($C74,$L74),Lookups!$P$2:$P$86,0)),IF($D74="Exterior",1,""))</f>
        <v/>
      </c>
      <c r="AT74" s="150" t="str">
        <f>IFERROR(IF(M74="Exit Signs",1,IF(INDEX('Fixture Codes'!$C$8:$C$976,MATCH($AD74,'Fixture Codes'!$B$8:$B$976,0))="Exit Sign",1,INDEX(Lookups!J$2:J$428,MATCH(_xlfn.CONCAT($B74,$H74),Lookups!$H$2:$H$428,0)))),"")</f>
        <v/>
      </c>
      <c r="AU74" s="150" t="str">
        <f>IFERROR(IF(M74="Exit Signs",1,IF(INDEX('Fixture Codes'!$C$8:$C$976,MATCH($AD74,'Fixture Codes'!$B$8:$B$976,0))="Exit Sign",1,INDEX(Lookups!K$2:K$428,MATCH(_xlfn.CONCAT($B74,$H74),Lookups!$H$2:$H$428,0)))),"")</f>
        <v/>
      </c>
      <c r="AV74" s="150" t="str">
        <f>IFERROR(IF(M74="Exit Signs",1,IF(INDEX('Fixture Codes'!$C$8:$C$976,MATCH($AD74,'Fixture Codes'!$B$8:$B$976,0))="Exit Sign",1,INDEX(Lookups!L$2:L$428,MATCH(_xlfn.CONCAT($B74,$H74),Lookups!$H$2:$H$428,0)))),"")</f>
        <v/>
      </c>
      <c r="AW74" s="150" t="str">
        <f>IF(ISBLANK(K74),"",IF(K74="Gas",INDEX(Lookups!$AG$2:$AG$63,MATCH(O74,Lookups!$AD$2:$AD$63,0),0),0))</f>
        <v/>
      </c>
      <c r="AX74" s="150" t="str">
        <f>IF(ISBLANK(K74),"",IF(K74="Gas",INDEX(Lookups!$AF$2:$AF$63,MATCH(O74,Lookups!$AD$2:$AD$63,0),0),0))</f>
        <v/>
      </c>
      <c r="AY74" s="150" t="str">
        <f>IF(ISBLANK(K74),"",IF(K74="Gas",INDEX(Lookups!$AH$2:$AH$63,MATCH(O74,Lookups!$AD$2:$AD$63,0),0),0))</f>
        <v/>
      </c>
      <c r="AZ74" s="150" t="str">
        <f>IF(ISBLANK(K74),"",IF(K74="Gas",INDEX(Lookups!$AI$2:$AI$63,MATCH(O74,Lookups!$AD$2:$AD$63,0),0),0))</f>
        <v/>
      </c>
      <c r="BA74" s="150" t="str">
        <f t="shared" si="40"/>
        <v/>
      </c>
      <c r="BB74" s="156" t="str">
        <f>IF(ISBLANK(AH74),"",IF(AH74="None",0,IF(K74="Gas",INDEX(Lookups!$AF$51:$AF$69,MATCH(AH74,Lookups!$AD$51:$AD$69,0),0),0)))</f>
        <v/>
      </c>
      <c r="BC74" s="156" t="str">
        <f>IF(ISBLANK(AH74),"",IF(AH74="None",0,IF(K74="Gas",INDEX(Lookups!$AH$51:$AH$69,MATCH(AH74,Lookups!$AD$51:$AD$69,0),0),0)))</f>
        <v/>
      </c>
      <c r="BD74" s="156" t="str">
        <f>IF(ISBLANK(AH74),"",IF(AH74="None",0,IF(K74="Gas",INDEX(Lookups!$AI$51:$AI$69,MATCH(AH74,Lookups!$AD$51:$AD$69,0),0),0)))</f>
        <v/>
      </c>
      <c r="BE74" s="157"/>
      <c r="BF74" s="157"/>
      <c r="BG74" s="147" t="str">
        <f t="shared" si="56"/>
        <v/>
      </c>
      <c r="BH74" s="147" t="str">
        <f t="shared" si="57"/>
        <v/>
      </c>
      <c r="BI74" s="147" t="str">
        <f t="shared" si="41"/>
        <v/>
      </c>
      <c r="BJ74" s="147" t="str">
        <f t="shared" si="42"/>
        <v/>
      </c>
      <c r="BK74" s="148" t="str">
        <f t="shared" si="58"/>
        <v/>
      </c>
      <c r="BL74" s="147" t="str">
        <f t="shared" si="43"/>
        <v/>
      </c>
      <c r="BM74" s="148" t="str">
        <f t="shared" si="59"/>
        <v/>
      </c>
      <c r="BN74" s="147" t="str">
        <f t="shared" si="60"/>
        <v/>
      </c>
      <c r="BO74" s="147" t="str">
        <f t="shared" si="60"/>
        <v/>
      </c>
      <c r="BP74" s="147" t="str">
        <f t="shared" si="61"/>
        <v/>
      </c>
      <c r="BQ74" s="148" t="str">
        <f t="shared" si="62"/>
        <v/>
      </c>
      <c r="BR74" s="148" t="str">
        <f t="shared" si="63"/>
        <v/>
      </c>
      <c r="BS74" s="148" t="str">
        <f t="shared" si="64"/>
        <v/>
      </c>
      <c r="BT74" s="148" t="str">
        <f t="shared" si="44"/>
        <v/>
      </c>
      <c r="BU74" s="148" t="str">
        <f t="shared" si="45"/>
        <v/>
      </c>
      <c r="BV74" s="148" t="str">
        <f t="shared" si="46"/>
        <v/>
      </c>
      <c r="BW74" s="148" t="str">
        <f t="shared" si="47"/>
        <v/>
      </c>
      <c r="BX74" s="148" t="str">
        <f t="shared" si="48"/>
        <v/>
      </c>
      <c r="BY74" s="148" t="str">
        <f t="shared" si="49"/>
        <v/>
      </c>
      <c r="BZ74" s="149" t="str">
        <f>IFERROR(INDEX('Prescriptive Rebate Table'!$B$2:$E$64,MATCH(O74,'Prescriptive Rebate Table'!$C$2:$C$64,0),3),"")</f>
        <v/>
      </c>
      <c r="CA74" s="145" t="str">
        <f>IFERROR(INDEX('Prescriptive Rebate Table'!$B$2:$E$64,MATCH(O74,'Prescriptive Rebate Table'!$C$2:$C$64,0),4),"")</f>
        <v/>
      </c>
      <c r="CB74" s="149" t="str">
        <f t="shared" si="65"/>
        <v/>
      </c>
      <c r="CC74" s="145" t="str">
        <f t="shared" si="66"/>
        <v/>
      </c>
      <c r="CD74" s="149" t="str">
        <f t="shared" si="50"/>
        <v/>
      </c>
      <c r="CE74" s="149" t="str">
        <f t="shared" si="51"/>
        <v/>
      </c>
      <c r="CF74" s="149" t="str">
        <f>IF(BK74&lt;=0,0,IFERROR(IF(OR(ISBLANK(AC74),ISBLANK(CD74))=TRUE,"",IF(CA74="Per Foot",INDEX('Fixture Codes'!$I$8:$I$976,MATCH(AD74,'Fixture Codes'!$B$8:$B$976,0))/12*AF74*BZ74,IF(CA74="Lamp",INDEX('Fixture Codes'!$J$8:$J$976,MATCH(AD74,'Fixture Codes'!$B$8:$B$976,0))*AF74*BZ74,IF(CA74="Fixture",AF74*BZ74,IF(CA74="kWh",BK74*BZ74,0))))),""))</f>
        <v/>
      </c>
      <c r="CG74" s="149" t="str">
        <f t="shared" si="67"/>
        <v/>
      </c>
      <c r="CH74" s="149" t="str">
        <f t="shared" si="68"/>
        <v/>
      </c>
      <c r="CI74" s="152"/>
      <c r="CJ74" s="146"/>
      <c r="CK74" s="241">
        <f>IFERROR(IF(CL74="Yes",'Prescriptive Rebate Table'!$D$69,IF(ISBLANK(AI74),0,IF(AND(AH74=Lookups!$A$62,BK74&gt;0),'Prescriptive Rebate Table'!$D$68,IF(AND(BK74&gt;0,CJ74=AF74),'Prescriptive Rebate Table'!$D$67,IF(AND(BK74&gt;0,CJ74&lt;&gt;AF74),'Prescriptive Rebate Table'!D133,0))))),"")</f>
        <v>0</v>
      </c>
      <c r="CL74" s="240" t="s">
        <v>2712</v>
      </c>
      <c r="CM74" s="152"/>
      <c r="CN74" s="152"/>
      <c r="CO74" s="152"/>
      <c r="CP74" s="146">
        <f t="shared" si="52"/>
        <v>0</v>
      </c>
      <c r="CQ74" s="153">
        <f>IF(D74="Interior",ROUND(($AG74*AF74)/1000*$AM74*(Lookups!$B$54-$AA74)*$AN74*$AO74,3),0)</f>
        <v>0</v>
      </c>
      <c r="CR74" s="153">
        <f>IFERROR(IF(D74="Interior",ROUND(($AG74*$AF74)/1000*(Lookups!$C$54-$AB74)*$AN74*AQ74*AT74,6),0),"")</f>
        <v>0</v>
      </c>
      <c r="CS74" s="165">
        <f t="shared" si="69"/>
        <v>0</v>
      </c>
      <c r="CT74" s="165">
        <f t="shared" si="70"/>
        <v>0</v>
      </c>
      <c r="CV74" s="153"/>
      <c r="CW74" s="153"/>
      <c r="CX74" s="165"/>
      <c r="CY74" s="165"/>
      <c r="DA74" s="153">
        <f>IF(D74="Interior",ROUND(($AG74*AF74*(1-0.15))/1000*$AM74*(Lookups!$B$43+0.097-$AA74)*$AN74*$AO74+((W74*V74)/1000*AN74*AM74*AO74*0.15),3),0)</f>
        <v>0</v>
      </c>
      <c r="DB74" s="153">
        <f>IFERROR(IF(D74="Interior",ROUND(($AG74*$AF74)/1000*(Lookups!$C$43+0.097-$AB74)*$AN74*AQ74*AT74+(($AG74*$AF74)/1000*$AN74*AQ74*AT74*0.15),6),0),"")</f>
        <v>0</v>
      </c>
      <c r="DC74" s="165">
        <f t="shared" si="53"/>
        <v>0</v>
      </c>
      <c r="DD74" s="165">
        <f t="shared" si="54"/>
        <v>0</v>
      </c>
    </row>
    <row r="75" spans="1:108" s="164" customFormat="1">
      <c r="A75" s="150">
        <v>71</v>
      </c>
      <c r="B75" s="153" t="str">
        <f>IFERROR(INDEX(Lookups!$B$2:$B$38,MATCH('Project Info &amp; Summary'!$C$19,Lookups!$A$2:$A$38,0)),"")</f>
        <v/>
      </c>
      <c r="C75" s="153" t="str">
        <f>IFERROR(INDEX(Lookups!$C$2:$C$38,MATCH('Project Info &amp; Summary'!$C$19,Lookups!$A$2:$A$38,0)),"")</f>
        <v/>
      </c>
      <c r="D75" s="163"/>
      <c r="E75" s="160"/>
      <c r="F75" s="158"/>
      <c r="G75" s="158"/>
      <c r="H75" s="158"/>
      <c r="I75" s="158"/>
      <c r="J75" s="154" t="str">
        <f>IFERROR(INDEX(Lookups!$W$21:$W$26,MATCH(I75,Lookups!$V$21:$V$26,0)),"")</f>
        <v/>
      </c>
      <c r="K75" s="158"/>
      <c r="L75" s="162" t="str">
        <f>IFERROR(INDEX(Lookups!$Y$2:$Y$19,MATCH(_xlfn.CONCAT(I75,K75),Lookups!$X$2:$X$19,0)),"")</f>
        <v/>
      </c>
      <c r="M75" s="158"/>
      <c r="N75" s="153" t="str">
        <f>IFERROR(INDEX('Prescriptive Rebate Table'!$M$3:$M$20,MATCH(M75,'Prescriptive Rebate Table'!$L$3:$L$20,0)),"")</f>
        <v/>
      </c>
      <c r="O75" s="158"/>
      <c r="P75" s="154" t="str">
        <f>IFERROR(INDEX('Prescriptive Rebate Table'!$B$2:$H$64, MATCH(O75,'Prescriptive Rebate Table'!$C$2:$C$64,0),7),"")</f>
        <v/>
      </c>
      <c r="Q75" s="155" t="str">
        <f>IFERROR(INDEX('Prescriptive Rebate Table'!$B$2:$I$64, MATCH(O75,'Prescriptive Rebate Table'!$C$2:$C$64,0),8),"")</f>
        <v/>
      </c>
      <c r="R75" s="155" t="str">
        <f>IFERROR(INDEX('Prescriptive Rebate Table'!$B$2:$J$64, MATCH(O75,'Prescriptive Rebate Table'!$C$2:$C$64,0),9),"")</f>
        <v/>
      </c>
      <c r="S75" s="160"/>
      <c r="T75" s="145" t="str">
        <f>IFERROR(INDEX('Fixture Codes'!$M$8:$M$976,MATCH(S75,'Fixture Codes'!$B$8:$B$976,0)),"")</f>
        <v/>
      </c>
      <c r="U75" s="145" t="str">
        <f>IFERROR(INDEX('Fixture Codes'!$B$7:$M$976,MATCH(T75,'Fixture Codes'!$B$7:$B$976,0),5),"")</f>
        <v/>
      </c>
      <c r="V75" s="160"/>
      <c r="W75" s="145" t="str">
        <f>IFERROR(INDEX('Fixture Codes'!$L$8:$L$976,MATCH(T75,'Fixture Codes'!$B$8:$B$976,0)),"")</f>
        <v/>
      </c>
      <c r="X75" s="158"/>
      <c r="Y75" s="159"/>
      <c r="Z75" s="155" t="str">
        <f>IFERROR(INDEX(Lookups!B$68:B$87,MATCH($X75,Lookups!$A$68:$A$87,0)),"")</f>
        <v/>
      </c>
      <c r="AA75" s="150" t="str">
        <f>IFERROR(INDEX(Lookups!B$42:B$62,MATCH($X75,Lookups!$A$42:$A$62,0)),"")</f>
        <v/>
      </c>
      <c r="AB75" s="150" t="str">
        <f>IFERROR(INDEX(Lookups!C$42:C$62,MATCH($X75,Lookups!$A$42:$A$62,0)),"")</f>
        <v/>
      </c>
      <c r="AC75" s="160"/>
      <c r="AD75" s="160"/>
      <c r="AE75" s="150" t="str">
        <f>IFERROR(INDEX('Fixture Codes'!$B$7:$M$976,MATCH(AD75,'Fixture Codes'!$B$7:$B$976,0),5),"")</f>
        <v/>
      </c>
      <c r="AF75" s="160"/>
      <c r="AG75" s="145" t="str">
        <f>IFERROR(INDEX('Fixture Codes'!$L$8:$L$976,MATCH(AD75,'Fixture Codes'!$B$8:$B$976,0)),"")</f>
        <v/>
      </c>
      <c r="AH75" s="158"/>
      <c r="AI75" s="160"/>
      <c r="AJ75" s="150" t="str">
        <f>IFERROR(INDEX(Lookups!B$68:B$87,MATCH($AH75,Lookups!$A$68:$A$87,0)),"")</f>
        <v/>
      </c>
      <c r="AK75" s="150" t="str">
        <f>IFERROR(INDEX(Lookups!B$42:B$62,MATCH($AH75,Lookups!$A$42:$A$62,0)),"")</f>
        <v/>
      </c>
      <c r="AL75" s="150" t="str">
        <f>IFERROR(INDEX(Lookups!C$42:C$62,MATCH($AH75,Lookups!$A$42:$A$62,0)),"")</f>
        <v/>
      </c>
      <c r="AM75" s="150" t="str">
        <f>IFERROR(IF(M75="Exit Signs",8760,IF(INDEX('Fixture Codes'!$C$8:$C$976,MATCH(AD75,'Fixture Codes'!$B$8:$B$976,0))="Exit Sign",8760,INDEX(Lookups!$I$2:$I$428,MATCH(_xlfn.CONCAT(B75,H75),Lookups!$H$2:$H$428,0)))),"")</f>
        <v/>
      </c>
      <c r="AN75" s="153">
        <v>1</v>
      </c>
      <c r="AO75" s="150" t="str">
        <f>IF($D75="Interior",INDEX(Lookups!Q$2:Q$86,MATCH(_xlfn.CONCAT($C75,$L75),Lookups!$P$2:$P$86,0)),IF($D75="Exterior",1,""))</f>
        <v/>
      </c>
      <c r="AP75" s="150">
        <f t="shared" si="55"/>
        <v>1</v>
      </c>
      <c r="AQ75" s="150" t="str">
        <f>IF($D75="Interior",INDEX(Lookups!R$2:R$86,MATCH(_xlfn.CONCAT($C75,$L75),Lookups!$P$2:$P$86,0)),IF($D75="Exterior",1,""))</f>
        <v/>
      </c>
      <c r="AR75" s="150" t="str">
        <f>IF($D75="Interior",INDEX(Lookups!S$2:S$86,MATCH(_xlfn.CONCAT($C75,$L75),Lookups!$P$2:$P$86,0)),IF($D75="Exterior",1,""))</f>
        <v/>
      </c>
      <c r="AS75" s="150" t="str">
        <f>IF($D75="Interior",INDEX(Lookups!T$2:T$86,MATCH(_xlfn.CONCAT($C75,$L75),Lookups!$P$2:$P$86,0)),IF($D75="Exterior",1,""))</f>
        <v/>
      </c>
      <c r="AT75" s="150" t="str">
        <f>IFERROR(IF(M75="Exit Signs",1,IF(INDEX('Fixture Codes'!$C$8:$C$976,MATCH($AD75,'Fixture Codes'!$B$8:$B$976,0))="Exit Sign",1,INDEX(Lookups!J$2:J$428,MATCH(_xlfn.CONCAT($B75,$H75),Lookups!$H$2:$H$428,0)))),"")</f>
        <v/>
      </c>
      <c r="AU75" s="150" t="str">
        <f>IFERROR(IF(M75="Exit Signs",1,IF(INDEX('Fixture Codes'!$C$8:$C$976,MATCH($AD75,'Fixture Codes'!$B$8:$B$976,0))="Exit Sign",1,INDEX(Lookups!K$2:K$428,MATCH(_xlfn.CONCAT($B75,$H75),Lookups!$H$2:$H$428,0)))),"")</f>
        <v/>
      </c>
      <c r="AV75" s="150" t="str">
        <f>IFERROR(IF(M75="Exit Signs",1,IF(INDEX('Fixture Codes'!$C$8:$C$976,MATCH($AD75,'Fixture Codes'!$B$8:$B$976,0))="Exit Sign",1,INDEX(Lookups!L$2:L$428,MATCH(_xlfn.CONCAT($B75,$H75),Lookups!$H$2:$H$428,0)))),"")</f>
        <v/>
      </c>
      <c r="AW75" s="150" t="str">
        <f>IF(ISBLANK(K75),"",IF(K75="Gas",INDEX(Lookups!$AG$2:$AG$63,MATCH(O75,Lookups!$AD$2:$AD$63,0),0),0))</f>
        <v/>
      </c>
      <c r="AX75" s="150" t="str">
        <f>IF(ISBLANK(K75),"",IF(K75="Gas",INDEX(Lookups!$AF$2:$AF$63,MATCH(O75,Lookups!$AD$2:$AD$63,0),0),0))</f>
        <v/>
      </c>
      <c r="AY75" s="150" t="str">
        <f>IF(ISBLANK(K75),"",IF(K75="Gas",INDEX(Lookups!$AH$2:$AH$63,MATCH(O75,Lookups!$AD$2:$AD$63,0),0),0))</f>
        <v/>
      </c>
      <c r="AZ75" s="150" t="str">
        <f>IF(ISBLANK(K75),"",IF(K75="Gas",INDEX(Lookups!$AI$2:$AI$63,MATCH(O75,Lookups!$AD$2:$AD$63,0),0),0))</f>
        <v/>
      </c>
      <c r="BA75" s="150" t="str">
        <f t="shared" si="40"/>
        <v/>
      </c>
      <c r="BB75" s="156" t="str">
        <f>IF(ISBLANK(AH75),"",IF(AH75="None",0,IF(K75="Gas",INDEX(Lookups!$AF$51:$AF$69,MATCH(AH75,Lookups!$AD$51:$AD$69,0),0),0)))</f>
        <v/>
      </c>
      <c r="BC75" s="156" t="str">
        <f>IF(ISBLANK(AH75),"",IF(AH75="None",0,IF(K75="Gas",INDEX(Lookups!$AH$51:$AH$69,MATCH(AH75,Lookups!$AD$51:$AD$69,0),0),0)))</f>
        <v/>
      </c>
      <c r="BD75" s="156" t="str">
        <f>IF(ISBLANK(AH75),"",IF(AH75="None",0,IF(K75="Gas",INDEX(Lookups!$AI$51:$AI$69,MATCH(AH75,Lookups!$AD$51:$AD$69,0),0),0)))</f>
        <v/>
      </c>
      <c r="BE75" s="157"/>
      <c r="BF75" s="157"/>
      <c r="BG75" s="147" t="str">
        <f t="shared" si="56"/>
        <v/>
      </c>
      <c r="BH75" s="147" t="str">
        <f t="shared" si="57"/>
        <v/>
      </c>
      <c r="BI75" s="147" t="str">
        <f t="shared" si="41"/>
        <v/>
      </c>
      <c r="BJ75" s="147" t="str">
        <f t="shared" si="42"/>
        <v/>
      </c>
      <c r="BK75" s="148" t="str">
        <f t="shared" si="58"/>
        <v/>
      </c>
      <c r="BL75" s="147" t="str">
        <f t="shared" si="43"/>
        <v/>
      </c>
      <c r="BM75" s="148" t="str">
        <f t="shared" si="59"/>
        <v/>
      </c>
      <c r="BN75" s="147" t="str">
        <f t="shared" si="60"/>
        <v/>
      </c>
      <c r="BO75" s="147" t="str">
        <f t="shared" si="60"/>
        <v/>
      </c>
      <c r="BP75" s="147" t="str">
        <f t="shared" si="61"/>
        <v/>
      </c>
      <c r="BQ75" s="148" t="str">
        <f t="shared" si="62"/>
        <v/>
      </c>
      <c r="BR75" s="148" t="str">
        <f t="shared" si="63"/>
        <v/>
      </c>
      <c r="BS75" s="148" t="str">
        <f t="shared" si="64"/>
        <v/>
      </c>
      <c r="BT75" s="148" t="str">
        <f t="shared" si="44"/>
        <v/>
      </c>
      <c r="BU75" s="148" t="str">
        <f t="shared" si="45"/>
        <v/>
      </c>
      <c r="BV75" s="148" t="str">
        <f t="shared" si="46"/>
        <v/>
      </c>
      <c r="BW75" s="148" t="str">
        <f t="shared" si="47"/>
        <v/>
      </c>
      <c r="BX75" s="148" t="str">
        <f t="shared" si="48"/>
        <v/>
      </c>
      <c r="BY75" s="148" t="str">
        <f t="shared" si="49"/>
        <v/>
      </c>
      <c r="BZ75" s="149" t="str">
        <f>IFERROR(INDEX('Prescriptive Rebate Table'!$B$2:$E$64,MATCH(O75,'Prescriptive Rebate Table'!$C$2:$C$64,0),3),"")</f>
        <v/>
      </c>
      <c r="CA75" s="145" t="str">
        <f>IFERROR(INDEX('Prescriptive Rebate Table'!$B$2:$E$64,MATCH(O75,'Prescriptive Rebate Table'!$C$2:$C$64,0),4),"")</f>
        <v/>
      </c>
      <c r="CB75" s="149" t="str">
        <f t="shared" si="65"/>
        <v/>
      </c>
      <c r="CC75" s="145" t="str">
        <f t="shared" si="66"/>
        <v/>
      </c>
      <c r="CD75" s="149" t="str">
        <f t="shared" si="50"/>
        <v/>
      </c>
      <c r="CE75" s="149" t="str">
        <f t="shared" si="51"/>
        <v/>
      </c>
      <c r="CF75" s="149" t="str">
        <f>IF(BK75&lt;=0,0,IFERROR(IF(OR(ISBLANK(AC75),ISBLANK(CD75))=TRUE,"",IF(CA75="Per Foot",INDEX('Fixture Codes'!$I$8:$I$976,MATCH(AD75,'Fixture Codes'!$B$8:$B$976,0))/12*AF75*BZ75,IF(CA75="Lamp",INDEX('Fixture Codes'!$J$8:$J$976,MATCH(AD75,'Fixture Codes'!$B$8:$B$976,0))*AF75*BZ75,IF(CA75="Fixture",AF75*BZ75,IF(CA75="kWh",BK75*BZ75,0))))),""))</f>
        <v/>
      </c>
      <c r="CG75" s="149" t="str">
        <f t="shared" si="67"/>
        <v/>
      </c>
      <c r="CH75" s="149" t="str">
        <f t="shared" si="68"/>
        <v/>
      </c>
      <c r="CI75" s="152"/>
      <c r="CJ75" s="146"/>
      <c r="CK75" s="241">
        <f>IFERROR(IF(CL75="Yes",'Prescriptive Rebate Table'!$D$69,IF(ISBLANK(AI75),0,IF(AND(AH75=Lookups!$A$62,BK75&gt;0),'Prescriptive Rebate Table'!$D$68,IF(AND(BK75&gt;0,CJ75=AF75),'Prescriptive Rebate Table'!$D$67,IF(AND(BK75&gt;0,CJ75&lt;&gt;AF75),'Prescriptive Rebate Table'!D134,0))))),"")</f>
        <v>0</v>
      </c>
      <c r="CL75" s="240" t="s">
        <v>2712</v>
      </c>
      <c r="CM75" s="152"/>
      <c r="CN75" s="152"/>
      <c r="CO75" s="152"/>
      <c r="CP75" s="146">
        <f t="shared" si="52"/>
        <v>0</v>
      </c>
      <c r="CQ75" s="153">
        <f>IF(D75="Interior",ROUND(($AG75*AF75)/1000*$AM75*(Lookups!$B$54-$AA75)*$AN75*$AO75,3),0)</f>
        <v>0</v>
      </c>
      <c r="CR75" s="153">
        <f>IFERROR(IF(D75="Interior",ROUND(($AG75*$AF75)/1000*(Lookups!$C$54-$AB75)*$AN75*AQ75*AT75,6),0),"")</f>
        <v>0</v>
      </c>
      <c r="CS75" s="165">
        <f t="shared" si="69"/>
        <v>0</v>
      </c>
      <c r="CT75" s="165">
        <f t="shared" si="70"/>
        <v>0</v>
      </c>
      <c r="CV75" s="153"/>
      <c r="CW75" s="153"/>
      <c r="CX75" s="165"/>
      <c r="CY75" s="165"/>
      <c r="DA75" s="153">
        <f>IF(D75="Interior",ROUND(($AG75*AF75*(1-0.15))/1000*$AM75*(Lookups!$B$43+0.097-$AA75)*$AN75*$AO75+((W75*V75)/1000*AN75*AM75*AO75*0.15),3),0)</f>
        <v>0</v>
      </c>
      <c r="DB75" s="153">
        <f>IFERROR(IF(D75="Interior",ROUND(($AG75*$AF75)/1000*(Lookups!$C$43+0.097-$AB75)*$AN75*AQ75*AT75+(($AG75*$AF75)/1000*$AN75*AQ75*AT75*0.15),6),0),"")</f>
        <v>0</v>
      </c>
      <c r="DC75" s="165">
        <f t="shared" si="53"/>
        <v>0</v>
      </c>
      <c r="DD75" s="165">
        <f t="shared" si="54"/>
        <v>0</v>
      </c>
    </row>
    <row r="76" spans="1:108" s="164" customFormat="1">
      <c r="A76" s="150">
        <v>72</v>
      </c>
      <c r="B76" s="153" t="str">
        <f>IFERROR(INDEX(Lookups!$B$2:$B$38,MATCH('Project Info &amp; Summary'!$C$19,Lookups!$A$2:$A$38,0)),"")</f>
        <v/>
      </c>
      <c r="C76" s="153" t="str">
        <f>IFERROR(INDEX(Lookups!$C$2:$C$38,MATCH('Project Info &amp; Summary'!$C$19,Lookups!$A$2:$A$38,0)),"")</f>
        <v/>
      </c>
      <c r="D76" s="163"/>
      <c r="E76" s="160"/>
      <c r="F76" s="158"/>
      <c r="G76" s="158"/>
      <c r="H76" s="158"/>
      <c r="I76" s="158"/>
      <c r="J76" s="154" t="str">
        <f>IFERROR(INDEX(Lookups!$W$21:$W$26,MATCH(I76,Lookups!$V$21:$V$26,0)),"")</f>
        <v/>
      </c>
      <c r="K76" s="158"/>
      <c r="L76" s="162" t="str">
        <f>IFERROR(INDEX(Lookups!$Y$2:$Y$19,MATCH(_xlfn.CONCAT(I76,K76),Lookups!$X$2:$X$19,0)),"")</f>
        <v/>
      </c>
      <c r="M76" s="158"/>
      <c r="N76" s="153" t="str">
        <f>IFERROR(INDEX('Prescriptive Rebate Table'!$M$3:$M$20,MATCH(M76,'Prescriptive Rebate Table'!$L$3:$L$20,0)),"")</f>
        <v/>
      </c>
      <c r="O76" s="158"/>
      <c r="P76" s="154" t="str">
        <f>IFERROR(INDEX('Prescriptive Rebate Table'!$B$2:$H$64, MATCH(O76,'Prescriptive Rebate Table'!$C$2:$C$64,0),7),"")</f>
        <v/>
      </c>
      <c r="Q76" s="155" t="str">
        <f>IFERROR(INDEX('Prescriptive Rebate Table'!$B$2:$I$64, MATCH(O76,'Prescriptive Rebate Table'!$C$2:$C$64,0),8),"")</f>
        <v/>
      </c>
      <c r="R76" s="155" t="str">
        <f>IFERROR(INDEX('Prescriptive Rebate Table'!$B$2:$J$64, MATCH(O76,'Prescriptive Rebate Table'!$C$2:$C$64,0),9),"")</f>
        <v/>
      </c>
      <c r="S76" s="160"/>
      <c r="T76" s="145" t="str">
        <f>IFERROR(INDEX('Fixture Codes'!$M$8:$M$976,MATCH(S76,'Fixture Codes'!$B$8:$B$976,0)),"")</f>
        <v/>
      </c>
      <c r="U76" s="145" t="str">
        <f>IFERROR(INDEX('Fixture Codes'!$B$7:$M$976,MATCH(T76,'Fixture Codes'!$B$7:$B$976,0),5),"")</f>
        <v/>
      </c>
      <c r="V76" s="160"/>
      <c r="W76" s="145" t="str">
        <f>IFERROR(INDEX('Fixture Codes'!$L$8:$L$976,MATCH(T76,'Fixture Codes'!$B$8:$B$976,0)),"")</f>
        <v/>
      </c>
      <c r="X76" s="158"/>
      <c r="Y76" s="159"/>
      <c r="Z76" s="155" t="str">
        <f>IFERROR(INDEX(Lookups!B$68:B$87,MATCH($X76,Lookups!$A$68:$A$87,0)),"")</f>
        <v/>
      </c>
      <c r="AA76" s="150" t="str">
        <f>IFERROR(INDEX(Lookups!B$42:B$62,MATCH($X76,Lookups!$A$42:$A$62,0)),"")</f>
        <v/>
      </c>
      <c r="AB76" s="150" t="str">
        <f>IFERROR(INDEX(Lookups!C$42:C$62,MATCH($X76,Lookups!$A$42:$A$62,0)),"")</f>
        <v/>
      </c>
      <c r="AC76" s="160"/>
      <c r="AD76" s="160"/>
      <c r="AE76" s="150" t="str">
        <f>IFERROR(INDEX('Fixture Codes'!$B$7:$M$976,MATCH(AD76,'Fixture Codes'!$B$7:$B$976,0),5),"")</f>
        <v/>
      </c>
      <c r="AF76" s="160"/>
      <c r="AG76" s="145" t="str">
        <f>IFERROR(INDEX('Fixture Codes'!$L$8:$L$976,MATCH(AD76,'Fixture Codes'!$B$8:$B$976,0)),"")</f>
        <v/>
      </c>
      <c r="AH76" s="158"/>
      <c r="AI76" s="160"/>
      <c r="AJ76" s="150" t="str">
        <f>IFERROR(INDEX(Lookups!B$68:B$87,MATCH($AH76,Lookups!$A$68:$A$87,0)),"")</f>
        <v/>
      </c>
      <c r="AK76" s="150" t="str">
        <f>IFERROR(INDEX(Lookups!B$42:B$62,MATCH($AH76,Lookups!$A$42:$A$62,0)),"")</f>
        <v/>
      </c>
      <c r="AL76" s="150" t="str">
        <f>IFERROR(INDEX(Lookups!C$42:C$62,MATCH($AH76,Lookups!$A$42:$A$62,0)),"")</f>
        <v/>
      </c>
      <c r="AM76" s="150" t="str">
        <f>IFERROR(IF(M76="Exit Signs",8760,IF(INDEX('Fixture Codes'!$C$8:$C$976,MATCH(AD76,'Fixture Codes'!$B$8:$B$976,0))="Exit Sign",8760,INDEX(Lookups!$I$2:$I$428,MATCH(_xlfn.CONCAT(B76,H76),Lookups!$H$2:$H$428,0)))),"")</f>
        <v/>
      </c>
      <c r="AN76" s="153">
        <v>1</v>
      </c>
      <c r="AO76" s="150" t="str">
        <f>IF($D76="Interior",INDEX(Lookups!Q$2:Q$86,MATCH(_xlfn.CONCAT($C76,$L76),Lookups!$P$2:$P$86,0)),IF($D76="Exterior",1,""))</f>
        <v/>
      </c>
      <c r="AP76" s="150">
        <f t="shared" si="55"/>
        <v>1</v>
      </c>
      <c r="AQ76" s="150" t="str">
        <f>IF($D76="Interior",INDEX(Lookups!R$2:R$86,MATCH(_xlfn.CONCAT($C76,$L76),Lookups!$P$2:$P$86,0)),IF($D76="Exterior",1,""))</f>
        <v/>
      </c>
      <c r="AR76" s="150" t="str">
        <f>IF($D76="Interior",INDEX(Lookups!S$2:S$86,MATCH(_xlfn.CONCAT($C76,$L76),Lookups!$P$2:$P$86,0)),IF($D76="Exterior",1,""))</f>
        <v/>
      </c>
      <c r="AS76" s="150" t="str">
        <f>IF($D76="Interior",INDEX(Lookups!T$2:T$86,MATCH(_xlfn.CONCAT($C76,$L76),Lookups!$P$2:$P$86,0)),IF($D76="Exterior",1,""))</f>
        <v/>
      </c>
      <c r="AT76" s="150" t="str">
        <f>IFERROR(IF(M76="Exit Signs",1,IF(INDEX('Fixture Codes'!$C$8:$C$976,MATCH($AD76,'Fixture Codes'!$B$8:$B$976,0))="Exit Sign",1,INDEX(Lookups!J$2:J$428,MATCH(_xlfn.CONCAT($B76,$H76),Lookups!$H$2:$H$428,0)))),"")</f>
        <v/>
      </c>
      <c r="AU76" s="150" t="str">
        <f>IFERROR(IF(M76="Exit Signs",1,IF(INDEX('Fixture Codes'!$C$8:$C$976,MATCH($AD76,'Fixture Codes'!$B$8:$B$976,0))="Exit Sign",1,INDEX(Lookups!K$2:K$428,MATCH(_xlfn.CONCAT($B76,$H76),Lookups!$H$2:$H$428,0)))),"")</f>
        <v/>
      </c>
      <c r="AV76" s="150" t="str">
        <f>IFERROR(IF(M76="Exit Signs",1,IF(INDEX('Fixture Codes'!$C$8:$C$976,MATCH($AD76,'Fixture Codes'!$B$8:$B$976,0))="Exit Sign",1,INDEX(Lookups!L$2:L$428,MATCH(_xlfn.CONCAT($B76,$H76),Lookups!$H$2:$H$428,0)))),"")</f>
        <v/>
      </c>
      <c r="AW76" s="150" t="str">
        <f>IF(ISBLANK(K76),"",IF(K76="Gas",INDEX(Lookups!$AG$2:$AG$63,MATCH(O76,Lookups!$AD$2:$AD$63,0),0),0))</f>
        <v/>
      </c>
      <c r="AX76" s="150" t="str">
        <f>IF(ISBLANK(K76),"",IF(K76="Gas",INDEX(Lookups!$AF$2:$AF$63,MATCH(O76,Lookups!$AD$2:$AD$63,0),0),0))</f>
        <v/>
      </c>
      <c r="AY76" s="150" t="str">
        <f>IF(ISBLANK(K76),"",IF(K76="Gas",INDEX(Lookups!$AH$2:$AH$63,MATCH(O76,Lookups!$AD$2:$AD$63,0),0),0))</f>
        <v/>
      </c>
      <c r="AZ76" s="150" t="str">
        <f>IF(ISBLANK(K76),"",IF(K76="Gas",INDEX(Lookups!$AI$2:$AI$63,MATCH(O76,Lookups!$AD$2:$AD$63,0),0),0))</f>
        <v/>
      </c>
      <c r="BA76" s="150" t="str">
        <f t="shared" si="40"/>
        <v/>
      </c>
      <c r="BB76" s="156" t="str">
        <f>IF(ISBLANK(AH76),"",IF(AH76="None",0,IF(K76="Gas",INDEX(Lookups!$AF$51:$AF$69,MATCH(AH76,Lookups!$AD$51:$AD$69,0),0),0)))</f>
        <v/>
      </c>
      <c r="BC76" s="156" t="str">
        <f>IF(ISBLANK(AH76),"",IF(AH76="None",0,IF(K76="Gas",INDEX(Lookups!$AH$51:$AH$69,MATCH(AH76,Lookups!$AD$51:$AD$69,0),0),0)))</f>
        <v/>
      </c>
      <c r="BD76" s="156" t="str">
        <f>IF(ISBLANK(AH76),"",IF(AH76="None",0,IF(K76="Gas",INDEX(Lookups!$AI$51:$AI$69,MATCH(AH76,Lookups!$AD$51:$AD$69,0),0),0)))</f>
        <v/>
      </c>
      <c r="BE76" s="157"/>
      <c r="BF76" s="157"/>
      <c r="BG76" s="147" t="str">
        <f t="shared" si="56"/>
        <v/>
      </c>
      <c r="BH76" s="147" t="str">
        <f t="shared" si="57"/>
        <v/>
      </c>
      <c r="BI76" s="147" t="str">
        <f t="shared" si="41"/>
        <v/>
      </c>
      <c r="BJ76" s="147" t="str">
        <f t="shared" si="42"/>
        <v/>
      </c>
      <c r="BK76" s="148" t="str">
        <f t="shared" si="58"/>
        <v/>
      </c>
      <c r="BL76" s="147" t="str">
        <f t="shared" si="43"/>
        <v/>
      </c>
      <c r="BM76" s="148" t="str">
        <f t="shared" si="59"/>
        <v/>
      </c>
      <c r="BN76" s="147" t="str">
        <f t="shared" si="60"/>
        <v/>
      </c>
      <c r="BO76" s="147" t="str">
        <f t="shared" si="60"/>
        <v/>
      </c>
      <c r="BP76" s="147" t="str">
        <f t="shared" si="61"/>
        <v/>
      </c>
      <c r="BQ76" s="148" t="str">
        <f t="shared" si="62"/>
        <v/>
      </c>
      <c r="BR76" s="148" t="str">
        <f t="shared" si="63"/>
        <v/>
      </c>
      <c r="BS76" s="148" t="str">
        <f t="shared" si="64"/>
        <v/>
      </c>
      <c r="BT76" s="148" t="str">
        <f t="shared" si="44"/>
        <v/>
      </c>
      <c r="BU76" s="148" t="str">
        <f t="shared" si="45"/>
        <v/>
      </c>
      <c r="BV76" s="148" t="str">
        <f t="shared" si="46"/>
        <v/>
      </c>
      <c r="BW76" s="148" t="str">
        <f t="shared" si="47"/>
        <v/>
      </c>
      <c r="BX76" s="148" t="str">
        <f t="shared" si="48"/>
        <v/>
      </c>
      <c r="BY76" s="148" t="str">
        <f t="shared" si="49"/>
        <v/>
      </c>
      <c r="BZ76" s="149" t="str">
        <f>IFERROR(INDEX('Prescriptive Rebate Table'!$B$2:$E$64,MATCH(O76,'Prescriptive Rebate Table'!$C$2:$C$64,0),3),"")</f>
        <v/>
      </c>
      <c r="CA76" s="145" t="str">
        <f>IFERROR(INDEX('Prescriptive Rebate Table'!$B$2:$E$64,MATCH(O76,'Prescriptive Rebate Table'!$C$2:$C$64,0),4),"")</f>
        <v/>
      </c>
      <c r="CB76" s="149" t="str">
        <f t="shared" si="65"/>
        <v/>
      </c>
      <c r="CC76" s="145" t="str">
        <f t="shared" si="66"/>
        <v/>
      </c>
      <c r="CD76" s="149" t="str">
        <f t="shared" si="50"/>
        <v/>
      </c>
      <c r="CE76" s="149" t="str">
        <f t="shared" si="51"/>
        <v/>
      </c>
      <c r="CF76" s="149" t="str">
        <f>IF(BK76&lt;=0,0,IFERROR(IF(OR(ISBLANK(AC76),ISBLANK(CD76))=TRUE,"",IF(CA76="Per Foot",INDEX('Fixture Codes'!$I$8:$I$976,MATCH(AD76,'Fixture Codes'!$B$8:$B$976,0))/12*AF76*BZ76,IF(CA76="Lamp",INDEX('Fixture Codes'!$J$8:$J$976,MATCH(AD76,'Fixture Codes'!$B$8:$B$976,0))*AF76*BZ76,IF(CA76="Fixture",AF76*BZ76,IF(CA76="kWh",BK76*BZ76,0))))),""))</f>
        <v/>
      </c>
      <c r="CG76" s="149" t="str">
        <f t="shared" si="67"/>
        <v/>
      </c>
      <c r="CH76" s="149" t="str">
        <f t="shared" si="68"/>
        <v/>
      </c>
      <c r="CI76" s="152"/>
      <c r="CJ76" s="146"/>
      <c r="CK76" s="241">
        <f>IFERROR(IF(CL76="Yes",'Prescriptive Rebate Table'!$D$69,IF(ISBLANK(AI76),0,IF(AND(AH76=Lookups!$A$62,BK76&gt;0),'Prescriptive Rebate Table'!$D$68,IF(AND(BK76&gt;0,CJ76=AF76),'Prescriptive Rebate Table'!$D$67,IF(AND(BK76&gt;0,CJ76&lt;&gt;AF76),'Prescriptive Rebate Table'!D135,0))))),"")</f>
        <v>0</v>
      </c>
      <c r="CL76" s="240" t="s">
        <v>2712</v>
      </c>
      <c r="CM76" s="152"/>
      <c r="CN76" s="152"/>
      <c r="CO76" s="152"/>
      <c r="CP76" s="146">
        <f t="shared" si="52"/>
        <v>0</v>
      </c>
      <c r="CQ76" s="153">
        <f>IF(D76="Interior",ROUND(($AG76*AF76)/1000*$AM76*(Lookups!$B$54-$AA76)*$AN76*$AO76,3),0)</f>
        <v>0</v>
      </c>
      <c r="CR76" s="153">
        <f>IFERROR(IF(D76="Interior",ROUND(($AG76*$AF76)/1000*(Lookups!$C$54-$AB76)*$AN76*AQ76*AT76,6),0),"")</f>
        <v>0</v>
      </c>
      <c r="CS76" s="165">
        <f t="shared" si="69"/>
        <v>0</v>
      </c>
      <c r="CT76" s="165">
        <f t="shared" si="70"/>
        <v>0</v>
      </c>
      <c r="CV76" s="153"/>
      <c r="CW76" s="153"/>
      <c r="CX76" s="165"/>
      <c r="CY76" s="165"/>
      <c r="DA76" s="153">
        <f>IF(D76="Interior",ROUND(($AG76*AF76*(1-0.15))/1000*$AM76*(Lookups!$B$43+0.097-$AA76)*$AN76*$AO76+((W76*V76)/1000*AN76*AM76*AO76*0.15),3),0)</f>
        <v>0</v>
      </c>
      <c r="DB76" s="153">
        <f>IFERROR(IF(D76="Interior",ROUND(($AG76*$AF76)/1000*(Lookups!$C$43+0.097-$AB76)*$AN76*AQ76*AT76+(($AG76*$AF76)/1000*$AN76*AQ76*AT76*0.15),6),0),"")</f>
        <v>0</v>
      </c>
      <c r="DC76" s="165">
        <f t="shared" si="53"/>
        <v>0</v>
      </c>
      <c r="DD76" s="165">
        <f t="shared" si="54"/>
        <v>0</v>
      </c>
    </row>
    <row r="77" spans="1:108" s="164" customFormat="1">
      <c r="A77" s="150">
        <v>73</v>
      </c>
      <c r="B77" s="153" t="str">
        <f>IFERROR(INDEX(Lookups!$B$2:$B$38,MATCH('Project Info &amp; Summary'!$C$19,Lookups!$A$2:$A$38,0)),"")</f>
        <v/>
      </c>
      <c r="C77" s="153" t="str">
        <f>IFERROR(INDEX(Lookups!$C$2:$C$38,MATCH('Project Info &amp; Summary'!$C$19,Lookups!$A$2:$A$38,0)),"")</f>
        <v/>
      </c>
      <c r="D77" s="163"/>
      <c r="E77" s="160"/>
      <c r="F77" s="158"/>
      <c r="G77" s="158"/>
      <c r="H77" s="158"/>
      <c r="I77" s="158"/>
      <c r="J77" s="154" t="str">
        <f>IFERROR(INDEX(Lookups!$W$21:$W$26,MATCH(I77,Lookups!$V$21:$V$26,0)),"")</f>
        <v/>
      </c>
      <c r="K77" s="158"/>
      <c r="L77" s="162" t="str">
        <f>IFERROR(INDEX(Lookups!$Y$2:$Y$19,MATCH(_xlfn.CONCAT(I77,K77),Lookups!$X$2:$X$19,0)),"")</f>
        <v/>
      </c>
      <c r="M77" s="158"/>
      <c r="N77" s="153" t="str">
        <f>IFERROR(INDEX('Prescriptive Rebate Table'!$M$3:$M$20,MATCH(M77,'Prescriptive Rebate Table'!$L$3:$L$20,0)),"")</f>
        <v/>
      </c>
      <c r="O77" s="158"/>
      <c r="P77" s="154" t="str">
        <f>IFERROR(INDEX('Prescriptive Rebate Table'!$B$2:$H$64, MATCH(O77,'Prescriptive Rebate Table'!$C$2:$C$64,0),7),"")</f>
        <v/>
      </c>
      <c r="Q77" s="155" t="str">
        <f>IFERROR(INDEX('Prescriptive Rebate Table'!$B$2:$I$64, MATCH(O77,'Prescriptive Rebate Table'!$C$2:$C$64,0),8),"")</f>
        <v/>
      </c>
      <c r="R77" s="155" t="str">
        <f>IFERROR(INDEX('Prescriptive Rebate Table'!$B$2:$J$64, MATCH(O77,'Prescriptive Rebate Table'!$C$2:$C$64,0),9),"")</f>
        <v/>
      </c>
      <c r="S77" s="160"/>
      <c r="T77" s="145" t="str">
        <f>IFERROR(INDEX('Fixture Codes'!$M$8:$M$976,MATCH(S77,'Fixture Codes'!$B$8:$B$976,0)),"")</f>
        <v/>
      </c>
      <c r="U77" s="145" t="str">
        <f>IFERROR(INDEX('Fixture Codes'!$B$7:$M$976,MATCH(T77,'Fixture Codes'!$B$7:$B$976,0),5),"")</f>
        <v/>
      </c>
      <c r="V77" s="160"/>
      <c r="W77" s="145" t="str">
        <f>IFERROR(INDEX('Fixture Codes'!$L$8:$L$976,MATCH(T77,'Fixture Codes'!$B$8:$B$976,0)),"")</f>
        <v/>
      </c>
      <c r="X77" s="158"/>
      <c r="Y77" s="159"/>
      <c r="Z77" s="155" t="str">
        <f>IFERROR(INDEX(Lookups!B$68:B$87,MATCH($X77,Lookups!$A$68:$A$87,0)),"")</f>
        <v/>
      </c>
      <c r="AA77" s="150" t="str">
        <f>IFERROR(INDEX(Lookups!B$42:B$62,MATCH($X77,Lookups!$A$42:$A$62,0)),"")</f>
        <v/>
      </c>
      <c r="AB77" s="150" t="str">
        <f>IFERROR(INDEX(Lookups!C$42:C$62,MATCH($X77,Lookups!$A$42:$A$62,0)),"")</f>
        <v/>
      </c>
      <c r="AC77" s="160"/>
      <c r="AD77" s="160"/>
      <c r="AE77" s="150" t="str">
        <f>IFERROR(INDEX('Fixture Codes'!$B$7:$M$976,MATCH(AD77,'Fixture Codes'!$B$7:$B$976,0),5),"")</f>
        <v/>
      </c>
      <c r="AF77" s="160"/>
      <c r="AG77" s="145" t="str">
        <f>IFERROR(INDEX('Fixture Codes'!$L$8:$L$976,MATCH(AD77,'Fixture Codes'!$B$8:$B$976,0)),"")</f>
        <v/>
      </c>
      <c r="AH77" s="158"/>
      <c r="AI77" s="160"/>
      <c r="AJ77" s="150" t="str">
        <f>IFERROR(INDEX(Lookups!B$68:B$87,MATCH($AH77,Lookups!$A$68:$A$87,0)),"")</f>
        <v/>
      </c>
      <c r="AK77" s="150" t="str">
        <f>IFERROR(INDEX(Lookups!B$42:B$62,MATCH($AH77,Lookups!$A$42:$A$62,0)),"")</f>
        <v/>
      </c>
      <c r="AL77" s="150" t="str">
        <f>IFERROR(INDEX(Lookups!C$42:C$62,MATCH($AH77,Lookups!$A$42:$A$62,0)),"")</f>
        <v/>
      </c>
      <c r="AM77" s="150" t="str">
        <f>IFERROR(IF(M77="Exit Signs",8760,IF(INDEX('Fixture Codes'!$C$8:$C$976,MATCH(AD77,'Fixture Codes'!$B$8:$B$976,0))="Exit Sign",8760,INDEX(Lookups!$I$2:$I$428,MATCH(_xlfn.CONCAT(B77,H77),Lookups!$H$2:$H$428,0)))),"")</f>
        <v/>
      </c>
      <c r="AN77" s="153">
        <v>1</v>
      </c>
      <c r="AO77" s="150" t="str">
        <f>IF($D77="Interior",INDEX(Lookups!Q$2:Q$86,MATCH(_xlfn.CONCAT($C77,$L77),Lookups!$P$2:$P$86,0)),IF($D77="Exterior",1,""))</f>
        <v/>
      </c>
      <c r="AP77" s="150">
        <f t="shared" si="55"/>
        <v>1</v>
      </c>
      <c r="AQ77" s="150" t="str">
        <f>IF($D77="Interior",INDEX(Lookups!R$2:R$86,MATCH(_xlfn.CONCAT($C77,$L77),Lookups!$P$2:$P$86,0)),IF($D77="Exterior",1,""))</f>
        <v/>
      </c>
      <c r="AR77" s="150" t="str">
        <f>IF($D77="Interior",INDEX(Lookups!S$2:S$86,MATCH(_xlfn.CONCAT($C77,$L77),Lookups!$P$2:$P$86,0)),IF($D77="Exterior",1,""))</f>
        <v/>
      </c>
      <c r="AS77" s="150" t="str">
        <f>IF($D77="Interior",INDEX(Lookups!T$2:T$86,MATCH(_xlfn.CONCAT($C77,$L77),Lookups!$P$2:$P$86,0)),IF($D77="Exterior",1,""))</f>
        <v/>
      </c>
      <c r="AT77" s="150" t="str">
        <f>IFERROR(IF(M77="Exit Signs",1,IF(INDEX('Fixture Codes'!$C$8:$C$976,MATCH($AD77,'Fixture Codes'!$B$8:$B$976,0))="Exit Sign",1,INDEX(Lookups!J$2:J$428,MATCH(_xlfn.CONCAT($B77,$H77),Lookups!$H$2:$H$428,0)))),"")</f>
        <v/>
      </c>
      <c r="AU77" s="150" t="str">
        <f>IFERROR(IF(M77="Exit Signs",1,IF(INDEX('Fixture Codes'!$C$8:$C$976,MATCH($AD77,'Fixture Codes'!$B$8:$B$976,0))="Exit Sign",1,INDEX(Lookups!K$2:K$428,MATCH(_xlfn.CONCAT($B77,$H77),Lookups!$H$2:$H$428,0)))),"")</f>
        <v/>
      </c>
      <c r="AV77" s="150" t="str">
        <f>IFERROR(IF(M77="Exit Signs",1,IF(INDEX('Fixture Codes'!$C$8:$C$976,MATCH($AD77,'Fixture Codes'!$B$8:$B$976,0))="Exit Sign",1,INDEX(Lookups!L$2:L$428,MATCH(_xlfn.CONCAT($B77,$H77),Lookups!$H$2:$H$428,0)))),"")</f>
        <v/>
      </c>
      <c r="AW77" s="150" t="str">
        <f>IF(ISBLANK(K77),"",IF(K77="Gas",INDEX(Lookups!$AG$2:$AG$63,MATCH(O77,Lookups!$AD$2:$AD$63,0),0),0))</f>
        <v/>
      </c>
      <c r="AX77" s="150" t="str">
        <f>IF(ISBLANK(K77),"",IF(K77="Gas",INDEX(Lookups!$AF$2:$AF$63,MATCH(O77,Lookups!$AD$2:$AD$63,0),0),0))</f>
        <v/>
      </c>
      <c r="AY77" s="150" t="str">
        <f>IF(ISBLANK(K77),"",IF(K77="Gas",INDEX(Lookups!$AH$2:$AH$63,MATCH(O77,Lookups!$AD$2:$AD$63,0),0),0))</f>
        <v/>
      </c>
      <c r="AZ77" s="150" t="str">
        <f>IF(ISBLANK(K77),"",IF(K77="Gas",INDEX(Lookups!$AI$2:$AI$63,MATCH(O77,Lookups!$AD$2:$AD$63,0),0),0))</f>
        <v/>
      </c>
      <c r="BA77" s="150" t="str">
        <f t="shared" si="40"/>
        <v/>
      </c>
      <c r="BB77" s="156" t="str">
        <f>IF(ISBLANK(AH77),"",IF(AH77="None",0,IF(K77="Gas",INDEX(Lookups!$AF$51:$AF$69,MATCH(AH77,Lookups!$AD$51:$AD$69,0),0),0)))</f>
        <v/>
      </c>
      <c r="BC77" s="156" t="str">
        <f>IF(ISBLANK(AH77),"",IF(AH77="None",0,IF(K77="Gas",INDEX(Lookups!$AH$51:$AH$69,MATCH(AH77,Lookups!$AD$51:$AD$69,0),0),0)))</f>
        <v/>
      </c>
      <c r="BD77" s="156" t="str">
        <f>IF(ISBLANK(AH77),"",IF(AH77="None",0,IF(K77="Gas",INDEX(Lookups!$AI$51:$AI$69,MATCH(AH77,Lookups!$AD$51:$AD$69,0),0),0)))</f>
        <v/>
      </c>
      <c r="BE77" s="157"/>
      <c r="BF77" s="157"/>
      <c r="BG77" s="147" t="str">
        <f t="shared" si="56"/>
        <v/>
      </c>
      <c r="BH77" s="147" t="str">
        <f t="shared" si="57"/>
        <v/>
      </c>
      <c r="BI77" s="147" t="str">
        <f t="shared" si="41"/>
        <v/>
      </c>
      <c r="BJ77" s="147" t="str">
        <f t="shared" si="42"/>
        <v/>
      </c>
      <c r="BK77" s="148" t="str">
        <f t="shared" si="58"/>
        <v/>
      </c>
      <c r="BL77" s="147" t="str">
        <f t="shared" si="43"/>
        <v/>
      </c>
      <c r="BM77" s="148" t="str">
        <f t="shared" si="59"/>
        <v/>
      </c>
      <c r="BN77" s="147" t="str">
        <f t="shared" si="60"/>
        <v/>
      </c>
      <c r="BO77" s="147" t="str">
        <f t="shared" si="60"/>
        <v/>
      </c>
      <c r="BP77" s="147" t="str">
        <f t="shared" si="61"/>
        <v/>
      </c>
      <c r="BQ77" s="148" t="str">
        <f t="shared" si="62"/>
        <v/>
      </c>
      <c r="BR77" s="148" t="str">
        <f t="shared" si="63"/>
        <v/>
      </c>
      <c r="BS77" s="148" t="str">
        <f t="shared" si="64"/>
        <v/>
      </c>
      <c r="BT77" s="148" t="str">
        <f t="shared" si="44"/>
        <v/>
      </c>
      <c r="BU77" s="148" t="str">
        <f t="shared" si="45"/>
        <v/>
      </c>
      <c r="BV77" s="148" t="str">
        <f t="shared" si="46"/>
        <v/>
      </c>
      <c r="BW77" s="148" t="str">
        <f t="shared" si="47"/>
        <v/>
      </c>
      <c r="BX77" s="148" t="str">
        <f t="shared" si="48"/>
        <v/>
      </c>
      <c r="BY77" s="148" t="str">
        <f t="shared" si="49"/>
        <v/>
      </c>
      <c r="BZ77" s="149" t="str">
        <f>IFERROR(INDEX('Prescriptive Rebate Table'!$B$2:$E$64,MATCH(O77,'Prescriptive Rebate Table'!$C$2:$C$64,0),3),"")</f>
        <v/>
      </c>
      <c r="CA77" s="145" t="str">
        <f>IFERROR(INDEX('Prescriptive Rebate Table'!$B$2:$E$64,MATCH(O77,'Prescriptive Rebate Table'!$C$2:$C$64,0),4),"")</f>
        <v/>
      </c>
      <c r="CB77" s="149" t="str">
        <f t="shared" si="65"/>
        <v/>
      </c>
      <c r="CC77" s="145" t="str">
        <f t="shared" si="66"/>
        <v/>
      </c>
      <c r="CD77" s="149" t="str">
        <f t="shared" si="50"/>
        <v/>
      </c>
      <c r="CE77" s="149" t="str">
        <f t="shared" si="51"/>
        <v/>
      </c>
      <c r="CF77" s="149" t="str">
        <f>IF(BK77&lt;=0,0,IFERROR(IF(OR(ISBLANK(AC77),ISBLANK(CD77))=TRUE,"",IF(CA77="Per Foot",INDEX('Fixture Codes'!$I$8:$I$976,MATCH(AD77,'Fixture Codes'!$B$8:$B$976,0))/12*AF77*BZ77,IF(CA77="Lamp",INDEX('Fixture Codes'!$J$8:$J$976,MATCH(AD77,'Fixture Codes'!$B$8:$B$976,0))*AF77*BZ77,IF(CA77="Fixture",AF77*BZ77,IF(CA77="kWh",BK77*BZ77,0))))),""))</f>
        <v/>
      </c>
      <c r="CG77" s="149" t="str">
        <f t="shared" si="67"/>
        <v/>
      </c>
      <c r="CH77" s="149" t="str">
        <f t="shared" si="68"/>
        <v/>
      </c>
      <c r="CI77" s="152"/>
      <c r="CJ77" s="146"/>
      <c r="CK77" s="241">
        <f>IFERROR(IF(CL77="Yes",'Prescriptive Rebate Table'!$D$69,IF(ISBLANK(AI77),0,IF(AND(AH77=Lookups!$A$62,BK77&gt;0),'Prescriptive Rebate Table'!$D$68,IF(AND(BK77&gt;0,CJ77=AF77),'Prescriptive Rebate Table'!$D$67,IF(AND(BK77&gt;0,CJ77&lt;&gt;AF77),'Prescriptive Rebate Table'!D136,0))))),"")</f>
        <v>0</v>
      </c>
      <c r="CL77" s="240" t="s">
        <v>2712</v>
      </c>
      <c r="CM77" s="152"/>
      <c r="CN77" s="152"/>
      <c r="CO77" s="152"/>
      <c r="CP77" s="146">
        <f t="shared" si="52"/>
        <v>0</v>
      </c>
      <c r="CQ77" s="153">
        <f>IF(D77="Interior",ROUND(($AG77*AF77)/1000*$AM77*(Lookups!$B$54-$AA77)*$AN77*$AO77,3),0)</f>
        <v>0</v>
      </c>
      <c r="CR77" s="153">
        <f>IFERROR(IF(D77="Interior",ROUND(($AG77*$AF77)/1000*(Lookups!$C$54-$AB77)*$AN77*AQ77*AT77,6),0),"")</f>
        <v>0</v>
      </c>
      <c r="CS77" s="165">
        <f t="shared" si="69"/>
        <v>0</v>
      </c>
      <c r="CT77" s="165">
        <f t="shared" si="70"/>
        <v>0</v>
      </c>
      <c r="CV77" s="153"/>
      <c r="CW77" s="153"/>
      <c r="CX77" s="165"/>
      <c r="CY77" s="165"/>
      <c r="DA77" s="153">
        <f>IF(D77="Interior",ROUND(($AG77*AF77*(1-0.15))/1000*$AM77*(Lookups!$B$43+0.097-$AA77)*$AN77*$AO77+((W77*V77)/1000*AN77*AM77*AO77*0.15),3),0)</f>
        <v>0</v>
      </c>
      <c r="DB77" s="153">
        <f>IFERROR(IF(D77="Interior",ROUND(($AG77*$AF77)/1000*(Lookups!$C$43+0.097-$AB77)*$AN77*AQ77*AT77+(($AG77*$AF77)/1000*$AN77*AQ77*AT77*0.15),6),0),"")</f>
        <v>0</v>
      </c>
      <c r="DC77" s="165">
        <f t="shared" si="53"/>
        <v>0</v>
      </c>
      <c r="DD77" s="165">
        <f t="shared" si="54"/>
        <v>0</v>
      </c>
    </row>
    <row r="78" spans="1:108" s="164" customFormat="1">
      <c r="A78" s="150">
        <v>74</v>
      </c>
      <c r="B78" s="153" t="str">
        <f>IFERROR(INDEX(Lookups!$B$2:$B$38,MATCH('Project Info &amp; Summary'!$C$19,Lookups!$A$2:$A$38,0)),"")</f>
        <v/>
      </c>
      <c r="C78" s="153" t="str">
        <f>IFERROR(INDEX(Lookups!$C$2:$C$38,MATCH('Project Info &amp; Summary'!$C$19,Lookups!$A$2:$A$38,0)),"")</f>
        <v/>
      </c>
      <c r="D78" s="163"/>
      <c r="E78" s="160"/>
      <c r="F78" s="158"/>
      <c r="G78" s="158"/>
      <c r="H78" s="158"/>
      <c r="I78" s="158"/>
      <c r="J78" s="154" t="str">
        <f>IFERROR(INDEX(Lookups!$W$21:$W$26,MATCH(I78,Lookups!$V$21:$V$26,0)),"")</f>
        <v/>
      </c>
      <c r="K78" s="158"/>
      <c r="L78" s="162" t="str">
        <f>IFERROR(INDEX(Lookups!$Y$2:$Y$19,MATCH(_xlfn.CONCAT(I78,K78),Lookups!$X$2:$X$19,0)),"")</f>
        <v/>
      </c>
      <c r="M78" s="158"/>
      <c r="N78" s="153" t="str">
        <f>IFERROR(INDEX('Prescriptive Rebate Table'!$M$3:$M$20,MATCH(M78,'Prescriptive Rebate Table'!$L$3:$L$20,0)),"")</f>
        <v/>
      </c>
      <c r="O78" s="158"/>
      <c r="P78" s="154" t="str">
        <f>IFERROR(INDEX('Prescriptive Rebate Table'!$B$2:$H$64, MATCH(O78,'Prescriptive Rebate Table'!$C$2:$C$64,0),7),"")</f>
        <v/>
      </c>
      <c r="Q78" s="155" t="str">
        <f>IFERROR(INDEX('Prescriptive Rebate Table'!$B$2:$I$64, MATCH(O78,'Prescriptive Rebate Table'!$C$2:$C$64,0),8),"")</f>
        <v/>
      </c>
      <c r="R78" s="155" t="str">
        <f>IFERROR(INDEX('Prescriptive Rebate Table'!$B$2:$J$64, MATCH(O78,'Prescriptive Rebate Table'!$C$2:$C$64,0),9),"")</f>
        <v/>
      </c>
      <c r="S78" s="160"/>
      <c r="T78" s="145" t="str">
        <f>IFERROR(INDEX('Fixture Codes'!$M$8:$M$976,MATCH(S78,'Fixture Codes'!$B$8:$B$976,0)),"")</f>
        <v/>
      </c>
      <c r="U78" s="145" t="str">
        <f>IFERROR(INDEX('Fixture Codes'!$B$7:$M$976,MATCH(T78,'Fixture Codes'!$B$7:$B$976,0),5),"")</f>
        <v/>
      </c>
      <c r="V78" s="160"/>
      <c r="W78" s="145" t="str">
        <f>IFERROR(INDEX('Fixture Codes'!$L$8:$L$976,MATCH(T78,'Fixture Codes'!$B$8:$B$976,0)),"")</f>
        <v/>
      </c>
      <c r="X78" s="158"/>
      <c r="Y78" s="159"/>
      <c r="Z78" s="155" t="str">
        <f>IFERROR(INDEX(Lookups!B$68:B$87,MATCH($X78,Lookups!$A$68:$A$87,0)),"")</f>
        <v/>
      </c>
      <c r="AA78" s="150" t="str">
        <f>IFERROR(INDEX(Lookups!B$42:B$62,MATCH($X78,Lookups!$A$42:$A$62,0)),"")</f>
        <v/>
      </c>
      <c r="AB78" s="150" t="str">
        <f>IFERROR(INDEX(Lookups!C$42:C$62,MATCH($X78,Lookups!$A$42:$A$62,0)),"")</f>
        <v/>
      </c>
      <c r="AC78" s="160"/>
      <c r="AD78" s="160"/>
      <c r="AE78" s="150" t="str">
        <f>IFERROR(INDEX('Fixture Codes'!$B$7:$M$976,MATCH(AD78,'Fixture Codes'!$B$7:$B$976,0),5),"")</f>
        <v/>
      </c>
      <c r="AF78" s="160"/>
      <c r="AG78" s="145" t="str">
        <f>IFERROR(INDEX('Fixture Codes'!$L$8:$L$976,MATCH(AD78,'Fixture Codes'!$B$8:$B$976,0)),"")</f>
        <v/>
      </c>
      <c r="AH78" s="158"/>
      <c r="AI78" s="160"/>
      <c r="AJ78" s="150" t="str">
        <f>IFERROR(INDEX(Lookups!B$68:B$87,MATCH($AH78,Lookups!$A$68:$A$87,0)),"")</f>
        <v/>
      </c>
      <c r="AK78" s="150" t="str">
        <f>IFERROR(INDEX(Lookups!B$42:B$62,MATCH($AH78,Lookups!$A$42:$A$62,0)),"")</f>
        <v/>
      </c>
      <c r="AL78" s="150" t="str">
        <f>IFERROR(INDEX(Lookups!C$42:C$62,MATCH($AH78,Lookups!$A$42:$A$62,0)),"")</f>
        <v/>
      </c>
      <c r="AM78" s="150" t="str">
        <f>IFERROR(IF(M78="Exit Signs",8760,IF(INDEX('Fixture Codes'!$C$8:$C$976,MATCH(AD78,'Fixture Codes'!$B$8:$B$976,0))="Exit Sign",8760,INDEX(Lookups!$I$2:$I$428,MATCH(_xlfn.CONCAT(B78,H78),Lookups!$H$2:$H$428,0)))),"")</f>
        <v/>
      </c>
      <c r="AN78" s="153">
        <v>1</v>
      </c>
      <c r="AO78" s="150" t="str">
        <f>IF($D78="Interior",INDEX(Lookups!Q$2:Q$86,MATCH(_xlfn.CONCAT($C78,$L78),Lookups!$P$2:$P$86,0)),IF($D78="Exterior",1,""))</f>
        <v/>
      </c>
      <c r="AP78" s="150">
        <f t="shared" si="55"/>
        <v>1</v>
      </c>
      <c r="AQ78" s="150" t="str">
        <f>IF($D78="Interior",INDEX(Lookups!R$2:R$86,MATCH(_xlfn.CONCAT($C78,$L78),Lookups!$P$2:$P$86,0)),IF($D78="Exterior",1,""))</f>
        <v/>
      </c>
      <c r="AR78" s="150" t="str">
        <f>IF($D78="Interior",INDEX(Lookups!S$2:S$86,MATCH(_xlfn.CONCAT($C78,$L78),Lookups!$P$2:$P$86,0)),IF($D78="Exterior",1,""))</f>
        <v/>
      </c>
      <c r="AS78" s="150" t="str">
        <f>IF($D78="Interior",INDEX(Lookups!T$2:T$86,MATCH(_xlfn.CONCAT($C78,$L78),Lookups!$P$2:$P$86,0)),IF($D78="Exterior",1,""))</f>
        <v/>
      </c>
      <c r="AT78" s="150" t="str">
        <f>IFERROR(IF(M78="Exit Signs",1,IF(INDEX('Fixture Codes'!$C$8:$C$976,MATCH($AD78,'Fixture Codes'!$B$8:$B$976,0))="Exit Sign",1,INDEX(Lookups!J$2:J$428,MATCH(_xlfn.CONCAT($B78,$H78),Lookups!$H$2:$H$428,0)))),"")</f>
        <v/>
      </c>
      <c r="AU78" s="150" t="str">
        <f>IFERROR(IF(M78="Exit Signs",1,IF(INDEX('Fixture Codes'!$C$8:$C$976,MATCH($AD78,'Fixture Codes'!$B$8:$B$976,0))="Exit Sign",1,INDEX(Lookups!K$2:K$428,MATCH(_xlfn.CONCAT($B78,$H78),Lookups!$H$2:$H$428,0)))),"")</f>
        <v/>
      </c>
      <c r="AV78" s="150" t="str">
        <f>IFERROR(IF(M78="Exit Signs",1,IF(INDEX('Fixture Codes'!$C$8:$C$976,MATCH($AD78,'Fixture Codes'!$B$8:$B$976,0))="Exit Sign",1,INDEX(Lookups!L$2:L$428,MATCH(_xlfn.CONCAT($B78,$H78),Lookups!$H$2:$H$428,0)))),"")</f>
        <v/>
      </c>
      <c r="AW78" s="150" t="str">
        <f>IF(ISBLANK(K78),"",IF(K78="Gas",INDEX(Lookups!$AG$2:$AG$63,MATCH(O78,Lookups!$AD$2:$AD$63,0),0),0))</f>
        <v/>
      </c>
      <c r="AX78" s="150" t="str">
        <f>IF(ISBLANK(K78),"",IF(K78="Gas",INDEX(Lookups!$AF$2:$AF$63,MATCH(O78,Lookups!$AD$2:$AD$63,0),0),0))</f>
        <v/>
      </c>
      <c r="AY78" s="150" t="str">
        <f>IF(ISBLANK(K78),"",IF(K78="Gas",INDEX(Lookups!$AH$2:$AH$63,MATCH(O78,Lookups!$AD$2:$AD$63,0),0),0))</f>
        <v/>
      </c>
      <c r="AZ78" s="150" t="str">
        <f>IF(ISBLANK(K78),"",IF(K78="Gas",INDEX(Lookups!$AI$2:$AI$63,MATCH(O78,Lookups!$AD$2:$AD$63,0),0),0))</f>
        <v/>
      </c>
      <c r="BA78" s="150" t="str">
        <f t="shared" si="40"/>
        <v/>
      </c>
      <c r="BB78" s="156" t="str">
        <f>IF(ISBLANK(AH78),"",IF(AH78="None",0,IF(K78="Gas",INDEX(Lookups!$AF$51:$AF$69,MATCH(AH78,Lookups!$AD$51:$AD$69,0),0),0)))</f>
        <v/>
      </c>
      <c r="BC78" s="156" t="str">
        <f>IF(ISBLANK(AH78),"",IF(AH78="None",0,IF(K78="Gas",INDEX(Lookups!$AH$51:$AH$69,MATCH(AH78,Lookups!$AD$51:$AD$69,0),0),0)))</f>
        <v/>
      </c>
      <c r="BD78" s="156" t="str">
        <f>IF(ISBLANK(AH78),"",IF(AH78="None",0,IF(K78="Gas",INDEX(Lookups!$AI$51:$AI$69,MATCH(AH78,Lookups!$AD$51:$AD$69,0),0),0)))</f>
        <v/>
      </c>
      <c r="BE78" s="157"/>
      <c r="BF78" s="157"/>
      <c r="BG78" s="147" t="str">
        <f t="shared" si="56"/>
        <v/>
      </c>
      <c r="BH78" s="147" t="str">
        <f t="shared" si="57"/>
        <v/>
      </c>
      <c r="BI78" s="147" t="str">
        <f t="shared" si="41"/>
        <v/>
      </c>
      <c r="BJ78" s="147" t="str">
        <f t="shared" si="42"/>
        <v/>
      </c>
      <c r="BK78" s="148" t="str">
        <f t="shared" si="58"/>
        <v/>
      </c>
      <c r="BL78" s="147" t="str">
        <f t="shared" si="43"/>
        <v/>
      </c>
      <c r="BM78" s="148" t="str">
        <f t="shared" si="59"/>
        <v/>
      </c>
      <c r="BN78" s="147" t="str">
        <f t="shared" si="60"/>
        <v/>
      </c>
      <c r="BO78" s="147" t="str">
        <f t="shared" si="60"/>
        <v/>
      </c>
      <c r="BP78" s="147" t="str">
        <f t="shared" si="61"/>
        <v/>
      </c>
      <c r="BQ78" s="148" t="str">
        <f t="shared" si="62"/>
        <v/>
      </c>
      <c r="BR78" s="148" t="str">
        <f t="shared" si="63"/>
        <v/>
      </c>
      <c r="BS78" s="148" t="str">
        <f t="shared" si="64"/>
        <v/>
      </c>
      <c r="BT78" s="148" t="str">
        <f t="shared" si="44"/>
        <v/>
      </c>
      <c r="BU78" s="148" t="str">
        <f t="shared" si="45"/>
        <v/>
      </c>
      <c r="BV78" s="148" t="str">
        <f t="shared" si="46"/>
        <v/>
      </c>
      <c r="BW78" s="148" t="str">
        <f t="shared" si="47"/>
        <v/>
      </c>
      <c r="BX78" s="148" t="str">
        <f t="shared" si="48"/>
        <v/>
      </c>
      <c r="BY78" s="148" t="str">
        <f t="shared" si="49"/>
        <v/>
      </c>
      <c r="BZ78" s="149" t="str">
        <f>IFERROR(INDEX('Prescriptive Rebate Table'!$B$2:$E$64,MATCH(O78,'Prescriptive Rebate Table'!$C$2:$C$64,0),3),"")</f>
        <v/>
      </c>
      <c r="CA78" s="145" t="str">
        <f>IFERROR(INDEX('Prescriptive Rebate Table'!$B$2:$E$64,MATCH(O78,'Prescriptive Rebate Table'!$C$2:$C$64,0),4),"")</f>
        <v/>
      </c>
      <c r="CB78" s="149" t="str">
        <f t="shared" si="65"/>
        <v/>
      </c>
      <c r="CC78" s="145" t="str">
        <f t="shared" si="66"/>
        <v/>
      </c>
      <c r="CD78" s="149" t="str">
        <f t="shared" si="50"/>
        <v/>
      </c>
      <c r="CE78" s="149" t="str">
        <f t="shared" si="51"/>
        <v/>
      </c>
      <c r="CF78" s="149" t="str">
        <f>IF(BK78&lt;=0,0,IFERROR(IF(OR(ISBLANK(AC78),ISBLANK(CD78))=TRUE,"",IF(CA78="Per Foot",INDEX('Fixture Codes'!$I$8:$I$976,MATCH(AD78,'Fixture Codes'!$B$8:$B$976,0))/12*AF78*BZ78,IF(CA78="Lamp",INDEX('Fixture Codes'!$J$8:$J$976,MATCH(AD78,'Fixture Codes'!$B$8:$B$976,0))*AF78*BZ78,IF(CA78="Fixture",AF78*BZ78,IF(CA78="kWh",BK78*BZ78,0))))),""))</f>
        <v/>
      </c>
      <c r="CG78" s="149" t="str">
        <f t="shared" si="67"/>
        <v/>
      </c>
      <c r="CH78" s="149" t="str">
        <f t="shared" si="68"/>
        <v/>
      </c>
      <c r="CI78" s="152"/>
      <c r="CJ78" s="146"/>
      <c r="CK78" s="241">
        <f>IFERROR(IF(CL78="Yes",'Prescriptive Rebate Table'!$D$69,IF(ISBLANK(AI78),0,IF(AND(AH78=Lookups!$A$62,BK78&gt;0),'Prescriptive Rebate Table'!$D$68,IF(AND(BK78&gt;0,CJ78=AF78),'Prescriptive Rebate Table'!$D$67,IF(AND(BK78&gt;0,CJ78&lt;&gt;AF78),'Prescriptive Rebate Table'!D137,0))))),"")</f>
        <v>0</v>
      </c>
      <c r="CL78" s="240" t="s">
        <v>2712</v>
      </c>
      <c r="CM78" s="152"/>
      <c r="CN78" s="152"/>
      <c r="CO78" s="152"/>
      <c r="CP78" s="146">
        <f t="shared" si="52"/>
        <v>0</v>
      </c>
      <c r="CQ78" s="153">
        <f>IF(D78="Interior",ROUND(($AG78*AF78)/1000*$AM78*(Lookups!$B$54-$AA78)*$AN78*$AO78,3),0)</f>
        <v>0</v>
      </c>
      <c r="CR78" s="153">
        <f>IFERROR(IF(D78="Interior",ROUND(($AG78*$AF78)/1000*(Lookups!$C$54-$AB78)*$AN78*AQ78*AT78,6),0),"")</f>
        <v>0</v>
      </c>
      <c r="CS78" s="165">
        <f t="shared" si="69"/>
        <v>0</v>
      </c>
      <c r="CT78" s="165">
        <f t="shared" si="70"/>
        <v>0</v>
      </c>
      <c r="CV78" s="153"/>
      <c r="CW78" s="153"/>
      <c r="CX78" s="165"/>
      <c r="CY78" s="165"/>
      <c r="DA78" s="153">
        <f>IF(D78="Interior",ROUND(($AG78*AF78*(1-0.15))/1000*$AM78*(Lookups!$B$43+0.097-$AA78)*$AN78*$AO78+((W78*V78)/1000*AN78*AM78*AO78*0.15),3),0)</f>
        <v>0</v>
      </c>
      <c r="DB78" s="153">
        <f>IFERROR(IF(D78="Interior",ROUND(($AG78*$AF78)/1000*(Lookups!$C$43+0.097-$AB78)*$AN78*AQ78*AT78+(($AG78*$AF78)/1000*$AN78*AQ78*AT78*0.15),6),0),"")</f>
        <v>0</v>
      </c>
      <c r="DC78" s="165">
        <f t="shared" si="53"/>
        <v>0</v>
      </c>
      <c r="DD78" s="165">
        <f t="shared" si="54"/>
        <v>0</v>
      </c>
    </row>
    <row r="79" spans="1:108" s="164" customFormat="1">
      <c r="A79" s="150">
        <v>75</v>
      </c>
      <c r="B79" s="153" t="str">
        <f>IFERROR(INDEX(Lookups!$B$2:$B$38,MATCH('Project Info &amp; Summary'!$C$19,Lookups!$A$2:$A$38,0)),"")</f>
        <v/>
      </c>
      <c r="C79" s="153" t="str">
        <f>IFERROR(INDEX(Lookups!$C$2:$C$38,MATCH('Project Info &amp; Summary'!$C$19,Lookups!$A$2:$A$38,0)),"")</f>
        <v/>
      </c>
      <c r="D79" s="163"/>
      <c r="E79" s="160"/>
      <c r="F79" s="158"/>
      <c r="G79" s="158"/>
      <c r="H79" s="158"/>
      <c r="I79" s="158"/>
      <c r="J79" s="154" t="str">
        <f>IFERROR(INDEX(Lookups!$W$21:$W$26,MATCH(I79,Lookups!$V$21:$V$26,0)),"")</f>
        <v/>
      </c>
      <c r="K79" s="158"/>
      <c r="L79" s="162" t="str">
        <f>IFERROR(INDEX(Lookups!$Y$2:$Y$19,MATCH(_xlfn.CONCAT(I79,K79),Lookups!$X$2:$X$19,0)),"")</f>
        <v/>
      </c>
      <c r="M79" s="158"/>
      <c r="N79" s="153" t="str">
        <f>IFERROR(INDEX('Prescriptive Rebate Table'!$M$3:$M$20,MATCH(M79,'Prescriptive Rebate Table'!$L$3:$L$20,0)),"")</f>
        <v/>
      </c>
      <c r="O79" s="158"/>
      <c r="P79" s="154" t="str">
        <f>IFERROR(INDEX('Prescriptive Rebate Table'!$B$2:$H$64, MATCH(O79,'Prescriptive Rebate Table'!$C$2:$C$64,0),7),"")</f>
        <v/>
      </c>
      <c r="Q79" s="155" t="str">
        <f>IFERROR(INDEX('Prescriptive Rebate Table'!$B$2:$I$64, MATCH(O79,'Prescriptive Rebate Table'!$C$2:$C$64,0),8),"")</f>
        <v/>
      </c>
      <c r="R79" s="155" t="str">
        <f>IFERROR(INDEX('Prescriptive Rebate Table'!$B$2:$J$64, MATCH(O79,'Prescriptive Rebate Table'!$C$2:$C$64,0),9),"")</f>
        <v/>
      </c>
      <c r="S79" s="160"/>
      <c r="T79" s="145" t="str">
        <f>IFERROR(INDEX('Fixture Codes'!$M$8:$M$976,MATCH(S79,'Fixture Codes'!$B$8:$B$976,0)),"")</f>
        <v/>
      </c>
      <c r="U79" s="145" t="str">
        <f>IFERROR(INDEX('Fixture Codes'!$B$7:$M$976,MATCH(T79,'Fixture Codes'!$B$7:$B$976,0),5),"")</f>
        <v/>
      </c>
      <c r="V79" s="160"/>
      <c r="W79" s="145" t="str">
        <f>IFERROR(INDEX('Fixture Codes'!$L$8:$L$976,MATCH(T79,'Fixture Codes'!$B$8:$B$976,0)),"")</f>
        <v/>
      </c>
      <c r="X79" s="158"/>
      <c r="Y79" s="159"/>
      <c r="Z79" s="155" t="str">
        <f>IFERROR(INDEX(Lookups!B$68:B$87,MATCH($X79,Lookups!$A$68:$A$87,0)),"")</f>
        <v/>
      </c>
      <c r="AA79" s="150" t="str">
        <f>IFERROR(INDEX(Lookups!B$42:B$62,MATCH($X79,Lookups!$A$42:$A$62,0)),"")</f>
        <v/>
      </c>
      <c r="AB79" s="150" t="str">
        <f>IFERROR(INDEX(Lookups!C$42:C$62,MATCH($X79,Lookups!$A$42:$A$62,0)),"")</f>
        <v/>
      </c>
      <c r="AC79" s="160"/>
      <c r="AD79" s="160"/>
      <c r="AE79" s="150" t="str">
        <f>IFERROR(INDEX('Fixture Codes'!$B$7:$M$976,MATCH(AD79,'Fixture Codes'!$B$7:$B$976,0),5),"")</f>
        <v/>
      </c>
      <c r="AF79" s="160"/>
      <c r="AG79" s="145" t="str">
        <f>IFERROR(INDEX('Fixture Codes'!$L$8:$L$976,MATCH(AD79,'Fixture Codes'!$B$8:$B$976,0)),"")</f>
        <v/>
      </c>
      <c r="AH79" s="158"/>
      <c r="AI79" s="160"/>
      <c r="AJ79" s="150" t="str">
        <f>IFERROR(INDEX(Lookups!B$68:B$87,MATCH($AH79,Lookups!$A$68:$A$87,0)),"")</f>
        <v/>
      </c>
      <c r="AK79" s="150" t="str">
        <f>IFERROR(INDEX(Lookups!B$42:B$62,MATCH($AH79,Lookups!$A$42:$A$62,0)),"")</f>
        <v/>
      </c>
      <c r="AL79" s="150" t="str">
        <f>IFERROR(INDEX(Lookups!C$42:C$62,MATCH($AH79,Lookups!$A$42:$A$62,0)),"")</f>
        <v/>
      </c>
      <c r="AM79" s="150" t="str">
        <f>IFERROR(IF(M79="Exit Signs",8760,IF(INDEX('Fixture Codes'!$C$8:$C$976,MATCH(AD79,'Fixture Codes'!$B$8:$B$976,0))="Exit Sign",8760,INDEX(Lookups!$I$2:$I$428,MATCH(_xlfn.CONCAT(B79,H79),Lookups!$H$2:$H$428,0)))),"")</f>
        <v/>
      </c>
      <c r="AN79" s="153">
        <v>1</v>
      </c>
      <c r="AO79" s="150" t="str">
        <f>IF($D79="Interior",INDEX(Lookups!Q$2:Q$86,MATCH(_xlfn.CONCAT($C79,$L79),Lookups!$P$2:$P$86,0)),IF($D79="Exterior",1,""))</f>
        <v/>
      </c>
      <c r="AP79" s="150">
        <f t="shared" si="55"/>
        <v>1</v>
      </c>
      <c r="AQ79" s="150" t="str">
        <f>IF($D79="Interior",INDEX(Lookups!R$2:R$86,MATCH(_xlfn.CONCAT($C79,$L79),Lookups!$P$2:$P$86,0)),IF($D79="Exterior",1,""))</f>
        <v/>
      </c>
      <c r="AR79" s="150" t="str">
        <f>IF($D79="Interior",INDEX(Lookups!S$2:S$86,MATCH(_xlfn.CONCAT($C79,$L79),Lookups!$P$2:$P$86,0)),IF($D79="Exterior",1,""))</f>
        <v/>
      </c>
      <c r="AS79" s="150" t="str">
        <f>IF($D79="Interior",INDEX(Lookups!T$2:T$86,MATCH(_xlfn.CONCAT($C79,$L79),Lookups!$P$2:$P$86,0)),IF($D79="Exterior",1,""))</f>
        <v/>
      </c>
      <c r="AT79" s="150" t="str">
        <f>IFERROR(IF(M79="Exit Signs",1,IF(INDEX('Fixture Codes'!$C$8:$C$976,MATCH($AD79,'Fixture Codes'!$B$8:$B$976,0))="Exit Sign",1,INDEX(Lookups!J$2:J$428,MATCH(_xlfn.CONCAT($B79,$H79),Lookups!$H$2:$H$428,0)))),"")</f>
        <v/>
      </c>
      <c r="AU79" s="150" t="str">
        <f>IFERROR(IF(M79="Exit Signs",1,IF(INDEX('Fixture Codes'!$C$8:$C$976,MATCH($AD79,'Fixture Codes'!$B$8:$B$976,0))="Exit Sign",1,INDEX(Lookups!K$2:K$428,MATCH(_xlfn.CONCAT($B79,$H79),Lookups!$H$2:$H$428,0)))),"")</f>
        <v/>
      </c>
      <c r="AV79" s="150" t="str">
        <f>IFERROR(IF(M79="Exit Signs",1,IF(INDEX('Fixture Codes'!$C$8:$C$976,MATCH($AD79,'Fixture Codes'!$B$8:$B$976,0))="Exit Sign",1,INDEX(Lookups!L$2:L$428,MATCH(_xlfn.CONCAT($B79,$H79),Lookups!$H$2:$H$428,0)))),"")</f>
        <v/>
      </c>
      <c r="AW79" s="150" t="str">
        <f>IF(ISBLANK(K79),"",IF(K79="Gas",INDEX(Lookups!$AG$2:$AG$63,MATCH(O79,Lookups!$AD$2:$AD$63,0),0),0))</f>
        <v/>
      </c>
      <c r="AX79" s="150" t="str">
        <f>IF(ISBLANK(K79),"",IF(K79="Gas",INDEX(Lookups!$AF$2:$AF$63,MATCH(O79,Lookups!$AD$2:$AD$63,0),0),0))</f>
        <v/>
      </c>
      <c r="AY79" s="150" t="str">
        <f>IF(ISBLANK(K79),"",IF(K79="Gas",INDEX(Lookups!$AH$2:$AH$63,MATCH(O79,Lookups!$AD$2:$AD$63,0),0),0))</f>
        <v/>
      </c>
      <c r="AZ79" s="150" t="str">
        <f>IF(ISBLANK(K79),"",IF(K79="Gas",INDEX(Lookups!$AI$2:$AI$63,MATCH(O79,Lookups!$AD$2:$AD$63,0),0),0))</f>
        <v/>
      </c>
      <c r="BA79" s="150" t="str">
        <f t="shared" si="40"/>
        <v/>
      </c>
      <c r="BB79" s="156" t="str">
        <f>IF(ISBLANK(AH79),"",IF(AH79="None",0,IF(K79="Gas",INDEX(Lookups!$AF$51:$AF$69,MATCH(AH79,Lookups!$AD$51:$AD$69,0),0),0)))</f>
        <v/>
      </c>
      <c r="BC79" s="156" t="str">
        <f>IF(ISBLANK(AH79),"",IF(AH79="None",0,IF(K79="Gas",INDEX(Lookups!$AH$51:$AH$69,MATCH(AH79,Lookups!$AD$51:$AD$69,0),0),0)))</f>
        <v/>
      </c>
      <c r="BD79" s="156" t="str">
        <f>IF(ISBLANK(AH79),"",IF(AH79="None",0,IF(K79="Gas",INDEX(Lookups!$AI$51:$AI$69,MATCH(AH79,Lookups!$AD$51:$AD$69,0),0),0)))</f>
        <v/>
      </c>
      <c r="BE79" s="157"/>
      <c r="BF79" s="157"/>
      <c r="BG79" s="147" t="str">
        <f t="shared" si="56"/>
        <v/>
      </c>
      <c r="BH79" s="147" t="str">
        <f t="shared" si="57"/>
        <v/>
      </c>
      <c r="BI79" s="147" t="str">
        <f t="shared" si="41"/>
        <v/>
      </c>
      <c r="BJ79" s="147" t="str">
        <f t="shared" si="42"/>
        <v/>
      </c>
      <c r="BK79" s="148" t="str">
        <f t="shared" si="58"/>
        <v/>
      </c>
      <c r="BL79" s="147" t="str">
        <f t="shared" si="43"/>
        <v/>
      </c>
      <c r="BM79" s="148" t="str">
        <f t="shared" si="59"/>
        <v/>
      </c>
      <c r="BN79" s="147" t="str">
        <f t="shared" si="60"/>
        <v/>
      </c>
      <c r="BO79" s="147" t="str">
        <f t="shared" si="60"/>
        <v/>
      </c>
      <c r="BP79" s="147" t="str">
        <f t="shared" si="61"/>
        <v/>
      </c>
      <c r="BQ79" s="148" t="str">
        <f t="shared" si="62"/>
        <v/>
      </c>
      <c r="BR79" s="148" t="str">
        <f t="shared" si="63"/>
        <v/>
      </c>
      <c r="BS79" s="148" t="str">
        <f t="shared" si="64"/>
        <v/>
      </c>
      <c r="BT79" s="148" t="str">
        <f t="shared" si="44"/>
        <v/>
      </c>
      <c r="BU79" s="148" t="str">
        <f t="shared" si="45"/>
        <v/>
      </c>
      <c r="BV79" s="148" t="str">
        <f t="shared" si="46"/>
        <v/>
      </c>
      <c r="BW79" s="148" t="str">
        <f t="shared" si="47"/>
        <v/>
      </c>
      <c r="BX79" s="148" t="str">
        <f t="shared" si="48"/>
        <v/>
      </c>
      <c r="BY79" s="148" t="str">
        <f t="shared" si="49"/>
        <v/>
      </c>
      <c r="BZ79" s="149" t="str">
        <f>IFERROR(INDEX('Prescriptive Rebate Table'!$B$2:$E$64,MATCH(O79,'Prescriptive Rebate Table'!$C$2:$C$64,0),3),"")</f>
        <v/>
      </c>
      <c r="CA79" s="145" t="str">
        <f>IFERROR(INDEX('Prescriptive Rebate Table'!$B$2:$E$64,MATCH(O79,'Prescriptive Rebate Table'!$C$2:$C$64,0),4),"")</f>
        <v/>
      </c>
      <c r="CB79" s="149" t="str">
        <f t="shared" si="65"/>
        <v/>
      </c>
      <c r="CC79" s="145" t="str">
        <f t="shared" si="66"/>
        <v/>
      </c>
      <c r="CD79" s="149" t="str">
        <f t="shared" si="50"/>
        <v/>
      </c>
      <c r="CE79" s="149" t="str">
        <f t="shared" si="51"/>
        <v/>
      </c>
      <c r="CF79" s="149" t="str">
        <f>IF(BK79&lt;=0,0,IFERROR(IF(OR(ISBLANK(AC79),ISBLANK(CD79))=TRUE,"",IF(CA79="Per Foot",INDEX('Fixture Codes'!$I$8:$I$976,MATCH(AD79,'Fixture Codes'!$B$8:$B$976,0))/12*AF79*BZ79,IF(CA79="Lamp",INDEX('Fixture Codes'!$J$8:$J$976,MATCH(AD79,'Fixture Codes'!$B$8:$B$976,0))*AF79*BZ79,IF(CA79="Fixture",AF79*BZ79,IF(CA79="kWh",BK79*BZ79,0))))),""))</f>
        <v/>
      </c>
      <c r="CG79" s="149" t="str">
        <f t="shared" si="67"/>
        <v/>
      </c>
      <c r="CH79" s="149" t="str">
        <f t="shared" si="68"/>
        <v/>
      </c>
      <c r="CI79" s="152"/>
      <c r="CJ79" s="146"/>
      <c r="CK79" s="241">
        <f>IFERROR(IF(CL79="Yes",'Prescriptive Rebate Table'!$D$69,IF(ISBLANK(AI79),0,IF(AND(AH79=Lookups!$A$62,BK79&gt;0),'Prescriptive Rebate Table'!$D$68,IF(AND(BK79&gt;0,CJ79=AF79),'Prescriptive Rebate Table'!$D$67,IF(AND(BK79&gt;0,CJ79&lt;&gt;AF79),'Prescriptive Rebate Table'!D138,0))))),"")</f>
        <v>0</v>
      </c>
      <c r="CL79" s="240" t="s">
        <v>2712</v>
      </c>
      <c r="CM79" s="152"/>
      <c r="CN79" s="152"/>
      <c r="CO79" s="152"/>
      <c r="CP79" s="146">
        <f t="shared" si="52"/>
        <v>0</v>
      </c>
      <c r="CQ79" s="153">
        <f>IF(D79="Interior",ROUND(($AG79*AF79)/1000*$AM79*(Lookups!$B$54-$AA79)*$AN79*$AO79,3),0)</f>
        <v>0</v>
      </c>
      <c r="CR79" s="153">
        <f>IFERROR(IF(D79="Interior",ROUND(($AG79*$AF79)/1000*(Lookups!$C$54-$AB79)*$AN79*AQ79*AT79,6),0),"")</f>
        <v>0</v>
      </c>
      <c r="CS79" s="165">
        <f t="shared" si="69"/>
        <v>0</v>
      </c>
      <c r="CT79" s="165">
        <f t="shared" si="70"/>
        <v>0</v>
      </c>
      <c r="CV79" s="153"/>
      <c r="CW79" s="153"/>
      <c r="CX79" s="165"/>
      <c r="CY79" s="165"/>
      <c r="DA79" s="153">
        <f>IF(D79="Interior",ROUND(($AG79*AF79*(1-0.15))/1000*$AM79*(Lookups!$B$43+0.097-$AA79)*$AN79*$AO79+((W79*V79)/1000*AN79*AM79*AO79*0.15),3),0)</f>
        <v>0</v>
      </c>
      <c r="DB79" s="153">
        <f>IFERROR(IF(D79="Interior",ROUND(($AG79*$AF79)/1000*(Lookups!$C$43+0.097-$AB79)*$AN79*AQ79*AT79+(($AG79*$AF79)/1000*$AN79*AQ79*AT79*0.15),6),0),"")</f>
        <v>0</v>
      </c>
      <c r="DC79" s="165">
        <f t="shared" si="53"/>
        <v>0</v>
      </c>
      <c r="DD79" s="165">
        <f t="shared" si="54"/>
        <v>0</v>
      </c>
    </row>
    <row r="80" spans="1:108" s="164" customFormat="1">
      <c r="A80" s="150">
        <v>76</v>
      </c>
      <c r="B80" s="153" t="str">
        <f>IFERROR(INDEX(Lookups!$B$2:$B$38,MATCH('Project Info &amp; Summary'!$C$19,Lookups!$A$2:$A$38,0)),"")</f>
        <v/>
      </c>
      <c r="C80" s="153" t="str">
        <f>IFERROR(INDEX(Lookups!$C$2:$C$38,MATCH('Project Info &amp; Summary'!$C$19,Lookups!$A$2:$A$38,0)),"")</f>
        <v/>
      </c>
      <c r="D80" s="163"/>
      <c r="E80" s="160"/>
      <c r="F80" s="158"/>
      <c r="G80" s="158"/>
      <c r="H80" s="158"/>
      <c r="I80" s="158"/>
      <c r="J80" s="154" t="str">
        <f>IFERROR(INDEX(Lookups!$W$21:$W$26,MATCH(I80,Lookups!$V$21:$V$26,0)),"")</f>
        <v/>
      </c>
      <c r="K80" s="158"/>
      <c r="L80" s="162" t="str">
        <f>IFERROR(INDEX(Lookups!$Y$2:$Y$19,MATCH(_xlfn.CONCAT(I80,K80),Lookups!$X$2:$X$19,0)),"")</f>
        <v/>
      </c>
      <c r="M80" s="158"/>
      <c r="N80" s="153" t="str">
        <f>IFERROR(INDEX('Prescriptive Rebate Table'!$M$3:$M$20,MATCH(M80,'Prescriptive Rebate Table'!$L$3:$L$20,0)),"")</f>
        <v/>
      </c>
      <c r="O80" s="158"/>
      <c r="P80" s="154" t="str">
        <f>IFERROR(INDEX('Prescriptive Rebate Table'!$B$2:$H$64, MATCH(O80,'Prescriptive Rebate Table'!$C$2:$C$64,0),7),"")</f>
        <v/>
      </c>
      <c r="Q80" s="155" t="str">
        <f>IFERROR(INDEX('Prescriptive Rebate Table'!$B$2:$I$64, MATCH(O80,'Prescriptive Rebate Table'!$C$2:$C$64,0),8),"")</f>
        <v/>
      </c>
      <c r="R80" s="155" t="str">
        <f>IFERROR(INDEX('Prescriptive Rebate Table'!$B$2:$J$64, MATCH(O80,'Prescriptive Rebate Table'!$C$2:$C$64,0),9),"")</f>
        <v/>
      </c>
      <c r="S80" s="160"/>
      <c r="T80" s="145" t="str">
        <f>IFERROR(INDEX('Fixture Codes'!$M$8:$M$976,MATCH(S80,'Fixture Codes'!$B$8:$B$976,0)),"")</f>
        <v/>
      </c>
      <c r="U80" s="145" t="str">
        <f>IFERROR(INDEX('Fixture Codes'!$B$7:$M$976,MATCH(T80,'Fixture Codes'!$B$7:$B$976,0),5),"")</f>
        <v/>
      </c>
      <c r="V80" s="160"/>
      <c r="W80" s="145" t="str">
        <f>IFERROR(INDEX('Fixture Codes'!$L$8:$L$976,MATCH(T80,'Fixture Codes'!$B$8:$B$976,0)),"")</f>
        <v/>
      </c>
      <c r="X80" s="158"/>
      <c r="Y80" s="159"/>
      <c r="Z80" s="155" t="str">
        <f>IFERROR(INDEX(Lookups!B$68:B$87,MATCH($X80,Lookups!$A$68:$A$87,0)),"")</f>
        <v/>
      </c>
      <c r="AA80" s="150" t="str">
        <f>IFERROR(INDEX(Lookups!B$42:B$62,MATCH($X80,Lookups!$A$42:$A$62,0)),"")</f>
        <v/>
      </c>
      <c r="AB80" s="150" t="str">
        <f>IFERROR(INDEX(Lookups!C$42:C$62,MATCH($X80,Lookups!$A$42:$A$62,0)),"")</f>
        <v/>
      </c>
      <c r="AC80" s="160"/>
      <c r="AD80" s="160"/>
      <c r="AE80" s="150" t="str">
        <f>IFERROR(INDEX('Fixture Codes'!$B$7:$M$976,MATCH(AD80,'Fixture Codes'!$B$7:$B$976,0),5),"")</f>
        <v/>
      </c>
      <c r="AF80" s="160"/>
      <c r="AG80" s="145" t="str">
        <f>IFERROR(INDEX('Fixture Codes'!$L$8:$L$976,MATCH(AD80,'Fixture Codes'!$B$8:$B$976,0)),"")</f>
        <v/>
      </c>
      <c r="AH80" s="158"/>
      <c r="AI80" s="160"/>
      <c r="AJ80" s="150" t="str">
        <f>IFERROR(INDEX(Lookups!B$68:B$87,MATCH($AH80,Lookups!$A$68:$A$87,0)),"")</f>
        <v/>
      </c>
      <c r="AK80" s="150" t="str">
        <f>IFERROR(INDEX(Lookups!B$42:B$62,MATCH($AH80,Lookups!$A$42:$A$62,0)),"")</f>
        <v/>
      </c>
      <c r="AL80" s="150" t="str">
        <f>IFERROR(INDEX(Lookups!C$42:C$62,MATCH($AH80,Lookups!$A$42:$A$62,0)),"")</f>
        <v/>
      </c>
      <c r="AM80" s="150" t="str">
        <f>IFERROR(IF(M80="Exit Signs",8760,IF(INDEX('Fixture Codes'!$C$8:$C$976,MATCH(AD80,'Fixture Codes'!$B$8:$B$976,0))="Exit Sign",8760,INDEX(Lookups!$I$2:$I$428,MATCH(_xlfn.CONCAT(B80,H80),Lookups!$H$2:$H$428,0)))),"")</f>
        <v/>
      </c>
      <c r="AN80" s="153">
        <v>1</v>
      </c>
      <c r="AO80" s="150" t="str">
        <f>IF($D80="Interior",INDEX(Lookups!Q$2:Q$86,MATCH(_xlfn.CONCAT($C80,$L80),Lookups!$P$2:$P$86,0)),IF($D80="Exterior",1,""))</f>
        <v/>
      </c>
      <c r="AP80" s="150">
        <f t="shared" si="55"/>
        <v>1</v>
      </c>
      <c r="AQ80" s="150" t="str">
        <f>IF($D80="Interior",INDEX(Lookups!R$2:R$86,MATCH(_xlfn.CONCAT($C80,$L80),Lookups!$P$2:$P$86,0)),IF($D80="Exterior",1,""))</f>
        <v/>
      </c>
      <c r="AR80" s="150" t="str">
        <f>IF($D80="Interior",INDEX(Lookups!S$2:S$86,MATCH(_xlfn.CONCAT($C80,$L80),Lookups!$P$2:$P$86,0)),IF($D80="Exterior",1,""))</f>
        <v/>
      </c>
      <c r="AS80" s="150" t="str">
        <f>IF($D80="Interior",INDEX(Lookups!T$2:T$86,MATCH(_xlfn.CONCAT($C80,$L80),Lookups!$P$2:$P$86,0)),IF($D80="Exterior",1,""))</f>
        <v/>
      </c>
      <c r="AT80" s="150" t="str">
        <f>IFERROR(IF(M80="Exit Signs",1,IF(INDEX('Fixture Codes'!$C$8:$C$976,MATCH($AD80,'Fixture Codes'!$B$8:$B$976,0))="Exit Sign",1,INDEX(Lookups!J$2:J$428,MATCH(_xlfn.CONCAT($B80,$H80),Lookups!$H$2:$H$428,0)))),"")</f>
        <v/>
      </c>
      <c r="AU80" s="150" t="str">
        <f>IFERROR(IF(M80="Exit Signs",1,IF(INDEX('Fixture Codes'!$C$8:$C$976,MATCH($AD80,'Fixture Codes'!$B$8:$B$976,0))="Exit Sign",1,INDEX(Lookups!K$2:K$428,MATCH(_xlfn.CONCAT($B80,$H80),Lookups!$H$2:$H$428,0)))),"")</f>
        <v/>
      </c>
      <c r="AV80" s="150" t="str">
        <f>IFERROR(IF(M80="Exit Signs",1,IF(INDEX('Fixture Codes'!$C$8:$C$976,MATCH($AD80,'Fixture Codes'!$B$8:$B$976,0))="Exit Sign",1,INDEX(Lookups!L$2:L$428,MATCH(_xlfn.CONCAT($B80,$H80),Lookups!$H$2:$H$428,0)))),"")</f>
        <v/>
      </c>
      <c r="AW80" s="150" t="str">
        <f>IF(ISBLANK(K80),"",IF(K80="Gas",INDEX(Lookups!$AG$2:$AG$63,MATCH(O80,Lookups!$AD$2:$AD$63,0),0),0))</f>
        <v/>
      </c>
      <c r="AX80" s="150" t="str">
        <f>IF(ISBLANK(K80),"",IF(K80="Gas",INDEX(Lookups!$AF$2:$AF$63,MATCH(O80,Lookups!$AD$2:$AD$63,0),0),0))</f>
        <v/>
      </c>
      <c r="AY80" s="150" t="str">
        <f>IF(ISBLANK(K80),"",IF(K80="Gas",INDEX(Lookups!$AH$2:$AH$63,MATCH(O80,Lookups!$AD$2:$AD$63,0),0),0))</f>
        <v/>
      </c>
      <c r="AZ80" s="150" t="str">
        <f>IF(ISBLANK(K80),"",IF(K80="Gas",INDEX(Lookups!$AI$2:$AI$63,MATCH(O80,Lookups!$AD$2:$AD$63,0),0),0))</f>
        <v/>
      </c>
      <c r="BA80" s="150" t="str">
        <f t="shared" si="40"/>
        <v/>
      </c>
      <c r="BB80" s="156" t="str">
        <f>IF(ISBLANK(AH80),"",IF(AH80="None",0,IF(K80="Gas",INDEX(Lookups!$AF$51:$AF$69,MATCH(AH80,Lookups!$AD$51:$AD$69,0),0),0)))</f>
        <v/>
      </c>
      <c r="BC80" s="156" t="str">
        <f>IF(ISBLANK(AH80),"",IF(AH80="None",0,IF(K80="Gas",INDEX(Lookups!$AH$51:$AH$69,MATCH(AH80,Lookups!$AD$51:$AD$69,0),0),0)))</f>
        <v/>
      </c>
      <c r="BD80" s="156" t="str">
        <f>IF(ISBLANK(AH80),"",IF(AH80="None",0,IF(K80="Gas",INDEX(Lookups!$AI$51:$AI$69,MATCH(AH80,Lookups!$AD$51:$AD$69,0),0),0)))</f>
        <v/>
      </c>
      <c r="BE80" s="157"/>
      <c r="BF80" s="157"/>
      <c r="BG80" s="147" t="str">
        <f t="shared" si="56"/>
        <v/>
      </c>
      <c r="BH80" s="147" t="str">
        <f t="shared" si="57"/>
        <v/>
      </c>
      <c r="BI80" s="147" t="str">
        <f t="shared" si="41"/>
        <v/>
      </c>
      <c r="BJ80" s="147" t="str">
        <f t="shared" si="42"/>
        <v/>
      </c>
      <c r="BK80" s="148" t="str">
        <f t="shared" si="58"/>
        <v/>
      </c>
      <c r="BL80" s="147" t="str">
        <f t="shared" si="43"/>
        <v/>
      </c>
      <c r="BM80" s="148" t="str">
        <f t="shared" si="59"/>
        <v/>
      </c>
      <c r="BN80" s="147" t="str">
        <f t="shared" si="60"/>
        <v/>
      </c>
      <c r="BO80" s="147" t="str">
        <f t="shared" si="60"/>
        <v/>
      </c>
      <c r="BP80" s="147" t="str">
        <f t="shared" si="61"/>
        <v/>
      </c>
      <c r="BQ80" s="148" t="str">
        <f t="shared" si="62"/>
        <v/>
      </c>
      <c r="BR80" s="148" t="str">
        <f t="shared" si="63"/>
        <v/>
      </c>
      <c r="BS80" s="148" t="str">
        <f t="shared" si="64"/>
        <v/>
      </c>
      <c r="BT80" s="148" t="str">
        <f t="shared" si="44"/>
        <v/>
      </c>
      <c r="BU80" s="148" t="str">
        <f t="shared" si="45"/>
        <v/>
      </c>
      <c r="BV80" s="148" t="str">
        <f t="shared" si="46"/>
        <v/>
      </c>
      <c r="BW80" s="148" t="str">
        <f t="shared" si="47"/>
        <v/>
      </c>
      <c r="BX80" s="148" t="str">
        <f t="shared" si="48"/>
        <v/>
      </c>
      <c r="BY80" s="148" t="str">
        <f t="shared" si="49"/>
        <v/>
      </c>
      <c r="BZ80" s="149" t="str">
        <f>IFERROR(INDEX('Prescriptive Rebate Table'!$B$2:$E$64,MATCH(O80,'Prescriptive Rebate Table'!$C$2:$C$64,0),3),"")</f>
        <v/>
      </c>
      <c r="CA80" s="145" t="str">
        <f>IFERROR(INDEX('Prescriptive Rebate Table'!$B$2:$E$64,MATCH(O80,'Prescriptive Rebate Table'!$C$2:$C$64,0),4),"")</f>
        <v/>
      </c>
      <c r="CB80" s="149" t="str">
        <f t="shared" si="65"/>
        <v/>
      </c>
      <c r="CC80" s="145" t="str">
        <f t="shared" si="66"/>
        <v/>
      </c>
      <c r="CD80" s="149" t="str">
        <f t="shared" si="50"/>
        <v/>
      </c>
      <c r="CE80" s="149" t="str">
        <f t="shared" si="51"/>
        <v/>
      </c>
      <c r="CF80" s="149" t="str">
        <f>IF(BK80&lt;=0,0,IFERROR(IF(OR(ISBLANK(AC80),ISBLANK(CD80))=TRUE,"",IF(CA80="Per Foot",INDEX('Fixture Codes'!$I$8:$I$976,MATCH(AD80,'Fixture Codes'!$B$8:$B$976,0))/12*AF80*BZ80,IF(CA80="Lamp",INDEX('Fixture Codes'!$J$8:$J$976,MATCH(AD80,'Fixture Codes'!$B$8:$B$976,0))*AF80*BZ80,IF(CA80="Fixture",AF80*BZ80,IF(CA80="kWh",BK80*BZ80,0))))),""))</f>
        <v/>
      </c>
      <c r="CG80" s="149" t="str">
        <f t="shared" si="67"/>
        <v/>
      </c>
      <c r="CH80" s="149" t="str">
        <f t="shared" si="68"/>
        <v/>
      </c>
      <c r="CI80" s="152"/>
      <c r="CJ80" s="146"/>
      <c r="CK80" s="241">
        <f>IFERROR(IF(CL80="Yes",'Prescriptive Rebate Table'!$D$69,IF(ISBLANK(AI80),0,IF(AND(AH80=Lookups!$A$62,BK80&gt;0),'Prescriptive Rebate Table'!$D$68,IF(AND(BK80&gt;0,CJ80=AF80),'Prescriptive Rebate Table'!$D$67,IF(AND(BK80&gt;0,CJ80&lt;&gt;AF80),'Prescriptive Rebate Table'!D139,0))))),"")</f>
        <v>0</v>
      </c>
      <c r="CL80" s="240" t="s">
        <v>2712</v>
      </c>
      <c r="CM80" s="152"/>
      <c r="CN80" s="152"/>
      <c r="CO80" s="152"/>
      <c r="CP80" s="146">
        <f t="shared" si="52"/>
        <v>0</v>
      </c>
      <c r="CQ80" s="153">
        <f>IF(D80="Interior",ROUND(($AG80*AF80)/1000*$AM80*(Lookups!$B$54-$AA80)*$AN80*$AO80,3),0)</f>
        <v>0</v>
      </c>
      <c r="CR80" s="153">
        <f>IFERROR(IF(D80="Interior",ROUND(($AG80*$AF80)/1000*(Lookups!$C$54-$AB80)*$AN80*AQ80*AT80,6),0),"")</f>
        <v>0</v>
      </c>
      <c r="CS80" s="165">
        <f t="shared" si="69"/>
        <v>0</v>
      </c>
      <c r="CT80" s="165">
        <f t="shared" si="70"/>
        <v>0</v>
      </c>
      <c r="CV80" s="153"/>
      <c r="CW80" s="153"/>
      <c r="CX80" s="165"/>
      <c r="CY80" s="165"/>
      <c r="DA80" s="153">
        <f>IF(D80="Interior",ROUND(($AG80*AF80*(1-0.15))/1000*$AM80*(Lookups!$B$43+0.097-$AA80)*$AN80*$AO80+((W80*V80)/1000*AN80*AM80*AO80*0.15),3),0)</f>
        <v>0</v>
      </c>
      <c r="DB80" s="153">
        <f>IFERROR(IF(D80="Interior",ROUND(($AG80*$AF80)/1000*(Lookups!$C$43+0.097-$AB80)*$AN80*AQ80*AT80+(($AG80*$AF80)/1000*$AN80*AQ80*AT80*0.15),6),0),"")</f>
        <v>0</v>
      </c>
      <c r="DC80" s="165">
        <f t="shared" si="53"/>
        <v>0</v>
      </c>
      <c r="DD80" s="165">
        <f t="shared" si="54"/>
        <v>0</v>
      </c>
    </row>
    <row r="81" spans="1:108" s="164" customFormat="1">
      <c r="A81" s="150">
        <v>77</v>
      </c>
      <c r="B81" s="153" t="str">
        <f>IFERROR(INDEX(Lookups!$B$2:$B$38,MATCH('Project Info &amp; Summary'!$C$19,Lookups!$A$2:$A$38,0)),"")</f>
        <v/>
      </c>
      <c r="C81" s="153" t="str">
        <f>IFERROR(INDEX(Lookups!$C$2:$C$38,MATCH('Project Info &amp; Summary'!$C$19,Lookups!$A$2:$A$38,0)),"")</f>
        <v/>
      </c>
      <c r="D81" s="163"/>
      <c r="E81" s="160"/>
      <c r="F81" s="158"/>
      <c r="G81" s="158"/>
      <c r="H81" s="158"/>
      <c r="I81" s="158"/>
      <c r="J81" s="154" t="str">
        <f>IFERROR(INDEX(Lookups!$W$21:$W$26,MATCH(I81,Lookups!$V$21:$V$26,0)),"")</f>
        <v/>
      </c>
      <c r="K81" s="158"/>
      <c r="L81" s="162" t="str">
        <f>IFERROR(INDEX(Lookups!$Y$2:$Y$19,MATCH(_xlfn.CONCAT(I81,K81),Lookups!$X$2:$X$19,0)),"")</f>
        <v/>
      </c>
      <c r="M81" s="158"/>
      <c r="N81" s="153" t="str">
        <f>IFERROR(INDEX('Prescriptive Rebate Table'!$M$3:$M$20,MATCH(M81,'Prescriptive Rebate Table'!$L$3:$L$20,0)),"")</f>
        <v/>
      </c>
      <c r="O81" s="158"/>
      <c r="P81" s="154" t="str">
        <f>IFERROR(INDEX('Prescriptive Rebate Table'!$B$2:$H$64, MATCH(O81,'Prescriptive Rebate Table'!$C$2:$C$64,0),7),"")</f>
        <v/>
      </c>
      <c r="Q81" s="155" t="str">
        <f>IFERROR(INDEX('Prescriptive Rebate Table'!$B$2:$I$64, MATCH(O81,'Prescriptive Rebate Table'!$C$2:$C$64,0),8),"")</f>
        <v/>
      </c>
      <c r="R81" s="155" t="str">
        <f>IFERROR(INDEX('Prescriptive Rebate Table'!$B$2:$J$64, MATCH(O81,'Prescriptive Rebate Table'!$C$2:$C$64,0),9),"")</f>
        <v/>
      </c>
      <c r="S81" s="160"/>
      <c r="T81" s="145" t="str">
        <f>IFERROR(INDEX('Fixture Codes'!$M$8:$M$976,MATCH(S81,'Fixture Codes'!$B$8:$B$976,0)),"")</f>
        <v/>
      </c>
      <c r="U81" s="145" t="str">
        <f>IFERROR(INDEX('Fixture Codes'!$B$7:$M$976,MATCH(T81,'Fixture Codes'!$B$7:$B$976,0),5),"")</f>
        <v/>
      </c>
      <c r="V81" s="160"/>
      <c r="W81" s="145" t="str">
        <f>IFERROR(INDEX('Fixture Codes'!$L$8:$L$976,MATCH(T81,'Fixture Codes'!$B$8:$B$976,0)),"")</f>
        <v/>
      </c>
      <c r="X81" s="158"/>
      <c r="Y81" s="159"/>
      <c r="Z81" s="155" t="str">
        <f>IFERROR(INDEX(Lookups!B$68:B$87,MATCH($X81,Lookups!$A$68:$A$87,0)),"")</f>
        <v/>
      </c>
      <c r="AA81" s="150" t="str">
        <f>IFERROR(INDEX(Lookups!B$42:B$62,MATCH($X81,Lookups!$A$42:$A$62,0)),"")</f>
        <v/>
      </c>
      <c r="AB81" s="150" t="str">
        <f>IFERROR(INDEX(Lookups!C$42:C$62,MATCH($X81,Lookups!$A$42:$A$62,0)),"")</f>
        <v/>
      </c>
      <c r="AC81" s="160"/>
      <c r="AD81" s="160"/>
      <c r="AE81" s="150" t="str">
        <f>IFERROR(INDEX('Fixture Codes'!$B$7:$M$976,MATCH(AD81,'Fixture Codes'!$B$7:$B$976,0),5),"")</f>
        <v/>
      </c>
      <c r="AF81" s="160"/>
      <c r="AG81" s="145" t="str">
        <f>IFERROR(INDEX('Fixture Codes'!$L$8:$L$976,MATCH(AD81,'Fixture Codes'!$B$8:$B$976,0)),"")</f>
        <v/>
      </c>
      <c r="AH81" s="158"/>
      <c r="AI81" s="160"/>
      <c r="AJ81" s="150" t="str">
        <f>IFERROR(INDEX(Lookups!B$68:B$87,MATCH($AH81,Lookups!$A$68:$A$87,0)),"")</f>
        <v/>
      </c>
      <c r="AK81" s="150" t="str">
        <f>IFERROR(INDEX(Lookups!B$42:B$62,MATCH($AH81,Lookups!$A$42:$A$62,0)),"")</f>
        <v/>
      </c>
      <c r="AL81" s="150" t="str">
        <f>IFERROR(INDEX(Lookups!C$42:C$62,MATCH($AH81,Lookups!$A$42:$A$62,0)),"")</f>
        <v/>
      </c>
      <c r="AM81" s="150" t="str">
        <f>IFERROR(IF(M81="Exit Signs",8760,IF(INDEX('Fixture Codes'!$C$8:$C$976,MATCH(AD81,'Fixture Codes'!$B$8:$B$976,0))="Exit Sign",8760,INDEX(Lookups!$I$2:$I$428,MATCH(_xlfn.CONCAT(B81,H81),Lookups!$H$2:$H$428,0)))),"")</f>
        <v/>
      </c>
      <c r="AN81" s="153">
        <v>1</v>
      </c>
      <c r="AO81" s="150" t="str">
        <f>IF($D81="Interior",INDEX(Lookups!Q$2:Q$86,MATCH(_xlfn.CONCAT($C81,$L81),Lookups!$P$2:$P$86,0)),IF($D81="Exterior",1,""))</f>
        <v/>
      </c>
      <c r="AP81" s="150">
        <f t="shared" si="55"/>
        <v>1</v>
      </c>
      <c r="AQ81" s="150" t="str">
        <f>IF($D81="Interior",INDEX(Lookups!R$2:R$86,MATCH(_xlfn.CONCAT($C81,$L81),Lookups!$P$2:$P$86,0)),IF($D81="Exterior",1,""))</f>
        <v/>
      </c>
      <c r="AR81" s="150" t="str">
        <f>IF($D81="Interior",INDEX(Lookups!S$2:S$86,MATCH(_xlfn.CONCAT($C81,$L81),Lookups!$P$2:$P$86,0)),IF($D81="Exterior",1,""))</f>
        <v/>
      </c>
      <c r="AS81" s="150" t="str">
        <f>IF($D81="Interior",INDEX(Lookups!T$2:T$86,MATCH(_xlfn.CONCAT($C81,$L81),Lookups!$P$2:$P$86,0)),IF($D81="Exterior",1,""))</f>
        <v/>
      </c>
      <c r="AT81" s="150" t="str">
        <f>IFERROR(IF(M81="Exit Signs",1,IF(INDEX('Fixture Codes'!$C$8:$C$976,MATCH($AD81,'Fixture Codes'!$B$8:$B$976,0))="Exit Sign",1,INDEX(Lookups!J$2:J$428,MATCH(_xlfn.CONCAT($B81,$H81),Lookups!$H$2:$H$428,0)))),"")</f>
        <v/>
      </c>
      <c r="AU81" s="150" t="str">
        <f>IFERROR(IF(M81="Exit Signs",1,IF(INDEX('Fixture Codes'!$C$8:$C$976,MATCH($AD81,'Fixture Codes'!$B$8:$B$976,0))="Exit Sign",1,INDEX(Lookups!K$2:K$428,MATCH(_xlfn.CONCAT($B81,$H81),Lookups!$H$2:$H$428,0)))),"")</f>
        <v/>
      </c>
      <c r="AV81" s="150" t="str">
        <f>IFERROR(IF(M81="Exit Signs",1,IF(INDEX('Fixture Codes'!$C$8:$C$976,MATCH($AD81,'Fixture Codes'!$B$8:$B$976,0))="Exit Sign",1,INDEX(Lookups!L$2:L$428,MATCH(_xlfn.CONCAT($B81,$H81),Lookups!$H$2:$H$428,0)))),"")</f>
        <v/>
      </c>
      <c r="AW81" s="150" t="str">
        <f>IF(ISBLANK(K81),"",IF(K81="Gas",INDEX(Lookups!$AG$2:$AG$63,MATCH(O81,Lookups!$AD$2:$AD$63,0),0),0))</f>
        <v/>
      </c>
      <c r="AX81" s="150" t="str">
        <f>IF(ISBLANK(K81),"",IF(K81="Gas",INDEX(Lookups!$AF$2:$AF$63,MATCH(O81,Lookups!$AD$2:$AD$63,0),0),0))</f>
        <v/>
      </c>
      <c r="AY81" s="150" t="str">
        <f>IF(ISBLANK(K81),"",IF(K81="Gas",INDEX(Lookups!$AH$2:$AH$63,MATCH(O81,Lookups!$AD$2:$AD$63,0),0),0))</f>
        <v/>
      </c>
      <c r="AZ81" s="150" t="str">
        <f>IF(ISBLANK(K81),"",IF(K81="Gas",INDEX(Lookups!$AI$2:$AI$63,MATCH(O81,Lookups!$AD$2:$AD$63,0),0),0))</f>
        <v/>
      </c>
      <c r="BA81" s="150" t="str">
        <f t="shared" si="40"/>
        <v/>
      </c>
      <c r="BB81" s="156" t="str">
        <f>IF(ISBLANK(AH81),"",IF(AH81="None",0,IF(K81="Gas",INDEX(Lookups!$AF$51:$AF$69,MATCH(AH81,Lookups!$AD$51:$AD$69,0),0),0)))</f>
        <v/>
      </c>
      <c r="BC81" s="156" t="str">
        <f>IF(ISBLANK(AH81),"",IF(AH81="None",0,IF(K81="Gas",INDEX(Lookups!$AH$51:$AH$69,MATCH(AH81,Lookups!$AD$51:$AD$69,0),0),0)))</f>
        <v/>
      </c>
      <c r="BD81" s="156" t="str">
        <f>IF(ISBLANK(AH81),"",IF(AH81="None",0,IF(K81="Gas",INDEX(Lookups!$AI$51:$AI$69,MATCH(AH81,Lookups!$AD$51:$AD$69,0),0),0)))</f>
        <v/>
      </c>
      <c r="BE81" s="157"/>
      <c r="BF81" s="157"/>
      <c r="BG81" s="147" t="str">
        <f t="shared" si="56"/>
        <v/>
      </c>
      <c r="BH81" s="147" t="str">
        <f t="shared" si="57"/>
        <v/>
      </c>
      <c r="BI81" s="147" t="str">
        <f t="shared" si="41"/>
        <v/>
      </c>
      <c r="BJ81" s="147" t="str">
        <f t="shared" si="42"/>
        <v/>
      </c>
      <c r="BK81" s="148" t="str">
        <f t="shared" si="58"/>
        <v/>
      </c>
      <c r="BL81" s="147" t="str">
        <f t="shared" si="43"/>
        <v/>
      </c>
      <c r="BM81" s="148" t="str">
        <f t="shared" si="59"/>
        <v/>
      </c>
      <c r="BN81" s="147" t="str">
        <f t="shared" si="60"/>
        <v/>
      </c>
      <c r="BO81" s="147" t="str">
        <f t="shared" si="60"/>
        <v/>
      </c>
      <c r="BP81" s="147" t="str">
        <f t="shared" si="61"/>
        <v/>
      </c>
      <c r="BQ81" s="148" t="str">
        <f t="shared" si="62"/>
        <v/>
      </c>
      <c r="BR81" s="148" t="str">
        <f t="shared" si="63"/>
        <v/>
      </c>
      <c r="BS81" s="148" t="str">
        <f t="shared" si="64"/>
        <v/>
      </c>
      <c r="BT81" s="148" t="str">
        <f t="shared" si="44"/>
        <v/>
      </c>
      <c r="BU81" s="148" t="str">
        <f t="shared" si="45"/>
        <v/>
      </c>
      <c r="BV81" s="148" t="str">
        <f t="shared" si="46"/>
        <v/>
      </c>
      <c r="BW81" s="148" t="str">
        <f t="shared" si="47"/>
        <v/>
      </c>
      <c r="BX81" s="148" t="str">
        <f t="shared" si="48"/>
        <v/>
      </c>
      <c r="BY81" s="148" t="str">
        <f t="shared" si="49"/>
        <v/>
      </c>
      <c r="BZ81" s="149" t="str">
        <f>IFERROR(INDEX('Prescriptive Rebate Table'!$B$2:$E$64,MATCH(O81,'Prescriptive Rebate Table'!$C$2:$C$64,0),3),"")</f>
        <v/>
      </c>
      <c r="CA81" s="145" t="str">
        <f>IFERROR(INDEX('Prescriptive Rebate Table'!$B$2:$E$64,MATCH(O81,'Prescriptive Rebate Table'!$C$2:$C$64,0),4),"")</f>
        <v/>
      </c>
      <c r="CB81" s="149" t="str">
        <f t="shared" si="65"/>
        <v/>
      </c>
      <c r="CC81" s="145" t="str">
        <f t="shared" si="66"/>
        <v/>
      </c>
      <c r="CD81" s="149" t="str">
        <f t="shared" si="50"/>
        <v/>
      </c>
      <c r="CE81" s="149" t="str">
        <f t="shared" si="51"/>
        <v/>
      </c>
      <c r="CF81" s="149" t="str">
        <f>IF(BK81&lt;=0,0,IFERROR(IF(OR(ISBLANK(AC81),ISBLANK(CD81))=TRUE,"",IF(CA81="Per Foot",INDEX('Fixture Codes'!$I$8:$I$976,MATCH(AD81,'Fixture Codes'!$B$8:$B$976,0))/12*AF81*BZ81,IF(CA81="Lamp",INDEX('Fixture Codes'!$J$8:$J$976,MATCH(AD81,'Fixture Codes'!$B$8:$B$976,0))*AF81*BZ81,IF(CA81="Fixture",AF81*BZ81,IF(CA81="kWh",BK81*BZ81,0))))),""))</f>
        <v/>
      </c>
      <c r="CG81" s="149" t="str">
        <f t="shared" si="67"/>
        <v/>
      </c>
      <c r="CH81" s="149" t="str">
        <f t="shared" si="68"/>
        <v/>
      </c>
      <c r="CI81" s="152"/>
      <c r="CJ81" s="146"/>
      <c r="CK81" s="241">
        <f>IFERROR(IF(CL81="Yes",'Prescriptive Rebate Table'!$D$69,IF(ISBLANK(AI81),0,IF(AND(AH81=Lookups!$A$62,BK81&gt;0),'Prescriptive Rebate Table'!$D$68,IF(AND(BK81&gt;0,CJ81=AF81),'Prescriptive Rebate Table'!$D$67,IF(AND(BK81&gt;0,CJ81&lt;&gt;AF81),'Prescriptive Rebate Table'!D140,0))))),"")</f>
        <v>0</v>
      </c>
      <c r="CL81" s="240" t="s">
        <v>2712</v>
      </c>
      <c r="CM81" s="152"/>
      <c r="CN81" s="152"/>
      <c r="CO81" s="152"/>
      <c r="CP81" s="146">
        <f t="shared" si="52"/>
        <v>0</v>
      </c>
      <c r="CQ81" s="153">
        <f>IF(D81="Interior",ROUND(($AG81*AF81)/1000*$AM81*(Lookups!$B$54-$AA81)*$AN81*$AO81,3),0)</f>
        <v>0</v>
      </c>
      <c r="CR81" s="153">
        <f>IFERROR(IF(D81="Interior",ROUND(($AG81*$AF81)/1000*(Lookups!$C$54-$AB81)*$AN81*AQ81*AT81,6),0),"")</f>
        <v>0</v>
      </c>
      <c r="CS81" s="165">
        <f t="shared" si="69"/>
        <v>0</v>
      </c>
      <c r="CT81" s="165">
        <f t="shared" si="70"/>
        <v>0</v>
      </c>
      <c r="CV81" s="153"/>
      <c r="CW81" s="153"/>
      <c r="CX81" s="165"/>
      <c r="CY81" s="165"/>
      <c r="DA81" s="153">
        <f>IF(D81="Interior",ROUND(($AG81*AF81*(1-0.15))/1000*$AM81*(Lookups!$B$43+0.097-$AA81)*$AN81*$AO81+((W81*V81)/1000*AN81*AM81*AO81*0.15),3),0)</f>
        <v>0</v>
      </c>
      <c r="DB81" s="153">
        <f>IFERROR(IF(D81="Interior",ROUND(($AG81*$AF81)/1000*(Lookups!$C$43+0.097-$AB81)*$AN81*AQ81*AT81+(($AG81*$AF81)/1000*$AN81*AQ81*AT81*0.15),6),0),"")</f>
        <v>0</v>
      </c>
      <c r="DC81" s="165">
        <f t="shared" si="53"/>
        <v>0</v>
      </c>
      <c r="DD81" s="165">
        <f t="shared" si="54"/>
        <v>0</v>
      </c>
    </row>
    <row r="82" spans="1:108" s="164" customFormat="1">
      <c r="A82" s="150">
        <v>78</v>
      </c>
      <c r="B82" s="153" t="str">
        <f>IFERROR(INDEX(Lookups!$B$2:$B$38,MATCH('Project Info &amp; Summary'!$C$19,Lookups!$A$2:$A$38,0)),"")</f>
        <v/>
      </c>
      <c r="C82" s="153" t="str">
        <f>IFERROR(INDEX(Lookups!$C$2:$C$38,MATCH('Project Info &amp; Summary'!$C$19,Lookups!$A$2:$A$38,0)),"")</f>
        <v/>
      </c>
      <c r="D82" s="163"/>
      <c r="E82" s="160"/>
      <c r="F82" s="158"/>
      <c r="G82" s="158"/>
      <c r="H82" s="158"/>
      <c r="I82" s="158"/>
      <c r="J82" s="154" t="str">
        <f>IFERROR(INDEX(Lookups!$W$21:$W$26,MATCH(I82,Lookups!$V$21:$V$26,0)),"")</f>
        <v/>
      </c>
      <c r="K82" s="158"/>
      <c r="L82" s="162" t="str">
        <f>IFERROR(INDEX(Lookups!$Y$2:$Y$19,MATCH(_xlfn.CONCAT(I82,K82),Lookups!$X$2:$X$19,0)),"")</f>
        <v/>
      </c>
      <c r="M82" s="158"/>
      <c r="N82" s="153" t="str">
        <f>IFERROR(INDEX('Prescriptive Rebate Table'!$M$3:$M$20,MATCH(M82,'Prescriptive Rebate Table'!$L$3:$L$20,0)),"")</f>
        <v/>
      </c>
      <c r="O82" s="158"/>
      <c r="P82" s="154" t="str">
        <f>IFERROR(INDEX('Prescriptive Rebate Table'!$B$2:$H$64, MATCH(O82,'Prescriptive Rebate Table'!$C$2:$C$64,0),7),"")</f>
        <v/>
      </c>
      <c r="Q82" s="155" t="str">
        <f>IFERROR(INDEX('Prescriptive Rebate Table'!$B$2:$I$64, MATCH(O82,'Prescriptive Rebate Table'!$C$2:$C$64,0),8),"")</f>
        <v/>
      </c>
      <c r="R82" s="155" t="str">
        <f>IFERROR(INDEX('Prescriptive Rebate Table'!$B$2:$J$64, MATCH(O82,'Prescriptive Rebate Table'!$C$2:$C$64,0),9),"")</f>
        <v/>
      </c>
      <c r="S82" s="160"/>
      <c r="T82" s="145" t="str">
        <f>IFERROR(INDEX('Fixture Codes'!$M$8:$M$976,MATCH(S82,'Fixture Codes'!$B$8:$B$976,0)),"")</f>
        <v/>
      </c>
      <c r="U82" s="145" t="str">
        <f>IFERROR(INDEX('Fixture Codes'!$B$7:$M$976,MATCH(T82,'Fixture Codes'!$B$7:$B$976,0),5),"")</f>
        <v/>
      </c>
      <c r="V82" s="160"/>
      <c r="W82" s="145" t="str">
        <f>IFERROR(INDEX('Fixture Codes'!$L$8:$L$976,MATCH(T82,'Fixture Codes'!$B$8:$B$976,0)),"")</f>
        <v/>
      </c>
      <c r="X82" s="158"/>
      <c r="Y82" s="159"/>
      <c r="Z82" s="155" t="str">
        <f>IFERROR(INDEX(Lookups!B$68:B$87,MATCH($X82,Lookups!$A$68:$A$87,0)),"")</f>
        <v/>
      </c>
      <c r="AA82" s="150" t="str">
        <f>IFERROR(INDEX(Lookups!B$42:B$62,MATCH($X82,Lookups!$A$42:$A$62,0)),"")</f>
        <v/>
      </c>
      <c r="AB82" s="150" t="str">
        <f>IFERROR(INDEX(Lookups!C$42:C$62,MATCH($X82,Lookups!$A$42:$A$62,0)),"")</f>
        <v/>
      </c>
      <c r="AC82" s="160"/>
      <c r="AD82" s="160"/>
      <c r="AE82" s="150" t="str">
        <f>IFERROR(INDEX('Fixture Codes'!$B$7:$M$976,MATCH(AD82,'Fixture Codes'!$B$7:$B$976,0),5),"")</f>
        <v/>
      </c>
      <c r="AF82" s="160"/>
      <c r="AG82" s="145" t="str">
        <f>IFERROR(INDEX('Fixture Codes'!$L$8:$L$976,MATCH(AD82,'Fixture Codes'!$B$8:$B$976,0)),"")</f>
        <v/>
      </c>
      <c r="AH82" s="158"/>
      <c r="AI82" s="160"/>
      <c r="AJ82" s="150" t="str">
        <f>IFERROR(INDEX(Lookups!B$68:B$87,MATCH($AH82,Lookups!$A$68:$A$87,0)),"")</f>
        <v/>
      </c>
      <c r="AK82" s="150" t="str">
        <f>IFERROR(INDEX(Lookups!B$42:B$62,MATCH($AH82,Lookups!$A$42:$A$62,0)),"")</f>
        <v/>
      </c>
      <c r="AL82" s="150" t="str">
        <f>IFERROR(INDEX(Lookups!C$42:C$62,MATCH($AH82,Lookups!$A$42:$A$62,0)),"")</f>
        <v/>
      </c>
      <c r="AM82" s="150" t="str">
        <f>IFERROR(IF(M82="Exit Signs",8760,IF(INDEX('Fixture Codes'!$C$8:$C$976,MATCH(AD82,'Fixture Codes'!$B$8:$B$976,0))="Exit Sign",8760,INDEX(Lookups!$I$2:$I$428,MATCH(_xlfn.CONCAT(B82,H82),Lookups!$H$2:$H$428,0)))),"")</f>
        <v/>
      </c>
      <c r="AN82" s="153">
        <v>1</v>
      </c>
      <c r="AO82" s="150" t="str">
        <f>IF($D82="Interior",INDEX(Lookups!Q$2:Q$86,MATCH(_xlfn.CONCAT($C82,$L82),Lookups!$P$2:$P$86,0)),IF($D82="Exterior",1,""))</f>
        <v/>
      </c>
      <c r="AP82" s="150">
        <f t="shared" si="55"/>
        <v>1</v>
      </c>
      <c r="AQ82" s="150" t="str">
        <f>IF($D82="Interior",INDEX(Lookups!R$2:R$86,MATCH(_xlfn.CONCAT($C82,$L82),Lookups!$P$2:$P$86,0)),IF($D82="Exterior",1,""))</f>
        <v/>
      </c>
      <c r="AR82" s="150" t="str">
        <f>IF($D82="Interior",INDEX(Lookups!S$2:S$86,MATCH(_xlfn.CONCAT($C82,$L82),Lookups!$P$2:$P$86,0)),IF($D82="Exterior",1,""))</f>
        <v/>
      </c>
      <c r="AS82" s="150" t="str">
        <f>IF($D82="Interior",INDEX(Lookups!T$2:T$86,MATCH(_xlfn.CONCAT($C82,$L82),Lookups!$P$2:$P$86,0)),IF($D82="Exterior",1,""))</f>
        <v/>
      </c>
      <c r="AT82" s="150" t="str">
        <f>IFERROR(IF(M82="Exit Signs",1,IF(INDEX('Fixture Codes'!$C$8:$C$976,MATCH($AD82,'Fixture Codes'!$B$8:$B$976,0))="Exit Sign",1,INDEX(Lookups!J$2:J$428,MATCH(_xlfn.CONCAT($B82,$H82),Lookups!$H$2:$H$428,0)))),"")</f>
        <v/>
      </c>
      <c r="AU82" s="150" t="str">
        <f>IFERROR(IF(M82="Exit Signs",1,IF(INDEX('Fixture Codes'!$C$8:$C$976,MATCH($AD82,'Fixture Codes'!$B$8:$B$976,0))="Exit Sign",1,INDEX(Lookups!K$2:K$428,MATCH(_xlfn.CONCAT($B82,$H82),Lookups!$H$2:$H$428,0)))),"")</f>
        <v/>
      </c>
      <c r="AV82" s="150" t="str">
        <f>IFERROR(IF(M82="Exit Signs",1,IF(INDEX('Fixture Codes'!$C$8:$C$976,MATCH($AD82,'Fixture Codes'!$B$8:$B$976,0))="Exit Sign",1,INDEX(Lookups!L$2:L$428,MATCH(_xlfn.CONCAT($B82,$H82),Lookups!$H$2:$H$428,0)))),"")</f>
        <v/>
      </c>
      <c r="AW82" s="150" t="str">
        <f>IF(ISBLANK(K82),"",IF(K82="Gas",INDEX(Lookups!$AG$2:$AG$63,MATCH(O82,Lookups!$AD$2:$AD$63,0),0),0))</f>
        <v/>
      </c>
      <c r="AX82" s="150" t="str">
        <f>IF(ISBLANK(K82),"",IF(K82="Gas",INDEX(Lookups!$AF$2:$AF$63,MATCH(O82,Lookups!$AD$2:$AD$63,0),0),0))</f>
        <v/>
      </c>
      <c r="AY82" s="150" t="str">
        <f>IF(ISBLANK(K82),"",IF(K82="Gas",INDEX(Lookups!$AH$2:$AH$63,MATCH(O82,Lookups!$AD$2:$AD$63,0),0),0))</f>
        <v/>
      </c>
      <c r="AZ82" s="150" t="str">
        <f>IF(ISBLANK(K82),"",IF(K82="Gas",INDEX(Lookups!$AI$2:$AI$63,MATCH(O82,Lookups!$AD$2:$AD$63,0),0),0))</f>
        <v/>
      </c>
      <c r="BA82" s="150" t="str">
        <f t="shared" si="40"/>
        <v/>
      </c>
      <c r="BB82" s="156" t="str">
        <f>IF(ISBLANK(AH82),"",IF(AH82="None",0,IF(K82="Gas",INDEX(Lookups!$AF$51:$AF$69,MATCH(AH82,Lookups!$AD$51:$AD$69,0),0),0)))</f>
        <v/>
      </c>
      <c r="BC82" s="156" t="str">
        <f>IF(ISBLANK(AH82),"",IF(AH82="None",0,IF(K82="Gas",INDEX(Lookups!$AH$51:$AH$69,MATCH(AH82,Lookups!$AD$51:$AD$69,0),0),0)))</f>
        <v/>
      </c>
      <c r="BD82" s="156" t="str">
        <f>IF(ISBLANK(AH82),"",IF(AH82="None",0,IF(K82="Gas",INDEX(Lookups!$AI$51:$AI$69,MATCH(AH82,Lookups!$AD$51:$AD$69,0),0),0)))</f>
        <v/>
      </c>
      <c r="BE82" s="157"/>
      <c r="BF82" s="157"/>
      <c r="BG82" s="147" t="str">
        <f t="shared" si="56"/>
        <v/>
      </c>
      <c r="BH82" s="147" t="str">
        <f t="shared" si="57"/>
        <v/>
      </c>
      <c r="BI82" s="147" t="str">
        <f t="shared" si="41"/>
        <v/>
      </c>
      <c r="BJ82" s="147" t="str">
        <f t="shared" si="42"/>
        <v/>
      </c>
      <c r="BK82" s="148" t="str">
        <f t="shared" si="58"/>
        <v/>
      </c>
      <c r="BL82" s="147" t="str">
        <f t="shared" si="43"/>
        <v/>
      </c>
      <c r="BM82" s="148" t="str">
        <f t="shared" si="59"/>
        <v/>
      </c>
      <c r="BN82" s="147" t="str">
        <f t="shared" si="60"/>
        <v/>
      </c>
      <c r="BO82" s="147" t="str">
        <f t="shared" si="60"/>
        <v/>
      </c>
      <c r="BP82" s="147" t="str">
        <f t="shared" si="61"/>
        <v/>
      </c>
      <c r="BQ82" s="148" t="str">
        <f t="shared" si="62"/>
        <v/>
      </c>
      <c r="BR82" s="148" t="str">
        <f t="shared" si="63"/>
        <v/>
      </c>
      <c r="BS82" s="148" t="str">
        <f t="shared" si="64"/>
        <v/>
      </c>
      <c r="BT82" s="148" t="str">
        <f t="shared" si="44"/>
        <v/>
      </c>
      <c r="BU82" s="148" t="str">
        <f t="shared" si="45"/>
        <v/>
      </c>
      <c r="BV82" s="148" t="str">
        <f t="shared" si="46"/>
        <v/>
      </c>
      <c r="BW82" s="148" t="str">
        <f t="shared" si="47"/>
        <v/>
      </c>
      <c r="BX82" s="148" t="str">
        <f t="shared" si="48"/>
        <v/>
      </c>
      <c r="BY82" s="148" t="str">
        <f t="shared" si="49"/>
        <v/>
      </c>
      <c r="BZ82" s="149" t="str">
        <f>IFERROR(INDEX('Prescriptive Rebate Table'!$B$2:$E$64,MATCH(O82,'Prescriptive Rebate Table'!$C$2:$C$64,0),3),"")</f>
        <v/>
      </c>
      <c r="CA82" s="145" t="str">
        <f>IFERROR(INDEX('Prescriptive Rebate Table'!$B$2:$E$64,MATCH(O82,'Prescriptive Rebate Table'!$C$2:$C$64,0),4),"")</f>
        <v/>
      </c>
      <c r="CB82" s="149" t="str">
        <f t="shared" si="65"/>
        <v/>
      </c>
      <c r="CC82" s="145" t="str">
        <f t="shared" si="66"/>
        <v/>
      </c>
      <c r="CD82" s="149" t="str">
        <f t="shared" si="50"/>
        <v/>
      </c>
      <c r="CE82" s="149" t="str">
        <f t="shared" si="51"/>
        <v/>
      </c>
      <c r="CF82" s="149" t="str">
        <f>IF(BK82&lt;=0,0,IFERROR(IF(OR(ISBLANK(AC82),ISBLANK(CD82))=TRUE,"",IF(CA82="Per Foot",INDEX('Fixture Codes'!$I$8:$I$976,MATCH(AD82,'Fixture Codes'!$B$8:$B$976,0))/12*AF82*BZ82,IF(CA82="Lamp",INDEX('Fixture Codes'!$J$8:$J$976,MATCH(AD82,'Fixture Codes'!$B$8:$B$976,0))*AF82*BZ82,IF(CA82="Fixture",AF82*BZ82,IF(CA82="kWh",BK82*BZ82,0))))),""))</f>
        <v/>
      </c>
      <c r="CG82" s="149" t="str">
        <f t="shared" si="67"/>
        <v/>
      </c>
      <c r="CH82" s="149" t="str">
        <f t="shared" si="68"/>
        <v/>
      </c>
      <c r="CI82" s="152"/>
      <c r="CJ82" s="146"/>
      <c r="CK82" s="241">
        <f>IFERROR(IF(CL82="Yes",'Prescriptive Rebate Table'!$D$69,IF(ISBLANK(AI82),0,IF(AND(AH82=Lookups!$A$62,BK82&gt;0),'Prescriptive Rebate Table'!$D$68,IF(AND(BK82&gt;0,CJ82=AF82),'Prescriptive Rebate Table'!$D$67,IF(AND(BK82&gt;0,CJ82&lt;&gt;AF82),'Prescriptive Rebate Table'!D141,0))))),"")</f>
        <v>0</v>
      </c>
      <c r="CL82" s="240" t="s">
        <v>2712</v>
      </c>
      <c r="CM82" s="152"/>
      <c r="CN82" s="152"/>
      <c r="CO82" s="152"/>
      <c r="CP82" s="146">
        <f t="shared" si="52"/>
        <v>0</v>
      </c>
      <c r="CQ82" s="153">
        <f>IF(D82="Interior",ROUND(($AG82*AF82)/1000*$AM82*(Lookups!$B$54-$AA82)*$AN82*$AO82,3),0)</f>
        <v>0</v>
      </c>
      <c r="CR82" s="153">
        <f>IFERROR(IF(D82="Interior",ROUND(($AG82*$AF82)/1000*(Lookups!$C$54-$AB82)*$AN82*AQ82*AT82,6),0),"")</f>
        <v>0</v>
      </c>
      <c r="CS82" s="165">
        <f t="shared" si="69"/>
        <v>0</v>
      </c>
      <c r="CT82" s="165">
        <f t="shared" si="70"/>
        <v>0</v>
      </c>
      <c r="CV82" s="153"/>
      <c r="CW82" s="153"/>
      <c r="CX82" s="165"/>
      <c r="CY82" s="165"/>
      <c r="DA82" s="153">
        <f>IF(D82="Interior",ROUND(($AG82*AF82*(1-0.15))/1000*$AM82*(Lookups!$B$43+0.097-$AA82)*$AN82*$AO82+((W82*V82)/1000*AN82*AM82*AO82*0.15),3),0)</f>
        <v>0</v>
      </c>
      <c r="DB82" s="153">
        <f>IFERROR(IF(D82="Interior",ROUND(($AG82*$AF82)/1000*(Lookups!$C$43+0.097-$AB82)*$AN82*AQ82*AT82+(($AG82*$AF82)/1000*$AN82*AQ82*AT82*0.15),6),0),"")</f>
        <v>0</v>
      </c>
      <c r="DC82" s="165">
        <f t="shared" si="53"/>
        <v>0</v>
      </c>
      <c r="DD82" s="165">
        <f t="shared" si="54"/>
        <v>0</v>
      </c>
    </row>
    <row r="83" spans="1:108" s="164" customFormat="1">
      <c r="A83" s="150">
        <v>79</v>
      </c>
      <c r="B83" s="153" t="str">
        <f>IFERROR(INDEX(Lookups!$B$2:$B$38,MATCH('Project Info &amp; Summary'!$C$19,Lookups!$A$2:$A$38,0)),"")</f>
        <v/>
      </c>
      <c r="C83" s="153" t="str">
        <f>IFERROR(INDEX(Lookups!$C$2:$C$38,MATCH('Project Info &amp; Summary'!$C$19,Lookups!$A$2:$A$38,0)),"")</f>
        <v/>
      </c>
      <c r="D83" s="163"/>
      <c r="E83" s="160"/>
      <c r="F83" s="158"/>
      <c r="G83" s="158"/>
      <c r="H83" s="158"/>
      <c r="I83" s="158"/>
      <c r="J83" s="154" t="str">
        <f>IFERROR(INDEX(Lookups!$W$21:$W$26,MATCH(I83,Lookups!$V$21:$V$26,0)),"")</f>
        <v/>
      </c>
      <c r="K83" s="158"/>
      <c r="L83" s="162" t="str">
        <f>IFERROR(INDEX(Lookups!$Y$2:$Y$19,MATCH(_xlfn.CONCAT(I83,K83),Lookups!$X$2:$X$19,0)),"")</f>
        <v/>
      </c>
      <c r="M83" s="158"/>
      <c r="N83" s="153" t="str">
        <f>IFERROR(INDEX('Prescriptive Rebate Table'!$M$3:$M$20,MATCH(M83,'Prescriptive Rebate Table'!$L$3:$L$20,0)),"")</f>
        <v/>
      </c>
      <c r="O83" s="158"/>
      <c r="P83" s="154" t="str">
        <f>IFERROR(INDEX('Prescriptive Rebate Table'!$B$2:$H$64, MATCH(O83,'Prescriptive Rebate Table'!$C$2:$C$64,0),7),"")</f>
        <v/>
      </c>
      <c r="Q83" s="155" t="str">
        <f>IFERROR(INDEX('Prescriptive Rebate Table'!$B$2:$I$64, MATCH(O83,'Prescriptive Rebate Table'!$C$2:$C$64,0),8),"")</f>
        <v/>
      </c>
      <c r="R83" s="155" t="str">
        <f>IFERROR(INDEX('Prescriptive Rebate Table'!$B$2:$J$64, MATCH(O83,'Prescriptive Rebate Table'!$C$2:$C$64,0),9),"")</f>
        <v/>
      </c>
      <c r="S83" s="160"/>
      <c r="T83" s="145" t="str">
        <f>IFERROR(INDEX('Fixture Codes'!$M$8:$M$976,MATCH(S83,'Fixture Codes'!$B$8:$B$976,0)),"")</f>
        <v/>
      </c>
      <c r="U83" s="145" t="str">
        <f>IFERROR(INDEX('Fixture Codes'!$B$7:$M$976,MATCH(T83,'Fixture Codes'!$B$7:$B$976,0),5),"")</f>
        <v/>
      </c>
      <c r="V83" s="160"/>
      <c r="W83" s="145" t="str">
        <f>IFERROR(INDEX('Fixture Codes'!$L$8:$L$976,MATCH(T83,'Fixture Codes'!$B$8:$B$976,0)),"")</f>
        <v/>
      </c>
      <c r="X83" s="158"/>
      <c r="Y83" s="159"/>
      <c r="Z83" s="155" t="str">
        <f>IFERROR(INDEX(Lookups!B$68:B$87,MATCH($X83,Lookups!$A$68:$A$87,0)),"")</f>
        <v/>
      </c>
      <c r="AA83" s="150" t="str">
        <f>IFERROR(INDEX(Lookups!B$42:B$62,MATCH($X83,Lookups!$A$42:$A$62,0)),"")</f>
        <v/>
      </c>
      <c r="AB83" s="150" t="str">
        <f>IFERROR(INDEX(Lookups!C$42:C$62,MATCH($X83,Lookups!$A$42:$A$62,0)),"")</f>
        <v/>
      </c>
      <c r="AC83" s="160"/>
      <c r="AD83" s="160"/>
      <c r="AE83" s="150" t="str">
        <f>IFERROR(INDEX('Fixture Codes'!$B$7:$M$976,MATCH(AD83,'Fixture Codes'!$B$7:$B$976,0),5),"")</f>
        <v/>
      </c>
      <c r="AF83" s="160"/>
      <c r="AG83" s="145" t="str">
        <f>IFERROR(INDEX('Fixture Codes'!$L$8:$L$976,MATCH(AD83,'Fixture Codes'!$B$8:$B$976,0)),"")</f>
        <v/>
      </c>
      <c r="AH83" s="158"/>
      <c r="AI83" s="160"/>
      <c r="AJ83" s="150" t="str">
        <f>IFERROR(INDEX(Lookups!B$68:B$87,MATCH($AH83,Lookups!$A$68:$A$87,0)),"")</f>
        <v/>
      </c>
      <c r="AK83" s="150" t="str">
        <f>IFERROR(INDEX(Lookups!B$42:B$62,MATCH($AH83,Lookups!$A$42:$A$62,0)),"")</f>
        <v/>
      </c>
      <c r="AL83" s="150" t="str">
        <f>IFERROR(INDEX(Lookups!C$42:C$62,MATCH($AH83,Lookups!$A$42:$A$62,0)),"")</f>
        <v/>
      </c>
      <c r="AM83" s="150" t="str">
        <f>IFERROR(IF(M83="Exit Signs",8760,IF(INDEX('Fixture Codes'!$C$8:$C$976,MATCH(AD83,'Fixture Codes'!$B$8:$B$976,0))="Exit Sign",8760,INDEX(Lookups!$I$2:$I$428,MATCH(_xlfn.CONCAT(B83,H83),Lookups!$H$2:$H$428,0)))),"")</f>
        <v/>
      </c>
      <c r="AN83" s="153">
        <v>1</v>
      </c>
      <c r="AO83" s="150" t="str">
        <f>IF($D83="Interior",INDEX(Lookups!Q$2:Q$86,MATCH(_xlfn.CONCAT($C83,$L83),Lookups!$P$2:$P$86,0)),IF($D83="Exterior",1,""))</f>
        <v/>
      </c>
      <c r="AP83" s="150">
        <f t="shared" si="55"/>
        <v>1</v>
      </c>
      <c r="AQ83" s="150" t="str">
        <f>IF($D83="Interior",INDEX(Lookups!R$2:R$86,MATCH(_xlfn.CONCAT($C83,$L83),Lookups!$P$2:$P$86,0)),IF($D83="Exterior",1,""))</f>
        <v/>
      </c>
      <c r="AR83" s="150" t="str">
        <f>IF($D83="Interior",INDEX(Lookups!S$2:S$86,MATCH(_xlfn.CONCAT($C83,$L83),Lookups!$P$2:$P$86,0)),IF($D83="Exterior",1,""))</f>
        <v/>
      </c>
      <c r="AS83" s="150" t="str">
        <f>IF($D83="Interior",INDEX(Lookups!T$2:T$86,MATCH(_xlfn.CONCAT($C83,$L83),Lookups!$P$2:$P$86,0)),IF($D83="Exterior",1,""))</f>
        <v/>
      </c>
      <c r="AT83" s="150" t="str">
        <f>IFERROR(IF(M83="Exit Signs",1,IF(INDEX('Fixture Codes'!$C$8:$C$976,MATCH($AD83,'Fixture Codes'!$B$8:$B$976,0))="Exit Sign",1,INDEX(Lookups!J$2:J$428,MATCH(_xlfn.CONCAT($B83,$H83),Lookups!$H$2:$H$428,0)))),"")</f>
        <v/>
      </c>
      <c r="AU83" s="150" t="str">
        <f>IFERROR(IF(M83="Exit Signs",1,IF(INDEX('Fixture Codes'!$C$8:$C$976,MATCH($AD83,'Fixture Codes'!$B$8:$B$976,0))="Exit Sign",1,INDEX(Lookups!K$2:K$428,MATCH(_xlfn.CONCAT($B83,$H83),Lookups!$H$2:$H$428,0)))),"")</f>
        <v/>
      </c>
      <c r="AV83" s="150" t="str">
        <f>IFERROR(IF(M83="Exit Signs",1,IF(INDEX('Fixture Codes'!$C$8:$C$976,MATCH($AD83,'Fixture Codes'!$B$8:$B$976,0))="Exit Sign",1,INDEX(Lookups!L$2:L$428,MATCH(_xlfn.CONCAT($B83,$H83),Lookups!$H$2:$H$428,0)))),"")</f>
        <v/>
      </c>
      <c r="AW83" s="150" t="str">
        <f>IF(ISBLANK(K83),"",IF(K83="Gas",INDEX(Lookups!$AG$2:$AG$63,MATCH(O83,Lookups!$AD$2:$AD$63,0),0),0))</f>
        <v/>
      </c>
      <c r="AX83" s="150" t="str">
        <f>IF(ISBLANK(K83),"",IF(K83="Gas",INDEX(Lookups!$AF$2:$AF$63,MATCH(O83,Lookups!$AD$2:$AD$63,0),0),0))</f>
        <v/>
      </c>
      <c r="AY83" s="150" t="str">
        <f>IF(ISBLANK(K83),"",IF(K83="Gas",INDEX(Lookups!$AH$2:$AH$63,MATCH(O83,Lookups!$AD$2:$AD$63,0),0),0))</f>
        <v/>
      </c>
      <c r="AZ83" s="150" t="str">
        <f>IF(ISBLANK(K83),"",IF(K83="Gas",INDEX(Lookups!$AI$2:$AI$63,MATCH(O83,Lookups!$AD$2:$AD$63,0),0),0))</f>
        <v/>
      </c>
      <c r="BA83" s="150" t="str">
        <f t="shared" si="40"/>
        <v/>
      </c>
      <c r="BB83" s="156" t="str">
        <f>IF(ISBLANK(AH83),"",IF(AH83="None",0,IF(K83="Gas",INDEX(Lookups!$AF$51:$AF$69,MATCH(AH83,Lookups!$AD$51:$AD$69,0),0),0)))</f>
        <v/>
      </c>
      <c r="BC83" s="156" t="str">
        <f>IF(ISBLANK(AH83),"",IF(AH83="None",0,IF(K83="Gas",INDEX(Lookups!$AH$51:$AH$69,MATCH(AH83,Lookups!$AD$51:$AD$69,0),0),0)))</f>
        <v/>
      </c>
      <c r="BD83" s="156" t="str">
        <f>IF(ISBLANK(AH83),"",IF(AH83="None",0,IF(K83="Gas",INDEX(Lookups!$AI$51:$AI$69,MATCH(AH83,Lookups!$AD$51:$AD$69,0),0),0)))</f>
        <v/>
      </c>
      <c r="BE83" s="157"/>
      <c r="BF83" s="157"/>
      <c r="BG83" s="147" t="str">
        <f t="shared" si="56"/>
        <v/>
      </c>
      <c r="BH83" s="147" t="str">
        <f t="shared" si="57"/>
        <v/>
      </c>
      <c r="BI83" s="147" t="str">
        <f t="shared" si="41"/>
        <v/>
      </c>
      <c r="BJ83" s="147" t="str">
        <f t="shared" si="42"/>
        <v/>
      </c>
      <c r="BK83" s="148" t="str">
        <f t="shared" si="58"/>
        <v/>
      </c>
      <c r="BL83" s="147" t="str">
        <f t="shared" si="43"/>
        <v/>
      </c>
      <c r="BM83" s="148" t="str">
        <f t="shared" si="59"/>
        <v/>
      </c>
      <c r="BN83" s="147" t="str">
        <f t="shared" si="60"/>
        <v/>
      </c>
      <c r="BO83" s="147" t="str">
        <f t="shared" si="60"/>
        <v/>
      </c>
      <c r="BP83" s="147" t="str">
        <f t="shared" si="61"/>
        <v/>
      </c>
      <c r="BQ83" s="148" t="str">
        <f t="shared" si="62"/>
        <v/>
      </c>
      <c r="BR83" s="148" t="str">
        <f t="shared" si="63"/>
        <v/>
      </c>
      <c r="BS83" s="148" t="str">
        <f t="shared" si="64"/>
        <v/>
      </c>
      <c r="BT83" s="148" t="str">
        <f t="shared" si="44"/>
        <v/>
      </c>
      <c r="BU83" s="148" t="str">
        <f t="shared" si="45"/>
        <v/>
      </c>
      <c r="BV83" s="148" t="str">
        <f t="shared" si="46"/>
        <v/>
      </c>
      <c r="BW83" s="148" t="str">
        <f t="shared" si="47"/>
        <v/>
      </c>
      <c r="BX83" s="148" t="str">
        <f t="shared" si="48"/>
        <v/>
      </c>
      <c r="BY83" s="148" t="str">
        <f t="shared" si="49"/>
        <v/>
      </c>
      <c r="BZ83" s="149" t="str">
        <f>IFERROR(INDEX('Prescriptive Rebate Table'!$B$2:$E$64,MATCH(O83,'Prescriptive Rebate Table'!$C$2:$C$64,0),3),"")</f>
        <v/>
      </c>
      <c r="CA83" s="145" t="str">
        <f>IFERROR(INDEX('Prescriptive Rebate Table'!$B$2:$E$64,MATCH(O83,'Prescriptive Rebate Table'!$C$2:$C$64,0),4),"")</f>
        <v/>
      </c>
      <c r="CB83" s="149" t="str">
        <f t="shared" si="65"/>
        <v/>
      </c>
      <c r="CC83" s="145" t="str">
        <f t="shared" si="66"/>
        <v/>
      </c>
      <c r="CD83" s="149" t="str">
        <f t="shared" si="50"/>
        <v/>
      </c>
      <c r="CE83" s="149" t="str">
        <f t="shared" si="51"/>
        <v/>
      </c>
      <c r="CF83" s="149" t="str">
        <f>IF(BK83&lt;=0,0,IFERROR(IF(OR(ISBLANK(AC83),ISBLANK(CD83))=TRUE,"",IF(CA83="Per Foot",INDEX('Fixture Codes'!$I$8:$I$976,MATCH(AD83,'Fixture Codes'!$B$8:$B$976,0))/12*AF83*BZ83,IF(CA83="Lamp",INDEX('Fixture Codes'!$J$8:$J$976,MATCH(AD83,'Fixture Codes'!$B$8:$B$976,0))*AF83*BZ83,IF(CA83="Fixture",AF83*BZ83,IF(CA83="kWh",BK83*BZ83,0))))),""))</f>
        <v/>
      </c>
      <c r="CG83" s="149" t="str">
        <f t="shared" si="67"/>
        <v/>
      </c>
      <c r="CH83" s="149" t="str">
        <f t="shared" si="68"/>
        <v/>
      </c>
      <c r="CI83" s="152"/>
      <c r="CJ83" s="146"/>
      <c r="CK83" s="241">
        <f>IFERROR(IF(CL83="Yes",'Prescriptive Rebate Table'!$D$69,IF(ISBLANK(AI83),0,IF(AND(AH83=Lookups!$A$62,BK83&gt;0),'Prescriptive Rebate Table'!$D$68,IF(AND(BK83&gt;0,CJ83=AF83),'Prescriptive Rebate Table'!$D$67,IF(AND(BK83&gt;0,CJ83&lt;&gt;AF83),'Prescriptive Rebate Table'!D142,0))))),"")</f>
        <v>0</v>
      </c>
      <c r="CL83" s="240" t="s">
        <v>2712</v>
      </c>
      <c r="CM83" s="152"/>
      <c r="CN83" s="152"/>
      <c r="CO83" s="152"/>
      <c r="CP83" s="146">
        <f t="shared" si="52"/>
        <v>0</v>
      </c>
      <c r="CQ83" s="153">
        <f>IF(D83="Interior",ROUND(($AG83*AF83)/1000*$AM83*(Lookups!$B$54-$AA83)*$AN83*$AO83,3),0)</f>
        <v>0</v>
      </c>
      <c r="CR83" s="153">
        <f>IFERROR(IF(D83="Interior",ROUND(($AG83*$AF83)/1000*(Lookups!$C$54-$AB83)*$AN83*AQ83*AT83,6),0),"")</f>
        <v>0</v>
      </c>
      <c r="CS83" s="165">
        <f t="shared" si="69"/>
        <v>0</v>
      </c>
      <c r="CT83" s="165">
        <f t="shared" si="70"/>
        <v>0</v>
      </c>
      <c r="CV83" s="153"/>
      <c r="CW83" s="153"/>
      <c r="CX83" s="165"/>
      <c r="CY83" s="165"/>
      <c r="DA83" s="153">
        <f>IF(D83="Interior",ROUND(($AG83*AF83*(1-0.15))/1000*$AM83*(Lookups!$B$43+0.097-$AA83)*$AN83*$AO83+((W83*V83)/1000*AN83*AM83*AO83*0.15),3),0)</f>
        <v>0</v>
      </c>
      <c r="DB83" s="153">
        <f>IFERROR(IF(D83="Interior",ROUND(($AG83*$AF83)/1000*(Lookups!$C$43+0.097-$AB83)*$AN83*AQ83*AT83+(($AG83*$AF83)/1000*$AN83*AQ83*AT83*0.15),6),0),"")</f>
        <v>0</v>
      </c>
      <c r="DC83" s="165">
        <f t="shared" si="53"/>
        <v>0</v>
      </c>
      <c r="DD83" s="165">
        <f t="shared" si="54"/>
        <v>0</v>
      </c>
    </row>
    <row r="84" spans="1:108" s="164" customFormat="1">
      <c r="A84" s="150">
        <v>80</v>
      </c>
      <c r="B84" s="153" t="str">
        <f>IFERROR(INDEX(Lookups!$B$2:$B$38,MATCH('Project Info &amp; Summary'!$C$19,Lookups!$A$2:$A$38,0)),"")</f>
        <v/>
      </c>
      <c r="C84" s="153" t="str">
        <f>IFERROR(INDEX(Lookups!$C$2:$C$38,MATCH('Project Info &amp; Summary'!$C$19,Lookups!$A$2:$A$38,0)),"")</f>
        <v/>
      </c>
      <c r="D84" s="163"/>
      <c r="E84" s="160"/>
      <c r="F84" s="158"/>
      <c r="G84" s="158"/>
      <c r="H84" s="158"/>
      <c r="I84" s="158"/>
      <c r="J84" s="154" t="str">
        <f>IFERROR(INDEX(Lookups!$W$21:$W$26,MATCH(I84,Lookups!$V$21:$V$26,0)),"")</f>
        <v/>
      </c>
      <c r="K84" s="158"/>
      <c r="L84" s="162" t="str">
        <f>IFERROR(INDEX(Lookups!$Y$2:$Y$19,MATCH(_xlfn.CONCAT(I84,K84),Lookups!$X$2:$X$19,0)),"")</f>
        <v/>
      </c>
      <c r="M84" s="158"/>
      <c r="N84" s="153" t="str">
        <f>IFERROR(INDEX('Prescriptive Rebate Table'!$M$3:$M$20,MATCH(M84,'Prescriptive Rebate Table'!$L$3:$L$20,0)),"")</f>
        <v/>
      </c>
      <c r="O84" s="158"/>
      <c r="P84" s="154" t="str">
        <f>IFERROR(INDEX('Prescriptive Rebate Table'!$B$2:$H$64, MATCH(O84,'Prescriptive Rebate Table'!$C$2:$C$64,0),7),"")</f>
        <v/>
      </c>
      <c r="Q84" s="155" t="str">
        <f>IFERROR(INDEX('Prescriptive Rebate Table'!$B$2:$I$64, MATCH(O84,'Prescriptive Rebate Table'!$C$2:$C$64,0),8),"")</f>
        <v/>
      </c>
      <c r="R84" s="155" t="str">
        <f>IFERROR(INDEX('Prescriptive Rebate Table'!$B$2:$J$64, MATCH(O84,'Prescriptive Rebate Table'!$C$2:$C$64,0),9),"")</f>
        <v/>
      </c>
      <c r="S84" s="160"/>
      <c r="T84" s="145" t="str">
        <f>IFERROR(INDEX('Fixture Codes'!$M$8:$M$976,MATCH(S84,'Fixture Codes'!$B$8:$B$976,0)),"")</f>
        <v/>
      </c>
      <c r="U84" s="145" t="str">
        <f>IFERROR(INDEX('Fixture Codes'!$B$7:$M$976,MATCH(T84,'Fixture Codes'!$B$7:$B$976,0),5),"")</f>
        <v/>
      </c>
      <c r="V84" s="160"/>
      <c r="W84" s="145" t="str">
        <f>IFERROR(INDEX('Fixture Codes'!$L$8:$L$976,MATCH(T84,'Fixture Codes'!$B$8:$B$976,0)),"")</f>
        <v/>
      </c>
      <c r="X84" s="158"/>
      <c r="Y84" s="159"/>
      <c r="Z84" s="155" t="str">
        <f>IFERROR(INDEX(Lookups!B$68:B$87,MATCH($X84,Lookups!$A$68:$A$87,0)),"")</f>
        <v/>
      </c>
      <c r="AA84" s="150" t="str">
        <f>IFERROR(INDEX(Lookups!B$42:B$62,MATCH($X84,Lookups!$A$42:$A$62,0)),"")</f>
        <v/>
      </c>
      <c r="AB84" s="150" t="str">
        <f>IFERROR(INDEX(Lookups!C$42:C$62,MATCH($X84,Lookups!$A$42:$A$62,0)),"")</f>
        <v/>
      </c>
      <c r="AC84" s="160"/>
      <c r="AD84" s="160"/>
      <c r="AE84" s="150" t="str">
        <f>IFERROR(INDEX('Fixture Codes'!$B$7:$M$976,MATCH(AD84,'Fixture Codes'!$B$7:$B$976,0),5),"")</f>
        <v/>
      </c>
      <c r="AF84" s="160"/>
      <c r="AG84" s="145" t="str">
        <f>IFERROR(INDEX('Fixture Codes'!$L$8:$L$976,MATCH(AD84,'Fixture Codes'!$B$8:$B$976,0)),"")</f>
        <v/>
      </c>
      <c r="AH84" s="158"/>
      <c r="AI84" s="160"/>
      <c r="AJ84" s="150" t="str">
        <f>IFERROR(INDEX(Lookups!B$68:B$87,MATCH($AH84,Lookups!$A$68:$A$87,0)),"")</f>
        <v/>
      </c>
      <c r="AK84" s="150" t="str">
        <f>IFERROR(INDEX(Lookups!B$42:B$62,MATCH($AH84,Lookups!$A$42:$A$62,0)),"")</f>
        <v/>
      </c>
      <c r="AL84" s="150" t="str">
        <f>IFERROR(INDEX(Lookups!C$42:C$62,MATCH($AH84,Lookups!$A$42:$A$62,0)),"")</f>
        <v/>
      </c>
      <c r="AM84" s="150" t="str">
        <f>IFERROR(IF(M84="Exit Signs",8760,IF(INDEX('Fixture Codes'!$C$8:$C$976,MATCH(AD84,'Fixture Codes'!$B$8:$B$976,0))="Exit Sign",8760,INDEX(Lookups!$I$2:$I$428,MATCH(_xlfn.CONCAT(B84,H84),Lookups!$H$2:$H$428,0)))),"")</f>
        <v/>
      </c>
      <c r="AN84" s="153">
        <v>1</v>
      </c>
      <c r="AO84" s="150" t="str">
        <f>IF($D84="Interior",INDEX(Lookups!Q$2:Q$86,MATCH(_xlfn.CONCAT($C84,$L84),Lookups!$P$2:$P$86,0)),IF($D84="Exterior",1,""))</f>
        <v/>
      </c>
      <c r="AP84" s="150">
        <f t="shared" si="55"/>
        <v>1</v>
      </c>
      <c r="AQ84" s="150" t="str">
        <f>IF($D84="Interior",INDEX(Lookups!R$2:R$86,MATCH(_xlfn.CONCAT($C84,$L84),Lookups!$P$2:$P$86,0)),IF($D84="Exterior",1,""))</f>
        <v/>
      </c>
      <c r="AR84" s="150" t="str">
        <f>IF($D84="Interior",INDEX(Lookups!S$2:S$86,MATCH(_xlfn.CONCAT($C84,$L84),Lookups!$P$2:$P$86,0)),IF($D84="Exterior",1,""))</f>
        <v/>
      </c>
      <c r="AS84" s="150" t="str">
        <f>IF($D84="Interior",INDEX(Lookups!T$2:T$86,MATCH(_xlfn.CONCAT($C84,$L84),Lookups!$P$2:$P$86,0)),IF($D84="Exterior",1,""))</f>
        <v/>
      </c>
      <c r="AT84" s="150" t="str">
        <f>IFERROR(IF(M84="Exit Signs",1,IF(INDEX('Fixture Codes'!$C$8:$C$976,MATCH($AD84,'Fixture Codes'!$B$8:$B$976,0))="Exit Sign",1,INDEX(Lookups!J$2:J$428,MATCH(_xlfn.CONCAT($B84,$H84),Lookups!$H$2:$H$428,0)))),"")</f>
        <v/>
      </c>
      <c r="AU84" s="150" t="str">
        <f>IFERROR(IF(M84="Exit Signs",1,IF(INDEX('Fixture Codes'!$C$8:$C$976,MATCH($AD84,'Fixture Codes'!$B$8:$B$976,0))="Exit Sign",1,INDEX(Lookups!K$2:K$428,MATCH(_xlfn.CONCAT($B84,$H84),Lookups!$H$2:$H$428,0)))),"")</f>
        <v/>
      </c>
      <c r="AV84" s="150" t="str">
        <f>IFERROR(IF(M84="Exit Signs",1,IF(INDEX('Fixture Codes'!$C$8:$C$976,MATCH($AD84,'Fixture Codes'!$B$8:$B$976,0))="Exit Sign",1,INDEX(Lookups!L$2:L$428,MATCH(_xlfn.CONCAT($B84,$H84),Lookups!$H$2:$H$428,0)))),"")</f>
        <v/>
      </c>
      <c r="AW84" s="150" t="str">
        <f>IF(ISBLANK(K84),"",IF(K84="Gas",INDEX(Lookups!$AG$2:$AG$63,MATCH(O84,Lookups!$AD$2:$AD$63,0),0),0))</f>
        <v/>
      </c>
      <c r="AX84" s="150" t="str">
        <f>IF(ISBLANK(K84),"",IF(K84="Gas",INDEX(Lookups!$AF$2:$AF$63,MATCH(O84,Lookups!$AD$2:$AD$63,0),0),0))</f>
        <v/>
      </c>
      <c r="AY84" s="150" t="str">
        <f>IF(ISBLANK(K84),"",IF(K84="Gas",INDEX(Lookups!$AH$2:$AH$63,MATCH(O84,Lookups!$AD$2:$AD$63,0),0),0))</f>
        <v/>
      </c>
      <c r="AZ84" s="150" t="str">
        <f>IF(ISBLANK(K84),"",IF(K84="Gas",INDEX(Lookups!$AI$2:$AI$63,MATCH(O84,Lookups!$AD$2:$AD$63,0),0),0))</f>
        <v/>
      </c>
      <c r="BA84" s="150" t="str">
        <f t="shared" si="40"/>
        <v/>
      </c>
      <c r="BB84" s="156" t="str">
        <f>IF(ISBLANK(AH84),"",IF(AH84="None",0,IF(K84="Gas",INDEX(Lookups!$AF$51:$AF$69,MATCH(AH84,Lookups!$AD$51:$AD$69,0),0),0)))</f>
        <v/>
      </c>
      <c r="BC84" s="156" t="str">
        <f>IF(ISBLANK(AH84),"",IF(AH84="None",0,IF(K84="Gas",INDEX(Lookups!$AH$51:$AH$69,MATCH(AH84,Lookups!$AD$51:$AD$69,0),0),0)))</f>
        <v/>
      </c>
      <c r="BD84" s="156" t="str">
        <f>IF(ISBLANK(AH84),"",IF(AH84="None",0,IF(K84="Gas",INDEX(Lookups!$AI$51:$AI$69,MATCH(AH84,Lookups!$AD$51:$AD$69,0),0),0)))</f>
        <v/>
      </c>
      <c r="BE84" s="157"/>
      <c r="BF84" s="157"/>
      <c r="BG84" s="147" t="str">
        <f t="shared" si="56"/>
        <v/>
      </c>
      <c r="BH84" s="147" t="str">
        <f t="shared" si="57"/>
        <v/>
      </c>
      <c r="BI84" s="147" t="str">
        <f t="shared" si="41"/>
        <v/>
      </c>
      <c r="BJ84" s="147" t="str">
        <f t="shared" si="42"/>
        <v/>
      </c>
      <c r="BK84" s="148" t="str">
        <f t="shared" si="58"/>
        <v/>
      </c>
      <c r="BL84" s="147" t="str">
        <f t="shared" si="43"/>
        <v/>
      </c>
      <c r="BM84" s="148" t="str">
        <f t="shared" si="59"/>
        <v/>
      </c>
      <c r="BN84" s="147" t="str">
        <f t="shared" si="60"/>
        <v/>
      </c>
      <c r="BO84" s="147" t="str">
        <f t="shared" si="60"/>
        <v/>
      </c>
      <c r="BP84" s="147" t="str">
        <f t="shared" si="61"/>
        <v/>
      </c>
      <c r="BQ84" s="148" t="str">
        <f t="shared" si="62"/>
        <v/>
      </c>
      <c r="BR84" s="148" t="str">
        <f t="shared" si="63"/>
        <v/>
      </c>
      <c r="BS84" s="148" t="str">
        <f t="shared" si="64"/>
        <v/>
      </c>
      <c r="BT84" s="148" t="str">
        <f t="shared" si="44"/>
        <v/>
      </c>
      <c r="BU84" s="148" t="str">
        <f t="shared" si="45"/>
        <v/>
      </c>
      <c r="BV84" s="148" t="str">
        <f t="shared" si="46"/>
        <v/>
      </c>
      <c r="BW84" s="148" t="str">
        <f t="shared" si="47"/>
        <v/>
      </c>
      <c r="BX84" s="148" t="str">
        <f t="shared" si="48"/>
        <v/>
      </c>
      <c r="BY84" s="148" t="str">
        <f t="shared" si="49"/>
        <v/>
      </c>
      <c r="BZ84" s="149" t="str">
        <f>IFERROR(INDEX('Prescriptive Rebate Table'!$B$2:$E$64,MATCH(O84,'Prescriptive Rebate Table'!$C$2:$C$64,0),3),"")</f>
        <v/>
      </c>
      <c r="CA84" s="145" t="str">
        <f>IFERROR(INDEX('Prescriptive Rebate Table'!$B$2:$E$64,MATCH(O84,'Prescriptive Rebate Table'!$C$2:$C$64,0),4),"")</f>
        <v/>
      </c>
      <c r="CB84" s="149" t="str">
        <f t="shared" si="65"/>
        <v/>
      </c>
      <c r="CC84" s="145" t="str">
        <f t="shared" si="66"/>
        <v/>
      </c>
      <c r="CD84" s="149" t="str">
        <f t="shared" si="50"/>
        <v/>
      </c>
      <c r="CE84" s="149" t="str">
        <f t="shared" si="51"/>
        <v/>
      </c>
      <c r="CF84" s="149" t="str">
        <f>IF(BK84&lt;=0,0,IFERROR(IF(OR(ISBLANK(AC84),ISBLANK(CD84))=TRUE,"",IF(CA84="Per Foot",INDEX('Fixture Codes'!$I$8:$I$976,MATCH(AD84,'Fixture Codes'!$B$8:$B$976,0))/12*AF84*BZ84,IF(CA84="Lamp",INDEX('Fixture Codes'!$J$8:$J$976,MATCH(AD84,'Fixture Codes'!$B$8:$B$976,0))*AF84*BZ84,IF(CA84="Fixture",AF84*BZ84,IF(CA84="kWh",BK84*BZ84,0))))),""))</f>
        <v/>
      </c>
      <c r="CG84" s="149" t="str">
        <f t="shared" si="67"/>
        <v/>
      </c>
      <c r="CH84" s="149" t="str">
        <f t="shared" si="68"/>
        <v/>
      </c>
      <c r="CI84" s="152"/>
      <c r="CJ84" s="146"/>
      <c r="CK84" s="241">
        <f>IFERROR(IF(CL84="Yes",'Prescriptive Rebate Table'!$D$69,IF(ISBLANK(AI84),0,IF(AND(AH84=Lookups!$A$62,BK84&gt;0),'Prescriptive Rebate Table'!$D$68,IF(AND(BK84&gt;0,CJ84=AF84),'Prescriptive Rebate Table'!$D$67,IF(AND(BK84&gt;0,CJ84&lt;&gt;AF84),'Prescriptive Rebate Table'!D143,0))))),"")</f>
        <v>0</v>
      </c>
      <c r="CL84" s="240" t="s">
        <v>2712</v>
      </c>
      <c r="CM84" s="152"/>
      <c r="CN84" s="152"/>
      <c r="CO84" s="152"/>
      <c r="CP84" s="146">
        <f t="shared" si="52"/>
        <v>0</v>
      </c>
      <c r="CQ84" s="153">
        <f>IF(D84="Interior",ROUND(($AG84*AF84)/1000*$AM84*(Lookups!$B$54-$AA84)*$AN84*$AO84,3),0)</f>
        <v>0</v>
      </c>
      <c r="CR84" s="153">
        <f>IFERROR(IF(D84="Interior",ROUND(($AG84*$AF84)/1000*(Lookups!$C$54-$AB84)*$AN84*AQ84*AT84,6),0),"")</f>
        <v>0</v>
      </c>
      <c r="CS84" s="165">
        <f t="shared" si="69"/>
        <v>0</v>
      </c>
      <c r="CT84" s="165">
        <f t="shared" si="70"/>
        <v>0</v>
      </c>
      <c r="CV84" s="153"/>
      <c r="CW84" s="153"/>
      <c r="CX84" s="165"/>
      <c r="CY84" s="165"/>
      <c r="DA84" s="153">
        <f>IF(D84="Interior",ROUND(($AG84*AF84*(1-0.15))/1000*$AM84*(Lookups!$B$43+0.097-$AA84)*$AN84*$AO84+((W84*V84)/1000*AN84*AM84*AO84*0.15),3),0)</f>
        <v>0</v>
      </c>
      <c r="DB84" s="153">
        <f>IFERROR(IF(D84="Interior",ROUND(($AG84*$AF84)/1000*(Lookups!$C$43+0.097-$AB84)*$AN84*AQ84*AT84+(($AG84*$AF84)/1000*$AN84*AQ84*AT84*0.15),6),0),"")</f>
        <v>0</v>
      </c>
      <c r="DC84" s="165">
        <f t="shared" si="53"/>
        <v>0</v>
      </c>
      <c r="DD84" s="165">
        <f t="shared" si="54"/>
        <v>0</v>
      </c>
    </row>
    <row r="85" spans="1:108" s="164" customFormat="1">
      <c r="A85" s="150">
        <v>81</v>
      </c>
      <c r="B85" s="153" t="str">
        <f>IFERROR(INDEX(Lookups!$B$2:$B$38,MATCH('Project Info &amp; Summary'!$C$19,Lookups!$A$2:$A$38,0)),"")</f>
        <v/>
      </c>
      <c r="C85" s="153" t="str">
        <f>IFERROR(INDEX(Lookups!$C$2:$C$38,MATCH('Project Info &amp; Summary'!$C$19,Lookups!$A$2:$A$38,0)),"")</f>
        <v/>
      </c>
      <c r="D85" s="163"/>
      <c r="E85" s="160"/>
      <c r="F85" s="158"/>
      <c r="G85" s="158"/>
      <c r="H85" s="158"/>
      <c r="I85" s="158"/>
      <c r="J85" s="154" t="str">
        <f>IFERROR(INDEX(Lookups!$W$21:$W$26,MATCH(I85,Lookups!$V$21:$V$26,0)),"")</f>
        <v/>
      </c>
      <c r="K85" s="158"/>
      <c r="L85" s="162" t="str">
        <f>IFERROR(INDEX(Lookups!$Y$2:$Y$19,MATCH(_xlfn.CONCAT(I85,K85),Lookups!$X$2:$X$19,0)),"")</f>
        <v/>
      </c>
      <c r="M85" s="158"/>
      <c r="N85" s="153" t="str">
        <f>IFERROR(INDEX('Prescriptive Rebate Table'!$M$3:$M$20,MATCH(M85,'Prescriptive Rebate Table'!$L$3:$L$20,0)),"")</f>
        <v/>
      </c>
      <c r="O85" s="158"/>
      <c r="P85" s="154" t="str">
        <f>IFERROR(INDEX('Prescriptive Rebate Table'!$B$2:$H$64, MATCH(O85,'Prescriptive Rebate Table'!$C$2:$C$64,0),7),"")</f>
        <v/>
      </c>
      <c r="Q85" s="155" t="str">
        <f>IFERROR(INDEX('Prescriptive Rebate Table'!$B$2:$I$64, MATCH(O85,'Prescriptive Rebate Table'!$C$2:$C$64,0),8),"")</f>
        <v/>
      </c>
      <c r="R85" s="155" t="str">
        <f>IFERROR(INDEX('Prescriptive Rebate Table'!$B$2:$J$64, MATCH(O85,'Prescriptive Rebate Table'!$C$2:$C$64,0),9),"")</f>
        <v/>
      </c>
      <c r="S85" s="160"/>
      <c r="T85" s="145" t="str">
        <f>IFERROR(INDEX('Fixture Codes'!$M$8:$M$976,MATCH(S85,'Fixture Codes'!$B$8:$B$976,0)),"")</f>
        <v/>
      </c>
      <c r="U85" s="145" t="str">
        <f>IFERROR(INDEX('Fixture Codes'!$B$7:$M$976,MATCH(T85,'Fixture Codes'!$B$7:$B$976,0),5),"")</f>
        <v/>
      </c>
      <c r="V85" s="160"/>
      <c r="W85" s="145" t="str">
        <f>IFERROR(INDEX('Fixture Codes'!$L$8:$L$976,MATCH(T85,'Fixture Codes'!$B$8:$B$976,0)),"")</f>
        <v/>
      </c>
      <c r="X85" s="158"/>
      <c r="Y85" s="159"/>
      <c r="Z85" s="155" t="str">
        <f>IFERROR(INDEX(Lookups!B$68:B$87,MATCH($X85,Lookups!$A$68:$A$87,0)),"")</f>
        <v/>
      </c>
      <c r="AA85" s="150" t="str">
        <f>IFERROR(INDEX(Lookups!B$42:B$62,MATCH($X85,Lookups!$A$42:$A$62,0)),"")</f>
        <v/>
      </c>
      <c r="AB85" s="150" t="str">
        <f>IFERROR(INDEX(Lookups!C$42:C$62,MATCH($X85,Lookups!$A$42:$A$62,0)),"")</f>
        <v/>
      </c>
      <c r="AC85" s="160"/>
      <c r="AD85" s="160"/>
      <c r="AE85" s="150" t="str">
        <f>IFERROR(INDEX('Fixture Codes'!$B$7:$M$976,MATCH(AD85,'Fixture Codes'!$B$7:$B$976,0),5),"")</f>
        <v/>
      </c>
      <c r="AF85" s="160"/>
      <c r="AG85" s="145" t="str">
        <f>IFERROR(INDEX('Fixture Codes'!$L$8:$L$976,MATCH(AD85,'Fixture Codes'!$B$8:$B$976,0)),"")</f>
        <v/>
      </c>
      <c r="AH85" s="158"/>
      <c r="AI85" s="160"/>
      <c r="AJ85" s="150" t="str">
        <f>IFERROR(INDEX(Lookups!B$68:B$87,MATCH($AH85,Lookups!$A$68:$A$87,0)),"")</f>
        <v/>
      </c>
      <c r="AK85" s="150" t="str">
        <f>IFERROR(INDEX(Lookups!B$42:B$62,MATCH($AH85,Lookups!$A$42:$A$62,0)),"")</f>
        <v/>
      </c>
      <c r="AL85" s="150" t="str">
        <f>IFERROR(INDEX(Lookups!C$42:C$62,MATCH($AH85,Lookups!$A$42:$A$62,0)),"")</f>
        <v/>
      </c>
      <c r="AM85" s="150" t="str">
        <f>IFERROR(IF(M85="Exit Signs",8760,IF(INDEX('Fixture Codes'!$C$8:$C$976,MATCH(AD85,'Fixture Codes'!$B$8:$B$976,0))="Exit Sign",8760,INDEX(Lookups!$I$2:$I$428,MATCH(_xlfn.CONCAT(B85,H85),Lookups!$H$2:$H$428,0)))),"")</f>
        <v/>
      </c>
      <c r="AN85" s="153">
        <v>1</v>
      </c>
      <c r="AO85" s="150" t="str">
        <f>IF($D85="Interior",INDEX(Lookups!Q$2:Q$86,MATCH(_xlfn.CONCAT($C85,$L85),Lookups!$P$2:$P$86,0)),IF($D85="Exterior",1,""))</f>
        <v/>
      </c>
      <c r="AP85" s="150">
        <f t="shared" si="55"/>
        <v>1</v>
      </c>
      <c r="AQ85" s="150" t="str">
        <f>IF($D85="Interior",INDEX(Lookups!R$2:R$86,MATCH(_xlfn.CONCAT($C85,$L85),Lookups!$P$2:$P$86,0)),IF($D85="Exterior",1,""))</f>
        <v/>
      </c>
      <c r="AR85" s="150" t="str">
        <f>IF($D85="Interior",INDEX(Lookups!S$2:S$86,MATCH(_xlfn.CONCAT($C85,$L85),Lookups!$P$2:$P$86,0)),IF($D85="Exterior",1,""))</f>
        <v/>
      </c>
      <c r="AS85" s="150" t="str">
        <f>IF($D85="Interior",INDEX(Lookups!T$2:T$86,MATCH(_xlfn.CONCAT($C85,$L85),Lookups!$P$2:$P$86,0)),IF($D85="Exterior",1,""))</f>
        <v/>
      </c>
      <c r="AT85" s="150" t="str">
        <f>IFERROR(IF(M85="Exit Signs",1,IF(INDEX('Fixture Codes'!$C$8:$C$976,MATCH($AD85,'Fixture Codes'!$B$8:$B$976,0))="Exit Sign",1,INDEX(Lookups!J$2:J$428,MATCH(_xlfn.CONCAT($B85,$H85),Lookups!$H$2:$H$428,0)))),"")</f>
        <v/>
      </c>
      <c r="AU85" s="150" t="str">
        <f>IFERROR(IF(M85="Exit Signs",1,IF(INDEX('Fixture Codes'!$C$8:$C$976,MATCH($AD85,'Fixture Codes'!$B$8:$B$976,0))="Exit Sign",1,INDEX(Lookups!K$2:K$428,MATCH(_xlfn.CONCAT($B85,$H85),Lookups!$H$2:$H$428,0)))),"")</f>
        <v/>
      </c>
      <c r="AV85" s="150" t="str">
        <f>IFERROR(IF(M85="Exit Signs",1,IF(INDEX('Fixture Codes'!$C$8:$C$976,MATCH($AD85,'Fixture Codes'!$B$8:$B$976,0))="Exit Sign",1,INDEX(Lookups!L$2:L$428,MATCH(_xlfn.CONCAT($B85,$H85),Lookups!$H$2:$H$428,0)))),"")</f>
        <v/>
      </c>
      <c r="AW85" s="150" t="str">
        <f>IF(ISBLANK(K85),"",IF(K85="Gas",INDEX(Lookups!$AG$2:$AG$63,MATCH(O85,Lookups!$AD$2:$AD$63,0),0),0))</f>
        <v/>
      </c>
      <c r="AX85" s="150" t="str">
        <f>IF(ISBLANK(K85),"",IF(K85="Gas",INDEX(Lookups!$AF$2:$AF$63,MATCH(O85,Lookups!$AD$2:$AD$63,0),0),0))</f>
        <v/>
      </c>
      <c r="AY85" s="150" t="str">
        <f>IF(ISBLANK(K85),"",IF(K85="Gas",INDEX(Lookups!$AH$2:$AH$63,MATCH(O85,Lookups!$AD$2:$AD$63,0),0),0))</f>
        <v/>
      </c>
      <c r="AZ85" s="150" t="str">
        <f>IF(ISBLANK(K85),"",IF(K85="Gas",INDEX(Lookups!$AI$2:$AI$63,MATCH(O85,Lookups!$AD$2:$AD$63,0),0),0))</f>
        <v/>
      </c>
      <c r="BA85" s="150" t="str">
        <f t="shared" si="40"/>
        <v/>
      </c>
      <c r="BB85" s="156" t="str">
        <f>IF(ISBLANK(AH85),"",IF(AH85="None",0,IF(K85="Gas",INDEX(Lookups!$AF$51:$AF$69,MATCH(AH85,Lookups!$AD$51:$AD$69,0),0),0)))</f>
        <v/>
      </c>
      <c r="BC85" s="156" t="str">
        <f>IF(ISBLANK(AH85),"",IF(AH85="None",0,IF(K85="Gas",INDEX(Lookups!$AH$51:$AH$69,MATCH(AH85,Lookups!$AD$51:$AD$69,0),0),0)))</f>
        <v/>
      </c>
      <c r="BD85" s="156" t="str">
        <f>IF(ISBLANK(AH85),"",IF(AH85="None",0,IF(K85="Gas",INDEX(Lookups!$AI$51:$AI$69,MATCH(AH85,Lookups!$AD$51:$AD$69,0),0),0)))</f>
        <v/>
      </c>
      <c r="BE85" s="157"/>
      <c r="BF85" s="157"/>
      <c r="BG85" s="147" t="str">
        <f t="shared" si="56"/>
        <v/>
      </c>
      <c r="BH85" s="147" t="str">
        <f t="shared" si="57"/>
        <v/>
      </c>
      <c r="BI85" s="147" t="str">
        <f t="shared" si="41"/>
        <v/>
      </c>
      <c r="BJ85" s="147" t="str">
        <f t="shared" si="42"/>
        <v/>
      </c>
      <c r="BK85" s="148" t="str">
        <f t="shared" si="58"/>
        <v/>
      </c>
      <c r="BL85" s="147" t="str">
        <f t="shared" si="43"/>
        <v/>
      </c>
      <c r="BM85" s="148" t="str">
        <f t="shared" si="59"/>
        <v/>
      </c>
      <c r="BN85" s="147" t="str">
        <f t="shared" si="60"/>
        <v/>
      </c>
      <c r="BO85" s="147" t="str">
        <f t="shared" si="60"/>
        <v/>
      </c>
      <c r="BP85" s="147" t="str">
        <f t="shared" si="61"/>
        <v/>
      </c>
      <c r="BQ85" s="148" t="str">
        <f t="shared" si="62"/>
        <v/>
      </c>
      <c r="BR85" s="148" t="str">
        <f t="shared" si="63"/>
        <v/>
      </c>
      <c r="BS85" s="148" t="str">
        <f t="shared" si="64"/>
        <v/>
      </c>
      <c r="BT85" s="148" t="str">
        <f t="shared" si="44"/>
        <v/>
      </c>
      <c r="BU85" s="148" t="str">
        <f t="shared" si="45"/>
        <v/>
      </c>
      <c r="BV85" s="148" t="str">
        <f t="shared" si="46"/>
        <v/>
      </c>
      <c r="BW85" s="148" t="str">
        <f t="shared" si="47"/>
        <v/>
      </c>
      <c r="BX85" s="148" t="str">
        <f t="shared" si="48"/>
        <v/>
      </c>
      <c r="BY85" s="148" t="str">
        <f t="shared" si="49"/>
        <v/>
      </c>
      <c r="BZ85" s="149" t="str">
        <f>IFERROR(INDEX('Prescriptive Rebate Table'!$B$2:$E$64,MATCH(O85,'Prescriptive Rebate Table'!$C$2:$C$64,0),3),"")</f>
        <v/>
      </c>
      <c r="CA85" s="145" t="str">
        <f>IFERROR(INDEX('Prescriptive Rebate Table'!$B$2:$E$64,MATCH(O85,'Prescriptive Rebate Table'!$C$2:$C$64,0),4),"")</f>
        <v/>
      </c>
      <c r="CB85" s="149" t="str">
        <f t="shared" si="65"/>
        <v/>
      </c>
      <c r="CC85" s="145" t="str">
        <f t="shared" si="66"/>
        <v/>
      </c>
      <c r="CD85" s="149" t="str">
        <f t="shared" si="50"/>
        <v/>
      </c>
      <c r="CE85" s="149" t="str">
        <f t="shared" si="51"/>
        <v/>
      </c>
      <c r="CF85" s="149" t="str">
        <f>IF(BK85&lt;=0,0,IFERROR(IF(OR(ISBLANK(AC85),ISBLANK(CD85))=TRUE,"",IF(CA85="Per Foot",INDEX('Fixture Codes'!$I$8:$I$976,MATCH(AD85,'Fixture Codes'!$B$8:$B$976,0))/12*AF85*BZ85,IF(CA85="Lamp",INDEX('Fixture Codes'!$J$8:$J$976,MATCH(AD85,'Fixture Codes'!$B$8:$B$976,0))*AF85*BZ85,IF(CA85="Fixture",AF85*BZ85,IF(CA85="kWh",BK85*BZ85,0))))),""))</f>
        <v/>
      </c>
      <c r="CG85" s="149" t="str">
        <f t="shared" si="67"/>
        <v/>
      </c>
      <c r="CH85" s="149" t="str">
        <f t="shared" si="68"/>
        <v/>
      </c>
      <c r="CI85" s="152"/>
      <c r="CJ85" s="146"/>
      <c r="CK85" s="241">
        <f>IFERROR(IF(CL85="Yes",'Prescriptive Rebate Table'!$D$69,IF(ISBLANK(AI85),0,IF(AND(AH85=Lookups!$A$62,BK85&gt;0),'Prescriptive Rebate Table'!$D$68,IF(AND(BK85&gt;0,CJ85=AF85),'Prescriptive Rebate Table'!$D$67,IF(AND(BK85&gt;0,CJ85&lt;&gt;AF85),'Prescriptive Rebate Table'!D144,0))))),"")</f>
        <v>0</v>
      </c>
      <c r="CL85" s="240" t="s">
        <v>2712</v>
      </c>
      <c r="CM85" s="152"/>
      <c r="CN85" s="152"/>
      <c r="CO85" s="152"/>
      <c r="CP85" s="146">
        <f t="shared" si="52"/>
        <v>0</v>
      </c>
      <c r="CQ85" s="153">
        <f>IF(D85="Interior",ROUND(($AG85*AF85)/1000*$AM85*(Lookups!$B$54-$AA85)*$AN85*$AO85,3),0)</f>
        <v>0</v>
      </c>
      <c r="CR85" s="153">
        <f>IFERROR(IF(D85="Interior",ROUND(($AG85*$AF85)/1000*(Lookups!$C$54-$AB85)*$AN85*AQ85*AT85,6),0),"")</f>
        <v>0</v>
      </c>
      <c r="CS85" s="165">
        <f t="shared" si="69"/>
        <v>0</v>
      </c>
      <c r="CT85" s="165">
        <f t="shared" si="70"/>
        <v>0</v>
      </c>
      <c r="CV85" s="153"/>
      <c r="CW85" s="153"/>
      <c r="CX85" s="165"/>
      <c r="CY85" s="165"/>
      <c r="DA85" s="153">
        <f>IF(D85="Interior",ROUND(($AG85*AF85*(1-0.15))/1000*$AM85*(Lookups!$B$43+0.097-$AA85)*$AN85*$AO85+((W85*V85)/1000*AN85*AM85*AO85*0.15),3),0)</f>
        <v>0</v>
      </c>
      <c r="DB85" s="153">
        <f>IFERROR(IF(D85="Interior",ROUND(($AG85*$AF85)/1000*(Lookups!$C$43+0.097-$AB85)*$AN85*AQ85*AT85+(($AG85*$AF85)/1000*$AN85*AQ85*AT85*0.15),6),0),"")</f>
        <v>0</v>
      </c>
      <c r="DC85" s="165">
        <f t="shared" si="53"/>
        <v>0</v>
      </c>
      <c r="DD85" s="165">
        <f t="shared" si="54"/>
        <v>0</v>
      </c>
    </row>
    <row r="86" spans="1:108" s="164" customFormat="1">
      <c r="A86" s="150">
        <v>82</v>
      </c>
      <c r="B86" s="153" t="str">
        <f>IFERROR(INDEX(Lookups!$B$2:$B$38,MATCH('Project Info &amp; Summary'!$C$19,Lookups!$A$2:$A$38,0)),"")</f>
        <v/>
      </c>
      <c r="C86" s="153" t="str">
        <f>IFERROR(INDEX(Lookups!$C$2:$C$38,MATCH('Project Info &amp; Summary'!$C$19,Lookups!$A$2:$A$38,0)),"")</f>
        <v/>
      </c>
      <c r="D86" s="163"/>
      <c r="E86" s="160"/>
      <c r="F86" s="158"/>
      <c r="G86" s="158"/>
      <c r="H86" s="158"/>
      <c r="I86" s="158"/>
      <c r="J86" s="154" t="str">
        <f>IFERROR(INDEX(Lookups!$W$21:$W$26,MATCH(I86,Lookups!$V$21:$V$26,0)),"")</f>
        <v/>
      </c>
      <c r="K86" s="158"/>
      <c r="L86" s="162" t="str">
        <f>IFERROR(INDEX(Lookups!$Y$2:$Y$19,MATCH(_xlfn.CONCAT(I86,K86),Lookups!$X$2:$X$19,0)),"")</f>
        <v/>
      </c>
      <c r="M86" s="158"/>
      <c r="N86" s="153" t="str">
        <f>IFERROR(INDEX('Prescriptive Rebate Table'!$M$3:$M$20,MATCH(M86,'Prescriptive Rebate Table'!$L$3:$L$20,0)),"")</f>
        <v/>
      </c>
      <c r="O86" s="158"/>
      <c r="P86" s="154" t="str">
        <f>IFERROR(INDEX('Prescriptive Rebate Table'!$B$2:$H$64, MATCH(O86,'Prescriptive Rebate Table'!$C$2:$C$64,0),7),"")</f>
        <v/>
      </c>
      <c r="Q86" s="155" t="str">
        <f>IFERROR(INDEX('Prescriptive Rebate Table'!$B$2:$I$64, MATCH(O86,'Prescriptive Rebate Table'!$C$2:$C$64,0),8),"")</f>
        <v/>
      </c>
      <c r="R86" s="155" t="str">
        <f>IFERROR(INDEX('Prescriptive Rebate Table'!$B$2:$J$64, MATCH(O86,'Prescriptive Rebate Table'!$C$2:$C$64,0),9),"")</f>
        <v/>
      </c>
      <c r="S86" s="160"/>
      <c r="T86" s="145" t="str">
        <f>IFERROR(INDEX('Fixture Codes'!$M$8:$M$976,MATCH(S86,'Fixture Codes'!$B$8:$B$976,0)),"")</f>
        <v/>
      </c>
      <c r="U86" s="145" t="str">
        <f>IFERROR(INDEX('Fixture Codes'!$B$7:$M$976,MATCH(T86,'Fixture Codes'!$B$7:$B$976,0),5),"")</f>
        <v/>
      </c>
      <c r="V86" s="160"/>
      <c r="W86" s="145" t="str">
        <f>IFERROR(INDEX('Fixture Codes'!$L$8:$L$976,MATCH(T86,'Fixture Codes'!$B$8:$B$976,0)),"")</f>
        <v/>
      </c>
      <c r="X86" s="158"/>
      <c r="Y86" s="159"/>
      <c r="Z86" s="155" t="str">
        <f>IFERROR(INDEX(Lookups!B$68:B$87,MATCH($X86,Lookups!$A$68:$A$87,0)),"")</f>
        <v/>
      </c>
      <c r="AA86" s="150" t="str">
        <f>IFERROR(INDEX(Lookups!B$42:B$62,MATCH($X86,Lookups!$A$42:$A$62,0)),"")</f>
        <v/>
      </c>
      <c r="AB86" s="150" t="str">
        <f>IFERROR(INDEX(Lookups!C$42:C$62,MATCH($X86,Lookups!$A$42:$A$62,0)),"")</f>
        <v/>
      </c>
      <c r="AC86" s="160"/>
      <c r="AD86" s="160"/>
      <c r="AE86" s="150" t="str">
        <f>IFERROR(INDEX('Fixture Codes'!$B$7:$M$976,MATCH(AD86,'Fixture Codes'!$B$7:$B$976,0),5),"")</f>
        <v/>
      </c>
      <c r="AF86" s="160"/>
      <c r="AG86" s="145" t="str">
        <f>IFERROR(INDEX('Fixture Codes'!$L$8:$L$976,MATCH(AD86,'Fixture Codes'!$B$8:$B$976,0)),"")</f>
        <v/>
      </c>
      <c r="AH86" s="158"/>
      <c r="AI86" s="160"/>
      <c r="AJ86" s="150" t="str">
        <f>IFERROR(INDEX(Lookups!B$68:B$87,MATCH($AH86,Lookups!$A$68:$A$87,0)),"")</f>
        <v/>
      </c>
      <c r="AK86" s="150" t="str">
        <f>IFERROR(INDEX(Lookups!B$42:B$62,MATCH($AH86,Lookups!$A$42:$A$62,0)),"")</f>
        <v/>
      </c>
      <c r="AL86" s="150" t="str">
        <f>IFERROR(INDEX(Lookups!C$42:C$62,MATCH($AH86,Lookups!$A$42:$A$62,0)),"")</f>
        <v/>
      </c>
      <c r="AM86" s="150" t="str">
        <f>IFERROR(IF(M86="Exit Signs",8760,IF(INDEX('Fixture Codes'!$C$8:$C$976,MATCH(AD86,'Fixture Codes'!$B$8:$B$976,0))="Exit Sign",8760,INDEX(Lookups!$I$2:$I$428,MATCH(_xlfn.CONCAT(B86,H86),Lookups!$H$2:$H$428,0)))),"")</f>
        <v/>
      </c>
      <c r="AN86" s="153">
        <v>1</v>
      </c>
      <c r="AO86" s="150" t="str">
        <f>IF($D86="Interior",INDEX(Lookups!Q$2:Q$86,MATCH(_xlfn.CONCAT($C86,$L86),Lookups!$P$2:$P$86,0)),IF($D86="Exterior",1,""))</f>
        <v/>
      </c>
      <c r="AP86" s="150">
        <f t="shared" si="55"/>
        <v>1</v>
      </c>
      <c r="AQ86" s="150" t="str">
        <f>IF($D86="Interior",INDEX(Lookups!R$2:R$86,MATCH(_xlfn.CONCAT($C86,$L86),Lookups!$P$2:$P$86,0)),IF($D86="Exterior",1,""))</f>
        <v/>
      </c>
      <c r="AR86" s="150" t="str">
        <f>IF($D86="Interior",INDEX(Lookups!S$2:S$86,MATCH(_xlfn.CONCAT($C86,$L86),Lookups!$P$2:$P$86,0)),IF($D86="Exterior",1,""))</f>
        <v/>
      </c>
      <c r="AS86" s="150" t="str">
        <f>IF($D86="Interior",INDEX(Lookups!T$2:T$86,MATCH(_xlfn.CONCAT($C86,$L86),Lookups!$P$2:$P$86,0)),IF($D86="Exterior",1,""))</f>
        <v/>
      </c>
      <c r="AT86" s="150" t="str">
        <f>IFERROR(IF(M86="Exit Signs",1,IF(INDEX('Fixture Codes'!$C$8:$C$976,MATCH($AD86,'Fixture Codes'!$B$8:$B$976,0))="Exit Sign",1,INDEX(Lookups!J$2:J$428,MATCH(_xlfn.CONCAT($B86,$H86),Lookups!$H$2:$H$428,0)))),"")</f>
        <v/>
      </c>
      <c r="AU86" s="150" t="str">
        <f>IFERROR(IF(M86="Exit Signs",1,IF(INDEX('Fixture Codes'!$C$8:$C$976,MATCH($AD86,'Fixture Codes'!$B$8:$B$976,0))="Exit Sign",1,INDEX(Lookups!K$2:K$428,MATCH(_xlfn.CONCAT($B86,$H86),Lookups!$H$2:$H$428,0)))),"")</f>
        <v/>
      </c>
      <c r="AV86" s="150" t="str">
        <f>IFERROR(IF(M86="Exit Signs",1,IF(INDEX('Fixture Codes'!$C$8:$C$976,MATCH($AD86,'Fixture Codes'!$B$8:$B$976,0))="Exit Sign",1,INDEX(Lookups!L$2:L$428,MATCH(_xlfn.CONCAT($B86,$H86),Lookups!$H$2:$H$428,0)))),"")</f>
        <v/>
      </c>
      <c r="AW86" s="150" t="str">
        <f>IF(ISBLANK(K86),"",IF(K86="Gas",INDEX(Lookups!$AG$2:$AG$63,MATCH(O86,Lookups!$AD$2:$AD$63,0),0),0))</f>
        <v/>
      </c>
      <c r="AX86" s="150" t="str">
        <f>IF(ISBLANK(K86),"",IF(K86="Gas",INDEX(Lookups!$AF$2:$AF$63,MATCH(O86,Lookups!$AD$2:$AD$63,0),0),0))</f>
        <v/>
      </c>
      <c r="AY86" s="150" t="str">
        <f>IF(ISBLANK(K86),"",IF(K86="Gas",INDEX(Lookups!$AH$2:$AH$63,MATCH(O86,Lookups!$AD$2:$AD$63,0),0),0))</f>
        <v/>
      </c>
      <c r="AZ86" s="150" t="str">
        <f>IF(ISBLANK(K86),"",IF(K86="Gas",INDEX(Lookups!$AI$2:$AI$63,MATCH(O86,Lookups!$AD$2:$AD$63,0),0),0))</f>
        <v/>
      </c>
      <c r="BA86" s="150" t="str">
        <f t="shared" si="40"/>
        <v/>
      </c>
      <c r="BB86" s="156" t="str">
        <f>IF(ISBLANK(AH86),"",IF(AH86="None",0,IF(K86="Gas",INDEX(Lookups!$AF$51:$AF$69,MATCH(AH86,Lookups!$AD$51:$AD$69,0),0),0)))</f>
        <v/>
      </c>
      <c r="BC86" s="156" t="str">
        <f>IF(ISBLANK(AH86),"",IF(AH86="None",0,IF(K86="Gas",INDEX(Lookups!$AH$51:$AH$69,MATCH(AH86,Lookups!$AD$51:$AD$69,0),0),0)))</f>
        <v/>
      </c>
      <c r="BD86" s="156" t="str">
        <f>IF(ISBLANK(AH86),"",IF(AH86="None",0,IF(K86="Gas",INDEX(Lookups!$AI$51:$AI$69,MATCH(AH86,Lookups!$AD$51:$AD$69,0),0),0)))</f>
        <v/>
      </c>
      <c r="BE86" s="157"/>
      <c r="BF86" s="157"/>
      <c r="BG86" s="147" t="str">
        <f t="shared" si="56"/>
        <v/>
      </c>
      <c r="BH86" s="147" t="str">
        <f t="shared" si="57"/>
        <v/>
      </c>
      <c r="BI86" s="147" t="str">
        <f t="shared" si="41"/>
        <v/>
      </c>
      <c r="BJ86" s="147" t="str">
        <f t="shared" si="42"/>
        <v/>
      </c>
      <c r="BK86" s="148" t="str">
        <f t="shared" si="58"/>
        <v/>
      </c>
      <c r="BL86" s="147" t="str">
        <f t="shared" si="43"/>
        <v/>
      </c>
      <c r="BM86" s="148" t="str">
        <f t="shared" si="59"/>
        <v/>
      </c>
      <c r="BN86" s="147" t="str">
        <f t="shared" si="60"/>
        <v/>
      </c>
      <c r="BO86" s="147" t="str">
        <f t="shared" si="60"/>
        <v/>
      </c>
      <c r="BP86" s="147" t="str">
        <f t="shared" si="61"/>
        <v/>
      </c>
      <c r="BQ86" s="148" t="str">
        <f t="shared" si="62"/>
        <v/>
      </c>
      <c r="BR86" s="148" t="str">
        <f t="shared" si="63"/>
        <v/>
      </c>
      <c r="BS86" s="148" t="str">
        <f t="shared" si="64"/>
        <v/>
      </c>
      <c r="BT86" s="148" t="str">
        <f t="shared" si="44"/>
        <v/>
      </c>
      <c r="BU86" s="148" t="str">
        <f t="shared" si="45"/>
        <v/>
      </c>
      <c r="BV86" s="148" t="str">
        <f t="shared" si="46"/>
        <v/>
      </c>
      <c r="BW86" s="148" t="str">
        <f t="shared" si="47"/>
        <v/>
      </c>
      <c r="BX86" s="148" t="str">
        <f t="shared" si="48"/>
        <v/>
      </c>
      <c r="BY86" s="148" t="str">
        <f t="shared" si="49"/>
        <v/>
      </c>
      <c r="BZ86" s="149" t="str">
        <f>IFERROR(INDEX('Prescriptive Rebate Table'!$B$2:$E$64,MATCH(O86,'Prescriptive Rebate Table'!$C$2:$C$64,0),3),"")</f>
        <v/>
      </c>
      <c r="CA86" s="145" t="str">
        <f>IFERROR(INDEX('Prescriptive Rebate Table'!$B$2:$E$64,MATCH(O86,'Prescriptive Rebate Table'!$C$2:$C$64,0),4),"")</f>
        <v/>
      </c>
      <c r="CB86" s="149" t="str">
        <f t="shared" si="65"/>
        <v/>
      </c>
      <c r="CC86" s="145" t="str">
        <f t="shared" si="66"/>
        <v/>
      </c>
      <c r="CD86" s="149" t="str">
        <f t="shared" si="50"/>
        <v/>
      </c>
      <c r="CE86" s="149" t="str">
        <f t="shared" si="51"/>
        <v/>
      </c>
      <c r="CF86" s="149" t="str">
        <f>IF(BK86&lt;=0,0,IFERROR(IF(OR(ISBLANK(AC86),ISBLANK(CD86))=TRUE,"",IF(CA86="Per Foot",INDEX('Fixture Codes'!$I$8:$I$976,MATCH(AD86,'Fixture Codes'!$B$8:$B$976,0))/12*AF86*BZ86,IF(CA86="Lamp",INDEX('Fixture Codes'!$J$8:$J$976,MATCH(AD86,'Fixture Codes'!$B$8:$B$976,0))*AF86*BZ86,IF(CA86="Fixture",AF86*BZ86,IF(CA86="kWh",BK86*BZ86,0))))),""))</f>
        <v/>
      </c>
      <c r="CG86" s="149" t="str">
        <f t="shared" si="67"/>
        <v/>
      </c>
      <c r="CH86" s="149" t="str">
        <f t="shared" si="68"/>
        <v/>
      </c>
      <c r="CI86" s="152"/>
      <c r="CJ86" s="146"/>
      <c r="CK86" s="241">
        <f>IFERROR(IF(CL86="Yes",'Prescriptive Rebate Table'!$D$69,IF(ISBLANK(AI86),0,IF(AND(AH86=Lookups!$A$62,BK86&gt;0),'Prescriptive Rebate Table'!$D$68,IF(AND(BK86&gt;0,CJ86=AF86),'Prescriptive Rebate Table'!$D$67,IF(AND(BK86&gt;0,CJ86&lt;&gt;AF86),'Prescriptive Rebate Table'!D145,0))))),"")</f>
        <v>0</v>
      </c>
      <c r="CL86" s="240" t="s">
        <v>2712</v>
      </c>
      <c r="CM86" s="152"/>
      <c r="CN86" s="152"/>
      <c r="CO86" s="152"/>
      <c r="CP86" s="146">
        <f t="shared" si="52"/>
        <v>0</v>
      </c>
      <c r="CQ86" s="153">
        <f>IF(D86="Interior",ROUND(($AG86*AF86)/1000*$AM86*(Lookups!$B$54-$AA86)*$AN86*$AO86,3),0)</f>
        <v>0</v>
      </c>
      <c r="CR86" s="153">
        <f>IFERROR(IF(D86="Interior",ROUND(($AG86*$AF86)/1000*(Lookups!$C$54-$AB86)*$AN86*AQ86*AT86,6),0),"")</f>
        <v>0</v>
      </c>
      <c r="CS86" s="165">
        <f t="shared" si="69"/>
        <v>0</v>
      </c>
      <c r="CT86" s="165">
        <f t="shared" si="70"/>
        <v>0</v>
      </c>
      <c r="CV86" s="153"/>
      <c r="CW86" s="153"/>
      <c r="CX86" s="165"/>
      <c r="CY86" s="165"/>
      <c r="DA86" s="153">
        <f>IF(D86="Interior",ROUND(($AG86*AF86*(1-0.15))/1000*$AM86*(Lookups!$B$43+0.097-$AA86)*$AN86*$AO86+((W86*V86)/1000*AN86*AM86*AO86*0.15),3),0)</f>
        <v>0</v>
      </c>
      <c r="DB86" s="153">
        <f>IFERROR(IF(D86="Interior",ROUND(($AG86*$AF86)/1000*(Lookups!$C$43+0.097-$AB86)*$AN86*AQ86*AT86+(($AG86*$AF86)/1000*$AN86*AQ86*AT86*0.15),6),0),"")</f>
        <v>0</v>
      </c>
      <c r="DC86" s="165">
        <f t="shared" si="53"/>
        <v>0</v>
      </c>
      <c r="DD86" s="165">
        <f t="shared" si="54"/>
        <v>0</v>
      </c>
    </row>
    <row r="87" spans="1:108" s="164" customFormat="1">
      <c r="A87" s="150">
        <v>83</v>
      </c>
      <c r="B87" s="153" t="str">
        <f>IFERROR(INDEX(Lookups!$B$2:$B$38,MATCH('Project Info &amp; Summary'!$C$19,Lookups!$A$2:$A$38,0)),"")</f>
        <v/>
      </c>
      <c r="C87" s="153" t="str">
        <f>IFERROR(INDEX(Lookups!$C$2:$C$38,MATCH('Project Info &amp; Summary'!$C$19,Lookups!$A$2:$A$38,0)),"")</f>
        <v/>
      </c>
      <c r="D87" s="163"/>
      <c r="E87" s="160"/>
      <c r="F87" s="158"/>
      <c r="G87" s="158"/>
      <c r="H87" s="158"/>
      <c r="I87" s="158"/>
      <c r="J87" s="154" t="str">
        <f>IFERROR(INDEX(Lookups!$W$21:$W$26,MATCH(I87,Lookups!$V$21:$V$26,0)),"")</f>
        <v/>
      </c>
      <c r="K87" s="158"/>
      <c r="L87" s="162" t="str">
        <f>IFERROR(INDEX(Lookups!$Y$2:$Y$19,MATCH(_xlfn.CONCAT(I87,K87),Lookups!$X$2:$X$19,0)),"")</f>
        <v/>
      </c>
      <c r="M87" s="158"/>
      <c r="N87" s="153" t="str">
        <f>IFERROR(INDEX('Prescriptive Rebate Table'!$M$3:$M$20,MATCH(M87,'Prescriptive Rebate Table'!$L$3:$L$20,0)),"")</f>
        <v/>
      </c>
      <c r="O87" s="158"/>
      <c r="P87" s="154" t="str">
        <f>IFERROR(INDEX('Prescriptive Rebate Table'!$B$2:$H$64, MATCH(O87,'Prescriptive Rebate Table'!$C$2:$C$64,0),7),"")</f>
        <v/>
      </c>
      <c r="Q87" s="155" t="str">
        <f>IFERROR(INDEX('Prescriptive Rebate Table'!$B$2:$I$64, MATCH(O87,'Prescriptive Rebate Table'!$C$2:$C$64,0),8),"")</f>
        <v/>
      </c>
      <c r="R87" s="155" t="str">
        <f>IFERROR(INDEX('Prescriptive Rebate Table'!$B$2:$J$64, MATCH(O87,'Prescriptive Rebate Table'!$C$2:$C$64,0),9),"")</f>
        <v/>
      </c>
      <c r="S87" s="160"/>
      <c r="T87" s="145" t="str">
        <f>IFERROR(INDEX('Fixture Codes'!$M$8:$M$976,MATCH(S87,'Fixture Codes'!$B$8:$B$976,0)),"")</f>
        <v/>
      </c>
      <c r="U87" s="145" t="str">
        <f>IFERROR(INDEX('Fixture Codes'!$B$7:$M$976,MATCH(T87,'Fixture Codes'!$B$7:$B$976,0),5),"")</f>
        <v/>
      </c>
      <c r="V87" s="160"/>
      <c r="W87" s="145" t="str">
        <f>IFERROR(INDEX('Fixture Codes'!$L$8:$L$976,MATCH(T87,'Fixture Codes'!$B$8:$B$976,0)),"")</f>
        <v/>
      </c>
      <c r="X87" s="158"/>
      <c r="Y87" s="159"/>
      <c r="Z87" s="155" t="str">
        <f>IFERROR(INDEX(Lookups!B$68:B$87,MATCH($X87,Lookups!$A$68:$A$87,0)),"")</f>
        <v/>
      </c>
      <c r="AA87" s="150" t="str">
        <f>IFERROR(INDEX(Lookups!B$42:B$62,MATCH($X87,Lookups!$A$42:$A$62,0)),"")</f>
        <v/>
      </c>
      <c r="AB87" s="150" t="str">
        <f>IFERROR(INDEX(Lookups!C$42:C$62,MATCH($X87,Lookups!$A$42:$A$62,0)),"")</f>
        <v/>
      </c>
      <c r="AC87" s="160"/>
      <c r="AD87" s="160"/>
      <c r="AE87" s="150" t="str">
        <f>IFERROR(INDEX('Fixture Codes'!$B$7:$M$976,MATCH(AD87,'Fixture Codes'!$B$7:$B$976,0),5),"")</f>
        <v/>
      </c>
      <c r="AF87" s="160"/>
      <c r="AG87" s="145" t="str">
        <f>IFERROR(INDEX('Fixture Codes'!$L$8:$L$976,MATCH(AD87,'Fixture Codes'!$B$8:$B$976,0)),"")</f>
        <v/>
      </c>
      <c r="AH87" s="158"/>
      <c r="AI87" s="160"/>
      <c r="AJ87" s="150" t="str">
        <f>IFERROR(INDEX(Lookups!B$68:B$87,MATCH($AH87,Lookups!$A$68:$A$87,0)),"")</f>
        <v/>
      </c>
      <c r="AK87" s="150" t="str">
        <f>IFERROR(INDEX(Lookups!B$42:B$62,MATCH($AH87,Lookups!$A$42:$A$62,0)),"")</f>
        <v/>
      </c>
      <c r="AL87" s="150" t="str">
        <f>IFERROR(INDEX(Lookups!C$42:C$62,MATCH($AH87,Lookups!$A$42:$A$62,0)),"")</f>
        <v/>
      </c>
      <c r="AM87" s="150" t="str">
        <f>IFERROR(IF(M87="Exit Signs",8760,IF(INDEX('Fixture Codes'!$C$8:$C$976,MATCH(AD87,'Fixture Codes'!$B$8:$B$976,0))="Exit Sign",8760,INDEX(Lookups!$I$2:$I$428,MATCH(_xlfn.CONCAT(B87,H87),Lookups!$H$2:$H$428,0)))),"")</f>
        <v/>
      </c>
      <c r="AN87" s="153">
        <v>1</v>
      </c>
      <c r="AO87" s="150" t="str">
        <f>IF($D87="Interior",INDEX(Lookups!Q$2:Q$86,MATCH(_xlfn.CONCAT($C87,$L87),Lookups!$P$2:$P$86,0)),IF($D87="Exterior",1,""))</f>
        <v/>
      </c>
      <c r="AP87" s="150">
        <f t="shared" si="55"/>
        <v>1</v>
      </c>
      <c r="AQ87" s="150" t="str">
        <f>IF($D87="Interior",INDEX(Lookups!R$2:R$86,MATCH(_xlfn.CONCAT($C87,$L87),Lookups!$P$2:$P$86,0)),IF($D87="Exterior",1,""))</f>
        <v/>
      </c>
      <c r="AR87" s="150" t="str">
        <f>IF($D87="Interior",INDEX(Lookups!S$2:S$86,MATCH(_xlfn.CONCAT($C87,$L87),Lookups!$P$2:$P$86,0)),IF($D87="Exterior",1,""))</f>
        <v/>
      </c>
      <c r="AS87" s="150" t="str">
        <f>IF($D87="Interior",INDEX(Lookups!T$2:T$86,MATCH(_xlfn.CONCAT($C87,$L87),Lookups!$P$2:$P$86,0)),IF($D87="Exterior",1,""))</f>
        <v/>
      </c>
      <c r="AT87" s="150" t="str">
        <f>IFERROR(IF(M87="Exit Signs",1,IF(INDEX('Fixture Codes'!$C$8:$C$976,MATCH($AD87,'Fixture Codes'!$B$8:$B$976,0))="Exit Sign",1,INDEX(Lookups!J$2:J$428,MATCH(_xlfn.CONCAT($B87,$H87),Lookups!$H$2:$H$428,0)))),"")</f>
        <v/>
      </c>
      <c r="AU87" s="150" t="str">
        <f>IFERROR(IF(M87="Exit Signs",1,IF(INDEX('Fixture Codes'!$C$8:$C$976,MATCH($AD87,'Fixture Codes'!$B$8:$B$976,0))="Exit Sign",1,INDEX(Lookups!K$2:K$428,MATCH(_xlfn.CONCAT($B87,$H87),Lookups!$H$2:$H$428,0)))),"")</f>
        <v/>
      </c>
      <c r="AV87" s="150" t="str">
        <f>IFERROR(IF(M87="Exit Signs",1,IF(INDEX('Fixture Codes'!$C$8:$C$976,MATCH($AD87,'Fixture Codes'!$B$8:$B$976,0))="Exit Sign",1,INDEX(Lookups!L$2:L$428,MATCH(_xlfn.CONCAT($B87,$H87),Lookups!$H$2:$H$428,0)))),"")</f>
        <v/>
      </c>
      <c r="AW87" s="150" t="str">
        <f>IF(ISBLANK(K87),"",IF(K87="Gas",INDEX(Lookups!$AG$2:$AG$63,MATCH(O87,Lookups!$AD$2:$AD$63,0),0),0))</f>
        <v/>
      </c>
      <c r="AX87" s="150" t="str">
        <f>IF(ISBLANK(K87),"",IF(K87="Gas",INDEX(Lookups!$AF$2:$AF$63,MATCH(O87,Lookups!$AD$2:$AD$63,0),0),0))</f>
        <v/>
      </c>
      <c r="AY87" s="150" t="str">
        <f>IF(ISBLANK(K87),"",IF(K87="Gas",INDEX(Lookups!$AH$2:$AH$63,MATCH(O87,Lookups!$AD$2:$AD$63,0),0),0))</f>
        <v/>
      </c>
      <c r="AZ87" s="150" t="str">
        <f>IF(ISBLANK(K87),"",IF(K87="Gas",INDEX(Lookups!$AI$2:$AI$63,MATCH(O87,Lookups!$AD$2:$AD$63,0),0),0))</f>
        <v/>
      </c>
      <c r="BA87" s="150" t="str">
        <f t="shared" si="40"/>
        <v/>
      </c>
      <c r="BB87" s="156" t="str">
        <f>IF(ISBLANK(AH87),"",IF(AH87="None",0,IF(K87="Gas",INDEX(Lookups!$AF$51:$AF$69,MATCH(AH87,Lookups!$AD$51:$AD$69,0),0),0)))</f>
        <v/>
      </c>
      <c r="BC87" s="156" t="str">
        <f>IF(ISBLANK(AH87),"",IF(AH87="None",0,IF(K87="Gas",INDEX(Lookups!$AH$51:$AH$69,MATCH(AH87,Lookups!$AD$51:$AD$69,0),0),0)))</f>
        <v/>
      </c>
      <c r="BD87" s="156" t="str">
        <f>IF(ISBLANK(AH87),"",IF(AH87="None",0,IF(K87="Gas",INDEX(Lookups!$AI$51:$AI$69,MATCH(AH87,Lookups!$AD$51:$AD$69,0),0),0)))</f>
        <v/>
      </c>
      <c r="BE87" s="157"/>
      <c r="BF87" s="157"/>
      <c r="BG87" s="147" t="str">
        <f t="shared" si="56"/>
        <v/>
      </c>
      <c r="BH87" s="147" t="str">
        <f t="shared" si="57"/>
        <v/>
      </c>
      <c r="BI87" s="147" t="str">
        <f t="shared" si="41"/>
        <v/>
      </c>
      <c r="BJ87" s="147" t="str">
        <f t="shared" si="42"/>
        <v/>
      </c>
      <c r="BK87" s="148" t="str">
        <f t="shared" si="58"/>
        <v/>
      </c>
      <c r="BL87" s="147" t="str">
        <f t="shared" si="43"/>
        <v/>
      </c>
      <c r="BM87" s="148" t="str">
        <f t="shared" si="59"/>
        <v/>
      </c>
      <c r="BN87" s="147" t="str">
        <f t="shared" si="60"/>
        <v/>
      </c>
      <c r="BO87" s="147" t="str">
        <f t="shared" si="60"/>
        <v/>
      </c>
      <c r="BP87" s="147" t="str">
        <f t="shared" si="61"/>
        <v/>
      </c>
      <c r="BQ87" s="148" t="str">
        <f t="shared" si="62"/>
        <v/>
      </c>
      <c r="BR87" s="148" t="str">
        <f t="shared" si="63"/>
        <v/>
      </c>
      <c r="BS87" s="148" t="str">
        <f t="shared" si="64"/>
        <v/>
      </c>
      <c r="BT87" s="148" t="str">
        <f t="shared" si="44"/>
        <v/>
      </c>
      <c r="BU87" s="148" t="str">
        <f t="shared" si="45"/>
        <v/>
      </c>
      <c r="BV87" s="148" t="str">
        <f t="shared" si="46"/>
        <v/>
      </c>
      <c r="BW87" s="148" t="str">
        <f t="shared" si="47"/>
        <v/>
      </c>
      <c r="BX87" s="148" t="str">
        <f t="shared" si="48"/>
        <v/>
      </c>
      <c r="BY87" s="148" t="str">
        <f t="shared" si="49"/>
        <v/>
      </c>
      <c r="BZ87" s="149" t="str">
        <f>IFERROR(INDEX('Prescriptive Rebate Table'!$B$2:$E$64,MATCH(O87,'Prescriptive Rebate Table'!$C$2:$C$64,0),3),"")</f>
        <v/>
      </c>
      <c r="CA87" s="145" t="str">
        <f>IFERROR(INDEX('Prescriptive Rebate Table'!$B$2:$E$64,MATCH(O87,'Prescriptive Rebate Table'!$C$2:$C$64,0),4),"")</f>
        <v/>
      </c>
      <c r="CB87" s="149" t="str">
        <f t="shared" si="65"/>
        <v/>
      </c>
      <c r="CC87" s="145" t="str">
        <f t="shared" si="66"/>
        <v/>
      </c>
      <c r="CD87" s="149" t="str">
        <f t="shared" si="50"/>
        <v/>
      </c>
      <c r="CE87" s="149" t="str">
        <f t="shared" si="51"/>
        <v/>
      </c>
      <c r="CF87" s="149" t="str">
        <f>IF(BK87&lt;=0,0,IFERROR(IF(OR(ISBLANK(AC87),ISBLANK(CD87))=TRUE,"",IF(CA87="Per Foot",INDEX('Fixture Codes'!$I$8:$I$976,MATCH(AD87,'Fixture Codes'!$B$8:$B$976,0))/12*AF87*BZ87,IF(CA87="Lamp",INDEX('Fixture Codes'!$J$8:$J$976,MATCH(AD87,'Fixture Codes'!$B$8:$B$976,0))*AF87*BZ87,IF(CA87="Fixture",AF87*BZ87,IF(CA87="kWh",BK87*BZ87,0))))),""))</f>
        <v/>
      </c>
      <c r="CG87" s="149" t="str">
        <f t="shared" si="67"/>
        <v/>
      </c>
      <c r="CH87" s="149" t="str">
        <f t="shared" si="68"/>
        <v/>
      </c>
      <c r="CI87" s="152"/>
      <c r="CJ87" s="146"/>
      <c r="CK87" s="241">
        <f>IFERROR(IF(CL87="Yes",'Prescriptive Rebate Table'!$D$69,IF(ISBLANK(AI87),0,IF(AND(AH87=Lookups!$A$62,BK87&gt;0),'Prescriptive Rebate Table'!$D$68,IF(AND(BK87&gt;0,CJ87=AF87),'Prescriptive Rebate Table'!$D$67,IF(AND(BK87&gt;0,CJ87&lt;&gt;AF87),'Prescriptive Rebate Table'!D146,0))))),"")</f>
        <v>0</v>
      </c>
      <c r="CL87" s="240" t="s">
        <v>2712</v>
      </c>
      <c r="CM87" s="152"/>
      <c r="CN87" s="152"/>
      <c r="CO87" s="152"/>
      <c r="CP87" s="146">
        <f t="shared" si="52"/>
        <v>0</v>
      </c>
      <c r="CQ87" s="153">
        <f>IF(D87="Interior",ROUND(($AG87*AF87)/1000*$AM87*(Lookups!$B$54-$AA87)*$AN87*$AO87,3),0)</f>
        <v>0</v>
      </c>
      <c r="CR87" s="153">
        <f>IFERROR(IF(D87="Interior",ROUND(($AG87*$AF87)/1000*(Lookups!$C$54-$AB87)*$AN87*AQ87*AT87,6),0),"")</f>
        <v>0</v>
      </c>
      <c r="CS87" s="165">
        <f t="shared" si="69"/>
        <v>0</v>
      </c>
      <c r="CT87" s="165">
        <f t="shared" si="70"/>
        <v>0</v>
      </c>
      <c r="CV87" s="153"/>
      <c r="CW87" s="153"/>
      <c r="CX87" s="165"/>
      <c r="CY87" s="165"/>
      <c r="DA87" s="153">
        <f>IF(D87="Interior",ROUND(($AG87*AF87*(1-0.15))/1000*$AM87*(Lookups!$B$43+0.097-$AA87)*$AN87*$AO87+((W87*V87)/1000*AN87*AM87*AO87*0.15),3),0)</f>
        <v>0</v>
      </c>
      <c r="DB87" s="153">
        <f>IFERROR(IF(D87="Interior",ROUND(($AG87*$AF87)/1000*(Lookups!$C$43+0.097-$AB87)*$AN87*AQ87*AT87+(($AG87*$AF87)/1000*$AN87*AQ87*AT87*0.15),6),0),"")</f>
        <v>0</v>
      </c>
      <c r="DC87" s="165">
        <f t="shared" si="53"/>
        <v>0</v>
      </c>
      <c r="DD87" s="165">
        <f t="shared" si="54"/>
        <v>0</v>
      </c>
    </row>
    <row r="88" spans="1:108" s="164" customFormat="1">
      <c r="A88" s="150">
        <v>84</v>
      </c>
      <c r="B88" s="153" t="str">
        <f>IFERROR(INDEX(Lookups!$B$2:$B$38,MATCH('Project Info &amp; Summary'!$C$19,Lookups!$A$2:$A$38,0)),"")</f>
        <v/>
      </c>
      <c r="C88" s="153" t="str">
        <f>IFERROR(INDEX(Lookups!$C$2:$C$38,MATCH('Project Info &amp; Summary'!$C$19,Lookups!$A$2:$A$38,0)),"")</f>
        <v/>
      </c>
      <c r="D88" s="163"/>
      <c r="E88" s="160"/>
      <c r="F88" s="158"/>
      <c r="G88" s="158"/>
      <c r="H88" s="158"/>
      <c r="I88" s="158"/>
      <c r="J88" s="154" t="str">
        <f>IFERROR(INDEX(Lookups!$W$21:$W$26,MATCH(I88,Lookups!$V$21:$V$26,0)),"")</f>
        <v/>
      </c>
      <c r="K88" s="158"/>
      <c r="L88" s="162" t="str">
        <f>IFERROR(INDEX(Lookups!$Y$2:$Y$19,MATCH(_xlfn.CONCAT(I88,K88),Lookups!$X$2:$X$19,0)),"")</f>
        <v/>
      </c>
      <c r="M88" s="158"/>
      <c r="N88" s="153" t="str">
        <f>IFERROR(INDEX('Prescriptive Rebate Table'!$M$3:$M$20,MATCH(M88,'Prescriptive Rebate Table'!$L$3:$L$20,0)),"")</f>
        <v/>
      </c>
      <c r="O88" s="158"/>
      <c r="P88" s="154" t="str">
        <f>IFERROR(INDEX('Prescriptive Rebate Table'!$B$2:$H$64, MATCH(O88,'Prescriptive Rebate Table'!$C$2:$C$64,0),7),"")</f>
        <v/>
      </c>
      <c r="Q88" s="155" t="str">
        <f>IFERROR(INDEX('Prescriptive Rebate Table'!$B$2:$I$64, MATCH(O88,'Prescriptive Rebate Table'!$C$2:$C$64,0),8),"")</f>
        <v/>
      </c>
      <c r="R88" s="155" t="str">
        <f>IFERROR(INDEX('Prescriptive Rebate Table'!$B$2:$J$64, MATCH(O88,'Prescriptive Rebate Table'!$C$2:$C$64,0),9),"")</f>
        <v/>
      </c>
      <c r="S88" s="160"/>
      <c r="T88" s="145" t="str">
        <f>IFERROR(INDEX('Fixture Codes'!$M$8:$M$976,MATCH(S88,'Fixture Codes'!$B$8:$B$976,0)),"")</f>
        <v/>
      </c>
      <c r="U88" s="145" t="str">
        <f>IFERROR(INDEX('Fixture Codes'!$B$7:$M$976,MATCH(T88,'Fixture Codes'!$B$7:$B$976,0),5),"")</f>
        <v/>
      </c>
      <c r="V88" s="160"/>
      <c r="W88" s="145" t="str">
        <f>IFERROR(INDEX('Fixture Codes'!$L$8:$L$976,MATCH(T88,'Fixture Codes'!$B$8:$B$976,0)),"")</f>
        <v/>
      </c>
      <c r="X88" s="158"/>
      <c r="Y88" s="159"/>
      <c r="Z88" s="155" t="str">
        <f>IFERROR(INDEX(Lookups!B$68:B$87,MATCH($X88,Lookups!$A$68:$A$87,0)),"")</f>
        <v/>
      </c>
      <c r="AA88" s="150" t="str">
        <f>IFERROR(INDEX(Lookups!B$42:B$62,MATCH($X88,Lookups!$A$42:$A$62,0)),"")</f>
        <v/>
      </c>
      <c r="AB88" s="150" t="str">
        <f>IFERROR(INDEX(Lookups!C$42:C$62,MATCH($X88,Lookups!$A$42:$A$62,0)),"")</f>
        <v/>
      </c>
      <c r="AC88" s="160"/>
      <c r="AD88" s="160"/>
      <c r="AE88" s="150" t="str">
        <f>IFERROR(INDEX('Fixture Codes'!$B$7:$M$976,MATCH(AD88,'Fixture Codes'!$B$7:$B$976,0),5),"")</f>
        <v/>
      </c>
      <c r="AF88" s="160"/>
      <c r="AG88" s="145" t="str">
        <f>IFERROR(INDEX('Fixture Codes'!$L$8:$L$976,MATCH(AD88,'Fixture Codes'!$B$8:$B$976,0)),"")</f>
        <v/>
      </c>
      <c r="AH88" s="158"/>
      <c r="AI88" s="160"/>
      <c r="AJ88" s="150" t="str">
        <f>IFERROR(INDEX(Lookups!B$68:B$87,MATCH($AH88,Lookups!$A$68:$A$87,0)),"")</f>
        <v/>
      </c>
      <c r="AK88" s="150" t="str">
        <f>IFERROR(INDEX(Lookups!B$42:B$62,MATCH($AH88,Lookups!$A$42:$A$62,0)),"")</f>
        <v/>
      </c>
      <c r="AL88" s="150" t="str">
        <f>IFERROR(INDEX(Lookups!C$42:C$62,MATCH($AH88,Lookups!$A$42:$A$62,0)),"")</f>
        <v/>
      </c>
      <c r="AM88" s="150" t="str">
        <f>IFERROR(IF(M88="Exit Signs",8760,IF(INDEX('Fixture Codes'!$C$8:$C$976,MATCH(AD88,'Fixture Codes'!$B$8:$B$976,0))="Exit Sign",8760,INDEX(Lookups!$I$2:$I$428,MATCH(_xlfn.CONCAT(B88,H88),Lookups!$H$2:$H$428,0)))),"")</f>
        <v/>
      </c>
      <c r="AN88" s="153">
        <v>1</v>
      </c>
      <c r="AO88" s="150" t="str">
        <f>IF($D88="Interior",INDEX(Lookups!Q$2:Q$86,MATCH(_xlfn.CONCAT($C88,$L88),Lookups!$P$2:$P$86,0)),IF($D88="Exterior",1,""))</f>
        <v/>
      </c>
      <c r="AP88" s="150">
        <f t="shared" si="55"/>
        <v>1</v>
      </c>
      <c r="AQ88" s="150" t="str">
        <f>IF($D88="Interior",INDEX(Lookups!R$2:R$86,MATCH(_xlfn.CONCAT($C88,$L88),Lookups!$P$2:$P$86,0)),IF($D88="Exterior",1,""))</f>
        <v/>
      </c>
      <c r="AR88" s="150" t="str">
        <f>IF($D88="Interior",INDEX(Lookups!S$2:S$86,MATCH(_xlfn.CONCAT($C88,$L88),Lookups!$P$2:$P$86,0)),IF($D88="Exterior",1,""))</f>
        <v/>
      </c>
      <c r="AS88" s="150" t="str">
        <f>IF($D88="Interior",INDEX(Lookups!T$2:T$86,MATCH(_xlfn.CONCAT($C88,$L88),Lookups!$P$2:$P$86,0)),IF($D88="Exterior",1,""))</f>
        <v/>
      </c>
      <c r="AT88" s="150" t="str">
        <f>IFERROR(IF(M88="Exit Signs",1,IF(INDEX('Fixture Codes'!$C$8:$C$976,MATCH($AD88,'Fixture Codes'!$B$8:$B$976,0))="Exit Sign",1,INDEX(Lookups!J$2:J$428,MATCH(_xlfn.CONCAT($B88,$H88),Lookups!$H$2:$H$428,0)))),"")</f>
        <v/>
      </c>
      <c r="AU88" s="150" t="str">
        <f>IFERROR(IF(M88="Exit Signs",1,IF(INDEX('Fixture Codes'!$C$8:$C$976,MATCH($AD88,'Fixture Codes'!$B$8:$B$976,0))="Exit Sign",1,INDEX(Lookups!K$2:K$428,MATCH(_xlfn.CONCAT($B88,$H88),Lookups!$H$2:$H$428,0)))),"")</f>
        <v/>
      </c>
      <c r="AV88" s="150" t="str">
        <f>IFERROR(IF(M88="Exit Signs",1,IF(INDEX('Fixture Codes'!$C$8:$C$976,MATCH($AD88,'Fixture Codes'!$B$8:$B$976,0))="Exit Sign",1,INDEX(Lookups!L$2:L$428,MATCH(_xlfn.CONCAT($B88,$H88),Lookups!$H$2:$H$428,0)))),"")</f>
        <v/>
      </c>
      <c r="AW88" s="150" t="str">
        <f>IF(ISBLANK(K88),"",IF(K88="Gas",INDEX(Lookups!$AG$2:$AG$63,MATCH(O88,Lookups!$AD$2:$AD$63,0),0),0))</f>
        <v/>
      </c>
      <c r="AX88" s="150" t="str">
        <f>IF(ISBLANK(K88),"",IF(K88="Gas",INDEX(Lookups!$AF$2:$AF$63,MATCH(O88,Lookups!$AD$2:$AD$63,0),0),0))</f>
        <v/>
      </c>
      <c r="AY88" s="150" t="str">
        <f>IF(ISBLANK(K88),"",IF(K88="Gas",INDEX(Lookups!$AH$2:$AH$63,MATCH(O88,Lookups!$AD$2:$AD$63,0),0),0))</f>
        <v/>
      </c>
      <c r="AZ88" s="150" t="str">
        <f>IF(ISBLANK(K88),"",IF(K88="Gas",INDEX(Lookups!$AI$2:$AI$63,MATCH(O88,Lookups!$AD$2:$AD$63,0),0),0))</f>
        <v/>
      </c>
      <c r="BA88" s="150" t="str">
        <f t="shared" si="40"/>
        <v/>
      </c>
      <c r="BB88" s="156" t="str">
        <f>IF(ISBLANK(AH88),"",IF(AH88="None",0,IF(K88="Gas",INDEX(Lookups!$AF$51:$AF$69,MATCH(AH88,Lookups!$AD$51:$AD$69,0),0),0)))</f>
        <v/>
      </c>
      <c r="BC88" s="156" t="str">
        <f>IF(ISBLANK(AH88),"",IF(AH88="None",0,IF(K88="Gas",INDEX(Lookups!$AH$51:$AH$69,MATCH(AH88,Lookups!$AD$51:$AD$69,0),0),0)))</f>
        <v/>
      </c>
      <c r="BD88" s="156" t="str">
        <f>IF(ISBLANK(AH88),"",IF(AH88="None",0,IF(K88="Gas",INDEX(Lookups!$AI$51:$AI$69,MATCH(AH88,Lookups!$AD$51:$AD$69,0),0),0)))</f>
        <v/>
      </c>
      <c r="BE88" s="157"/>
      <c r="BF88" s="157"/>
      <c r="BG88" s="147" t="str">
        <f t="shared" si="56"/>
        <v/>
      </c>
      <c r="BH88" s="147" t="str">
        <f t="shared" si="57"/>
        <v/>
      </c>
      <c r="BI88" s="147" t="str">
        <f t="shared" si="41"/>
        <v/>
      </c>
      <c r="BJ88" s="147" t="str">
        <f t="shared" si="42"/>
        <v/>
      </c>
      <c r="BK88" s="148" t="str">
        <f t="shared" si="58"/>
        <v/>
      </c>
      <c r="BL88" s="147" t="str">
        <f t="shared" si="43"/>
        <v/>
      </c>
      <c r="BM88" s="148" t="str">
        <f t="shared" si="59"/>
        <v/>
      </c>
      <c r="BN88" s="147" t="str">
        <f t="shared" si="60"/>
        <v/>
      </c>
      <c r="BO88" s="147" t="str">
        <f t="shared" si="60"/>
        <v/>
      </c>
      <c r="BP88" s="147" t="str">
        <f t="shared" si="61"/>
        <v/>
      </c>
      <c r="BQ88" s="148" t="str">
        <f t="shared" si="62"/>
        <v/>
      </c>
      <c r="BR88" s="148" t="str">
        <f t="shared" si="63"/>
        <v/>
      </c>
      <c r="BS88" s="148" t="str">
        <f t="shared" si="64"/>
        <v/>
      </c>
      <c r="BT88" s="148" t="str">
        <f t="shared" si="44"/>
        <v/>
      </c>
      <c r="BU88" s="148" t="str">
        <f t="shared" si="45"/>
        <v/>
      </c>
      <c r="BV88" s="148" t="str">
        <f t="shared" si="46"/>
        <v/>
      </c>
      <c r="BW88" s="148" t="str">
        <f t="shared" si="47"/>
        <v/>
      </c>
      <c r="BX88" s="148" t="str">
        <f t="shared" si="48"/>
        <v/>
      </c>
      <c r="BY88" s="148" t="str">
        <f t="shared" si="49"/>
        <v/>
      </c>
      <c r="BZ88" s="149" t="str">
        <f>IFERROR(INDEX('Prescriptive Rebate Table'!$B$2:$E$64,MATCH(O88,'Prescriptive Rebate Table'!$C$2:$C$64,0),3),"")</f>
        <v/>
      </c>
      <c r="CA88" s="145" t="str">
        <f>IFERROR(INDEX('Prescriptive Rebate Table'!$B$2:$E$64,MATCH(O88,'Prescriptive Rebate Table'!$C$2:$C$64,0),4),"")</f>
        <v/>
      </c>
      <c r="CB88" s="149" t="str">
        <f t="shared" si="65"/>
        <v/>
      </c>
      <c r="CC88" s="145" t="str">
        <f t="shared" si="66"/>
        <v/>
      </c>
      <c r="CD88" s="149" t="str">
        <f t="shared" si="50"/>
        <v/>
      </c>
      <c r="CE88" s="149" t="str">
        <f t="shared" si="51"/>
        <v/>
      </c>
      <c r="CF88" s="149" t="str">
        <f>IF(BK88&lt;=0,0,IFERROR(IF(OR(ISBLANK(AC88),ISBLANK(CD88))=TRUE,"",IF(CA88="Per Foot",INDEX('Fixture Codes'!$I$8:$I$976,MATCH(AD88,'Fixture Codes'!$B$8:$B$976,0))/12*AF88*BZ88,IF(CA88="Lamp",INDEX('Fixture Codes'!$J$8:$J$976,MATCH(AD88,'Fixture Codes'!$B$8:$B$976,0))*AF88*BZ88,IF(CA88="Fixture",AF88*BZ88,IF(CA88="kWh",BK88*BZ88,0))))),""))</f>
        <v/>
      </c>
      <c r="CG88" s="149" t="str">
        <f t="shared" si="67"/>
        <v/>
      </c>
      <c r="CH88" s="149" t="str">
        <f t="shared" si="68"/>
        <v/>
      </c>
      <c r="CI88" s="152"/>
      <c r="CJ88" s="146"/>
      <c r="CK88" s="241">
        <f>IFERROR(IF(CL88="Yes",'Prescriptive Rebate Table'!$D$69,IF(ISBLANK(AI88),0,IF(AND(AH88=Lookups!$A$62,BK88&gt;0),'Prescriptive Rebate Table'!$D$68,IF(AND(BK88&gt;0,CJ88=AF88),'Prescriptive Rebate Table'!$D$67,IF(AND(BK88&gt;0,CJ88&lt;&gt;AF88),'Prescriptive Rebate Table'!D147,0))))),"")</f>
        <v>0</v>
      </c>
      <c r="CL88" s="240" t="s">
        <v>2712</v>
      </c>
      <c r="CM88" s="152"/>
      <c r="CN88" s="152"/>
      <c r="CO88" s="152"/>
      <c r="CP88" s="146">
        <f t="shared" si="52"/>
        <v>0</v>
      </c>
      <c r="CQ88" s="153">
        <f>IF(D88="Interior",ROUND(($AG88*AF88)/1000*$AM88*(Lookups!$B$54-$AA88)*$AN88*$AO88,3),0)</f>
        <v>0</v>
      </c>
      <c r="CR88" s="153">
        <f>IFERROR(IF(D88="Interior",ROUND(($AG88*$AF88)/1000*(Lookups!$C$54-$AB88)*$AN88*AQ88*AT88,6),0),"")</f>
        <v>0</v>
      </c>
      <c r="CS88" s="165">
        <f t="shared" si="69"/>
        <v>0</v>
      </c>
      <c r="CT88" s="165">
        <f t="shared" si="70"/>
        <v>0</v>
      </c>
      <c r="CV88" s="153"/>
      <c r="CW88" s="153"/>
      <c r="CX88" s="165"/>
      <c r="CY88" s="165"/>
      <c r="DA88" s="153">
        <f>IF(D88="Interior",ROUND(($AG88*AF88*(1-0.15))/1000*$AM88*(Lookups!$B$43+0.097-$AA88)*$AN88*$AO88+((W88*V88)/1000*AN88*AM88*AO88*0.15),3),0)</f>
        <v>0</v>
      </c>
      <c r="DB88" s="153">
        <f>IFERROR(IF(D88="Interior",ROUND(($AG88*$AF88)/1000*(Lookups!$C$43+0.097-$AB88)*$AN88*AQ88*AT88+(($AG88*$AF88)/1000*$AN88*AQ88*AT88*0.15),6),0),"")</f>
        <v>0</v>
      </c>
      <c r="DC88" s="165">
        <f t="shared" si="53"/>
        <v>0</v>
      </c>
      <c r="DD88" s="165">
        <f t="shared" si="54"/>
        <v>0</v>
      </c>
    </row>
    <row r="89" spans="1:108" s="164" customFormat="1">
      <c r="A89" s="150">
        <v>85</v>
      </c>
      <c r="B89" s="153" t="str">
        <f>IFERROR(INDEX(Lookups!$B$2:$B$38,MATCH('Project Info &amp; Summary'!$C$19,Lookups!$A$2:$A$38,0)),"")</f>
        <v/>
      </c>
      <c r="C89" s="153" t="str">
        <f>IFERROR(INDEX(Lookups!$C$2:$C$38,MATCH('Project Info &amp; Summary'!$C$19,Lookups!$A$2:$A$38,0)),"")</f>
        <v/>
      </c>
      <c r="D89" s="163"/>
      <c r="E89" s="160"/>
      <c r="F89" s="158"/>
      <c r="G89" s="158"/>
      <c r="H89" s="158"/>
      <c r="I89" s="158"/>
      <c r="J89" s="154" t="str">
        <f>IFERROR(INDEX(Lookups!$W$21:$W$26,MATCH(I89,Lookups!$V$21:$V$26,0)),"")</f>
        <v/>
      </c>
      <c r="K89" s="158"/>
      <c r="L89" s="162" t="str">
        <f>IFERROR(INDEX(Lookups!$Y$2:$Y$19,MATCH(_xlfn.CONCAT(I89,K89),Lookups!$X$2:$X$19,0)),"")</f>
        <v/>
      </c>
      <c r="M89" s="158"/>
      <c r="N89" s="153" t="str">
        <f>IFERROR(INDEX('Prescriptive Rebate Table'!$M$3:$M$20,MATCH(M89,'Prescriptive Rebate Table'!$L$3:$L$20,0)),"")</f>
        <v/>
      </c>
      <c r="O89" s="158"/>
      <c r="P89" s="154" t="str">
        <f>IFERROR(INDEX('Prescriptive Rebate Table'!$B$2:$H$64, MATCH(O89,'Prescriptive Rebate Table'!$C$2:$C$64,0),7),"")</f>
        <v/>
      </c>
      <c r="Q89" s="155" t="str">
        <f>IFERROR(INDEX('Prescriptive Rebate Table'!$B$2:$I$64, MATCH(O89,'Prescriptive Rebate Table'!$C$2:$C$64,0),8),"")</f>
        <v/>
      </c>
      <c r="R89" s="155" t="str">
        <f>IFERROR(INDEX('Prescriptive Rebate Table'!$B$2:$J$64, MATCH(O89,'Prescriptive Rebate Table'!$C$2:$C$64,0),9),"")</f>
        <v/>
      </c>
      <c r="S89" s="160"/>
      <c r="T89" s="145" t="str">
        <f>IFERROR(INDEX('Fixture Codes'!$M$8:$M$976,MATCH(S89,'Fixture Codes'!$B$8:$B$976,0)),"")</f>
        <v/>
      </c>
      <c r="U89" s="145" t="str">
        <f>IFERROR(INDEX('Fixture Codes'!$B$7:$M$976,MATCH(T89,'Fixture Codes'!$B$7:$B$976,0),5),"")</f>
        <v/>
      </c>
      <c r="V89" s="160"/>
      <c r="W89" s="145" t="str">
        <f>IFERROR(INDEX('Fixture Codes'!$L$8:$L$976,MATCH(T89,'Fixture Codes'!$B$8:$B$976,0)),"")</f>
        <v/>
      </c>
      <c r="X89" s="158"/>
      <c r="Y89" s="159"/>
      <c r="Z89" s="155" t="str">
        <f>IFERROR(INDEX(Lookups!B$68:B$87,MATCH($X89,Lookups!$A$68:$A$87,0)),"")</f>
        <v/>
      </c>
      <c r="AA89" s="150" t="str">
        <f>IFERROR(INDEX(Lookups!B$42:B$62,MATCH($X89,Lookups!$A$42:$A$62,0)),"")</f>
        <v/>
      </c>
      <c r="AB89" s="150" t="str">
        <f>IFERROR(INDEX(Lookups!C$42:C$62,MATCH($X89,Lookups!$A$42:$A$62,0)),"")</f>
        <v/>
      </c>
      <c r="AC89" s="160"/>
      <c r="AD89" s="160"/>
      <c r="AE89" s="150" t="str">
        <f>IFERROR(INDEX('Fixture Codes'!$B$7:$M$976,MATCH(AD89,'Fixture Codes'!$B$7:$B$976,0),5),"")</f>
        <v/>
      </c>
      <c r="AF89" s="160"/>
      <c r="AG89" s="145" t="str">
        <f>IFERROR(INDEX('Fixture Codes'!$L$8:$L$976,MATCH(AD89,'Fixture Codes'!$B$8:$B$976,0)),"")</f>
        <v/>
      </c>
      <c r="AH89" s="158"/>
      <c r="AI89" s="160"/>
      <c r="AJ89" s="150" t="str">
        <f>IFERROR(INDEX(Lookups!B$68:B$87,MATCH($AH89,Lookups!$A$68:$A$87,0)),"")</f>
        <v/>
      </c>
      <c r="AK89" s="150" t="str">
        <f>IFERROR(INDEX(Lookups!B$42:B$62,MATCH($AH89,Lookups!$A$42:$A$62,0)),"")</f>
        <v/>
      </c>
      <c r="AL89" s="150" t="str">
        <f>IFERROR(INDEX(Lookups!C$42:C$62,MATCH($AH89,Lookups!$A$42:$A$62,0)),"")</f>
        <v/>
      </c>
      <c r="AM89" s="150" t="str">
        <f>IFERROR(IF(M89="Exit Signs",8760,IF(INDEX('Fixture Codes'!$C$8:$C$976,MATCH(AD89,'Fixture Codes'!$B$8:$B$976,0))="Exit Sign",8760,INDEX(Lookups!$I$2:$I$428,MATCH(_xlfn.CONCAT(B89,H89),Lookups!$H$2:$H$428,0)))),"")</f>
        <v/>
      </c>
      <c r="AN89" s="153">
        <v>1</v>
      </c>
      <c r="AO89" s="150" t="str">
        <f>IF($D89="Interior",INDEX(Lookups!Q$2:Q$86,MATCH(_xlfn.CONCAT($C89,$L89),Lookups!$P$2:$P$86,0)),IF($D89="Exterior",1,""))</f>
        <v/>
      </c>
      <c r="AP89" s="150">
        <f t="shared" si="55"/>
        <v>1</v>
      </c>
      <c r="AQ89" s="150" t="str">
        <f>IF($D89="Interior",INDEX(Lookups!R$2:R$86,MATCH(_xlfn.CONCAT($C89,$L89),Lookups!$P$2:$P$86,0)),IF($D89="Exterior",1,""))</f>
        <v/>
      </c>
      <c r="AR89" s="150" t="str">
        <f>IF($D89="Interior",INDEX(Lookups!S$2:S$86,MATCH(_xlfn.CONCAT($C89,$L89),Lookups!$P$2:$P$86,0)),IF($D89="Exterior",1,""))</f>
        <v/>
      </c>
      <c r="AS89" s="150" t="str">
        <f>IF($D89="Interior",INDEX(Lookups!T$2:T$86,MATCH(_xlfn.CONCAT($C89,$L89),Lookups!$P$2:$P$86,0)),IF($D89="Exterior",1,""))</f>
        <v/>
      </c>
      <c r="AT89" s="150" t="str">
        <f>IFERROR(IF(M89="Exit Signs",1,IF(INDEX('Fixture Codes'!$C$8:$C$976,MATCH($AD89,'Fixture Codes'!$B$8:$B$976,0))="Exit Sign",1,INDEX(Lookups!J$2:J$428,MATCH(_xlfn.CONCAT($B89,$H89),Lookups!$H$2:$H$428,0)))),"")</f>
        <v/>
      </c>
      <c r="AU89" s="150" t="str">
        <f>IFERROR(IF(M89="Exit Signs",1,IF(INDEX('Fixture Codes'!$C$8:$C$976,MATCH($AD89,'Fixture Codes'!$B$8:$B$976,0))="Exit Sign",1,INDEX(Lookups!K$2:K$428,MATCH(_xlfn.CONCAT($B89,$H89),Lookups!$H$2:$H$428,0)))),"")</f>
        <v/>
      </c>
      <c r="AV89" s="150" t="str">
        <f>IFERROR(IF(M89="Exit Signs",1,IF(INDEX('Fixture Codes'!$C$8:$C$976,MATCH($AD89,'Fixture Codes'!$B$8:$B$976,0))="Exit Sign",1,INDEX(Lookups!L$2:L$428,MATCH(_xlfn.CONCAT($B89,$H89),Lookups!$H$2:$H$428,0)))),"")</f>
        <v/>
      </c>
      <c r="AW89" s="150" t="str">
        <f>IF(ISBLANK(K89),"",IF(K89="Gas",INDEX(Lookups!$AG$2:$AG$63,MATCH(O89,Lookups!$AD$2:$AD$63,0),0),0))</f>
        <v/>
      </c>
      <c r="AX89" s="150" t="str">
        <f>IF(ISBLANK(K89),"",IF(K89="Gas",INDEX(Lookups!$AF$2:$AF$63,MATCH(O89,Lookups!$AD$2:$AD$63,0),0),0))</f>
        <v/>
      </c>
      <c r="AY89" s="150" t="str">
        <f>IF(ISBLANK(K89),"",IF(K89="Gas",INDEX(Lookups!$AH$2:$AH$63,MATCH(O89,Lookups!$AD$2:$AD$63,0),0),0))</f>
        <v/>
      </c>
      <c r="AZ89" s="150" t="str">
        <f>IF(ISBLANK(K89),"",IF(K89="Gas",INDEX(Lookups!$AI$2:$AI$63,MATCH(O89,Lookups!$AD$2:$AD$63,0),0),0))</f>
        <v/>
      </c>
      <c r="BA89" s="150" t="str">
        <f t="shared" si="40"/>
        <v/>
      </c>
      <c r="BB89" s="156" t="str">
        <f>IF(ISBLANK(AH89),"",IF(AH89="None",0,IF(K89="Gas",INDEX(Lookups!$AF$51:$AF$69,MATCH(AH89,Lookups!$AD$51:$AD$69,0),0),0)))</f>
        <v/>
      </c>
      <c r="BC89" s="156" t="str">
        <f>IF(ISBLANK(AH89),"",IF(AH89="None",0,IF(K89="Gas",INDEX(Lookups!$AH$51:$AH$69,MATCH(AH89,Lookups!$AD$51:$AD$69,0),0),0)))</f>
        <v/>
      </c>
      <c r="BD89" s="156" t="str">
        <f>IF(ISBLANK(AH89),"",IF(AH89="None",0,IF(K89="Gas",INDEX(Lookups!$AI$51:$AI$69,MATCH(AH89,Lookups!$AD$51:$AD$69,0),0),0)))</f>
        <v/>
      </c>
      <c r="BE89" s="157"/>
      <c r="BF89" s="157"/>
      <c r="BG89" s="147" t="str">
        <f t="shared" si="56"/>
        <v/>
      </c>
      <c r="BH89" s="147" t="str">
        <f t="shared" si="57"/>
        <v/>
      </c>
      <c r="BI89" s="147" t="str">
        <f t="shared" si="41"/>
        <v/>
      </c>
      <c r="BJ89" s="147" t="str">
        <f t="shared" si="42"/>
        <v/>
      </c>
      <c r="BK89" s="148" t="str">
        <f t="shared" si="58"/>
        <v/>
      </c>
      <c r="BL89" s="147" t="str">
        <f t="shared" si="43"/>
        <v/>
      </c>
      <c r="BM89" s="148" t="str">
        <f t="shared" si="59"/>
        <v/>
      </c>
      <c r="BN89" s="147" t="str">
        <f t="shared" si="60"/>
        <v/>
      </c>
      <c r="BO89" s="147" t="str">
        <f t="shared" si="60"/>
        <v/>
      </c>
      <c r="BP89" s="147" t="str">
        <f t="shared" si="61"/>
        <v/>
      </c>
      <c r="BQ89" s="148" t="str">
        <f t="shared" si="62"/>
        <v/>
      </c>
      <c r="BR89" s="148" t="str">
        <f t="shared" si="63"/>
        <v/>
      </c>
      <c r="BS89" s="148" t="str">
        <f t="shared" si="64"/>
        <v/>
      </c>
      <c r="BT89" s="148" t="str">
        <f t="shared" si="44"/>
        <v/>
      </c>
      <c r="BU89" s="148" t="str">
        <f t="shared" si="45"/>
        <v/>
      </c>
      <c r="BV89" s="148" t="str">
        <f t="shared" si="46"/>
        <v/>
      </c>
      <c r="BW89" s="148" t="str">
        <f t="shared" si="47"/>
        <v/>
      </c>
      <c r="BX89" s="148" t="str">
        <f t="shared" si="48"/>
        <v/>
      </c>
      <c r="BY89" s="148" t="str">
        <f t="shared" si="49"/>
        <v/>
      </c>
      <c r="BZ89" s="149" t="str">
        <f>IFERROR(INDEX('Prescriptive Rebate Table'!$B$2:$E$64,MATCH(O89,'Prescriptive Rebate Table'!$C$2:$C$64,0),3),"")</f>
        <v/>
      </c>
      <c r="CA89" s="145" t="str">
        <f>IFERROR(INDEX('Prescriptive Rebate Table'!$B$2:$E$64,MATCH(O89,'Prescriptive Rebate Table'!$C$2:$C$64,0),4),"")</f>
        <v/>
      </c>
      <c r="CB89" s="149" t="str">
        <f t="shared" si="65"/>
        <v/>
      </c>
      <c r="CC89" s="145" t="str">
        <f t="shared" si="66"/>
        <v/>
      </c>
      <c r="CD89" s="149" t="str">
        <f t="shared" si="50"/>
        <v/>
      </c>
      <c r="CE89" s="149" t="str">
        <f t="shared" si="51"/>
        <v/>
      </c>
      <c r="CF89" s="149" t="str">
        <f>IF(BK89&lt;=0,0,IFERROR(IF(OR(ISBLANK(AC89),ISBLANK(CD89))=TRUE,"",IF(CA89="Per Foot",INDEX('Fixture Codes'!$I$8:$I$976,MATCH(AD89,'Fixture Codes'!$B$8:$B$976,0))/12*AF89*BZ89,IF(CA89="Lamp",INDEX('Fixture Codes'!$J$8:$J$976,MATCH(AD89,'Fixture Codes'!$B$8:$B$976,0))*AF89*BZ89,IF(CA89="Fixture",AF89*BZ89,IF(CA89="kWh",BK89*BZ89,0))))),""))</f>
        <v/>
      </c>
      <c r="CG89" s="149" t="str">
        <f t="shared" si="67"/>
        <v/>
      </c>
      <c r="CH89" s="149" t="str">
        <f t="shared" si="68"/>
        <v/>
      </c>
      <c r="CI89" s="152"/>
      <c r="CJ89" s="146"/>
      <c r="CK89" s="241">
        <f>IFERROR(IF(CL89="Yes",'Prescriptive Rebate Table'!$D$69,IF(ISBLANK(AI89),0,IF(AND(AH89=Lookups!$A$62,BK89&gt;0),'Prescriptive Rebate Table'!$D$68,IF(AND(BK89&gt;0,CJ89=AF89),'Prescriptive Rebate Table'!$D$67,IF(AND(BK89&gt;0,CJ89&lt;&gt;AF89),'Prescriptive Rebate Table'!D148,0))))),"")</f>
        <v>0</v>
      </c>
      <c r="CL89" s="240" t="s">
        <v>2712</v>
      </c>
      <c r="CM89" s="152"/>
      <c r="CN89" s="152"/>
      <c r="CO89" s="152"/>
      <c r="CP89" s="146">
        <f t="shared" si="52"/>
        <v>0</v>
      </c>
      <c r="CQ89" s="153">
        <f>IF(D89="Interior",ROUND(($AG89*AF89)/1000*$AM89*(Lookups!$B$54-$AA89)*$AN89*$AO89,3),0)</f>
        <v>0</v>
      </c>
      <c r="CR89" s="153">
        <f>IFERROR(IF(D89="Interior",ROUND(($AG89*$AF89)/1000*(Lookups!$C$54-$AB89)*$AN89*AQ89*AT89,6),0),"")</f>
        <v>0</v>
      </c>
      <c r="CS89" s="165">
        <f t="shared" si="69"/>
        <v>0</v>
      </c>
      <c r="CT89" s="165">
        <f t="shared" si="70"/>
        <v>0</v>
      </c>
      <c r="CV89" s="153"/>
      <c r="CW89" s="153"/>
      <c r="CX89" s="165"/>
      <c r="CY89" s="165"/>
      <c r="DA89" s="153">
        <f>IF(D89="Interior",ROUND(($AG89*AF89*(1-0.15))/1000*$AM89*(Lookups!$B$43+0.097-$AA89)*$AN89*$AO89+((W89*V89)/1000*AN89*AM89*AO89*0.15),3),0)</f>
        <v>0</v>
      </c>
      <c r="DB89" s="153">
        <f>IFERROR(IF(D89="Interior",ROUND(($AG89*$AF89)/1000*(Lookups!$C$43+0.097-$AB89)*$AN89*AQ89*AT89+(($AG89*$AF89)/1000*$AN89*AQ89*AT89*0.15),6),0),"")</f>
        <v>0</v>
      </c>
      <c r="DC89" s="165">
        <f t="shared" si="53"/>
        <v>0</v>
      </c>
      <c r="DD89" s="165">
        <f t="shared" si="54"/>
        <v>0</v>
      </c>
    </row>
    <row r="90" spans="1:108" s="164" customFormat="1">
      <c r="A90" s="150">
        <v>86</v>
      </c>
      <c r="B90" s="153" t="str">
        <f>IFERROR(INDEX(Lookups!$B$2:$B$38,MATCH('Project Info &amp; Summary'!$C$19,Lookups!$A$2:$A$38,0)),"")</f>
        <v/>
      </c>
      <c r="C90" s="153" t="str">
        <f>IFERROR(INDEX(Lookups!$C$2:$C$38,MATCH('Project Info &amp; Summary'!$C$19,Lookups!$A$2:$A$38,0)),"")</f>
        <v/>
      </c>
      <c r="D90" s="163"/>
      <c r="E90" s="160"/>
      <c r="F90" s="158"/>
      <c r="G90" s="158"/>
      <c r="H90" s="158"/>
      <c r="I90" s="158"/>
      <c r="J90" s="154" t="str">
        <f>IFERROR(INDEX(Lookups!$W$21:$W$26,MATCH(I90,Lookups!$V$21:$V$26,0)),"")</f>
        <v/>
      </c>
      <c r="K90" s="158"/>
      <c r="L90" s="162" t="str">
        <f>IFERROR(INDEX(Lookups!$Y$2:$Y$19,MATCH(_xlfn.CONCAT(I90,K90),Lookups!$X$2:$X$19,0)),"")</f>
        <v/>
      </c>
      <c r="M90" s="158"/>
      <c r="N90" s="153" t="str">
        <f>IFERROR(INDEX('Prescriptive Rebate Table'!$M$3:$M$20,MATCH(M90,'Prescriptive Rebate Table'!$L$3:$L$20,0)),"")</f>
        <v/>
      </c>
      <c r="O90" s="158"/>
      <c r="P90" s="154" t="str">
        <f>IFERROR(INDEX('Prescriptive Rebate Table'!$B$2:$H$64, MATCH(O90,'Prescriptive Rebate Table'!$C$2:$C$64,0),7),"")</f>
        <v/>
      </c>
      <c r="Q90" s="155" t="str">
        <f>IFERROR(INDEX('Prescriptive Rebate Table'!$B$2:$I$64, MATCH(O90,'Prescriptive Rebate Table'!$C$2:$C$64,0),8),"")</f>
        <v/>
      </c>
      <c r="R90" s="155" t="str">
        <f>IFERROR(INDEX('Prescriptive Rebate Table'!$B$2:$J$64, MATCH(O90,'Prescriptive Rebate Table'!$C$2:$C$64,0),9),"")</f>
        <v/>
      </c>
      <c r="S90" s="160"/>
      <c r="T90" s="145" t="str">
        <f>IFERROR(INDEX('Fixture Codes'!$M$8:$M$976,MATCH(S90,'Fixture Codes'!$B$8:$B$976,0)),"")</f>
        <v/>
      </c>
      <c r="U90" s="145" t="str">
        <f>IFERROR(INDEX('Fixture Codes'!$B$7:$M$976,MATCH(T90,'Fixture Codes'!$B$7:$B$976,0),5),"")</f>
        <v/>
      </c>
      <c r="V90" s="160"/>
      <c r="W90" s="145" t="str">
        <f>IFERROR(INDEX('Fixture Codes'!$L$8:$L$976,MATCH(T90,'Fixture Codes'!$B$8:$B$976,0)),"")</f>
        <v/>
      </c>
      <c r="X90" s="158"/>
      <c r="Y90" s="159"/>
      <c r="Z90" s="155" t="str">
        <f>IFERROR(INDEX(Lookups!B$68:B$87,MATCH($X90,Lookups!$A$68:$A$87,0)),"")</f>
        <v/>
      </c>
      <c r="AA90" s="150" t="str">
        <f>IFERROR(INDEX(Lookups!B$42:B$62,MATCH($X90,Lookups!$A$42:$A$62,0)),"")</f>
        <v/>
      </c>
      <c r="AB90" s="150" t="str">
        <f>IFERROR(INDEX(Lookups!C$42:C$62,MATCH($X90,Lookups!$A$42:$A$62,0)),"")</f>
        <v/>
      </c>
      <c r="AC90" s="160"/>
      <c r="AD90" s="160"/>
      <c r="AE90" s="150" t="str">
        <f>IFERROR(INDEX('Fixture Codes'!$B$7:$M$976,MATCH(AD90,'Fixture Codes'!$B$7:$B$976,0),5),"")</f>
        <v/>
      </c>
      <c r="AF90" s="160"/>
      <c r="AG90" s="145" t="str">
        <f>IFERROR(INDEX('Fixture Codes'!$L$8:$L$976,MATCH(AD90,'Fixture Codes'!$B$8:$B$976,0)),"")</f>
        <v/>
      </c>
      <c r="AH90" s="158"/>
      <c r="AI90" s="160"/>
      <c r="AJ90" s="150" t="str">
        <f>IFERROR(INDEX(Lookups!B$68:B$87,MATCH($AH90,Lookups!$A$68:$A$87,0)),"")</f>
        <v/>
      </c>
      <c r="AK90" s="150" t="str">
        <f>IFERROR(INDEX(Lookups!B$42:B$62,MATCH($AH90,Lookups!$A$42:$A$62,0)),"")</f>
        <v/>
      </c>
      <c r="AL90" s="150" t="str">
        <f>IFERROR(INDEX(Lookups!C$42:C$62,MATCH($AH90,Lookups!$A$42:$A$62,0)),"")</f>
        <v/>
      </c>
      <c r="AM90" s="150" t="str">
        <f>IFERROR(IF(M90="Exit Signs",8760,IF(INDEX('Fixture Codes'!$C$8:$C$976,MATCH(AD90,'Fixture Codes'!$B$8:$B$976,0))="Exit Sign",8760,INDEX(Lookups!$I$2:$I$428,MATCH(_xlfn.CONCAT(B90,H90),Lookups!$H$2:$H$428,0)))),"")</f>
        <v/>
      </c>
      <c r="AN90" s="153">
        <v>1</v>
      </c>
      <c r="AO90" s="150" t="str">
        <f>IF($D90="Interior",INDEX(Lookups!Q$2:Q$86,MATCH(_xlfn.CONCAT($C90,$L90),Lookups!$P$2:$P$86,0)),IF($D90="Exterior",1,""))</f>
        <v/>
      </c>
      <c r="AP90" s="150">
        <f t="shared" si="55"/>
        <v>1</v>
      </c>
      <c r="AQ90" s="150" t="str">
        <f>IF($D90="Interior",INDEX(Lookups!R$2:R$86,MATCH(_xlfn.CONCAT($C90,$L90),Lookups!$P$2:$P$86,0)),IF($D90="Exterior",1,""))</f>
        <v/>
      </c>
      <c r="AR90" s="150" t="str">
        <f>IF($D90="Interior",INDEX(Lookups!S$2:S$86,MATCH(_xlfn.CONCAT($C90,$L90),Lookups!$P$2:$P$86,0)),IF($D90="Exterior",1,""))</f>
        <v/>
      </c>
      <c r="AS90" s="150" t="str">
        <f>IF($D90="Interior",INDEX(Lookups!T$2:T$86,MATCH(_xlfn.CONCAT($C90,$L90),Lookups!$P$2:$P$86,0)),IF($D90="Exterior",1,""))</f>
        <v/>
      </c>
      <c r="AT90" s="150" t="str">
        <f>IFERROR(IF(M90="Exit Signs",1,IF(INDEX('Fixture Codes'!$C$8:$C$976,MATCH($AD90,'Fixture Codes'!$B$8:$B$976,0))="Exit Sign",1,INDEX(Lookups!J$2:J$428,MATCH(_xlfn.CONCAT($B90,$H90),Lookups!$H$2:$H$428,0)))),"")</f>
        <v/>
      </c>
      <c r="AU90" s="150" t="str">
        <f>IFERROR(IF(M90="Exit Signs",1,IF(INDEX('Fixture Codes'!$C$8:$C$976,MATCH($AD90,'Fixture Codes'!$B$8:$B$976,0))="Exit Sign",1,INDEX(Lookups!K$2:K$428,MATCH(_xlfn.CONCAT($B90,$H90),Lookups!$H$2:$H$428,0)))),"")</f>
        <v/>
      </c>
      <c r="AV90" s="150" t="str">
        <f>IFERROR(IF(M90="Exit Signs",1,IF(INDEX('Fixture Codes'!$C$8:$C$976,MATCH($AD90,'Fixture Codes'!$B$8:$B$976,0))="Exit Sign",1,INDEX(Lookups!L$2:L$428,MATCH(_xlfn.CONCAT($B90,$H90),Lookups!$H$2:$H$428,0)))),"")</f>
        <v/>
      </c>
      <c r="AW90" s="150" t="str">
        <f>IF(ISBLANK(K90),"",IF(K90="Gas",INDEX(Lookups!$AG$2:$AG$63,MATCH(O90,Lookups!$AD$2:$AD$63,0),0),0))</f>
        <v/>
      </c>
      <c r="AX90" s="150" t="str">
        <f>IF(ISBLANK(K90),"",IF(K90="Gas",INDEX(Lookups!$AF$2:$AF$63,MATCH(O90,Lookups!$AD$2:$AD$63,0),0),0))</f>
        <v/>
      </c>
      <c r="AY90" s="150" t="str">
        <f>IF(ISBLANK(K90),"",IF(K90="Gas",INDEX(Lookups!$AH$2:$AH$63,MATCH(O90,Lookups!$AD$2:$AD$63,0),0),0))</f>
        <v/>
      </c>
      <c r="AZ90" s="150" t="str">
        <f>IF(ISBLANK(K90),"",IF(K90="Gas",INDEX(Lookups!$AI$2:$AI$63,MATCH(O90,Lookups!$AD$2:$AD$63,0),0),0))</f>
        <v/>
      </c>
      <c r="BA90" s="150" t="str">
        <f t="shared" si="40"/>
        <v/>
      </c>
      <c r="BB90" s="156" t="str">
        <f>IF(ISBLANK(AH90),"",IF(AH90="None",0,IF(K90="Gas",INDEX(Lookups!$AF$51:$AF$69,MATCH(AH90,Lookups!$AD$51:$AD$69,0),0),0)))</f>
        <v/>
      </c>
      <c r="BC90" s="156" t="str">
        <f>IF(ISBLANK(AH90),"",IF(AH90="None",0,IF(K90="Gas",INDEX(Lookups!$AH$51:$AH$69,MATCH(AH90,Lookups!$AD$51:$AD$69,0),0),0)))</f>
        <v/>
      </c>
      <c r="BD90" s="156" t="str">
        <f>IF(ISBLANK(AH90),"",IF(AH90="None",0,IF(K90="Gas",INDEX(Lookups!$AI$51:$AI$69,MATCH(AH90,Lookups!$AD$51:$AD$69,0),0),0)))</f>
        <v/>
      </c>
      <c r="BE90" s="157"/>
      <c r="BF90" s="157"/>
      <c r="BG90" s="147" t="str">
        <f t="shared" si="56"/>
        <v/>
      </c>
      <c r="BH90" s="147" t="str">
        <f t="shared" si="57"/>
        <v/>
      </c>
      <c r="BI90" s="147" t="str">
        <f t="shared" si="41"/>
        <v/>
      </c>
      <c r="BJ90" s="147" t="str">
        <f t="shared" si="42"/>
        <v/>
      </c>
      <c r="BK90" s="148" t="str">
        <f t="shared" si="58"/>
        <v/>
      </c>
      <c r="BL90" s="147" t="str">
        <f t="shared" si="43"/>
        <v/>
      </c>
      <c r="BM90" s="148" t="str">
        <f t="shared" si="59"/>
        <v/>
      </c>
      <c r="BN90" s="147" t="str">
        <f t="shared" si="60"/>
        <v/>
      </c>
      <c r="BO90" s="147" t="str">
        <f t="shared" si="60"/>
        <v/>
      </c>
      <c r="BP90" s="147" t="str">
        <f t="shared" si="61"/>
        <v/>
      </c>
      <c r="BQ90" s="148" t="str">
        <f t="shared" si="62"/>
        <v/>
      </c>
      <c r="BR90" s="148" t="str">
        <f t="shared" si="63"/>
        <v/>
      </c>
      <c r="BS90" s="148" t="str">
        <f t="shared" si="64"/>
        <v/>
      </c>
      <c r="BT90" s="148" t="str">
        <f t="shared" si="44"/>
        <v/>
      </c>
      <c r="BU90" s="148" t="str">
        <f t="shared" si="45"/>
        <v/>
      </c>
      <c r="BV90" s="148" t="str">
        <f t="shared" si="46"/>
        <v/>
      </c>
      <c r="BW90" s="148" t="str">
        <f t="shared" si="47"/>
        <v/>
      </c>
      <c r="BX90" s="148" t="str">
        <f t="shared" si="48"/>
        <v/>
      </c>
      <c r="BY90" s="148" t="str">
        <f t="shared" si="49"/>
        <v/>
      </c>
      <c r="BZ90" s="149" t="str">
        <f>IFERROR(INDEX('Prescriptive Rebate Table'!$B$2:$E$64,MATCH(O90,'Prescriptive Rebate Table'!$C$2:$C$64,0),3),"")</f>
        <v/>
      </c>
      <c r="CA90" s="145" t="str">
        <f>IFERROR(INDEX('Prescriptive Rebate Table'!$B$2:$E$64,MATCH(O90,'Prescriptive Rebate Table'!$C$2:$C$64,0),4),"")</f>
        <v/>
      </c>
      <c r="CB90" s="149" t="str">
        <f t="shared" si="65"/>
        <v/>
      </c>
      <c r="CC90" s="145" t="str">
        <f t="shared" si="66"/>
        <v/>
      </c>
      <c r="CD90" s="149" t="str">
        <f t="shared" si="50"/>
        <v/>
      </c>
      <c r="CE90" s="149" t="str">
        <f t="shared" si="51"/>
        <v/>
      </c>
      <c r="CF90" s="149" t="str">
        <f>IF(BK90&lt;=0,0,IFERROR(IF(OR(ISBLANK(AC90),ISBLANK(CD90))=TRUE,"",IF(CA90="Per Foot",INDEX('Fixture Codes'!$I$8:$I$976,MATCH(AD90,'Fixture Codes'!$B$8:$B$976,0))/12*AF90*BZ90,IF(CA90="Lamp",INDEX('Fixture Codes'!$J$8:$J$976,MATCH(AD90,'Fixture Codes'!$B$8:$B$976,0))*AF90*BZ90,IF(CA90="Fixture",AF90*BZ90,IF(CA90="kWh",BK90*BZ90,0))))),""))</f>
        <v/>
      </c>
      <c r="CG90" s="149" t="str">
        <f t="shared" si="67"/>
        <v/>
      </c>
      <c r="CH90" s="149" t="str">
        <f t="shared" si="68"/>
        <v/>
      </c>
      <c r="CI90" s="152"/>
      <c r="CJ90" s="146"/>
      <c r="CK90" s="241">
        <f>IFERROR(IF(CL90="Yes",'Prescriptive Rebate Table'!$D$69,IF(ISBLANK(AI90),0,IF(AND(AH90=Lookups!$A$62,BK90&gt;0),'Prescriptive Rebate Table'!$D$68,IF(AND(BK90&gt;0,CJ90=AF90),'Prescriptive Rebate Table'!$D$67,IF(AND(BK90&gt;0,CJ90&lt;&gt;AF90),'Prescriptive Rebate Table'!D149,0))))),"")</f>
        <v>0</v>
      </c>
      <c r="CL90" s="240" t="s">
        <v>2712</v>
      </c>
      <c r="CM90" s="152"/>
      <c r="CN90" s="152"/>
      <c r="CO90" s="152"/>
      <c r="CP90" s="146">
        <f t="shared" si="52"/>
        <v>0</v>
      </c>
      <c r="CQ90" s="153">
        <f>IF(D90="Interior",ROUND(($AG90*AF90)/1000*$AM90*(Lookups!$B$54-$AA90)*$AN90*$AO90,3),0)</f>
        <v>0</v>
      </c>
      <c r="CR90" s="153">
        <f>IFERROR(IF(D90="Interior",ROUND(($AG90*$AF90)/1000*(Lookups!$C$54-$AB90)*$AN90*AQ90*AT90,6),0),"")</f>
        <v>0</v>
      </c>
      <c r="CS90" s="165">
        <f t="shared" si="69"/>
        <v>0</v>
      </c>
      <c r="CT90" s="165">
        <f t="shared" si="70"/>
        <v>0</v>
      </c>
      <c r="CV90" s="153"/>
      <c r="CW90" s="153"/>
      <c r="CX90" s="165"/>
      <c r="CY90" s="165"/>
      <c r="DA90" s="153">
        <f>IF(D90="Interior",ROUND(($AG90*AF90*(1-0.15))/1000*$AM90*(Lookups!$B$43+0.097-$AA90)*$AN90*$AO90+((W90*V90)/1000*AN90*AM90*AO90*0.15),3),0)</f>
        <v>0</v>
      </c>
      <c r="DB90" s="153">
        <f>IFERROR(IF(D90="Interior",ROUND(($AG90*$AF90)/1000*(Lookups!$C$43+0.097-$AB90)*$AN90*AQ90*AT90+(($AG90*$AF90)/1000*$AN90*AQ90*AT90*0.15),6),0),"")</f>
        <v>0</v>
      </c>
      <c r="DC90" s="165">
        <f t="shared" si="53"/>
        <v>0</v>
      </c>
      <c r="DD90" s="165">
        <f t="shared" si="54"/>
        <v>0</v>
      </c>
    </row>
    <row r="91" spans="1:108" s="164" customFormat="1">
      <c r="A91" s="150">
        <v>87</v>
      </c>
      <c r="B91" s="153" t="str">
        <f>IFERROR(INDEX(Lookups!$B$2:$B$38,MATCH('Project Info &amp; Summary'!$C$19,Lookups!$A$2:$A$38,0)),"")</f>
        <v/>
      </c>
      <c r="C91" s="153" t="str">
        <f>IFERROR(INDEX(Lookups!$C$2:$C$38,MATCH('Project Info &amp; Summary'!$C$19,Lookups!$A$2:$A$38,0)),"")</f>
        <v/>
      </c>
      <c r="D91" s="163"/>
      <c r="E91" s="160"/>
      <c r="F91" s="158"/>
      <c r="G91" s="158"/>
      <c r="H91" s="158"/>
      <c r="I91" s="158"/>
      <c r="J91" s="154" t="str">
        <f>IFERROR(INDEX(Lookups!$W$21:$W$26,MATCH(I91,Lookups!$V$21:$V$26,0)),"")</f>
        <v/>
      </c>
      <c r="K91" s="158"/>
      <c r="L91" s="162" t="str">
        <f>IFERROR(INDEX(Lookups!$Y$2:$Y$19,MATCH(_xlfn.CONCAT(I91,K91),Lookups!$X$2:$X$19,0)),"")</f>
        <v/>
      </c>
      <c r="M91" s="158"/>
      <c r="N91" s="153" t="str">
        <f>IFERROR(INDEX('Prescriptive Rebate Table'!$M$3:$M$20,MATCH(M91,'Prescriptive Rebate Table'!$L$3:$L$20,0)),"")</f>
        <v/>
      </c>
      <c r="O91" s="158"/>
      <c r="P91" s="154" t="str">
        <f>IFERROR(INDEX('Prescriptive Rebate Table'!$B$2:$H$64, MATCH(O91,'Prescriptive Rebate Table'!$C$2:$C$64,0),7),"")</f>
        <v/>
      </c>
      <c r="Q91" s="155" t="str">
        <f>IFERROR(INDEX('Prescriptive Rebate Table'!$B$2:$I$64, MATCH(O91,'Prescriptive Rebate Table'!$C$2:$C$64,0),8),"")</f>
        <v/>
      </c>
      <c r="R91" s="155" t="str">
        <f>IFERROR(INDEX('Prescriptive Rebate Table'!$B$2:$J$64, MATCH(O91,'Prescriptive Rebate Table'!$C$2:$C$64,0),9),"")</f>
        <v/>
      </c>
      <c r="S91" s="160"/>
      <c r="T91" s="145" t="str">
        <f>IFERROR(INDEX('Fixture Codes'!$M$8:$M$976,MATCH(S91,'Fixture Codes'!$B$8:$B$976,0)),"")</f>
        <v/>
      </c>
      <c r="U91" s="145" t="str">
        <f>IFERROR(INDEX('Fixture Codes'!$B$7:$M$976,MATCH(T91,'Fixture Codes'!$B$7:$B$976,0),5),"")</f>
        <v/>
      </c>
      <c r="V91" s="160"/>
      <c r="W91" s="145" t="str">
        <f>IFERROR(INDEX('Fixture Codes'!$L$8:$L$976,MATCH(T91,'Fixture Codes'!$B$8:$B$976,0)),"")</f>
        <v/>
      </c>
      <c r="X91" s="158"/>
      <c r="Y91" s="159"/>
      <c r="Z91" s="155" t="str">
        <f>IFERROR(INDEX(Lookups!B$68:B$87,MATCH($X91,Lookups!$A$68:$A$87,0)),"")</f>
        <v/>
      </c>
      <c r="AA91" s="150" t="str">
        <f>IFERROR(INDEX(Lookups!B$42:B$62,MATCH($X91,Lookups!$A$42:$A$62,0)),"")</f>
        <v/>
      </c>
      <c r="AB91" s="150" t="str">
        <f>IFERROR(INDEX(Lookups!C$42:C$62,MATCH($X91,Lookups!$A$42:$A$62,0)),"")</f>
        <v/>
      </c>
      <c r="AC91" s="160"/>
      <c r="AD91" s="160"/>
      <c r="AE91" s="150" t="str">
        <f>IFERROR(INDEX('Fixture Codes'!$B$7:$M$976,MATCH(AD91,'Fixture Codes'!$B$7:$B$976,0),5),"")</f>
        <v/>
      </c>
      <c r="AF91" s="160"/>
      <c r="AG91" s="145" t="str">
        <f>IFERROR(INDEX('Fixture Codes'!$L$8:$L$976,MATCH(AD91,'Fixture Codes'!$B$8:$B$976,0)),"")</f>
        <v/>
      </c>
      <c r="AH91" s="158"/>
      <c r="AI91" s="160"/>
      <c r="AJ91" s="150" t="str">
        <f>IFERROR(INDEX(Lookups!B$68:B$87,MATCH($AH91,Lookups!$A$68:$A$87,0)),"")</f>
        <v/>
      </c>
      <c r="AK91" s="150" t="str">
        <f>IFERROR(INDEX(Lookups!B$42:B$62,MATCH($AH91,Lookups!$A$42:$A$62,0)),"")</f>
        <v/>
      </c>
      <c r="AL91" s="150" t="str">
        <f>IFERROR(INDEX(Lookups!C$42:C$62,MATCH($AH91,Lookups!$A$42:$A$62,0)),"")</f>
        <v/>
      </c>
      <c r="AM91" s="150" t="str">
        <f>IFERROR(IF(M91="Exit Signs",8760,IF(INDEX('Fixture Codes'!$C$8:$C$976,MATCH(AD91,'Fixture Codes'!$B$8:$B$976,0))="Exit Sign",8760,INDEX(Lookups!$I$2:$I$428,MATCH(_xlfn.CONCAT(B91,H91),Lookups!$H$2:$H$428,0)))),"")</f>
        <v/>
      </c>
      <c r="AN91" s="153">
        <v>1</v>
      </c>
      <c r="AO91" s="150" t="str">
        <f>IF($D91="Interior",INDEX(Lookups!Q$2:Q$86,MATCH(_xlfn.CONCAT($C91,$L91),Lookups!$P$2:$P$86,0)),IF($D91="Exterior",1,""))</f>
        <v/>
      </c>
      <c r="AP91" s="150">
        <f t="shared" si="55"/>
        <v>1</v>
      </c>
      <c r="AQ91" s="150" t="str">
        <f>IF($D91="Interior",INDEX(Lookups!R$2:R$86,MATCH(_xlfn.CONCAT($C91,$L91),Lookups!$P$2:$P$86,0)),IF($D91="Exterior",1,""))</f>
        <v/>
      </c>
      <c r="AR91" s="150" t="str">
        <f>IF($D91="Interior",INDEX(Lookups!S$2:S$86,MATCH(_xlfn.CONCAT($C91,$L91),Lookups!$P$2:$P$86,0)),IF($D91="Exterior",1,""))</f>
        <v/>
      </c>
      <c r="AS91" s="150" t="str">
        <f>IF($D91="Interior",INDEX(Lookups!T$2:T$86,MATCH(_xlfn.CONCAT($C91,$L91),Lookups!$P$2:$P$86,0)),IF($D91="Exterior",1,""))</f>
        <v/>
      </c>
      <c r="AT91" s="150" t="str">
        <f>IFERROR(IF(M91="Exit Signs",1,IF(INDEX('Fixture Codes'!$C$8:$C$976,MATCH($AD91,'Fixture Codes'!$B$8:$B$976,0))="Exit Sign",1,INDEX(Lookups!J$2:J$428,MATCH(_xlfn.CONCAT($B91,$H91),Lookups!$H$2:$H$428,0)))),"")</f>
        <v/>
      </c>
      <c r="AU91" s="150" t="str">
        <f>IFERROR(IF(M91="Exit Signs",1,IF(INDEX('Fixture Codes'!$C$8:$C$976,MATCH($AD91,'Fixture Codes'!$B$8:$B$976,0))="Exit Sign",1,INDEX(Lookups!K$2:K$428,MATCH(_xlfn.CONCAT($B91,$H91),Lookups!$H$2:$H$428,0)))),"")</f>
        <v/>
      </c>
      <c r="AV91" s="150" t="str">
        <f>IFERROR(IF(M91="Exit Signs",1,IF(INDEX('Fixture Codes'!$C$8:$C$976,MATCH($AD91,'Fixture Codes'!$B$8:$B$976,0))="Exit Sign",1,INDEX(Lookups!L$2:L$428,MATCH(_xlfn.CONCAT($B91,$H91),Lookups!$H$2:$H$428,0)))),"")</f>
        <v/>
      </c>
      <c r="AW91" s="150" t="str">
        <f>IF(ISBLANK(K91),"",IF(K91="Gas",INDEX(Lookups!$AG$2:$AG$63,MATCH(O91,Lookups!$AD$2:$AD$63,0),0),0))</f>
        <v/>
      </c>
      <c r="AX91" s="150" t="str">
        <f>IF(ISBLANK(K91),"",IF(K91="Gas",INDEX(Lookups!$AF$2:$AF$63,MATCH(O91,Lookups!$AD$2:$AD$63,0),0),0))</f>
        <v/>
      </c>
      <c r="AY91" s="150" t="str">
        <f>IF(ISBLANK(K91),"",IF(K91="Gas",INDEX(Lookups!$AH$2:$AH$63,MATCH(O91,Lookups!$AD$2:$AD$63,0),0),0))</f>
        <v/>
      </c>
      <c r="AZ91" s="150" t="str">
        <f>IF(ISBLANK(K91),"",IF(K91="Gas",INDEX(Lookups!$AI$2:$AI$63,MATCH(O91,Lookups!$AD$2:$AD$63,0),0),0))</f>
        <v/>
      </c>
      <c r="BA91" s="150" t="str">
        <f t="shared" si="40"/>
        <v/>
      </c>
      <c r="BB91" s="156" t="str">
        <f>IF(ISBLANK(AH91),"",IF(AH91="None",0,IF(K91="Gas",INDEX(Lookups!$AF$51:$AF$69,MATCH(AH91,Lookups!$AD$51:$AD$69,0),0),0)))</f>
        <v/>
      </c>
      <c r="BC91" s="156" t="str">
        <f>IF(ISBLANK(AH91),"",IF(AH91="None",0,IF(K91="Gas",INDEX(Lookups!$AH$51:$AH$69,MATCH(AH91,Lookups!$AD$51:$AD$69,0),0),0)))</f>
        <v/>
      </c>
      <c r="BD91" s="156" t="str">
        <f>IF(ISBLANK(AH91),"",IF(AH91="None",0,IF(K91="Gas",INDEX(Lookups!$AI$51:$AI$69,MATCH(AH91,Lookups!$AD$51:$AD$69,0),0),0)))</f>
        <v/>
      </c>
      <c r="BE91" s="157"/>
      <c r="BF91" s="157"/>
      <c r="BG91" s="147" t="str">
        <f t="shared" si="56"/>
        <v/>
      </c>
      <c r="BH91" s="147" t="str">
        <f t="shared" si="57"/>
        <v/>
      </c>
      <c r="BI91" s="147" t="str">
        <f t="shared" si="41"/>
        <v/>
      </c>
      <c r="BJ91" s="147" t="str">
        <f t="shared" si="42"/>
        <v/>
      </c>
      <c r="BK91" s="148" t="str">
        <f t="shared" si="58"/>
        <v/>
      </c>
      <c r="BL91" s="147" t="str">
        <f t="shared" si="43"/>
        <v/>
      </c>
      <c r="BM91" s="148" t="str">
        <f t="shared" si="59"/>
        <v/>
      </c>
      <c r="BN91" s="147" t="str">
        <f t="shared" si="60"/>
        <v/>
      </c>
      <c r="BO91" s="147" t="str">
        <f t="shared" si="60"/>
        <v/>
      </c>
      <c r="BP91" s="147" t="str">
        <f t="shared" si="61"/>
        <v/>
      </c>
      <c r="BQ91" s="148" t="str">
        <f t="shared" si="62"/>
        <v/>
      </c>
      <c r="BR91" s="148" t="str">
        <f t="shared" si="63"/>
        <v/>
      </c>
      <c r="BS91" s="148" t="str">
        <f t="shared" si="64"/>
        <v/>
      </c>
      <c r="BT91" s="148" t="str">
        <f t="shared" si="44"/>
        <v/>
      </c>
      <c r="BU91" s="148" t="str">
        <f t="shared" si="45"/>
        <v/>
      </c>
      <c r="BV91" s="148" t="str">
        <f t="shared" si="46"/>
        <v/>
      </c>
      <c r="BW91" s="148" t="str">
        <f t="shared" si="47"/>
        <v/>
      </c>
      <c r="BX91" s="148" t="str">
        <f t="shared" si="48"/>
        <v/>
      </c>
      <c r="BY91" s="148" t="str">
        <f t="shared" si="49"/>
        <v/>
      </c>
      <c r="BZ91" s="149" t="str">
        <f>IFERROR(INDEX('Prescriptive Rebate Table'!$B$2:$E$64,MATCH(O91,'Prescriptive Rebate Table'!$C$2:$C$64,0),3),"")</f>
        <v/>
      </c>
      <c r="CA91" s="145" t="str">
        <f>IFERROR(INDEX('Prescriptive Rebate Table'!$B$2:$E$64,MATCH(O91,'Prescriptive Rebate Table'!$C$2:$C$64,0),4),"")</f>
        <v/>
      </c>
      <c r="CB91" s="149" t="str">
        <f t="shared" si="65"/>
        <v/>
      </c>
      <c r="CC91" s="145" t="str">
        <f t="shared" si="66"/>
        <v/>
      </c>
      <c r="CD91" s="149" t="str">
        <f t="shared" si="50"/>
        <v/>
      </c>
      <c r="CE91" s="149" t="str">
        <f t="shared" si="51"/>
        <v/>
      </c>
      <c r="CF91" s="149" t="str">
        <f>IF(BK91&lt;=0,0,IFERROR(IF(OR(ISBLANK(AC91),ISBLANK(CD91))=TRUE,"",IF(CA91="Per Foot",INDEX('Fixture Codes'!$I$8:$I$976,MATCH(AD91,'Fixture Codes'!$B$8:$B$976,0))/12*AF91*BZ91,IF(CA91="Lamp",INDEX('Fixture Codes'!$J$8:$J$976,MATCH(AD91,'Fixture Codes'!$B$8:$B$976,0))*AF91*BZ91,IF(CA91="Fixture",AF91*BZ91,IF(CA91="kWh",BK91*BZ91,0))))),""))</f>
        <v/>
      </c>
      <c r="CG91" s="149" t="str">
        <f t="shared" si="67"/>
        <v/>
      </c>
      <c r="CH91" s="149" t="str">
        <f t="shared" si="68"/>
        <v/>
      </c>
      <c r="CI91" s="152"/>
      <c r="CJ91" s="146"/>
      <c r="CK91" s="241">
        <f>IFERROR(IF(CL91="Yes",'Prescriptive Rebate Table'!$D$69,IF(ISBLANK(AI91),0,IF(AND(AH91=Lookups!$A$62,BK91&gt;0),'Prescriptive Rebate Table'!$D$68,IF(AND(BK91&gt;0,CJ91=AF91),'Prescriptive Rebate Table'!$D$67,IF(AND(BK91&gt;0,CJ91&lt;&gt;AF91),'Prescriptive Rebate Table'!D150,0))))),"")</f>
        <v>0</v>
      </c>
      <c r="CL91" s="240" t="s">
        <v>2712</v>
      </c>
      <c r="CM91" s="152"/>
      <c r="CN91" s="152"/>
      <c r="CO91" s="152"/>
      <c r="CP91" s="146">
        <f t="shared" si="52"/>
        <v>0</v>
      </c>
      <c r="CQ91" s="153">
        <f>IF(D91="Interior",ROUND(($AG91*AF91)/1000*$AM91*(Lookups!$B$54-$AA91)*$AN91*$AO91,3),0)</f>
        <v>0</v>
      </c>
      <c r="CR91" s="153">
        <f>IFERROR(IF(D91="Interior",ROUND(($AG91*$AF91)/1000*(Lookups!$C$54-$AB91)*$AN91*AQ91*AT91,6),0),"")</f>
        <v>0</v>
      </c>
      <c r="CS91" s="165">
        <f t="shared" si="69"/>
        <v>0</v>
      </c>
      <c r="CT91" s="165">
        <f t="shared" si="70"/>
        <v>0</v>
      </c>
      <c r="CV91" s="153"/>
      <c r="CW91" s="153"/>
      <c r="CX91" s="165"/>
      <c r="CY91" s="165"/>
      <c r="DA91" s="153">
        <f>IF(D91="Interior",ROUND(($AG91*AF91*(1-0.15))/1000*$AM91*(Lookups!$B$43+0.097-$AA91)*$AN91*$AO91+((W91*V91)/1000*AN91*AM91*AO91*0.15),3),0)</f>
        <v>0</v>
      </c>
      <c r="DB91" s="153">
        <f>IFERROR(IF(D91="Interior",ROUND(($AG91*$AF91)/1000*(Lookups!$C$43+0.097-$AB91)*$AN91*AQ91*AT91+(($AG91*$AF91)/1000*$AN91*AQ91*AT91*0.15),6),0),"")</f>
        <v>0</v>
      </c>
      <c r="DC91" s="165">
        <f t="shared" si="53"/>
        <v>0</v>
      </c>
      <c r="DD91" s="165">
        <f t="shared" si="54"/>
        <v>0</v>
      </c>
    </row>
    <row r="92" spans="1:108" s="164" customFormat="1">
      <c r="A92" s="150">
        <v>88</v>
      </c>
      <c r="B92" s="153" t="str">
        <f>IFERROR(INDEX(Lookups!$B$2:$B$38,MATCH('Project Info &amp; Summary'!$C$19,Lookups!$A$2:$A$38,0)),"")</f>
        <v/>
      </c>
      <c r="C92" s="153" t="str">
        <f>IFERROR(INDEX(Lookups!$C$2:$C$38,MATCH('Project Info &amp; Summary'!$C$19,Lookups!$A$2:$A$38,0)),"")</f>
        <v/>
      </c>
      <c r="D92" s="163"/>
      <c r="E92" s="160"/>
      <c r="F92" s="158"/>
      <c r="G92" s="158"/>
      <c r="H92" s="158"/>
      <c r="I92" s="158"/>
      <c r="J92" s="154" t="str">
        <f>IFERROR(INDEX(Lookups!$W$21:$W$26,MATCH(I92,Lookups!$V$21:$V$26,0)),"")</f>
        <v/>
      </c>
      <c r="K92" s="158"/>
      <c r="L92" s="162" t="str">
        <f>IFERROR(INDEX(Lookups!$Y$2:$Y$19,MATCH(_xlfn.CONCAT(I92,K92),Lookups!$X$2:$X$19,0)),"")</f>
        <v/>
      </c>
      <c r="M92" s="158"/>
      <c r="N92" s="153" t="str">
        <f>IFERROR(INDEX('Prescriptive Rebate Table'!$M$3:$M$20,MATCH(M92,'Prescriptive Rebate Table'!$L$3:$L$20,0)),"")</f>
        <v/>
      </c>
      <c r="O92" s="158"/>
      <c r="P92" s="154" t="str">
        <f>IFERROR(INDEX('Prescriptive Rebate Table'!$B$2:$H$64, MATCH(O92,'Prescriptive Rebate Table'!$C$2:$C$64,0),7),"")</f>
        <v/>
      </c>
      <c r="Q92" s="155" t="str">
        <f>IFERROR(INDEX('Prescriptive Rebate Table'!$B$2:$I$64, MATCH(O92,'Prescriptive Rebate Table'!$C$2:$C$64,0),8),"")</f>
        <v/>
      </c>
      <c r="R92" s="155" t="str">
        <f>IFERROR(INDEX('Prescriptive Rebate Table'!$B$2:$J$64, MATCH(O92,'Prescriptive Rebate Table'!$C$2:$C$64,0),9),"")</f>
        <v/>
      </c>
      <c r="S92" s="160"/>
      <c r="T92" s="145" t="str">
        <f>IFERROR(INDEX('Fixture Codes'!$M$8:$M$976,MATCH(S92,'Fixture Codes'!$B$8:$B$976,0)),"")</f>
        <v/>
      </c>
      <c r="U92" s="145" t="str">
        <f>IFERROR(INDEX('Fixture Codes'!$B$7:$M$976,MATCH(T92,'Fixture Codes'!$B$7:$B$976,0),5),"")</f>
        <v/>
      </c>
      <c r="V92" s="160"/>
      <c r="W92" s="145" t="str">
        <f>IFERROR(INDEX('Fixture Codes'!$L$8:$L$976,MATCH(T92,'Fixture Codes'!$B$8:$B$976,0)),"")</f>
        <v/>
      </c>
      <c r="X92" s="158"/>
      <c r="Y92" s="159"/>
      <c r="Z92" s="155" t="str">
        <f>IFERROR(INDEX(Lookups!B$68:B$87,MATCH($X92,Lookups!$A$68:$A$87,0)),"")</f>
        <v/>
      </c>
      <c r="AA92" s="150" t="str">
        <f>IFERROR(INDEX(Lookups!B$42:B$62,MATCH($X92,Lookups!$A$42:$A$62,0)),"")</f>
        <v/>
      </c>
      <c r="AB92" s="150" t="str">
        <f>IFERROR(INDEX(Lookups!C$42:C$62,MATCH($X92,Lookups!$A$42:$A$62,0)),"")</f>
        <v/>
      </c>
      <c r="AC92" s="160"/>
      <c r="AD92" s="160"/>
      <c r="AE92" s="150" t="str">
        <f>IFERROR(INDEX('Fixture Codes'!$B$7:$M$976,MATCH(AD92,'Fixture Codes'!$B$7:$B$976,0),5),"")</f>
        <v/>
      </c>
      <c r="AF92" s="160"/>
      <c r="AG92" s="145" t="str">
        <f>IFERROR(INDEX('Fixture Codes'!$L$8:$L$976,MATCH(AD92,'Fixture Codes'!$B$8:$B$976,0)),"")</f>
        <v/>
      </c>
      <c r="AH92" s="158"/>
      <c r="AI92" s="160"/>
      <c r="AJ92" s="150" t="str">
        <f>IFERROR(INDEX(Lookups!B$68:B$87,MATCH($AH92,Lookups!$A$68:$A$87,0)),"")</f>
        <v/>
      </c>
      <c r="AK92" s="150" t="str">
        <f>IFERROR(INDEX(Lookups!B$42:B$62,MATCH($AH92,Lookups!$A$42:$A$62,0)),"")</f>
        <v/>
      </c>
      <c r="AL92" s="150" t="str">
        <f>IFERROR(INDEX(Lookups!C$42:C$62,MATCH($AH92,Lookups!$A$42:$A$62,0)),"")</f>
        <v/>
      </c>
      <c r="AM92" s="150" t="str">
        <f>IFERROR(IF(M92="Exit Signs",8760,IF(INDEX('Fixture Codes'!$C$8:$C$976,MATCH(AD92,'Fixture Codes'!$B$8:$B$976,0))="Exit Sign",8760,INDEX(Lookups!$I$2:$I$428,MATCH(_xlfn.CONCAT(B92,H92),Lookups!$H$2:$H$428,0)))),"")</f>
        <v/>
      </c>
      <c r="AN92" s="153">
        <v>1</v>
      </c>
      <c r="AO92" s="150" t="str">
        <f>IF($D92="Interior",INDEX(Lookups!Q$2:Q$86,MATCH(_xlfn.CONCAT($C92,$L92),Lookups!$P$2:$P$86,0)),IF($D92="Exterior",1,""))</f>
        <v/>
      </c>
      <c r="AP92" s="150">
        <f t="shared" si="55"/>
        <v>1</v>
      </c>
      <c r="AQ92" s="150" t="str">
        <f>IF($D92="Interior",INDEX(Lookups!R$2:R$86,MATCH(_xlfn.CONCAT($C92,$L92),Lookups!$P$2:$P$86,0)),IF($D92="Exterior",1,""))</f>
        <v/>
      </c>
      <c r="AR92" s="150" t="str">
        <f>IF($D92="Interior",INDEX(Lookups!S$2:S$86,MATCH(_xlfn.CONCAT($C92,$L92),Lookups!$P$2:$P$86,0)),IF($D92="Exterior",1,""))</f>
        <v/>
      </c>
      <c r="AS92" s="150" t="str">
        <f>IF($D92="Interior",INDEX(Lookups!T$2:T$86,MATCH(_xlfn.CONCAT($C92,$L92),Lookups!$P$2:$P$86,0)),IF($D92="Exterior",1,""))</f>
        <v/>
      </c>
      <c r="AT92" s="150" t="str">
        <f>IFERROR(IF(M92="Exit Signs",1,IF(INDEX('Fixture Codes'!$C$8:$C$976,MATCH($AD92,'Fixture Codes'!$B$8:$B$976,0))="Exit Sign",1,INDEX(Lookups!J$2:J$428,MATCH(_xlfn.CONCAT($B92,$H92),Lookups!$H$2:$H$428,0)))),"")</f>
        <v/>
      </c>
      <c r="AU92" s="150" t="str">
        <f>IFERROR(IF(M92="Exit Signs",1,IF(INDEX('Fixture Codes'!$C$8:$C$976,MATCH($AD92,'Fixture Codes'!$B$8:$B$976,0))="Exit Sign",1,INDEX(Lookups!K$2:K$428,MATCH(_xlfn.CONCAT($B92,$H92),Lookups!$H$2:$H$428,0)))),"")</f>
        <v/>
      </c>
      <c r="AV92" s="150" t="str">
        <f>IFERROR(IF(M92="Exit Signs",1,IF(INDEX('Fixture Codes'!$C$8:$C$976,MATCH($AD92,'Fixture Codes'!$B$8:$B$976,0))="Exit Sign",1,INDEX(Lookups!L$2:L$428,MATCH(_xlfn.CONCAT($B92,$H92),Lookups!$H$2:$H$428,0)))),"")</f>
        <v/>
      </c>
      <c r="AW92" s="150" t="str">
        <f>IF(ISBLANK(K92),"",IF(K92="Gas",INDEX(Lookups!$AG$2:$AG$63,MATCH(O92,Lookups!$AD$2:$AD$63,0),0),0))</f>
        <v/>
      </c>
      <c r="AX92" s="150" t="str">
        <f>IF(ISBLANK(K92),"",IF(K92="Gas",INDEX(Lookups!$AF$2:$AF$63,MATCH(O92,Lookups!$AD$2:$AD$63,0),0),0))</f>
        <v/>
      </c>
      <c r="AY92" s="150" t="str">
        <f>IF(ISBLANK(K92),"",IF(K92="Gas",INDEX(Lookups!$AH$2:$AH$63,MATCH(O92,Lookups!$AD$2:$AD$63,0),0),0))</f>
        <v/>
      </c>
      <c r="AZ92" s="150" t="str">
        <f>IF(ISBLANK(K92),"",IF(K92="Gas",INDEX(Lookups!$AI$2:$AI$63,MATCH(O92,Lookups!$AD$2:$AD$63,0),0),0))</f>
        <v/>
      </c>
      <c r="BA92" s="150" t="str">
        <f t="shared" si="40"/>
        <v/>
      </c>
      <c r="BB92" s="156" t="str">
        <f>IF(ISBLANK(AH92),"",IF(AH92="None",0,IF(K92="Gas",INDEX(Lookups!$AF$51:$AF$69,MATCH(AH92,Lookups!$AD$51:$AD$69,0),0),0)))</f>
        <v/>
      </c>
      <c r="BC92" s="156" t="str">
        <f>IF(ISBLANK(AH92),"",IF(AH92="None",0,IF(K92="Gas",INDEX(Lookups!$AH$51:$AH$69,MATCH(AH92,Lookups!$AD$51:$AD$69,0),0),0)))</f>
        <v/>
      </c>
      <c r="BD92" s="156" t="str">
        <f>IF(ISBLANK(AH92),"",IF(AH92="None",0,IF(K92="Gas",INDEX(Lookups!$AI$51:$AI$69,MATCH(AH92,Lookups!$AD$51:$AD$69,0),0),0)))</f>
        <v/>
      </c>
      <c r="BE92" s="157"/>
      <c r="BF92" s="157"/>
      <c r="BG92" s="147" t="str">
        <f t="shared" si="56"/>
        <v/>
      </c>
      <c r="BH92" s="147" t="str">
        <f t="shared" si="57"/>
        <v/>
      </c>
      <c r="BI92" s="147" t="str">
        <f t="shared" si="41"/>
        <v/>
      </c>
      <c r="BJ92" s="147" t="str">
        <f t="shared" si="42"/>
        <v/>
      </c>
      <c r="BK92" s="148" t="str">
        <f t="shared" si="58"/>
        <v/>
      </c>
      <c r="BL92" s="147" t="str">
        <f t="shared" si="43"/>
        <v/>
      </c>
      <c r="BM92" s="148" t="str">
        <f t="shared" si="59"/>
        <v/>
      </c>
      <c r="BN92" s="147" t="str">
        <f t="shared" si="60"/>
        <v/>
      </c>
      <c r="BO92" s="147" t="str">
        <f t="shared" si="60"/>
        <v/>
      </c>
      <c r="BP92" s="147" t="str">
        <f t="shared" si="61"/>
        <v/>
      </c>
      <c r="BQ92" s="148" t="str">
        <f t="shared" si="62"/>
        <v/>
      </c>
      <c r="BR92" s="148" t="str">
        <f t="shared" si="63"/>
        <v/>
      </c>
      <c r="BS92" s="148" t="str">
        <f t="shared" si="64"/>
        <v/>
      </c>
      <c r="BT92" s="148" t="str">
        <f t="shared" si="44"/>
        <v/>
      </c>
      <c r="BU92" s="148" t="str">
        <f t="shared" si="45"/>
        <v/>
      </c>
      <c r="BV92" s="148" t="str">
        <f t="shared" si="46"/>
        <v/>
      </c>
      <c r="BW92" s="148" t="str">
        <f t="shared" si="47"/>
        <v/>
      </c>
      <c r="BX92" s="148" t="str">
        <f t="shared" si="48"/>
        <v/>
      </c>
      <c r="BY92" s="148" t="str">
        <f t="shared" si="49"/>
        <v/>
      </c>
      <c r="BZ92" s="149" t="str">
        <f>IFERROR(INDEX('Prescriptive Rebate Table'!$B$2:$E$64,MATCH(O92,'Prescriptive Rebate Table'!$C$2:$C$64,0),3),"")</f>
        <v/>
      </c>
      <c r="CA92" s="145" t="str">
        <f>IFERROR(INDEX('Prescriptive Rebate Table'!$B$2:$E$64,MATCH(O92,'Prescriptive Rebate Table'!$C$2:$C$64,0),4),"")</f>
        <v/>
      </c>
      <c r="CB92" s="149" t="str">
        <f t="shared" si="65"/>
        <v/>
      </c>
      <c r="CC92" s="145" t="str">
        <f t="shared" si="66"/>
        <v/>
      </c>
      <c r="CD92" s="149" t="str">
        <f t="shared" si="50"/>
        <v/>
      </c>
      <c r="CE92" s="149" t="str">
        <f t="shared" si="51"/>
        <v/>
      </c>
      <c r="CF92" s="149" t="str">
        <f>IF(BK92&lt;=0,0,IFERROR(IF(OR(ISBLANK(AC92),ISBLANK(CD92))=TRUE,"",IF(CA92="Per Foot",INDEX('Fixture Codes'!$I$8:$I$976,MATCH(AD92,'Fixture Codes'!$B$8:$B$976,0))/12*AF92*BZ92,IF(CA92="Lamp",INDEX('Fixture Codes'!$J$8:$J$976,MATCH(AD92,'Fixture Codes'!$B$8:$B$976,0))*AF92*BZ92,IF(CA92="Fixture",AF92*BZ92,IF(CA92="kWh",BK92*BZ92,0))))),""))</f>
        <v/>
      </c>
      <c r="CG92" s="149" t="str">
        <f t="shared" si="67"/>
        <v/>
      </c>
      <c r="CH92" s="149" t="str">
        <f t="shared" si="68"/>
        <v/>
      </c>
      <c r="CI92" s="152"/>
      <c r="CJ92" s="146"/>
      <c r="CK92" s="241">
        <f>IFERROR(IF(CL92="Yes",'Prescriptive Rebate Table'!$D$69,IF(ISBLANK(AI92),0,IF(AND(AH92=Lookups!$A$62,BK92&gt;0),'Prescriptive Rebate Table'!$D$68,IF(AND(BK92&gt;0,CJ92=AF92),'Prescriptive Rebate Table'!$D$67,IF(AND(BK92&gt;0,CJ92&lt;&gt;AF92),'Prescriptive Rebate Table'!D151,0))))),"")</f>
        <v>0</v>
      </c>
      <c r="CL92" s="240" t="s">
        <v>2712</v>
      </c>
      <c r="CM92" s="152"/>
      <c r="CN92" s="152"/>
      <c r="CO92" s="152"/>
      <c r="CP92" s="146">
        <f t="shared" si="52"/>
        <v>0</v>
      </c>
      <c r="CQ92" s="153">
        <f>IF(D92="Interior",ROUND(($AG92*AF92)/1000*$AM92*(Lookups!$B$54-$AA92)*$AN92*$AO92,3),0)</f>
        <v>0</v>
      </c>
      <c r="CR92" s="153">
        <f>IFERROR(IF(D92="Interior",ROUND(($AG92*$AF92)/1000*(Lookups!$C$54-$AB92)*$AN92*AQ92*AT92,6),0),"")</f>
        <v>0</v>
      </c>
      <c r="CS92" s="165">
        <f t="shared" si="69"/>
        <v>0</v>
      </c>
      <c r="CT92" s="165">
        <f t="shared" si="70"/>
        <v>0</v>
      </c>
      <c r="CV92" s="153"/>
      <c r="CW92" s="153"/>
      <c r="CX92" s="165"/>
      <c r="CY92" s="165"/>
      <c r="DA92" s="153">
        <f>IF(D92="Interior",ROUND(($AG92*AF92*(1-0.15))/1000*$AM92*(Lookups!$B$43+0.097-$AA92)*$AN92*$AO92+((W92*V92)/1000*AN92*AM92*AO92*0.15),3),0)</f>
        <v>0</v>
      </c>
      <c r="DB92" s="153">
        <f>IFERROR(IF(D92="Interior",ROUND(($AG92*$AF92)/1000*(Lookups!$C$43+0.097-$AB92)*$AN92*AQ92*AT92+(($AG92*$AF92)/1000*$AN92*AQ92*AT92*0.15),6),0),"")</f>
        <v>0</v>
      </c>
      <c r="DC92" s="165">
        <f t="shared" si="53"/>
        <v>0</v>
      </c>
      <c r="DD92" s="165">
        <f t="shared" si="54"/>
        <v>0</v>
      </c>
    </row>
    <row r="93" spans="1:108" s="164" customFormat="1">
      <c r="A93" s="150">
        <v>89</v>
      </c>
      <c r="B93" s="153" t="str">
        <f>IFERROR(INDEX(Lookups!$B$2:$B$38,MATCH('Project Info &amp; Summary'!$C$19,Lookups!$A$2:$A$38,0)),"")</f>
        <v/>
      </c>
      <c r="C93" s="153" t="str">
        <f>IFERROR(INDEX(Lookups!$C$2:$C$38,MATCH('Project Info &amp; Summary'!$C$19,Lookups!$A$2:$A$38,0)),"")</f>
        <v/>
      </c>
      <c r="D93" s="163"/>
      <c r="E93" s="160"/>
      <c r="F93" s="158"/>
      <c r="G93" s="158"/>
      <c r="H93" s="158"/>
      <c r="I93" s="158"/>
      <c r="J93" s="154" t="str">
        <f>IFERROR(INDEX(Lookups!$W$21:$W$26,MATCH(I93,Lookups!$V$21:$V$26,0)),"")</f>
        <v/>
      </c>
      <c r="K93" s="158"/>
      <c r="L93" s="162" t="str">
        <f>IFERROR(INDEX(Lookups!$Y$2:$Y$19,MATCH(_xlfn.CONCAT(I93,K93),Lookups!$X$2:$X$19,0)),"")</f>
        <v/>
      </c>
      <c r="M93" s="158"/>
      <c r="N93" s="153" t="str">
        <f>IFERROR(INDEX('Prescriptive Rebate Table'!$M$3:$M$20,MATCH(M93,'Prescriptive Rebate Table'!$L$3:$L$20,0)),"")</f>
        <v/>
      </c>
      <c r="O93" s="158"/>
      <c r="P93" s="154" t="str">
        <f>IFERROR(INDEX('Prescriptive Rebate Table'!$B$2:$H$64, MATCH(O93,'Prescriptive Rebate Table'!$C$2:$C$64,0),7),"")</f>
        <v/>
      </c>
      <c r="Q93" s="155" t="str">
        <f>IFERROR(INDEX('Prescriptive Rebate Table'!$B$2:$I$64, MATCH(O93,'Prescriptive Rebate Table'!$C$2:$C$64,0),8),"")</f>
        <v/>
      </c>
      <c r="R93" s="155" t="str">
        <f>IFERROR(INDEX('Prescriptive Rebate Table'!$B$2:$J$64, MATCH(O93,'Prescriptive Rebate Table'!$C$2:$C$64,0),9),"")</f>
        <v/>
      </c>
      <c r="S93" s="160"/>
      <c r="T93" s="145" t="str">
        <f>IFERROR(INDEX('Fixture Codes'!$M$8:$M$976,MATCH(S93,'Fixture Codes'!$B$8:$B$976,0)),"")</f>
        <v/>
      </c>
      <c r="U93" s="145" t="str">
        <f>IFERROR(INDEX('Fixture Codes'!$B$7:$M$976,MATCH(T93,'Fixture Codes'!$B$7:$B$976,0),5),"")</f>
        <v/>
      </c>
      <c r="V93" s="160"/>
      <c r="W93" s="145" t="str">
        <f>IFERROR(INDEX('Fixture Codes'!$L$8:$L$976,MATCH(T93,'Fixture Codes'!$B$8:$B$976,0)),"")</f>
        <v/>
      </c>
      <c r="X93" s="158"/>
      <c r="Y93" s="159"/>
      <c r="Z93" s="155" t="str">
        <f>IFERROR(INDEX(Lookups!B$68:B$87,MATCH($X93,Lookups!$A$68:$A$87,0)),"")</f>
        <v/>
      </c>
      <c r="AA93" s="150" t="str">
        <f>IFERROR(INDEX(Lookups!B$42:B$62,MATCH($X93,Lookups!$A$42:$A$62,0)),"")</f>
        <v/>
      </c>
      <c r="AB93" s="150" t="str">
        <f>IFERROR(INDEX(Lookups!C$42:C$62,MATCH($X93,Lookups!$A$42:$A$62,0)),"")</f>
        <v/>
      </c>
      <c r="AC93" s="160"/>
      <c r="AD93" s="160"/>
      <c r="AE93" s="150" t="str">
        <f>IFERROR(INDEX('Fixture Codes'!$B$7:$M$976,MATCH(AD93,'Fixture Codes'!$B$7:$B$976,0),5),"")</f>
        <v/>
      </c>
      <c r="AF93" s="160"/>
      <c r="AG93" s="145" t="str">
        <f>IFERROR(INDEX('Fixture Codes'!$L$8:$L$976,MATCH(AD93,'Fixture Codes'!$B$8:$B$976,0)),"")</f>
        <v/>
      </c>
      <c r="AH93" s="158"/>
      <c r="AI93" s="160"/>
      <c r="AJ93" s="150" t="str">
        <f>IFERROR(INDEX(Lookups!B$68:B$87,MATCH($AH93,Lookups!$A$68:$A$87,0)),"")</f>
        <v/>
      </c>
      <c r="AK93" s="150" t="str">
        <f>IFERROR(INDEX(Lookups!B$42:B$62,MATCH($AH93,Lookups!$A$42:$A$62,0)),"")</f>
        <v/>
      </c>
      <c r="AL93" s="150" t="str">
        <f>IFERROR(INDEX(Lookups!C$42:C$62,MATCH($AH93,Lookups!$A$42:$A$62,0)),"")</f>
        <v/>
      </c>
      <c r="AM93" s="150" t="str">
        <f>IFERROR(IF(M93="Exit Signs",8760,IF(INDEX('Fixture Codes'!$C$8:$C$976,MATCH(AD93,'Fixture Codes'!$B$8:$B$976,0))="Exit Sign",8760,INDEX(Lookups!$I$2:$I$428,MATCH(_xlfn.CONCAT(B93,H93),Lookups!$H$2:$H$428,0)))),"")</f>
        <v/>
      </c>
      <c r="AN93" s="153">
        <v>1</v>
      </c>
      <c r="AO93" s="150" t="str">
        <f>IF($D93="Interior",INDEX(Lookups!Q$2:Q$86,MATCH(_xlfn.CONCAT($C93,$L93),Lookups!$P$2:$P$86,0)),IF($D93="Exterior",1,""))</f>
        <v/>
      </c>
      <c r="AP93" s="150">
        <f t="shared" si="55"/>
        <v>1</v>
      </c>
      <c r="AQ93" s="150" t="str">
        <f>IF($D93="Interior",INDEX(Lookups!R$2:R$86,MATCH(_xlfn.CONCAT($C93,$L93),Lookups!$P$2:$P$86,0)),IF($D93="Exterior",1,""))</f>
        <v/>
      </c>
      <c r="AR93" s="150" t="str">
        <f>IF($D93="Interior",INDEX(Lookups!S$2:S$86,MATCH(_xlfn.CONCAT($C93,$L93),Lookups!$P$2:$P$86,0)),IF($D93="Exterior",1,""))</f>
        <v/>
      </c>
      <c r="AS93" s="150" t="str">
        <f>IF($D93="Interior",INDEX(Lookups!T$2:T$86,MATCH(_xlfn.CONCAT($C93,$L93),Lookups!$P$2:$P$86,0)),IF($D93="Exterior",1,""))</f>
        <v/>
      </c>
      <c r="AT93" s="150" t="str">
        <f>IFERROR(IF(M93="Exit Signs",1,IF(INDEX('Fixture Codes'!$C$8:$C$976,MATCH($AD93,'Fixture Codes'!$B$8:$B$976,0))="Exit Sign",1,INDEX(Lookups!J$2:J$428,MATCH(_xlfn.CONCAT($B93,$H93),Lookups!$H$2:$H$428,0)))),"")</f>
        <v/>
      </c>
      <c r="AU93" s="150" t="str">
        <f>IFERROR(IF(M93="Exit Signs",1,IF(INDEX('Fixture Codes'!$C$8:$C$976,MATCH($AD93,'Fixture Codes'!$B$8:$B$976,0))="Exit Sign",1,INDEX(Lookups!K$2:K$428,MATCH(_xlfn.CONCAT($B93,$H93),Lookups!$H$2:$H$428,0)))),"")</f>
        <v/>
      </c>
      <c r="AV93" s="150" t="str">
        <f>IFERROR(IF(M93="Exit Signs",1,IF(INDEX('Fixture Codes'!$C$8:$C$976,MATCH($AD93,'Fixture Codes'!$B$8:$B$976,0))="Exit Sign",1,INDEX(Lookups!L$2:L$428,MATCH(_xlfn.CONCAT($B93,$H93),Lookups!$H$2:$H$428,0)))),"")</f>
        <v/>
      </c>
      <c r="AW93" s="150" t="str">
        <f>IF(ISBLANK(K93),"",IF(K93="Gas",INDEX(Lookups!$AG$2:$AG$63,MATCH(O93,Lookups!$AD$2:$AD$63,0),0),0))</f>
        <v/>
      </c>
      <c r="AX93" s="150" t="str">
        <f>IF(ISBLANK(K93),"",IF(K93="Gas",INDEX(Lookups!$AF$2:$AF$63,MATCH(O93,Lookups!$AD$2:$AD$63,0),0),0))</f>
        <v/>
      </c>
      <c r="AY93" s="150" t="str">
        <f>IF(ISBLANK(K93),"",IF(K93="Gas",INDEX(Lookups!$AH$2:$AH$63,MATCH(O93,Lookups!$AD$2:$AD$63,0),0),0))</f>
        <v/>
      </c>
      <c r="AZ93" s="150" t="str">
        <f>IF(ISBLANK(K93),"",IF(K93="Gas",INDEX(Lookups!$AI$2:$AI$63,MATCH(O93,Lookups!$AD$2:$AD$63,0),0),0))</f>
        <v/>
      </c>
      <c r="BA93" s="150" t="str">
        <f t="shared" si="40"/>
        <v/>
      </c>
      <c r="BB93" s="156" t="str">
        <f>IF(ISBLANK(AH93),"",IF(AH93="None",0,IF(K93="Gas",INDEX(Lookups!$AF$51:$AF$69,MATCH(AH93,Lookups!$AD$51:$AD$69,0),0),0)))</f>
        <v/>
      </c>
      <c r="BC93" s="156" t="str">
        <f>IF(ISBLANK(AH93),"",IF(AH93="None",0,IF(K93="Gas",INDEX(Lookups!$AH$51:$AH$69,MATCH(AH93,Lookups!$AD$51:$AD$69,0),0),0)))</f>
        <v/>
      </c>
      <c r="BD93" s="156" t="str">
        <f>IF(ISBLANK(AH93),"",IF(AH93="None",0,IF(K93="Gas",INDEX(Lookups!$AI$51:$AI$69,MATCH(AH93,Lookups!$AD$51:$AD$69,0),0),0)))</f>
        <v/>
      </c>
      <c r="BE93" s="157"/>
      <c r="BF93" s="157"/>
      <c r="BG93" s="147" t="str">
        <f t="shared" si="56"/>
        <v/>
      </c>
      <c r="BH93" s="147" t="str">
        <f t="shared" si="57"/>
        <v/>
      </c>
      <c r="BI93" s="147" t="str">
        <f t="shared" si="41"/>
        <v/>
      </c>
      <c r="BJ93" s="147" t="str">
        <f t="shared" si="42"/>
        <v/>
      </c>
      <c r="BK93" s="148" t="str">
        <f t="shared" si="58"/>
        <v/>
      </c>
      <c r="BL93" s="147" t="str">
        <f t="shared" si="43"/>
        <v/>
      </c>
      <c r="BM93" s="148" t="str">
        <f t="shared" si="59"/>
        <v/>
      </c>
      <c r="BN93" s="147" t="str">
        <f t="shared" si="60"/>
        <v/>
      </c>
      <c r="BO93" s="147" t="str">
        <f t="shared" si="60"/>
        <v/>
      </c>
      <c r="BP93" s="147" t="str">
        <f t="shared" si="61"/>
        <v/>
      </c>
      <c r="BQ93" s="148" t="str">
        <f t="shared" si="62"/>
        <v/>
      </c>
      <c r="BR93" s="148" t="str">
        <f t="shared" si="63"/>
        <v/>
      </c>
      <c r="BS93" s="148" t="str">
        <f t="shared" si="64"/>
        <v/>
      </c>
      <c r="BT93" s="148" t="str">
        <f t="shared" si="44"/>
        <v/>
      </c>
      <c r="BU93" s="148" t="str">
        <f t="shared" si="45"/>
        <v/>
      </c>
      <c r="BV93" s="148" t="str">
        <f t="shared" si="46"/>
        <v/>
      </c>
      <c r="BW93" s="148" t="str">
        <f t="shared" si="47"/>
        <v/>
      </c>
      <c r="BX93" s="148" t="str">
        <f t="shared" si="48"/>
        <v/>
      </c>
      <c r="BY93" s="148" t="str">
        <f t="shared" si="49"/>
        <v/>
      </c>
      <c r="BZ93" s="149" t="str">
        <f>IFERROR(INDEX('Prescriptive Rebate Table'!$B$2:$E$64,MATCH(O93,'Prescriptive Rebate Table'!$C$2:$C$64,0),3),"")</f>
        <v/>
      </c>
      <c r="CA93" s="145" t="str">
        <f>IFERROR(INDEX('Prescriptive Rebate Table'!$B$2:$E$64,MATCH(O93,'Prescriptive Rebate Table'!$C$2:$C$64,0),4),"")</f>
        <v/>
      </c>
      <c r="CB93" s="149" t="str">
        <f t="shared" si="65"/>
        <v/>
      </c>
      <c r="CC93" s="145" t="str">
        <f t="shared" si="66"/>
        <v/>
      </c>
      <c r="CD93" s="149" t="str">
        <f t="shared" si="50"/>
        <v/>
      </c>
      <c r="CE93" s="149" t="str">
        <f t="shared" si="51"/>
        <v/>
      </c>
      <c r="CF93" s="149" t="str">
        <f>IF(BK93&lt;=0,0,IFERROR(IF(OR(ISBLANK(AC93),ISBLANK(CD93))=TRUE,"",IF(CA93="Per Foot",INDEX('Fixture Codes'!$I$8:$I$976,MATCH(AD93,'Fixture Codes'!$B$8:$B$976,0))/12*AF93*BZ93,IF(CA93="Lamp",INDEX('Fixture Codes'!$J$8:$J$976,MATCH(AD93,'Fixture Codes'!$B$8:$B$976,0))*AF93*BZ93,IF(CA93="Fixture",AF93*BZ93,IF(CA93="kWh",BK93*BZ93,0))))),""))</f>
        <v/>
      </c>
      <c r="CG93" s="149" t="str">
        <f t="shared" si="67"/>
        <v/>
      </c>
      <c r="CH93" s="149" t="str">
        <f t="shared" si="68"/>
        <v/>
      </c>
      <c r="CI93" s="152"/>
      <c r="CJ93" s="146"/>
      <c r="CK93" s="241">
        <f>IFERROR(IF(CL93="Yes",'Prescriptive Rebate Table'!$D$69,IF(ISBLANK(AI93),0,IF(AND(AH93=Lookups!$A$62,BK93&gt;0),'Prescriptive Rebate Table'!$D$68,IF(AND(BK93&gt;0,CJ93=AF93),'Prescriptive Rebate Table'!$D$67,IF(AND(BK93&gt;0,CJ93&lt;&gt;AF93),'Prescriptive Rebate Table'!D152,0))))),"")</f>
        <v>0</v>
      </c>
      <c r="CL93" s="240" t="s">
        <v>2712</v>
      </c>
      <c r="CM93" s="152"/>
      <c r="CN93" s="152"/>
      <c r="CO93" s="152"/>
      <c r="CP93" s="146">
        <f t="shared" si="52"/>
        <v>0</v>
      </c>
      <c r="CQ93" s="153">
        <f>IF(D93="Interior",ROUND(($AG93*AF93)/1000*$AM93*(Lookups!$B$54-$AA93)*$AN93*$AO93,3),0)</f>
        <v>0</v>
      </c>
      <c r="CR93" s="153">
        <f>IFERROR(IF(D93="Interior",ROUND(($AG93*$AF93)/1000*(Lookups!$C$54-$AB93)*$AN93*AQ93*AT93,6),0),"")</f>
        <v>0</v>
      </c>
      <c r="CS93" s="165">
        <f t="shared" si="69"/>
        <v>0</v>
      </c>
      <c r="CT93" s="165">
        <f t="shared" si="70"/>
        <v>0</v>
      </c>
      <c r="CV93" s="153"/>
      <c r="CW93" s="153"/>
      <c r="CX93" s="165"/>
      <c r="CY93" s="165"/>
      <c r="DA93" s="153">
        <f>IF(D93="Interior",ROUND(($AG93*AF93*(1-0.15))/1000*$AM93*(Lookups!$B$43+0.097-$AA93)*$AN93*$AO93+((W93*V93)/1000*AN93*AM93*AO93*0.15),3),0)</f>
        <v>0</v>
      </c>
      <c r="DB93" s="153">
        <f>IFERROR(IF(D93="Interior",ROUND(($AG93*$AF93)/1000*(Lookups!$C$43+0.097-$AB93)*$AN93*AQ93*AT93+(($AG93*$AF93)/1000*$AN93*AQ93*AT93*0.15),6),0),"")</f>
        <v>0</v>
      </c>
      <c r="DC93" s="165">
        <f t="shared" si="53"/>
        <v>0</v>
      </c>
      <c r="DD93" s="165">
        <f t="shared" si="54"/>
        <v>0</v>
      </c>
    </row>
    <row r="94" spans="1:108" s="164" customFormat="1">
      <c r="A94" s="150">
        <v>90</v>
      </c>
      <c r="B94" s="153" t="str">
        <f>IFERROR(INDEX(Lookups!$B$2:$B$38,MATCH('Project Info &amp; Summary'!$C$19,Lookups!$A$2:$A$38,0)),"")</f>
        <v/>
      </c>
      <c r="C94" s="153" t="str">
        <f>IFERROR(INDEX(Lookups!$C$2:$C$38,MATCH('Project Info &amp; Summary'!$C$19,Lookups!$A$2:$A$38,0)),"")</f>
        <v/>
      </c>
      <c r="D94" s="163"/>
      <c r="E94" s="160"/>
      <c r="F94" s="158"/>
      <c r="G94" s="158"/>
      <c r="H94" s="158"/>
      <c r="I94" s="158"/>
      <c r="J94" s="154" t="str">
        <f>IFERROR(INDEX(Lookups!$W$21:$W$26,MATCH(I94,Lookups!$V$21:$V$26,0)),"")</f>
        <v/>
      </c>
      <c r="K94" s="158"/>
      <c r="L94" s="162" t="str">
        <f>IFERROR(INDEX(Lookups!$Y$2:$Y$19,MATCH(_xlfn.CONCAT(I94,K94),Lookups!$X$2:$X$19,0)),"")</f>
        <v/>
      </c>
      <c r="M94" s="158"/>
      <c r="N94" s="153" t="str">
        <f>IFERROR(INDEX('Prescriptive Rebate Table'!$M$3:$M$20,MATCH(M94,'Prescriptive Rebate Table'!$L$3:$L$20,0)),"")</f>
        <v/>
      </c>
      <c r="O94" s="158"/>
      <c r="P94" s="154" t="str">
        <f>IFERROR(INDEX('Prescriptive Rebate Table'!$B$2:$H$64, MATCH(O94,'Prescriptive Rebate Table'!$C$2:$C$64,0),7),"")</f>
        <v/>
      </c>
      <c r="Q94" s="155" t="str">
        <f>IFERROR(INDEX('Prescriptive Rebate Table'!$B$2:$I$64, MATCH(O94,'Prescriptive Rebate Table'!$C$2:$C$64,0),8),"")</f>
        <v/>
      </c>
      <c r="R94" s="155" t="str">
        <f>IFERROR(INDEX('Prescriptive Rebate Table'!$B$2:$J$64, MATCH(O94,'Prescriptive Rebate Table'!$C$2:$C$64,0),9),"")</f>
        <v/>
      </c>
      <c r="S94" s="160"/>
      <c r="T94" s="145" t="str">
        <f>IFERROR(INDEX('Fixture Codes'!$M$8:$M$976,MATCH(S94,'Fixture Codes'!$B$8:$B$976,0)),"")</f>
        <v/>
      </c>
      <c r="U94" s="145" t="str">
        <f>IFERROR(INDEX('Fixture Codes'!$B$7:$M$976,MATCH(T94,'Fixture Codes'!$B$7:$B$976,0),5),"")</f>
        <v/>
      </c>
      <c r="V94" s="160"/>
      <c r="W94" s="145" t="str">
        <f>IFERROR(INDEX('Fixture Codes'!$L$8:$L$976,MATCH(T94,'Fixture Codes'!$B$8:$B$976,0)),"")</f>
        <v/>
      </c>
      <c r="X94" s="158"/>
      <c r="Y94" s="159"/>
      <c r="Z94" s="155" t="str">
        <f>IFERROR(INDEX(Lookups!B$68:B$87,MATCH($X94,Lookups!$A$68:$A$87,0)),"")</f>
        <v/>
      </c>
      <c r="AA94" s="150" t="str">
        <f>IFERROR(INDEX(Lookups!B$42:B$62,MATCH($X94,Lookups!$A$42:$A$62,0)),"")</f>
        <v/>
      </c>
      <c r="AB94" s="150" t="str">
        <f>IFERROR(INDEX(Lookups!C$42:C$62,MATCH($X94,Lookups!$A$42:$A$62,0)),"")</f>
        <v/>
      </c>
      <c r="AC94" s="160"/>
      <c r="AD94" s="160"/>
      <c r="AE94" s="150" t="str">
        <f>IFERROR(INDEX('Fixture Codes'!$B$7:$M$976,MATCH(AD94,'Fixture Codes'!$B$7:$B$976,0),5),"")</f>
        <v/>
      </c>
      <c r="AF94" s="160"/>
      <c r="AG94" s="145" t="str">
        <f>IFERROR(INDEX('Fixture Codes'!$L$8:$L$976,MATCH(AD94,'Fixture Codes'!$B$8:$B$976,0)),"")</f>
        <v/>
      </c>
      <c r="AH94" s="158"/>
      <c r="AI94" s="160"/>
      <c r="AJ94" s="150" t="str">
        <f>IFERROR(INDEX(Lookups!B$68:B$87,MATCH($AH94,Lookups!$A$68:$A$87,0)),"")</f>
        <v/>
      </c>
      <c r="AK94" s="150" t="str">
        <f>IFERROR(INDEX(Lookups!B$42:B$62,MATCH($AH94,Lookups!$A$42:$A$62,0)),"")</f>
        <v/>
      </c>
      <c r="AL94" s="150" t="str">
        <f>IFERROR(INDEX(Lookups!C$42:C$62,MATCH($AH94,Lookups!$A$42:$A$62,0)),"")</f>
        <v/>
      </c>
      <c r="AM94" s="150" t="str">
        <f>IFERROR(IF(M94="Exit Signs",8760,IF(INDEX('Fixture Codes'!$C$8:$C$976,MATCH(AD94,'Fixture Codes'!$B$8:$B$976,0))="Exit Sign",8760,INDEX(Lookups!$I$2:$I$428,MATCH(_xlfn.CONCAT(B94,H94),Lookups!$H$2:$H$428,0)))),"")</f>
        <v/>
      </c>
      <c r="AN94" s="153">
        <v>1</v>
      </c>
      <c r="AO94" s="150" t="str">
        <f>IF($D94="Interior",INDEX(Lookups!Q$2:Q$86,MATCH(_xlfn.CONCAT($C94,$L94),Lookups!$P$2:$P$86,0)),IF($D94="Exterior",1,""))</f>
        <v/>
      </c>
      <c r="AP94" s="150">
        <f t="shared" si="55"/>
        <v>1</v>
      </c>
      <c r="AQ94" s="150" t="str">
        <f>IF($D94="Interior",INDEX(Lookups!R$2:R$86,MATCH(_xlfn.CONCAT($C94,$L94),Lookups!$P$2:$P$86,0)),IF($D94="Exterior",1,""))</f>
        <v/>
      </c>
      <c r="AR94" s="150" t="str">
        <f>IF($D94="Interior",INDEX(Lookups!S$2:S$86,MATCH(_xlfn.CONCAT($C94,$L94),Lookups!$P$2:$P$86,0)),IF($D94="Exterior",1,""))</f>
        <v/>
      </c>
      <c r="AS94" s="150" t="str">
        <f>IF($D94="Interior",INDEX(Lookups!T$2:T$86,MATCH(_xlfn.CONCAT($C94,$L94),Lookups!$P$2:$P$86,0)),IF($D94="Exterior",1,""))</f>
        <v/>
      </c>
      <c r="AT94" s="150" t="str">
        <f>IFERROR(IF(M94="Exit Signs",1,IF(INDEX('Fixture Codes'!$C$8:$C$976,MATCH($AD94,'Fixture Codes'!$B$8:$B$976,0))="Exit Sign",1,INDEX(Lookups!J$2:J$428,MATCH(_xlfn.CONCAT($B94,$H94),Lookups!$H$2:$H$428,0)))),"")</f>
        <v/>
      </c>
      <c r="AU94" s="150" t="str">
        <f>IFERROR(IF(M94="Exit Signs",1,IF(INDEX('Fixture Codes'!$C$8:$C$976,MATCH($AD94,'Fixture Codes'!$B$8:$B$976,0))="Exit Sign",1,INDEX(Lookups!K$2:K$428,MATCH(_xlfn.CONCAT($B94,$H94),Lookups!$H$2:$H$428,0)))),"")</f>
        <v/>
      </c>
      <c r="AV94" s="150" t="str">
        <f>IFERROR(IF(M94="Exit Signs",1,IF(INDEX('Fixture Codes'!$C$8:$C$976,MATCH($AD94,'Fixture Codes'!$B$8:$B$976,0))="Exit Sign",1,INDEX(Lookups!L$2:L$428,MATCH(_xlfn.CONCAT($B94,$H94),Lookups!$H$2:$H$428,0)))),"")</f>
        <v/>
      </c>
      <c r="AW94" s="150" t="str">
        <f>IF(ISBLANK(K94),"",IF(K94="Gas",INDEX(Lookups!$AG$2:$AG$63,MATCH(O94,Lookups!$AD$2:$AD$63,0),0),0))</f>
        <v/>
      </c>
      <c r="AX94" s="150" t="str">
        <f>IF(ISBLANK(K94),"",IF(K94="Gas",INDEX(Lookups!$AF$2:$AF$63,MATCH(O94,Lookups!$AD$2:$AD$63,0),0),0))</f>
        <v/>
      </c>
      <c r="AY94" s="150" t="str">
        <f>IF(ISBLANK(K94),"",IF(K94="Gas",INDEX(Lookups!$AH$2:$AH$63,MATCH(O94,Lookups!$AD$2:$AD$63,0),0),0))</f>
        <v/>
      </c>
      <c r="AZ94" s="150" t="str">
        <f>IF(ISBLANK(K94),"",IF(K94="Gas",INDEX(Lookups!$AI$2:$AI$63,MATCH(O94,Lookups!$AD$2:$AD$63,0),0),0))</f>
        <v/>
      </c>
      <c r="BA94" s="150" t="str">
        <f t="shared" si="40"/>
        <v/>
      </c>
      <c r="BB94" s="156" t="str">
        <f>IF(ISBLANK(AH94),"",IF(AH94="None",0,IF(K94="Gas",INDEX(Lookups!$AF$51:$AF$69,MATCH(AH94,Lookups!$AD$51:$AD$69,0),0),0)))</f>
        <v/>
      </c>
      <c r="BC94" s="156" t="str">
        <f>IF(ISBLANK(AH94),"",IF(AH94="None",0,IF(K94="Gas",INDEX(Lookups!$AH$51:$AH$69,MATCH(AH94,Lookups!$AD$51:$AD$69,0),0),0)))</f>
        <v/>
      </c>
      <c r="BD94" s="156" t="str">
        <f>IF(ISBLANK(AH94),"",IF(AH94="None",0,IF(K94="Gas",INDEX(Lookups!$AI$51:$AI$69,MATCH(AH94,Lookups!$AD$51:$AD$69,0),0),0)))</f>
        <v/>
      </c>
      <c r="BE94" s="157"/>
      <c r="BF94" s="157"/>
      <c r="BG94" s="147" t="str">
        <f t="shared" si="56"/>
        <v/>
      </c>
      <c r="BH94" s="147" t="str">
        <f t="shared" si="57"/>
        <v/>
      </c>
      <c r="BI94" s="147" t="str">
        <f t="shared" si="41"/>
        <v/>
      </c>
      <c r="BJ94" s="147" t="str">
        <f t="shared" si="42"/>
        <v/>
      </c>
      <c r="BK94" s="148" t="str">
        <f t="shared" si="58"/>
        <v/>
      </c>
      <c r="BL94" s="147" t="str">
        <f t="shared" si="43"/>
        <v/>
      </c>
      <c r="BM94" s="148" t="str">
        <f t="shared" si="59"/>
        <v/>
      </c>
      <c r="BN94" s="147" t="str">
        <f t="shared" si="60"/>
        <v/>
      </c>
      <c r="BO94" s="147" t="str">
        <f t="shared" si="60"/>
        <v/>
      </c>
      <c r="BP94" s="147" t="str">
        <f t="shared" si="61"/>
        <v/>
      </c>
      <c r="BQ94" s="148" t="str">
        <f t="shared" si="62"/>
        <v/>
      </c>
      <c r="BR94" s="148" t="str">
        <f t="shared" si="63"/>
        <v/>
      </c>
      <c r="BS94" s="148" t="str">
        <f t="shared" si="64"/>
        <v/>
      </c>
      <c r="BT94" s="148" t="str">
        <f t="shared" si="44"/>
        <v/>
      </c>
      <c r="BU94" s="148" t="str">
        <f t="shared" si="45"/>
        <v/>
      </c>
      <c r="BV94" s="148" t="str">
        <f t="shared" si="46"/>
        <v/>
      </c>
      <c r="BW94" s="148" t="str">
        <f t="shared" si="47"/>
        <v/>
      </c>
      <c r="BX94" s="148" t="str">
        <f t="shared" si="48"/>
        <v/>
      </c>
      <c r="BY94" s="148" t="str">
        <f t="shared" si="49"/>
        <v/>
      </c>
      <c r="BZ94" s="149" t="str">
        <f>IFERROR(INDEX('Prescriptive Rebate Table'!$B$2:$E$64,MATCH(O94,'Prescriptive Rebate Table'!$C$2:$C$64,0),3),"")</f>
        <v/>
      </c>
      <c r="CA94" s="145" t="str">
        <f>IFERROR(INDEX('Prescriptive Rebate Table'!$B$2:$E$64,MATCH(O94,'Prescriptive Rebate Table'!$C$2:$C$64,0),4),"")</f>
        <v/>
      </c>
      <c r="CB94" s="149" t="str">
        <f t="shared" si="65"/>
        <v/>
      </c>
      <c r="CC94" s="145" t="str">
        <f t="shared" si="66"/>
        <v/>
      </c>
      <c r="CD94" s="149" t="str">
        <f t="shared" si="50"/>
        <v/>
      </c>
      <c r="CE94" s="149" t="str">
        <f t="shared" si="51"/>
        <v/>
      </c>
      <c r="CF94" s="149" t="str">
        <f>IF(BK94&lt;=0,0,IFERROR(IF(OR(ISBLANK(AC94),ISBLANK(CD94))=TRUE,"",IF(CA94="Per Foot",INDEX('Fixture Codes'!$I$8:$I$976,MATCH(AD94,'Fixture Codes'!$B$8:$B$976,0))/12*AF94*BZ94,IF(CA94="Lamp",INDEX('Fixture Codes'!$J$8:$J$976,MATCH(AD94,'Fixture Codes'!$B$8:$B$976,0))*AF94*BZ94,IF(CA94="Fixture",AF94*BZ94,IF(CA94="kWh",BK94*BZ94,0))))),""))</f>
        <v/>
      </c>
      <c r="CG94" s="149" t="str">
        <f t="shared" si="67"/>
        <v/>
      </c>
      <c r="CH94" s="149" t="str">
        <f t="shared" si="68"/>
        <v/>
      </c>
      <c r="CI94" s="152"/>
      <c r="CJ94" s="146"/>
      <c r="CK94" s="241">
        <f>IFERROR(IF(CL94="Yes",'Prescriptive Rebate Table'!$D$69,IF(ISBLANK(AI94),0,IF(AND(AH94=Lookups!$A$62,BK94&gt;0),'Prescriptive Rebate Table'!$D$68,IF(AND(BK94&gt;0,CJ94=AF94),'Prescriptive Rebate Table'!$D$67,IF(AND(BK94&gt;0,CJ94&lt;&gt;AF94),'Prescriptive Rebate Table'!D153,0))))),"")</f>
        <v>0</v>
      </c>
      <c r="CL94" s="240" t="s">
        <v>2712</v>
      </c>
      <c r="CM94" s="152"/>
      <c r="CN94" s="152"/>
      <c r="CO94" s="152"/>
      <c r="CP94" s="146">
        <f t="shared" si="52"/>
        <v>0</v>
      </c>
      <c r="CQ94" s="153">
        <f>IF(D94="Interior",ROUND(($AG94*AF94)/1000*$AM94*(Lookups!$B$54-$AA94)*$AN94*$AO94,3),0)</f>
        <v>0</v>
      </c>
      <c r="CR94" s="153">
        <f>IFERROR(IF(D94="Interior",ROUND(($AG94*$AF94)/1000*(Lookups!$C$54-$AB94)*$AN94*AQ94*AT94,6),0),"")</f>
        <v>0</v>
      </c>
      <c r="CS94" s="165">
        <f t="shared" si="69"/>
        <v>0</v>
      </c>
      <c r="CT94" s="165">
        <f t="shared" si="70"/>
        <v>0</v>
      </c>
      <c r="CV94" s="153"/>
      <c r="CW94" s="153"/>
      <c r="CX94" s="165"/>
      <c r="CY94" s="165"/>
      <c r="DA94" s="153">
        <f>IF(D94="Interior",ROUND(($AG94*AF94*(1-0.15))/1000*$AM94*(Lookups!$B$43+0.097-$AA94)*$AN94*$AO94+((W94*V94)/1000*AN94*AM94*AO94*0.15),3),0)</f>
        <v>0</v>
      </c>
      <c r="DB94" s="153">
        <f>IFERROR(IF(D94="Interior",ROUND(($AG94*$AF94)/1000*(Lookups!$C$43+0.097-$AB94)*$AN94*AQ94*AT94+(($AG94*$AF94)/1000*$AN94*AQ94*AT94*0.15),6),0),"")</f>
        <v>0</v>
      </c>
      <c r="DC94" s="165">
        <f t="shared" si="53"/>
        <v>0</v>
      </c>
      <c r="DD94" s="165">
        <f t="shared" si="54"/>
        <v>0</v>
      </c>
    </row>
    <row r="95" spans="1:108" s="164" customFormat="1">
      <c r="A95" s="150">
        <v>91</v>
      </c>
      <c r="B95" s="153" t="str">
        <f>IFERROR(INDEX(Lookups!$B$2:$B$38,MATCH('Project Info &amp; Summary'!$C$19,Lookups!$A$2:$A$38,0)),"")</f>
        <v/>
      </c>
      <c r="C95" s="153" t="str">
        <f>IFERROR(INDEX(Lookups!$C$2:$C$38,MATCH('Project Info &amp; Summary'!$C$19,Lookups!$A$2:$A$38,0)),"")</f>
        <v/>
      </c>
      <c r="D95" s="163"/>
      <c r="E95" s="160"/>
      <c r="F95" s="158"/>
      <c r="G95" s="158"/>
      <c r="H95" s="158"/>
      <c r="I95" s="158"/>
      <c r="J95" s="154" t="str">
        <f>IFERROR(INDEX(Lookups!$W$21:$W$26,MATCH(I95,Lookups!$V$21:$V$26,0)),"")</f>
        <v/>
      </c>
      <c r="K95" s="158"/>
      <c r="L95" s="162" t="str">
        <f>IFERROR(INDEX(Lookups!$Y$2:$Y$19,MATCH(_xlfn.CONCAT(I95,K95),Lookups!$X$2:$X$19,0)),"")</f>
        <v/>
      </c>
      <c r="M95" s="158"/>
      <c r="N95" s="153" t="str">
        <f>IFERROR(INDEX('Prescriptive Rebate Table'!$M$3:$M$20,MATCH(M95,'Prescriptive Rebate Table'!$L$3:$L$20,0)),"")</f>
        <v/>
      </c>
      <c r="O95" s="158"/>
      <c r="P95" s="154" t="str">
        <f>IFERROR(INDEX('Prescriptive Rebate Table'!$B$2:$H$64, MATCH(O95,'Prescriptive Rebate Table'!$C$2:$C$64,0),7),"")</f>
        <v/>
      </c>
      <c r="Q95" s="155" t="str">
        <f>IFERROR(INDEX('Prescriptive Rebate Table'!$B$2:$I$64, MATCH(O95,'Prescriptive Rebate Table'!$C$2:$C$64,0),8),"")</f>
        <v/>
      </c>
      <c r="R95" s="155" t="str">
        <f>IFERROR(INDEX('Prescriptive Rebate Table'!$B$2:$J$64, MATCH(O95,'Prescriptive Rebate Table'!$C$2:$C$64,0),9),"")</f>
        <v/>
      </c>
      <c r="S95" s="160"/>
      <c r="T95" s="145" t="str">
        <f>IFERROR(INDEX('Fixture Codes'!$M$8:$M$976,MATCH(S95,'Fixture Codes'!$B$8:$B$976,0)),"")</f>
        <v/>
      </c>
      <c r="U95" s="145" t="str">
        <f>IFERROR(INDEX('Fixture Codes'!$B$7:$M$976,MATCH(T95,'Fixture Codes'!$B$7:$B$976,0),5),"")</f>
        <v/>
      </c>
      <c r="V95" s="160"/>
      <c r="W95" s="145" t="str">
        <f>IFERROR(INDEX('Fixture Codes'!$L$8:$L$976,MATCH(T95,'Fixture Codes'!$B$8:$B$976,0)),"")</f>
        <v/>
      </c>
      <c r="X95" s="158"/>
      <c r="Y95" s="159"/>
      <c r="Z95" s="155" t="str">
        <f>IFERROR(INDEX(Lookups!B$68:B$87,MATCH($X95,Lookups!$A$68:$A$87,0)),"")</f>
        <v/>
      </c>
      <c r="AA95" s="150" t="str">
        <f>IFERROR(INDEX(Lookups!B$42:B$62,MATCH($X95,Lookups!$A$42:$A$62,0)),"")</f>
        <v/>
      </c>
      <c r="AB95" s="150" t="str">
        <f>IFERROR(INDEX(Lookups!C$42:C$62,MATCH($X95,Lookups!$A$42:$A$62,0)),"")</f>
        <v/>
      </c>
      <c r="AC95" s="160"/>
      <c r="AD95" s="160"/>
      <c r="AE95" s="150" t="str">
        <f>IFERROR(INDEX('Fixture Codes'!$B$7:$M$976,MATCH(AD95,'Fixture Codes'!$B$7:$B$976,0),5),"")</f>
        <v/>
      </c>
      <c r="AF95" s="160"/>
      <c r="AG95" s="145" t="str">
        <f>IFERROR(INDEX('Fixture Codes'!$L$8:$L$976,MATCH(AD95,'Fixture Codes'!$B$8:$B$976,0)),"")</f>
        <v/>
      </c>
      <c r="AH95" s="158"/>
      <c r="AI95" s="160"/>
      <c r="AJ95" s="150" t="str">
        <f>IFERROR(INDEX(Lookups!B$68:B$87,MATCH($AH95,Lookups!$A$68:$A$87,0)),"")</f>
        <v/>
      </c>
      <c r="AK95" s="150" t="str">
        <f>IFERROR(INDEX(Lookups!B$42:B$62,MATCH($AH95,Lookups!$A$42:$A$62,0)),"")</f>
        <v/>
      </c>
      <c r="AL95" s="150" t="str">
        <f>IFERROR(INDEX(Lookups!C$42:C$62,MATCH($AH95,Lookups!$A$42:$A$62,0)),"")</f>
        <v/>
      </c>
      <c r="AM95" s="150" t="str">
        <f>IFERROR(IF(M95="Exit Signs",8760,IF(INDEX('Fixture Codes'!$C$8:$C$976,MATCH(AD95,'Fixture Codes'!$B$8:$B$976,0))="Exit Sign",8760,INDEX(Lookups!$I$2:$I$428,MATCH(_xlfn.CONCAT(B95,H95),Lookups!$H$2:$H$428,0)))),"")</f>
        <v/>
      </c>
      <c r="AN95" s="153">
        <v>1</v>
      </c>
      <c r="AO95" s="150" t="str">
        <f>IF($D95="Interior",INDEX(Lookups!Q$2:Q$86,MATCH(_xlfn.CONCAT($C95,$L95),Lookups!$P$2:$P$86,0)),IF($D95="Exterior",1,""))</f>
        <v/>
      </c>
      <c r="AP95" s="150">
        <f t="shared" si="55"/>
        <v>1</v>
      </c>
      <c r="AQ95" s="150" t="str">
        <f>IF($D95="Interior",INDEX(Lookups!R$2:R$86,MATCH(_xlfn.CONCAT($C95,$L95),Lookups!$P$2:$P$86,0)),IF($D95="Exterior",1,""))</f>
        <v/>
      </c>
      <c r="AR95" s="150" t="str">
        <f>IF($D95="Interior",INDEX(Lookups!S$2:S$86,MATCH(_xlfn.CONCAT($C95,$L95),Lookups!$P$2:$P$86,0)),IF($D95="Exterior",1,""))</f>
        <v/>
      </c>
      <c r="AS95" s="150" t="str">
        <f>IF($D95="Interior",INDEX(Lookups!T$2:T$86,MATCH(_xlfn.CONCAT($C95,$L95),Lookups!$P$2:$P$86,0)),IF($D95="Exterior",1,""))</f>
        <v/>
      </c>
      <c r="AT95" s="150" t="str">
        <f>IFERROR(IF(M95="Exit Signs",1,IF(INDEX('Fixture Codes'!$C$8:$C$976,MATCH($AD95,'Fixture Codes'!$B$8:$B$976,0))="Exit Sign",1,INDEX(Lookups!J$2:J$428,MATCH(_xlfn.CONCAT($B95,$H95),Lookups!$H$2:$H$428,0)))),"")</f>
        <v/>
      </c>
      <c r="AU95" s="150" t="str">
        <f>IFERROR(IF(M95="Exit Signs",1,IF(INDEX('Fixture Codes'!$C$8:$C$976,MATCH($AD95,'Fixture Codes'!$B$8:$B$976,0))="Exit Sign",1,INDEX(Lookups!K$2:K$428,MATCH(_xlfn.CONCAT($B95,$H95),Lookups!$H$2:$H$428,0)))),"")</f>
        <v/>
      </c>
      <c r="AV95" s="150" t="str">
        <f>IFERROR(IF(M95="Exit Signs",1,IF(INDEX('Fixture Codes'!$C$8:$C$976,MATCH($AD95,'Fixture Codes'!$B$8:$B$976,0))="Exit Sign",1,INDEX(Lookups!L$2:L$428,MATCH(_xlfn.CONCAT($B95,$H95),Lookups!$H$2:$H$428,0)))),"")</f>
        <v/>
      </c>
      <c r="AW95" s="150" t="str">
        <f>IF(ISBLANK(K95),"",IF(K95="Gas",INDEX(Lookups!$AG$2:$AG$63,MATCH(O95,Lookups!$AD$2:$AD$63,0),0),0))</f>
        <v/>
      </c>
      <c r="AX95" s="150" t="str">
        <f>IF(ISBLANK(K95),"",IF(K95="Gas",INDEX(Lookups!$AF$2:$AF$63,MATCH(O95,Lookups!$AD$2:$AD$63,0),0),0))</f>
        <v/>
      </c>
      <c r="AY95" s="150" t="str">
        <f>IF(ISBLANK(K95),"",IF(K95="Gas",INDEX(Lookups!$AH$2:$AH$63,MATCH(O95,Lookups!$AD$2:$AD$63,0),0),0))</f>
        <v/>
      </c>
      <c r="AZ95" s="150" t="str">
        <f>IF(ISBLANK(K95),"",IF(K95="Gas",INDEX(Lookups!$AI$2:$AI$63,MATCH(O95,Lookups!$AD$2:$AD$63,0),0),0))</f>
        <v/>
      </c>
      <c r="BA95" s="150" t="str">
        <f t="shared" si="40"/>
        <v/>
      </c>
      <c r="BB95" s="156" t="str">
        <f>IF(ISBLANK(AH95),"",IF(AH95="None",0,IF(K95="Gas",INDEX(Lookups!$AF$51:$AF$69,MATCH(AH95,Lookups!$AD$51:$AD$69,0),0),0)))</f>
        <v/>
      </c>
      <c r="BC95" s="156" t="str">
        <f>IF(ISBLANK(AH95),"",IF(AH95="None",0,IF(K95="Gas",INDEX(Lookups!$AH$51:$AH$69,MATCH(AH95,Lookups!$AD$51:$AD$69,0),0),0)))</f>
        <v/>
      </c>
      <c r="BD95" s="156" t="str">
        <f>IF(ISBLANK(AH95),"",IF(AH95="None",0,IF(K95="Gas",INDEX(Lookups!$AI$51:$AI$69,MATCH(AH95,Lookups!$AD$51:$AD$69,0),0),0)))</f>
        <v/>
      </c>
      <c r="BE95" s="157"/>
      <c r="BF95" s="157"/>
      <c r="BG95" s="147" t="str">
        <f t="shared" si="56"/>
        <v/>
      </c>
      <c r="BH95" s="147" t="str">
        <f t="shared" si="57"/>
        <v/>
      </c>
      <c r="BI95" s="147" t="str">
        <f t="shared" si="41"/>
        <v/>
      </c>
      <c r="BJ95" s="147" t="str">
        <f t="shared" si="42"/>
        <v/>
      </c>
      <c r="BK95" s="148" t="str">
        <f t="shared" si="58"/>
        <v/>
      </c>
      <c r="BL95" s="147" t="str">
        <f t="shared" si="43"/>
        <v/>
      </c>
      <c r="BM95" s="148" t="str">
        <f t="shared" si="59"/>
        <v/>
      </c>
      <c r="BN95" s="147" t="str">
        <f t="shared" si="60"/>
        <v/>
      </c>
      <c r="BO95" s="147" t="str">
        <f t="shared" si="60"/>
        <v/>
      </c>
      <c r="BP95" s="147" t="str">
        <f t="shared" si="61"/>
        <v/>
      </c>
      <c r="BQ95" s="148" t="str">
        <f t="shared" si="62"/>
        <v/>
      </c>
      <c r="BR95" s="148" t="str">
        <f t="shared" si="63"/>
        <v/>
      </c>
      <c r="BS95" s="148" t="str">
        <f t="shared" si="64"/>
        <v/>
      </c>
      <c r="BT95" s="148" t="str">
        <f t="shared" si="44"/>
        <v/>
      </c>
      <c r="BU95" s="148" t="str">
        <f t="shared" si="45"/>
        <v/>
      </c>
      <c r="BV95" s="148" t="str">
        <f t="shared" si="46"/>
        <v/>
      </c>
      <c r="BW95" s="148" t="str">
        <f t="shared" si="47"/>
        <v/>
      </c>
      <c r="BX95" s="148" t="str">
        <f t="shared" si="48"/>
        <v/>
      </c>
      <c r="BY95" s="148" t="str">
        <f t="shared" si="49"/>
        <v/>
      </c>
      <c r="BZ95" s="149" t="str">
        <f>IFERROR(INDEX('Prescriptive Rebate Table'!$B$2:$E$64,MATCH(O95,'Prescriptive Rebate Table'!$C$2:$C$64,0),3),"")</f>
        <v/>
      </c>
      <c r="CA95" s="145" t="str">
        <f>IFERROR(INDEX('Prescriptive Rebate Table'!$B$2:$E$64,MATCH(O95,'Prescriptive Rebate Table'!$C$2:$C$64,0),4),"")</f>
        <v/>
      </c>
      <c r="CB95" s="149" t="str">
        <f t="shared" si="65"/>
        <v/>
      </c>
      <c r="CC95" s="145" t="str">
        <f t="shared" si="66"/>
        <v/>
      </c>
      <c r="CD95" s="149" t="str">
        <f t="shared" si="50"/>
        <v/>
      </c>
      <c r="CE95" s="149" t="str">
        <f t="shared" si="51"/>
        <v/>
      </c>
      <c r="CF95" s="149" t="str">
        <f>IF(BK95&lt;=0,0,IFERROR(IF(OR(ISBLANK(AC95),ISBLANK(CD95))=TRUE,"",IF(CA95="Per Foot",INDEX('Fixture Codes'!$I$8:$I$976,MATCH(AD95,'Fixture Codes'!$B$8:$B$976,0))/12*AF95*BZ95,IF(CA95="Lamp",INDEX('Fixture Codes'!$J$8:$J$976,MATCH(AD95,'Fixture Codes'!$B$8:$B$976,0))*AF95*BZ95,IF(CA95="Fixture",AF95*BZ95,IF(CA95="kWh",BK95*BZ95,0))))),""))</f>
        <v/>
      </c>
      <c r="CG95" s="149" t="str">
        <f t="shared" si="67"/>
        <v/>
      </c>
      <c r="CH95" s="149" t="str">
        <f t="shared" si="68"/>
        <v/>
      </c>
      <c r="CI95" s="152"/>
      <c r="CJ95" s="146"/>
      <c r="CK95" s="241">
        <f>IFERROR(IF(CL95="Yes",'Prescriptive Rebate Table'!$D$69,IF(ISBLANK(AI95),0,IF(AND(AH95=Lookups!$A$62,BK95&gt;0),'Prescriptive Rebate Table'!$D$68,IF(AND(BK95&gt;0,CJ95=AF95),'Prescriptive Rebate Table'!$D$67,IF(AND(BK95&gt;0,CJ95&lt;&gt;AF95),'Prescriptive Rebate Table'!D154,0))))),"")</f>
        <v>0</v>
      </c>
      <c r="CL95" s="240" t="s">
        <v>2712</v>
      </c>
      <c r="CM95" s="152"/>
      <c r="CN95" s="152"/>
      <c r="CO95" s="152"/>
      <c r="CP95" s="146">
        <f t="shared" si="52"/>
        <v>0</v>
      </c>
      <c r="CQ95" s="153">
        <f>IF(D95="Interior",ROUND(($AG95*AF95)/1000*$AM95*(Lookups!$B$54-$AA95)*$AN95*$AO95,3),0)</f>
        <v>0</v>
      </c>
      <c r="CR95" s="153">
        <f>IFERROR(IF(D95="Interior",ROUND(($AG95*$AF95)/1000*(Lookups!$C$54-$AB95)*$AN95*AQ95*AT95,6),0),"")</f>
        <v>0</v>
      </c>
      <c r="CS95" s="165">
        <f t="shared" si="69"/>
        <v>0</v>
      </c>
      <c r="CT95" s="165">
        <f t="shared" si="70"/>
        <v>0</v>
      </c>
      <c r="CV95" s="153"/>
      <c r="CW95" s="153"/>
      <c r="CX95" s="165"/>
      <c r="CY95" s="165"/>
      <c r="DA95" s="153">
        <f>IF(D95="Interior",ROUND(($AG95*AF95*(1-0.15))/1000*$AM95*(Lookups!$B$43+0.097-$AA95)*$AN95*$AO95+((W95*V95)/1000*AN95*AM95*AO95*0.15),3),0)</f>
        <v>0</v>
      </c>
      <c r="DB95" s="153">
        <f>IFERROR(IF(D95="Interior",ROUND(($AG95*$AF95)/1000*(Lookups!$C$43+0.097-$AB95)*$AN95*AQ95*AT95+(($AG95*$AF95)/1000*$AN95*AQ95*AT95*0.15),6),0),"")</f>
        <v>0</v>
      </c>
      <c r="DC95" s="165">
        <f t="shared" si="53"/>
        <v>0</v>
      </c>
      <c r="DD95" s="165">
        <f t="shared" si="54"/>
        <v>0</v>
      </c>
    </row>
    <row r="96" spans="1:108" s="164" customFormat="1">
      <c r="A96" s="150">
        <v>92</v>
      </c>
      <c r="B96" s="153" t="str">
        <f>IFERROR(INDEX(Lookups!$B$2:$B$38,MATCH('Project Info &amp; Summary'!$C$19,Lookups!$A$2:$A$38,0)),"")</f>
        <v/>
      </c>
      <c r="C96" s="153" t="str">
        <f>IFERROR(INDEX(Lookups!$C$2:$C$38,MATCH('Project Info &amp; Summary'!$C$19,Lookups!$A$2:$A$38,0)),"")</f>
        <v/>
      </c>
      <c r="D96" s="163"/>
      <c r="E96" s="160"/>
      <c r="F96" s="158"/>
      <c r="G96" s="158"/>
      <c r="H96" s="158"/>
      <c r="I96" s="158"/>
      <c r="J96" s="154" t="str">
        <f>IFERROR(INDEX(Lookups!$W$21:$W$26,MATCH(I96,Lookups!$V$21:$V$26,0)),"")</f>
        <v/>
      </c>
      <c r="K96" s="158"/>
      <c r="L96" s="162" t="str">
        <f>IFERROR(INDEX(Lookups!$Y$2:$Y$19,MATCH(_xlfn.CONCAT(I96,K96),Lookups!$X$2:$X$19,0)),"")</f>
        <v/>
      </c>
      <c r="M96" s="158"/>
      <c r="N96" s="153" t="str">
        <f>IFERROR(INDEX('Prescriptive Rebate Table'!$M$3:$M$20,MATCH(M96,'Prescriptive Rebate Table'!$L$3:$L$20,0)),"")</f>
        <v/>
      </c>
      <c r="O96" s="158"/>
      <c r="P96" s="154" t="str">
        <f>IFERROR(INDEX('Prescriptive Rebate Table'!$B$2:$H$64, MATCH(O96,'Prescriptive Rebate Table'!$C$2:$C$64,0),7),"")</f>
        <v/>
      </c>
      <c r="Q96" s="155" t="str">
        <f>IFERROR(INDEX('Prescriptive Rebate Table'!$B$2:$I$64, MATCH(O96,'Prescriptive Rebate Table'!$C$2:$C$64,0),8),"")</f>
        <v/>
      </c>
      <c r="R96" s="155" t="str">
        <f>IFERROR(INDEX('Prescriptive Rebate Table'!$B$2:$J$64, MATCH(O96,'Prescriptive Rebate Table'!$C$2:$C$64,0),9),"")</f>
        <v/>
      </c>
      <c r="S96" s="160"/>
      <c r="T96" s="145" t="str">
        <f>IFERROR(INDEX('Fixture Codes'!$M$8:$M$976,MATCH(S96,'Fixture Codes'!$B$8:$B$976,0)),"")</f>
        <v/>
      </c>
      <c r="U96" s="145" t="str">
        <f>IFERROR(INDEX('Fixture Codes'!$B$7:$M$976,MATCH(T96,'Fixture Codes'!$B$7:$B$976,0),5),"")</f>
        <v/>
      </c>
      <c r="V96" s="160"/>
      <c r="W96" s="145" t="str">
        <f>IFERROR(INDEX('Fixture Codes'!$L$8:$L$976,MATCH(T96,'Fixture Codes'!$B$8:$B$976,0)),"")</f>
        <v/>
      </c>
      <c r="X96" s="158"/>
      <c r="Y96" s="159"/>
      <c r="Z96" s="155" t="str">
        <f>IFERROR(INDEX(Lookups!B$68:B$87,MATCH($X96,Lookups!$A$68:$A$87,0)),"")</f>
        <v/>
      </c>
      <c r="AA96" s="150" t="str">
        <f>IFERROR(INDEX(Lookups!B$42:B$62,MATCH($X96,Lookups!$A$42:$A$62,0)),"")</f>
        <v/>
      </c>
      <c r="AB96" s="150" t="str">
        <f>IFERROR(INDEX(Lookups!C$42:C$62,MATCH($X96,Lookups!$A$42:$A$62,0)),"")</f>
        <v/>
      </c>
      <c r="AC96" s="160"/>
      <c r="AD96" s="160"/>
      <c r="AE96" s="150" t="str">
        <f>IFERROR(INDEX('Fixture Codes'!$B$7:$M$976,MATCH(AD96,'Fixture Codes'!$B$7:$B$976,0),5),"")</f>
        <v/>
      </c>
      <c r="AF96" s="160"/>
      <c r="AG96" s="145" t="str">
        <f>IFERROR(INDEX('Fixture Codes'!$L$8:$L$976,MATCH(AD96,'Fixture Codes'!$B$8:$B$976,0)),"")</f>
        <v/>
      </c>
      <c r="AH96" s="158"/>
      <c r="AI96" s="160"/>
      <c r="AJ96" s="150" t="str">
        <f>IFERROR(INDEX(Lookups!B$68:B$87,MATCH($AH96,Lookups!$A$68:$A$87,0)),"")</f>
        <v/>
      </c>
      <c r="AK96" s="150" t="str">
        <f>IFERROR(INDEX(Lookups!B$42:B$62,MATCH($AH96,Lookups!$A$42:$A$62,0)),"")</f>
        <v/>
      </c>
      <c r="AL96" s="150" t="str">
        <f>IFERROR(INDEX(Lookups!C$42:C$62,MATCH($AH96,Lookups!$A$42:$A$62,0)),"")</f>
        <v/>
      </c>
      <c r="AM96" s="150" t="str">
        <f>IFERROR(IF(M96="Exit Signs",8760,IF(INDEX('Fixture Codes'!$C$8:$C$976,MATCH(AD96,'Fixture Codes'!$B$8:$B$976,0))="Exit Sign",8760,INDEX(Lookups!$I$2:$I$428,MATCH(_xlfn.CONCAT(B96,H96),Lookups!$H$2:$H$428,0)))),"")</f>
        <v/>
      </c>
      <c r="AN96" s="153">
        <v>1</v>
      </c>
      <c r="AO96" s="150" t="str">
        <f>IF($D96="Interior",INDEX(Lookups!Q$2:Q$86,MATCH(_xlfn.CONCAT($C96,$L96),Lookups!$P$2:$P$86,0)),IF($D96="Exterior",1,""))</f>
        <v/>
      </c>
      <c r="AP96" s="150">
        <f t="shared" si="55"/>
        <v>1</v>
      </c>
      <c r="AQ96" s="150" t="str">
        <f>IF($D96="Interior",INDEX(Lookups!R$2:R$86,MATCH(_xlfn.CONCAT($C96,$L96),Lookups!$P$2:$P$86,0)),IF($D96="Exterior",1,""))</f>
        <v/>
      </c>
      <c r="AR96" s="150" t="str">
        <f>IF($D96="Interior",INDEX(Lookups!S$2:S$86,MATCH(_xlfn.CONCAT($C96,$L96),Lookups!$P$2:$P$86,0)),IF($D96="Exterior",1,""))</f>
        <v/>
      </c>
      <c r="AS96" s="150" t="str">
        <f>IF($D96="Interior",INDEX(Lookups!T$2:T$86,MATCH(_xlfn.CONCAT($C96,$L96),Lookups!$P$2:$P$86,0)),IF($D96="Exterior",1,""))</f>
        <v/>
      </c>
      <c r="AT96" s="150" t="str">
        <f>IFERROR(IF(M96="Exit Signs",1,IF(INDEX('Fixture Codes'!$C$8:$C$976,MATCH($AD96,'Fixture Codes'!$B$8:$B$976,0))="Exit Sign",1,INDEX(Lookups!J$2:J$428,MATCH(_xlfn.CONCAT($B96,$H96),Lookups!$H$2:$H$428,0)))),"")</f>
        <v/>
      </c>
      <c r="AU96" s="150" t="str">
        <f>IFERROR(IF(M96="Exit Signs",1,IF(INDEX('Fixture Codes'!$C$8:$C$976,MATCH($AD96,'Fixture Codes'!$B$8:$B$976,0))="Exit Sign",1,INDEX(Lookups!K$2:K$428,MATCH(_xlfn.CONCAT($B96,$H96),Lookups!$H$2:$H$428,0)))),"")</f>
        <v/>
      </c>
      <c r="AV96" s="150" t="str">
        <f>IFERROR(IF(M96="Exit Signs",1,IF(INDEX('Fixture Codes'!$C$8:$C$976,MATCH($AD96,'Fixture Codes'!$B$8:$B$976,0))="Exit Sign",1,INDEX(Lookups!L$2:L$428,MATCH(_xlfn.CONCAT($B96,$H96),Lookups!$H$2:$H$428,0)))),"")</f>
        <v/>
      </c>
      <c r="AW96" s="150" t="str">
        <f>IF(ISBLANK(K96),"",IF(K96="Gas",INDEX(Lookups!$AG$2:$AG$63,MATCH(O96,Lookups!$AD$2:$AD$63,0),0),0))</f>
        <v/>
      </c>
      <c r="AX96" s="150" t="str">
        <f>IF(ISBLANK(K96),"",IF(K96="Gas",INDEX(Lookups!$AF$2:$AF$63,MATCH(O96,Lookups!$AD$2:$AD$63,0),0),0))</f>
        <v/>
      </c>
      <c r="AY96" s="150" t="str">
        <f>IF(ISBLANK(K96),"",IF(K96="Gas",INDEX(Lookups!$AH$2:$AH$63,MATCH(O96,Lookups!$AD$2:$AD$63,0),0),0))</f>
        <v/>
      </c>
      <c r="AZ96" s="150" t="str">
        <f>IF(ISBLANK(K96),"",IF(K96="Gas",INDEX(Lookups!$AI$2:$AI$63,MATCH(O96,Lookups!$AD$2:$AD$63,0),0),0))</f>
        <v/>
      </c>
      <c r="BA96" s="150" t="str">
        <f t="shared" si="40"/>
        <v/>
      </c>
      <c r="BB96" s="156" t="str">
        <f>IF(ISBLANK(AH96),"",IF(AH96="None",0,IF(K96="Gas",INDEX(Lookups!$AF$51:$AF$69,MATCH(AH96,Lookups!$AD$51:$AD$69,0),0),0)))</f>
        <v/>
      </c>
      <c r="BC96" s="156" t="str">
        <f>IF(ISBLANK(AH96),"",IF(AH96="None",0,IF(K96="Gas",INDEX(Lookups!$AH$51:$AH$69,MATCH(AH96,Lookups!$AD$51:$AD$69,0),0),0)))</f>
        <v/>
      </c>
      <c r="BD96" s="156" t="str">
        <f>IF(ISBLANK(AH96),"",IF(AH96="None",0,IF(K96="Gas",INDEX(Lookups!$AI$51:$AI$69,MATCH(AH96,Lookups!$AD$51:$AD$69,0),0),0)))</f>
        <v/>
      </c>
      <c r="BE96" s="157"/>
      <c r="BF96" s="157"/>
      <c r="BG96" s="147" t="str">
        <f t="shared" si="56"/>
        <v/>
      </c>
      <c r="BH96" s="147" t="str">
        <f t="shared" si="57"/>
        <v/>
      </c>
      <c r="BI96" s="147" t="str">
        <f t="shared" si="41"/>
        <v/>
      </c>
      <c r="BJ96" s="147" t="str">
        <f t="shared" si="42"/>
        <v/>
      </c>
      <c r="BK96" s="148" t="str">
        <f t="shared" si="58"/>
        <v/>
      </c>
      <c r="BL96" s="147" t="str">
        <f t="shared" si="43"/>
        <v/>
      </c>
      <c r="BM96" s="148" t="str">
        <f t="shared" si="59"/>
        <v/>
      </c>
      <c r="BN96" s="147" t="str">
        <f t="shared" si="60"/>
        <v/>
      </c>
      <c r="BO96" s="147" t="str">
        <f t="shared" si="60"/>
        <v/>
      </c>
      <c r="BP96" s="147" t="str">
        <f t="shared" si="61"/>
        <v/>
      </c>
      <c r="BQ96" s="148" t="str">
        <f t="shared" si="62"/>
        <v/>
      </c>
      <c r="BR96" s="148" t="str">
        <f t="shared" si="63"/>
        <v/>
      </c>
      <c r="BS96" s="148" t="str">
        <f t="shared" si="64"/>
        <v/>
      </c>
      <c r="BT96" s="148" t="str">
        <f t="shared" si="44"/>
        <v/>
      </c>
      <c r="BU96" s="148" t="str">
        <f t="shared" si="45"/>
        <v/>
      </c>
      <c r="BV96" s="148" t="str">
        <f t="shared" si="46"/>
        <v/>
      </c>
      <c r="BW96" s="148" t="str">
        <f t="shared" si="47"/>
        <v/>
      </c>
      <c r="BX96" s="148" t="str">
        <f t="shared" si="48"/>
        <v/>
      </c>
      <c r="BY96" s="148" t="str">
        <f t="shared" si="49"/>
        <v/>
      </c>
      <c r="BZ96" s="149" t="str">
        <f>IFERROR(INDEX('Prescriptive Rebate Table'!$B$2:$E$64,MATCH(O96,'Prescriptive Rebate Table'!$C$2:$C$64,0),3),"")</f>
        <v/>
      </c>
      <c r="CA96" s="145" t="str">
        <f>IFERROR(INDEX('Prescriptive Rebate Table'!$B$2:$E$64,MATCH(O96,'Prescriptive Rebate Table'!$C$2:$C$64,0),4),"")</f>
        <v/>
      </c>
      <c r="CB96" s="149" t="str">
        <f t="shared" si="65"/>
        <v/>
      </c>
      <c r="CC96" s="145" t="str">
        <f t="shared" si="66"/>
        <v/>
      </c>
      <c r="CD96" s="149" t="str">
        <f t="shared" si="50"/>
        <v/>
      </c>
      <c r="CE96" s="149" t="str">
        <f t="shared" si="51"/>
        <v/>
      </c>
      <c r="CF96" s="149" t="str">
        <f>IF(BK96&lt;=0,0,IFERROR(IF(OR(ISBLANK(AC96),ISBLANK(CD96))=TRUE,"",IF(CA96="Per Foot",INDEX('Fixture Codes'!$I$8:$I$976,MATCH(AD96,'Fixture Codes'!$B$8:$B$976,0))/12*AF96*BZ96,IF(CA96="Lamp",INDEX('Fixture Codes'!$J$8:$J$976,MATCH(AD96,'Fixture Codes'!$B$8:$B$976,0))*AF96*BZ96,IF(CA96="Fixture",AF96*BZ96,IF(CA96="kWh",BK96*BZ96,0))))),""))</f>
        <v/>
      </c>
      <c r="CG96" s="149" t="str">
        <f t="shared" si="67"/>
        <v/>
      </c>
      <c r="CH96" s="149" t="str">
        <f t="shared" si="68"/>
        <v/>
      </c>
      <c r="CI96" s="152"/>
      <c r="CJ96" s="146"/>
      <c r="CK96" s="241">
        <f>IFERROR(IF(CL96="Yes",'Prescriptive Rebate Table'!$D$69,IF(ISBLANK(AI96),0,IF(AND(AH96=Lookups!$A$62,BK96&gt;0),'Prescriptive Rebate Table'!$D$68,IF(AND(BK96&gt;0,CJ96=AF96),'Prescriptive Rebate Table'!$D$67,IF(AND(BK96&gt;0,CJ96&lt;&gt;AF96),'Prescriptive Rebate Table'!D155,0))))),"")</f>
        <v>0</v>
      </c>
      <c r="CL96" s="240" t="s">
        <v>2712</v>
      </c>
      <c r="CM96" s="152"/>
      <c r="CN96" s="152"/>
      <c r="CO96" s="152"/>
      <c r="CP96" s="146">
        <f t="shared" si="52"/>
        <v>0</v>
      </c>
      <c r="CQ96" s="153">
        <f>IF(D96="Interior",ROUND(($AG96*AF96)/1000*$AM96*(Lookups!$B$54-$AA96)*$AN96*$AO96,3),0)</f>
        <v>0</v>
      </c>
      <c r="CR96" s="153">
        <f>IFERROR(IF(D96="Interior",ROUND(($AG96*$AF96)/1000*(Lookups!$C$54-$AB96)*$AN96*AQ96*AT96,6),0),"")</f>
        <v>0</v>
      </c>
      <c r="CS96" s="165">
        <f t="shared" si="69"/>
        <v>0</v>
      </c>
      <c r="CT96" s="165">
        <f t="shared" si="70"/>
        <v>0</v>
      </c>
      <c r="CV96" s="153"/>
      <c r="CW96" s="153"/>
      <c r="CX96" s="165"/>
      <c r="CY96" s="165"/>
      <c r="DA96" s="153">
        <f>IF(D96="Interior",ROUND(($AG96*AF96*(1-0.15))/1000*$AM96*(Lookups!$B$43+0.097-$AA96)*$AN96*$AO96+((W96*V96)/1000*AN96*AM96*AO96*0.15),3),0)</f>
        <v>0</v>
      </c>
      <c r="DB96" s="153">
        <f>IFERROR(IF(D96="Interior",ROUND(($AG96*$AF96)/1000*(Lookups!$C$43+0.097-$AB96)*$AN96*AQ96*AT96+(($AG96*$AF96)/1000*$AN96*AQ96*AT96*0.15),6),0),"")</f>
        <v>0</v>
      </c>
      <c r="DC96" s="165">
        <f t="shared" si="53"/>
        <v>0</v>
      </c>
      <c r="DD96" s="165">
        <f t="shared" si="54"/>
        <v>0</v>
      </c>
    </row>
    <row r="97" spans="1:108" s="164" customFormat="1">
      <c r="A97" s="150">
        <v>93</v>
      </c>
      <c r="B97" s="153" t="str">
        <f>IFERROR(INDEX(Lookups!$B$2:$B$38,MATCH('Project Info &amp; Summary'!$C$19,Lookups!$A$2:$A$38,0)),"")</f>
        <v/>
      </c>
      <c r="C97" s="153" t="str">
        <f>IFERROR(INDEX(Lookups!$C$2:$C$38,MATCH('Project Info &amp; Summary'!$C$19,Lookups!$A$2:$A$38,0)),"")</f>
        <v/>
      </c>
      <c r="D97" s="163"/>
      <c r="E97" s="160"/>
      <c r="F97" s="158"/>
      <c r="G97" s="158"/>
      <c r="H97" s="158"/>
      <c r="I97" s="158"/>
      <c r="J97" s="154" t="str">
        <f>IFERROR(INDEX(Lookups!$W$21:$W$26,MATCH(I97,Lookups!$V$21:$V$26,0)),"")</f>
        <v/>
      </c>
      <c r="K97" s="158"/>
      <c r="L97" s="162" t="str">
        <f>IFERROR(INDEX(Lookups!$Y$2:$Y$19,MATCH(_xlfn.CONCAT(I97,K97),Lookups!$X$2:$X$19,0)),"")</f>
        <v/>
      </c>
      <c r="M97" s="158"/>
      <c r="N97" s="153" t="str">
        <f>IFERROR(INDEX('Prescriptive Rebate Table'!$M$3:$M$20,MATCH(M97,'Prescriptive Rebate Table'!$L$3:$L$20,0)),"")</f>
        <v/>
      </c>
      <c r="O97" s="158"/>
      <c r="P97" s="154" t="str">
        <f>IFERROR(INDEX('Prescriptive Rebate Table'!$B$2:$H$64, MATCH(O97,'Prescriptive Rebate Table'!$C$2:$C$64,0),7),"")</f>
        <v/>
      </c>
      <c r="Q97" s="155" t="str">
        <f>IFERROR(INDEX('Prescriptive Rebate Table'!$B$2:$I$64, MATCH(O97,'Prescriptive Rebate Table'!$C$2:$C$64,0),8),"")</f>
        <v/>
      </c>
      <c r="R97" s="155" t="str">
        <f>IFERROR(INDEX('Prescriptive Rebate Table'!$B$2:$J$64, MATCH(O97,'Prescriptive Rebate Table'!$C$2:$C$64,0),9),"")</f>
        <v/>
      </c>
      <c r="S97" s="160"/>
      <c r="T97" s="145" t="str">
        <f>IFERROR(INDEX('Fixture Codes'!$M$8:$M$976,MATCH(S97,'Fixture Codes'!$B$8:$B$976,0)),"")</f>
        <v/>
      </c>
      <c r="U97" s="145" t="str">
        <f>IFERROR(INDEX('Fixture Codes'!$B$7:$M$976,MATCH(T97,'Fixture Codes'!$B$7:$B$976,0),5),"")</f>
        <v/>
      </c>
      <c r="V97" s="160"/>
      <c r="W97" s="145" t="str">
        <f>IFERROR(INDEX('Fixture Codes'!$L$8:$L$976,MATCH(T97,'Fixture Codes'!$B$8:$B$976,0)),"")</f>
        <v/>
      </c>
      <c r="X97" s="158"/>
      <c r="Y97" s="159"/>
      <c r="Z97" s="155" t="str">
        <f>IFERROR(INDEX(Lookups!B$68:B$87,MATCH($X97,Lookups!$A$68:$A$87,0)),"")</f>
        <v/>
      </c>
      <c r="AA97" s="150" t="str">
        <f>IFERROR(INDEX(Lookups!B$42:B$62,MATCH($X97,Lookups!$A$42:$A$62,0)),"")</f>
        <v/>
      </c>
      <c r="AB97" s="150" t="str">
        <f>IFERROR(INDEX(Lookups!C$42:C$62,MATCH($X97,Lookups!$A$42:$A$62,0)),"")</f>
        <v/>
      </c>
      <c r="AC97" s="160"/>
      <c r="AD97" s="160"/>
      <c r="AE97" s="150" t="str">
        <f>IFERROR(INDEX('Fixture Codes'!$B$7:$M$976,MATCH(AD97,'Fixture Codes'!$B$7:$B$976,0),5),"")</f>
        <v/>
      </c>
      <c r="AF97" s="160"/>
      <c r="AG97" s="145" t="str">
        <f>IFERROR(INDEX('Fixture Codes'!$L$8:$L$976,MATCH(AD97,'Fixture Codes'!$B$8:$B$976,0)),"")</f>
        <v/>
      </c>
      <c r="AH97" s="158"/>
      <c r="AI97" s="160"/>
      <c r="AJ97" s="150" t="str">
        <f>IFERROR(INDEX(Lookups!B$68:B$87,MATCH($AH97,Lookups!$A$68:$A$87,0)),"")</f>
        <v/>
      </c>
      <c r="AK97" s="150" t="str">
        <f>IFERROR(INDEX(Lookups!B$42:B$62,MATCH($AH97,Lookups!$A$42:$A$62,0)),"")</f>
        <v/>
      </c>
      <c r="AL97" s="150" t="str">
        <f>IFERROR(INDEX(Lookups!C$42:C$62,MATCH($AH97,Lookups!$A$42:$A$62,0)),"")</f>
        <v/>
      </c>
      <c r="AM97" s="150" t="str">
        <f>IFERROR(IF(M97="Exit Signs",8760,IF(INDEX('Fixture Codes'!$C$8:$C$976,MATCH(AD97,'Fixture Codes'!$B$8:$B$976,0))="Exit Sign",8760,INDEX(Lookups!$I$2:$I$428,MATCH(_xlfn.CONCAT(B97,H97),Lookups!$H$2:$H$428,0)))),"")</f>
        <v/>
      </c>
      <c r="AN97" s="153">
        <v>1</v>
      </c>
      <c r="AO97" s="150" t="str">
        <f>IF($D97="Interior",INDEX(Lookups!Q$2:Q$86,MATCH(_xlfn.CONCAT($C97,$L97),Lookups!$P$2:$P$86,0)),IF($D97="Exterior",1,""))</f>
        <v/>
      </c>
      <c r="AP97" s="150">
        <f t="shared" si="55"/>
        <v>1</v>
      </c>
      <c r="AQ97" s="150" t="str">
        <f>IF($D97="Interior",INDEX(Lookups!R$2:R$86,MATCH(_xlfn.CONCAT($C97,$L97),Lookups!$P$2:$P$86,0)),IF($D97="Exterior",1,""))</f>
        <v/>
      </c>
      <c r="AR97" s="150" t="str">
        <f>IF($D97="Interior",INDEX(Lookups!S$2:S$86,MATCH(_xlfn.CONCAT($C97,$L97),Lookups!$P$2:$P$86,0)),IF($D97="Exterior",1,""))</f>
        <v/>
      </c>
      <c r="AS97" s="150" t="str">
        <f>IF($D97="Interior",INDEX(Lookups!T$2:T$86,MATCH(_xlfn.CONCAT($C97,$L97),Lookups!$P$2:$P$86,0)),IF($D97="Exterior",1,""))</f>
        <v/>
      </c>
      <c r="AT97" s="150" t="str">
        <f>IFERROR(IF(M97="Exit Signs",1,IF(INDEX('Fixture Codes'!$C$8:$C$976,MATCH($AD97,'Fixture Codes'!$B$8:$B$976,0))="Exit Sign",1,INDEX(Lookups!J$2:J$428,MATCH(_xlfn.CONCAT($B97,$H97),Lookups!$H$2:$H$428,0)))),"")</f>
        <v/>
      </c>
      <c r="AU97" s="150" t="str">
        <f>IFERROR(IF(M97="Exit Signs",1,IF(INDEX('Fixture Codes'!$C$8:$C$976,MATCH($AD97,'Fixture Codes'!$B$8:$B$976,0))="Exit Sign",1,INDEX(Lookups!K$2:K$428,MATCH(_xlfn.CONCAT($B97,$H97),Lookups!$H$2:$H$428,0)))),"")</f>
        <v/>
      </c>
      <c r="AV97" s="150" t="str">
        <f>IFERROR(IF(M97="Exit Signs",1,IF(INDEX('Fixture Codes'!$C$8:$C$976,MATCH($AD97,'Fixture Codes'!$B$8:$B$976,0))="Exit Sign",1,INDEX(Lookups!L$2:L$428,MATCH(_xlfn.CONCAT($B97,$H97),Lookups!$H$2:$H$428,0)))),"")</f>
        <v/>
      </c>
      <c r="AW97" s="150" t="str">
        <f>IF(ISBLANK(K97),"",IF(K97="Gas",INDEX(Lookups!$AG$2:$AG$63,MATCH(O97,Lookups!$AD$2:$AD$63,0),0),0))</f>
        <v/>
      </c>
      <c r="AX97" s="150" t="str">
        <f>IF(ISBLANK(K97),"",IF(K97="Gas",INDEX(Lookups!$AF$2:$AF$63,MATCH(O97,Lookups!$AD$2:$AD$63,0),0),0))</f>
        <v/>
      </c>
      <c r="AY97" s="150" t="str">
        <f>IF(ISBLANK(K97),"",IF(K97="Gas",INDEX(Lookups!$AH$2:$AH$63,MATCH(O97,Lookups!$AD$2:$AD$63,0),0),0))</f>
        <v/>
      </c>
      <c r="AZ97" s="150" t="str">
        <f>IF(ISBLANK(K97),"",IF(K97="Gas",INDEX(Lookups!$AI$2:$AI$63,MATCH(O97,Lookups!$AD$2:$AD$63,0),0),0))</f>
        <v/>
      </c>
      <c r="BA97" s="150" t="str">
        <f t="shared" si="40"/>
        <v/>
      </c>
      <c r="BB97" s="156" t="str">
        <f>IF(ISBLANK(AH97),"",IF(AH97="None",0,IF(K97="Gas",INDEX(Lookups!$AF$51:$AF$69,MATCH(AH97,Lookups!$AD$51:$AD$69,0),0),0)))</f>
        <v/>
      </c>
      <c r="BC97" s="156" t="str">
        <f>IF(ISBLANK(AH97),"",IF(AH97="None",0,IF(K97="Gas",INDEX(Lookups!$AH$51:$AH$69,MATCH(AH97,Lookups!$AD$51:$AD$69,0),0),0)))</f>
        <v/>
      </c>
      <c r="BD97" s="156" t="str">
        <f>IF(ISBLANK(AH97),"",IF(AH97="None",0,IF(K97="Gas",INDEX(Lookups!$AI$51:$AI$69,MATCH(AH97,Lookups!$AD$51:$AD$69,0),0),0)))</f>
        <v/>
      </c>
      <c r="BE97" s="157"/>
      <c r="BF97" s="157"/>
      <c r="BG97" s="147" t="str">
        <f t="shared" si="56"/>
        <v/>
      </c>
      <c r="BH97" s="147" t="str">
        <f t="shared" si="57"/>
        <v/>
      </c>
      <c r="BI97" s="147" t="str">
        <f t="shared" si="41"/>
        <v/>
      </c>
      <c r="BJ97" s="147" t="str">
        <f t="shared" si="42"/>
        <v/>
      </c>
      <c r="BK97" s="148" t="str">
        <f t="shared" si="58"/>
        <v/>
      </c>
      <c r="BL97" s="147" t="str">
        <f t="shared" si="43"/>
        <v/>
      </c>
      <c r="BM97" s="148" t="str">
        <f t="shared" si="59"/>
        <v/>
      </c>
      <c r="BN97" s="147" t="str">
        <f t="shared" si="60"/>
        <v/>
      </c>
      <c r="BO97" s="147" t="str">
        <f t="shared" si="60"/>
        <v/>
      </c>
      <c r="BP97" s="147" t="str">
        <f t="shared" si="61"/>
        <v/>
      </c>
      <c r="BQ97" s="148" t="str">
        <f t="shared" si="62"/>
        <v/>
      </c>
      <c r="BR97" s="148" t="str">
        <f t="shared" si="63"/>
        <v/>
      </c>
      <c r="BS97" s="148" t="str">
        <f t="shared" si="64"/>
        <v/>
      </c>
      <c r="BT97" s="148" t="str">
        <f t="shared" si="44"/>
        <v/>
      </c>
      <c r="BU97" s="148" t="str">
        <f t="shared" si="45"/>
        <v/>
      </c>
      <c r="BV97" s="148" t="str">
        <f t="shared" si="46"/>
        <v/>
      </c>
      <c r="BW97" s="148" t="str">
        <f t="shared" si="47"/>
        <v/>
      </c>
      <c r="BX97" s="148" t="str">
        <f t="shared" si="48"/>
        <v/>
      </c>
      <c r="BY97" s="148" t="str">
        <f t="shared" si="49"/>
        <v/>
      </c>
      <c r="BZ97" s="149" t="str">
        <f>IFERROR(INDEX('Prescriptive Rebate Table'!$B$2:$E$64,MATCH(O97,'Prescriptive Rebate Table'!$C$2:$C$64,0),3),"")</f>
        <v/>
      </c>
      <c r="CA97" s="145" t="str">
        <f>IFERROR(INDEX('Prescriptive Rebate Table'!$B$2:$E$64,MATCH(O97,'Prescriptive Rebate Table'!$C$2:$C$64,0),4),"")</f>
        <v/>
      </c>
      <c r="CB97" s="149" t="str">
        <f t="shared" si="65"/>
        <v/>
      </c>
      <c r="CC97" s="145" t="str">
        <f t="shared" si="66"/>
        <v/>
      </c>
      <c r="CD97" s="149" t="str">
        <f t="shared" si="50"/>
        <v/>
      </c>
      <c r="CE97" s="149" t="str">
        <f t="shared" si="51"/>
        <v/>
      </c>
      <c r="CF97" s="149" t="str">
        <f>IF(BK97&lt;=0,0,IFERROR(IF(OR(ISBLANK(AC97),ISBLANK(CD97))=TRUE,"",IF(CA97="Per Foot",INDEX('Fixture Codes'!$I$8:$I$976,MATCH(AD97,'Fixture Codes'!$B$8:$B$976,0))/12*AF97*BZ97,IF(CA97="Lamp",INDEX('Fixture Codes'!$J$8:$J$976,MATCH(AD97,'Fixture Codes'!$B$8:$B$976,0))*AF97*BZ97,IF(CA97="Fixture",AF97*BZ97,IF(CA97="kWh",BK97*BZ97,0))))),""))</f>
        <v/>
      </c>
      <c r="CG97" s="149" t="str">
        <f t="shared" si="67"/>
        <v/>
      </c>
      <c r="CH97" s="149" t="str">
        <f t="shared" si="68"/>
        <v/>
      </c>
      <c r="CI97" s="152"/>
      <c r="CJ97" s="146"/>
      <c r="CK97" s="241">
        <f>IFERROR(IF(CL97="Yes",'Prescriptive Rebate Table'!$D$69,IF(ISBLANK(AI97),0,IF(AND(AH97=Lookups!$A$62,BK97&gt;0),'Prescriptive Rebate Table'!$D$68,IF(AND(BK97&gt;0,CJ97=AF97),'Prescriptive Rebate Table'!$D$67,IF(AND(BK97&gt;0,CJ97&lt;&gt;AF97),'Prescriptive Rebate Table'!D156,0))))),"")</f>
        <v>0</v>
      </c>
      <c r="CL97" s="240" t="s">
        <v>2712</v>
      </c>
      <c r="CM97" s="152"/>
      <c r="CN97" s="152"/>
      <c r="CO97" s="152"/>
      <c r="CP97" s="146">
        <f t="shared" si="52"/>
        <v>0</v>
      </c>
      <c r="CQ97" s="153">
        <f>IF(D97="Interior",ROUND(($AG97*AF97)/1000*$AM97*(Lookups!$B$54-$AA97)*$AN97*$AO97,3),0)</f>
        <v>0</v>
      </c>
      <c r="CR97" s="153">
        <f>IFERROR(IF(D97="Interior",ROUND(($AG97*$AF97)/1000*(Lookups!$C$54-$AB97)*$AN97*AQ97*AT97,6),0),"")</f>
        <v>0</v>
      </c>
      <c r="CS97" s="165">
        <f t="shared" si="69"/>
        <v>0</v>
      </c>
      <c r="CT97" s="165">
        <f t="shared" si="70"/>
        <v>0</v>
      </c>
      <c r="CV97" s="153"/>
      <c r="CW97" s="153"/>
      <c r="CX97" s="165"/>
      <c r="CY97" s="165"/>
      <c r="DA97" s="153">
        <f>IF(D97="Interior",ROUND(($AG97*AF97*(1-0.15))/1000*$AM97*(Lookups!$B$43+0.097-$AA97)*$AN97*$AO97+((W97*V97)/1000*AN97*AM97*AO97*0.15),3),0)</f>
        <v>0</v>
      </c>
      <c r="DB97" s="153">
        <f>IFERROR(IF(D97="Interior",ROUND(($AG97*$AF97)/1000*(Lookups!$C$43+0.097-$AB97)*$AN97*AQ97*AT97+(($AG97*$AF97)/1000*$AN97*AQ97*AT97*0.15),6),0),"")</f>
        <v>0</v>
      </c>
      <c r="DC97" s="165">
        <f t="shared" si="53"/>
        <v>0</v>
      </c>
      <c r="DD97" s="165">
        <f t="shared" si="54"/>
        <v>0</v>
      </c>
    </row>
    <row r="98" spans="1:108" s="164" customFormat="1">
      <c r="A98" s="150">
        <v>94</v>
      </c>
      <c r="B98" s="153" t="str">
        <f>IFERROR(INDEX(Lookups!$B$2:$B$38,MATCH('Project Info &amp; Summary'!$C$19,Lookups!$A$2:$A$38,0)),"")</f>
        <v/>
      </c>
      <c r="C98" s="153" t="str">
        <f>IFERROR(INDEX(Lookups!$C$2:$C$38,MATCH('Project Info &amp; Summary'!$C$19,Lookups!$A$2:$A$38,0)),"")</f>
        <v/>
      </c>
      <c r="D98" s="163"/>
      <c r="E98" s="160"/>
      <c r="F98" s="158"/>
      <c r="G98" s="158"/>
      <c r="H98" s="158"/>
      <c r="I98" s="158"/>
      <c r="J98" s="154" t="str">
        <f>IFERROR(INDEX(Lookups!$W$21:$W$26,MATCH(I98,Lookups!$V$21:$V$26,0)),"")</f>
        <v/>
      </c>
      <c r="K98" s="158"/>
      <c r="L98" s="162" t="str">
        <f>IFERROR(INDEX(Lookups!$Y$2:$Y$19,MATCH(_xlfn.CONCAT(I98,K98),Lookups!$X$2:$X$19,0)),"")</f>
        <v/>
      </c>
      <c r="M98" s="158"/>
      <c r="N98" s="153" t="str">
        <f>IFERROR(INDEX('Prescriptive Rebate Table'!$M$3:$M$20,MATCH(M98,'Prescriptive Rebate Table'!$L$3:$L$20,0)),"")</f>
        <v/>
      </c>
      <c r="O98" s="158"/>
      <c r="P98" s="154" t="str">
        <f>IFERROR(INDEX('Prescriptive Rebate Table'!$B$2:$H$64, MATCH(O98,'Prescriptive Rebate Table'!$C$2:$C$64,0),7),"")</f>
        <v/>
      </c>
      <c r="Q98" s="155" t="str">
        <f>IFERROR(INDEX('Prescriptive Rebate Table'!$B$2:$I$64, MATCH(O98,'Prescriptive Rebate Table'!$C$2:$C$64,0),8),"")</f>
        <v/>
      </c>
      <c r="R98" s="155" t="str">
        <f>IFERROR(INDEX('Prescriptive Rebate Table'!$B$2:$J$64, MATCH(O98,'Prescriptive Rebate Table'!$C$2:$C$64,0),9),"")</f>
        <v/>
      </c>
      <c r="S98" s="160"/>
      <c r="T98" s="145" t="str">
        <f>IFERROR(INDEX('Fixture Codes'!$M$8:$M$976,MATCH(S98,'Fixture Codes'!$B$8:$B$976,0)),"")</f>
        <v/>
      </c>
      <c r="U98" s="145" t="str">
        <f>IFERROR(INDEX('Fixture Codes'!$B$7:$M$976,MATCH(T98,'Fixture Codes'!$B$7:$B$976,0),5),"")</f>
        <v/>
      </c>
      <c r="V98" s="160"/>
      <c r="W98" s="145" t="str">
        <f>IFERROR(INDEX('Fixture Codes'!$L$8:$L$976,MATCH(T98,'Fixture Codes'!$B$8:$B$976,0)),"")</f>
        <v/>
      </c>
      <c r="X98" s="158"/>
      <c r="Y98" s="159"/>
      <c r="Z98" s="155" t="str">
        <f>IFERROR(INDEX(Lookups!B$68:B$87,MATCH($X98,Lookups!$A$68:$A$87,0)),"")</f>
        <v/>
      </c>
      <c r="AA98" s="150" t="str">
        <f>IFERROR(INDEX(Lookups!B$42:B$62,MATCH($X98,Lookups!$A$42:$A$62,0)),"")</f>
        <v/>
      </c>
      <c r="AB98" s="150" t="str">
        <f>IFERROR(INDEX(Lookups!C$42:C$62,MATCH($X98,Lookups!$A$42:$A$62,0)),"")</f>
        <v/>
      </c>
      <c r="AC98" s="160"/>
      <c r="AD98" s="160"/>
      <c r="AE98" s="150" t="str">
        <f>IFERROR(INDEX('Fixture Codes'!$B$7:$M$976,MATCH(AD98,'Fixture Codes'!$B$7:$B$976,0),5),"")</f>
        <v/>
      </c>
      <c r="AF98" s="160"/>
      <c r="AG98" s="145" t="str">
        <f>IFERROR(INDEX('Fixture Codes'!$L$8:$L$976,MATCH(AD98,'Fixture Codes'!$B$8:$B$976,0)),"")</f>
        <v/>
      </c>
      <c r="AH98" s="158"/>
      <c r="AI98" s="160"/>
      <c r="AJ98" s="150" t="str">
        <f>IFERROR(INDEX(Lookups!B$68:B$87,MATCH($AH98,Lookups!$A$68:$A$87,0)),"")</f>
        <v/>
      </c>
      <c r="AK98" s="150" t="str">
        <f>IFERROR(INDEX(Lookups!B$42:B$62,MATCH($AH98,Lookups!$A$42:$A$62,0)),"")</f>
        <v/>
      </c>
      <c r="AL98" s="150" t="str">
        <f>IFERROR(INDEX(Lookups!C$42:C$62,MATCH($AH98,Lookups!$A$42:$A$62,0)),"")</f>
        <v/>
      </c>
      <c r="AM98" s="150" t="str">
        <f>IFERROR(IF(M98="Exit Signs",8760,IF(INDEX('Fixture Codes'!$C$8:$C$976,MATCH(AD98,'Fixture Codes'!$B$8:$B$976,0))="Exit Sign",8760,INDEX(Lookups!$I$2:$I$428,MATCH(_xlfn.CONCAT(B98,H98),Lookups!$H$2:$H$428,0)))),"")</f>
        <v/>
      </c>
      <c r="AN98" s="153">
        <v>1</v>
      </c>
      <c r="AO98" s="150" t="str">
        <f>IF($D98="Interior",INDEX(Lookups!Q$2:Q$86,MATCH(_xlfn.CONCAT($C98,$L98),Lookups!$P$2:$P$86,0)),IF($D98="Exterior",1,""))</f>
        <v/>
      </c>
      <c r="AP98" s="150">
        <f t="shared" si="55"/>
        <v>1</v>
      </c>
      <c r="AQ98" s="150" t="str">
        <f>IF($D98="Interior",INDEX(Lookups!R$2:R$86,MATCH(_xlfn.CONCAT($C98,$L98),Lookups!$P$2:$P$86,0)),IF($D98="Exterior",1,""))</f>
        <v/>
      </c>
      <c r="AR98" s="150" t="str">
        <f>IF($D98="Interior",INDEX(Lookups!S$2:S$86,MATCH(_xlfn.CONCAT($C98,$L98),Lookups!$P$2:$P$86,0)),IF($D98="Exterior",1,""))</f>
        <v/>
      </c>
      <c r="AS98" s="150" t="str">
        <f>IF($D98="Interior",INDEX(Lookups!T$2:T$86,MATCH(_xlfn.CONCAT($C98,$L98),Lookups!$P$2:$P$86,0)),IF($D98="Exterior",1,""))</f>
        <v/>
      </c>
      <c r="AT98" s="150" t="str">
        <f>IFERROR(IF(M98="Exit Signs",1,IF(INDEX('Fixture Codes'!$C$8:$C$976,MATCH($AD98,'Fixture Codes'!$B$8:$B$976,0))="Exit Sign",1,INDEX(Lookups!J$2:J$428,MATCH(_xlfn.CONCAT($B98,$H98),Lookups!$H$2:$H$428,0)))),"")</f>
        <v/>
      </c>
      <c r="AU98" s="150" t="str">
        <f>IFERROR(IF(M98="Exit Signs",1,IF(INDEX('Fixture Codes'!$C$8:$C$976,MATCH($AD98,'Fixture Codes'!$B$8:$B$976,0))="Exit Sign",1,INDEX(Lookups!K$2:K$428,MATCH(_xlfn.CONCAT($B98,$H98),Lookups!$H$2:$H$428,0)))),"")</f>
        <v/>
      </c>
      <c r="AV98" s="150" t="str">
        <f>IFERROR(IF(M98="Exit Signs",1,IF(INDEX('Fixture Codes'!$C$8:$C$976,MATCH($AD98,'Fixture Codes'!$B$8:$B$976,0))="Exit Sign",1,INDEX(Lookups!L$2:L$428,MATCH(_xlfn.CONCAT($B98,$H98),Lookups!$H$2:$H$428,0)))),"")</f>
        <v/>
      </c>
      <c r="AW98" s="150" t="str">
        <f>IF(ISBLANK(K98),"",IF(K98="Gas",INDEX(Lookups!$AG$2:$AG$63,MATCH(O98,Lookups!$AD$2:$AD$63,0),0),0))</f>
        <v/>
      </c>
      <c r="AX98" s="150" t="str">
        <f>IF(ISBLANK(K98),"",IF(K98="Gas",INDEX(Lookups!$AF$2:$AF$63,MATCH(O98,Lookups!$AD$2:$AD$63,0),0),0))</f>
        <v/>
      </c>
      <c r="AY98" s="150" t="str">
        <f>IF(ISBLANK(K98),"",IF(K98="Gas",INDEX(Lookups!$AH$2:$AH$63,MATCH(O98,Lookups!$AD$2:$AD$63,0),0),0))</f>
        <v/>
      </c>
      <c r="AZ98" s="150" t="str">
        <f>IF(ISBLANK(K98),"",IF(K98="Gas",INDEX(Lookups!$AI$2:$AI$63,MATCH(O98,Lookups!$AD$2:$AD$63,0),0),0))</f>
        <v/>
      </c>
      <c r="BA98" s="150" t="str">
        <f t="shared" si="40"/>
        <v/>
      </c>
      <c r="BB98" s="156" t="str">
        <f>IF(ISBLANK(AH98),"",IF(AH98="None",0,IF(K98="Gas",INDEX(Lookups!$AF$51:$AF$69,MATCH(AH98,Lookups!$AD$51:$AD$69,0),0),0)))</f>
        <v/>
      </c>
      <c r="BC98" s="156" t="str">
        <f>IF(ISBLANK(AH98),"",IF(AH98="None",0,IF(K98="Gas",INDEX(Lookups!$AH$51:$AH$69,MATCH(AH98,Lookups!$AD$51:$AD$69,0),0),0)))</f>
        <v/>
      </c>
      <c r="BD98" s="156" t="str">
        <f>IF(ISBLANK(AH98),"",IF(AH98="None",0,IF(K98="Gas",INDEX(Lookups!$AI$51:$AI$69,MATCH(AH98,Lookups!$AD$51:$AD$69,0),0),0)))</f>
        <v/>
      </c>
      <c r="BE98" s="157"/>
      <c r="BF98" s="157"/>
      <c r="BG98" s="147" t="str">
        <f t="shared" si="56"/>
        <v/>
      </c>
      <c r="BH98" s="147" t="str">
        <f t="shared" si="57"/>
        <v/>
      </c>
      <c r="BI98" s="147" t="str">
        <f t="shared" si="41"/>
        <v/>
      </c>
      <c r="BJ98" s="147" t="str">
        <f t="shared" si="42"/>
        <v/>
      </c>
      <c r="BK98" s="148" t="str">
        <f t="shared" si="58"/>
        <v/>
      </c>
      <c r="BL98" s="147" t="str">
        <f t="shared" si="43"/>
        <v/>
      </c>
      <c r="BM98" s="148" t="str">
        <f t="shared" si="59"/>
        <v/>
      </c>
      <c r="BN98" s="147" t="str">
        <f t="shared" si="60"/>
        <v/>
      </c>
      <c r="BO98" s="147" t="str">
        <f t="shared" si="60"/>
        <v/>
      </c>
      <c r="BP98" s="147" t="str">
        <f t="shared" si="61"/>
        <v/>
      </c>
      <c r="BQ98" s="148" t="str">
        <f t="shared" si="62"/>
        <v/>
      </c>
      <c r="BR98" s="148" t="str">
        <f t="shared" si="63"/>
        <v/>
      </c>
      <c r="BS98" s="148" t="str">
        <f t="shared" si="64"/>
        <v/>
      </c>
      <c r="BT98" s="148" t="str">
        <f t="shared" si="44"/>
        <v/>
      </c>
      <c r="BU98" s="148" t="str">
        <f t="shared" si="45"/>
        <v/>
      </c>
      <c r="BV98" s="148" t="str">
        <f t="shared" si="46"/>
        <v/>
      </c>
      <c r="BW98" s="148" t="str">
        <f t="shared" si="47"/>
        <v/>
      </c>
      <c r="BX98" s="148" t="str">
        <f t="shared" si="48"/>
        <v/>
      </c>
      <c r="BY98" s="148" t="str">
        <f t="shared" si="49"/>
        <v/>
      </c>
      <c r="BZ98" s="149" t="str">
        <f>IFERROR(INDEX('Prescriptive Rebate Table'!$B$2:$E$64,MATCH(O98,'Prescriptive Rebate Table'!$C$2:$C$64,0),3),"")</f>
        <v/>
      </c>
      <c r="CA98" s="145" t="str">
        <f>IFERROR(INDEX('Prescriptive Rebate Table'!$B$2:$E$64,MATCH(O98,'Prescriptive Rebate Table'!$C$2:$C$64,0),4),"")</f>
        <v/>
      </c>
      <c r="CB98" s="149" t="str">
        <f t="shared" si="65"/>
        <v/>
      </c>
      <c r="CC98" s="145" t="str">
        <f t="shared" si="66"/>
        <v/>
      </c>
      <c r="CD98" s="149" t="str">
        <f t="shared" si="50"/>
        <v/>
      </c>
      <c r="CE98" s="149" t="str">
        <f t="shared" si="51"/>
        <v/>
      </c>
      <c r="CF98" s="149" t="str">
        <f>IF(BK98&lt;=0,0,IFERROR(IF(OR(ISBLANK(AC98),ISBLANK(CD98))=TRUE,"",IF(CA98="Per Foot",INDEX('Fixture Codes'!$I$8:$I$976,MATCH(AD98,'Fixture Codes'!$B$8:$B$976,0))/12*AF98*BZ98,IF(CA98="Lamp",INDEX('Fixture Codes'!$J$8:$J$976,MATCH(AD98,'Fixture Codes'!$B$8:$B$976,0))*AF98*BZ98,IF(CA98="Fixture",AF98*BZ98,IF(CA98="kWh",BK98*BZ98,0))))),""))</f>
        <v/>
      </c>
      <c r="CG98" s="149" t="str">
        <f t="shared" si="67"/>
        <v/>
      </c>
      <c r="CH98" s="149" t="str">
        <f t="shared" si="68"/>
        <v/>
      </c>
      <c r="CI98" s="152"/>
      <c r="CJ98" s="146"/>
      <c r="CK98" s="241">
        <f>IFERROR(IF(CL98="Yes",'Prescriptive Rebate Table'!$D$69,IF(ISBLANK(AI98),0,IF(AND(AH98=Lookups!$A$62,BK98&gt;0),'Prescriptive Rebate Table'!$D$68,IF(AND(BK98&gt;0,CJ98=AF98),'Prescriptive Rebate Table'!$D$67,IF(AND(BK98&gt;0,CJ98&lt;&gt;AF98),'Prescriptive Rebate Table'!D157,0))))),"")</f>
        <v>0</v>
      </c>
      <c r="CL98" s="240" t="s">
        <v>2712</v>
      </c>
      <c r="CM98" s="152"/>
      <c r="CN98" s="152"/>
      <c r="CO98" s="152"/>
      <c r="CP98" s="146">
        <f t="shared" si="52"/>
        <v>0</v>
      </c>
      <c r="CQ98" s="153">
        <f>IF(D98="Interior",ROUND(($AG98*AF98)/1000*$AM98*(Lookups!$B$54-$AA98)*$AN98*$AO98,3),0)</f>
        <v>0</v>
      </c>
      <c r="CR98" s="153">
        <f>IFERROR(IF(D98="Interior",ROUND(($AG98*$AF98)/1000*(Lookups!$C$54-$AB98)*$AN98*AQ98*AT98,6),0),"")</f>
        <v>0</v>
      </c>
      <c r="CS98" s="165">
        <f t="shared" si="69"/>
        <v>0</v>
      </c>
      <c r="CT98" s="165">
        <f t="shared" si="70"/>
        <v>0</v>
      </c>
      <c r="CV98" s="153"/>
      <c r="CW98" s="153"/>
      <c r="CX98" s="165"/>
      <c r="CY98" s="165"/>
      <c r="DA98" s="153">
        <f>IF(D98="Interior",ROUND(($AG98*AF98*(1-0.15))/1000*$AM98*(Lookups!$B$43+0.097-$AA98)*$AN98*$AO98+((W98*V98)/1000*AN98*AM98*AO98*0.15),3),0)</f>
        <v>0</v>
      </c>
      <c r="DB98" s="153">
        <f>IFERROR(IF(D98="Interior",ROUND(($AG98*$AF98)/1000*(Lookups!$C$43+0.097-$AB98)*$AN98*AQ98*AT98+(($AG98*$AF98)/1000*$AN98*AQ98*AT98*0.15),6),0),"")</f>
        <v>0</v>
      </c>
      <c r="DC98" s="165">
        <f t="shared" si="53"/>
        <v>0</v>
      </c>
      <c r="DD98" s="165">
        <f t="shared" si="54"/>
        <v>0</v>
      </c>
    </row>
    <row r="99" spans="1:108" s="164" customFormat="1">
      <c r="A99" s="150">
        <v>95</v>
      </c>
      <c r="B99" s="153" t="str">
        <f>IFERROR(INDEX(Lookups!$B$2:$B$38,MATCH('Project Info &amp; Summary'!$C$19,Lookups!$A$2:$A$38,0)),"")</f>
        <v/>
      </c>
      <c r="C99" s="153" t="str">
        <f>IFERROR(INDEX(Lookups!$C$2:$C$38,MATCH('Project Info &amp; Summary'!$C$19,Lookups!$A$2:$A$38,0)),"")</f>
        <v/>
      </c>
      <c r="D99" s="163"/>
      <c r="E99" s="160"/>
      <c r="F99" s="158"/>
      <c r="G99" s="158"/>
      <c r="H99" s="158"/>
      <c r="I99" s="158"/>
      <c r="J99" s="154" t="str">
        <f>IFERROR(INDEX(Lookups!$W$21:$W$26,MATCH(I99,Lookups!$V$21:$V$26,0)),"")</f>
        <v/>
      </c>
      <c r="K99" s="158"/>
      <c r="L99" s="162" t="str">
        <f>IFERROR(INDEX(Lookups!$Y$2:$Y$19,MATCH(_xlfn.CONCAT(I99,K99),Lookups!$X$2:$X$19,0)),"")</f>
        <v/>
      </c>
      <c r="M99" s="158"/>
      <c r="N99" s="153" t="str">
        <f>IFERROR(INDEX('Prescriptive Rebate Table'!$M$3:$M$20,MATCH(M99,'Prescriptive Rebate Table'!$L$3:$L$20,0)),"")</f>
        <v/>
      </c>
      <c r="O99" s="158"/>
      <c r="P99" s="154" t="str">
        <f>IFERROR(INDEX('Prescriptive Rebate Table'!$B$2:$H$64, MATCH(O99,'Prescriptive Rebate Table'!$C$2:$C$64,0),7),"")</f>
        <v/>
      </c>
      <c r="Q99" s="155" t="str">
        <f>IFERROR(INDEX('Prescriptive Rebate Table'!$B$2:$I$64, MATCH(O99,'Prescriptive Rebate Table'!$C$2:$C$64,0),8),"")</f>
        <v/>
      </c>
      <c r="R99" s="155" t="str">
        <f>IFERROR(INDEX('Prescriptive Rebate Table'!$B$2:$J$64, MATCH(O99,'Prescriptive Rebate Table'!$C$2:$C$64,0),9),"")</f>
        <v/>
      </c>
      <c r="S99" s="160"/>
      <c r="T99" s="145" t="str">
        <f>IFERROR(INDEX('Fixture Codes'!$M$8:$M$976,MATCH(S99,'Fixture Codes'!$B$8:$B$976,0)),"")</f>
        <v/>
      </c>
      <c r="U99" s="145" t="str">
        <f>IFERROR(INDEX('Fixture Codes'!$B$7:$M$976,MATCH(T99,'Fixture Codes'!$B$7:$B$976,0),5),"")</f>
        <v/>
      </c>
      <c r="V99" s="160"/>
      <c r="W99" s="145" t="str">
        <f>IFERROR(INDEX('Fixture Codes'!$L$8:$L$976,MATCH(T99,'Fixture Codes'!$B$8:$B$976,0)),"")</f>
        <v/>
      </c>
      <c r="X99" s="158"/>
      <c r="Y99" s="159"/>
      <c r="Z99" s="155" t="str">
        <f>IFERROR(INDEX(Lookups!B$68:B$87,MATCH($X99,Lookups!$A$68:$A$87,0)),"")</f>
        <v/>
      </c>
      <c r="AA99" s="150" t="str">
        <f>IFERROR(INDEX(Lookups!B$42:B$62,MATCH($X99,Lookups!$A$42:$A$62,0)),"")</f>
        <v/>
      </c>
      <c r="AB99" s="150" t="str">
        <f>IFERROR(INDEX(Lookups!C$42:C$62,MATCH($X99,Lookups!$A$42:$A$62,0)),"")</f>
        <v/>
      </c>
      <c r="AC99" s="160"/>
      <c r="AD99" s="160"/>
      <c r="AE99" s="150" t="str">
        <f>IFERROR(INDEX('Fixture Codes'!$B$7:$M$976,MATCH(AD99,'Fixture Codes'!$B$7:$B$976,0),5),"")</f>
        <v/>
      </c>
      <c r="AF99" s="160"/>
      <c r="AG99" s="145" t="str">
        <f>IFERROR(INDEX('Fixture Codes'!$L$8:$L$976,MATCH(AD99,'Fixture Codes'!$B$8:$B$976,0)),"")</f>
        <v/>
      </c>
      <c r="AH99" s="158"/>
      <c r="AI99" s="160"/>
      <c r="AJ99" s="150" t="str">
        <f>IFERROR(INDEX(Lookups!B$68:B$87,MATCH($AH99,Lookups!$A$68:$A$87,0)),"")</f>
        <v/>
      </c>
      <c r="AK99" s="150" t="str">
        <f>IFERROR(INDEX(Lookups!B$42:B$62,MATCH($AH99,Lookups!$A$42:$A$62,0)),"")</f>
        <v/>
      </c>
      <c r="AL99" s="150" t="str">
        <f>IFERROR(INDEX(Lookups!C$42:C$62,MATCH($AH99,Lookups!$A$42:$A$62,0)),"")</f>
        <v/>
      </c>
      <c r="AM99" s="150" t="str">
        <f>IFERROR(IF(M99="Exit Signs",8760,IF(INDEX('Fixture Codes'!$C$8:$C$976,MATCH(AD99,'Fixture Codes'!$B$8:$B$976,0))="Exit Sign",8760,INDEX(Lookups!$I$2:$I$428,MATCH(_xlfn.CONCAT(B99,H99),Lookups!$H$2:$H$428,0)))),"")</f>
        <v/>
      </c>
      <c r="AN99" s="153">
        <v>1</v>
      </c>
      <c r="AO99" s="150" t="str">
        <f>IF($D99="Interior",INDEX(Lookups!Q$2:Q$86,MATCH(_xlfn.CONCAT($C99,$L99),Lookups!$P$2:$P$86,0)),IF($D99="Exterior",1,""))</f>
        <v/>
      </c>
      <c r="AP99" s="150">
        <f t="shared" si="55"/>
        <v>1</v>
      </c>
      <c r="AQ99" s="150" t="str">
        <f>IF($D99="Interior",INDEX(Lookups!R$2:R$86,MATCH(_xlfn.CONCAT($C99,$L99),Lookups!$P$2:$P$86,0)),IF($D99="Exterior",1,""))</f>
        <v/>
      </c>
      <c r="AR99" s="150" t="str">
        <f>IF($D99="Interior",INDEX(Lookups!S$2:S$86,MATCH(_xlfn.CONCAT($C99,$L99),Lookups!$P$2:$P$86,0)),IF($D99="Exterior",1,""))</f>
        <v/>
      </c>
      <c r="AS99" s="150" t="str">
        <f>IF($D99="Interior",INDEX(Lookups!T$2:T$86,MATCH(_xlfn.CONCAT($C99,$L99),Lookups!$P$2:$P$86,0)),IF($D99="Exterior",1,""))</f>
        <v/>
      </c>
      <c r="AT99" s="150" t="str">
        <f>IFERROR(IF(M99="Exit Signs",1,IF(INDEX('Fixture Codes'!$C$8:$C$976,MATCH($AD99,'Fixture Codes'!$B$8:$B$976,0))="Exit Sign",1,INDEX(Lookups!J$2:J$428,MATCH(_xlfn.CONCAT($B99,$H99),Lookups!$H$2:$H$428,0)))),"")</f>
        <v/>
      </c>
      <c r="AU99" s="150" t="str">
        <f>IFERROR(IF(M99="Exit Signs",1,IF(INDEX('Fixture Codes'!$C$8:$C$976,MATCH($AD99,'Fixture Codes'!$B$8:$B$976,0))="Exit Sign",1,INDEX(Lookups!K$2:K$428,MATCH(_xlfn.CONCAT($B99,$H99),Lookups!$H$2:$H$428,0)))),"")</f>
        <v/>
      </c>
      <c r="AV99" s="150" t="str">
        <f>IFERROR(IF(M99="Exit Signs",1,IF(INDEX('Fixture Codes'!$C$8:$C$976,MATCH($AD99,'Fixture Codes'!$B$8:$B$976,0))="Exit Sign",1,INDEX(Lookups!L$2:L$428,MATCH(_xlfn.CONCAT($B99,$H99),Lookups!$H$2:$H$428,0)))),"")</f>
        <v/>
      </c>
      <c r="AW99" s="150" t="str">
        <f>IF(ISBLANK(K99),"",IF(K99="Gas",INDEX(Lookups!$AG$2:$AG$63,MATCH(O99,Lookups!$AD$2:$AD$63,0),0),0))</f>
        <v/>
      </c>
      <c r="AX99" s="150" t="str">
        <f>IF(ISBLANK(K99),"",IF(K99="Gas",INDEX(Lookups!$AF$2:$AF$63,MATCH(O99,Lookups!$AD$2:$AD$63,0),0),0))</f>
        <v/>
      </c>
      <c r="AY99" s="150" t="str">
        <f>IF(ISBLANK(K99),"",IF(K99="Gas",INDEX(Lookups!$AH$2:$AH$63,MATCH(O99,Lookups!$AD$2:$AD$63,0),0),0))</f>
        <v/>
      </c>
      <c r="AZ99" s="150" t="str">
        <f>IF(ISBLANK(K99),"",IF(K99="Gas",INDEX(Lookups!$AI$2:$AI$63,MATCH(O99,Lookups!$AD$2:$AD$63,0),0),0))</f>
        <v/>
      </c>
      <c r="BA99" s="150" t="str">
        <f t="shared" si="40"/>
        <v/>
      </c>
      <c r="BB99" s="156" t="str">
        <f>IF(ISBLANK(AH99),"",IF(AH99="None",0,IF(K99="Gas",INDEX(Lookups!$AF$51:$AF$69,MATCH(AH99,Lookups!$AD$51:$AD$69,0),0),0)))</f>
        <v/>
      </c>
      <c r="BC99" s="156" t="str">
        <f>IF(ISBLANK(AH99),"",IF(AH99="None",0,IF(K99="Gas",INDEX(Lookups!$AH$51:$AH$69,MATCH(AH99,Lookups!$AD$51:$AD$69,0),0),0)))</f>
        <v/>
      </c>
      <c r="BD99" s="156" t="str">
        <f>IF(ISBLANK(AH99),"",IF(AH99="None",0,IF(K99="Gas",INDEX(Lookups!$AI$51:$AI$69,MATCH(AH99,Lookups!$AD$51:$AD$69,0),0),0)))</f>
        <v/>
      </c>
      <c r="BE99" s="157"/>
      <c r="BF99" s="157"/>
      <c r="BG99" s="147" t="str">
        <f t="shared" si="56"/>
        <v/>
      </c>
      <c r="BH99" s="147" t="str">
        <f t="shared" si="57"/>
        <v/>
      </c>
      <c r="BI99" s="147" t="str">
        <f t="shared" si="41"/>
        <v/>
      </c>
      <c r="BJ99" s="147" t="str">
        <f t="shared" si="42"/>
        <v/>
      </c>
      <c r="BK99" s="148" t="str">
        <f t="shared" si="58"/>
        <v/>
      </c>
      <c r="BL99" s="147" t="str">
        <f t="shared" si="43"/>
        <v/>
      </c>
      <c r="BM99" s="148" t="str">
        <f t="shared" si="59"/>
        <v/>
      </c>
      <c r="BN99" s="147" t="str">
        <f t="shared" si="60"/>
        <v/>
      </c>
      <c r="BO99" s="147" t="str">
        <f t="shared" si="60"/>
        <v/>
      </c>
      <c r="BP99" s="147" t="str">
        <f t="shared" si="61"/>
        <v/>
      </c>
      <c r="BQ99" s="148" t="str">
        <f t="shared" si="62"/>
        <v/>
      </c>
      <c r="BR99" s="148" t="str">
        <f t="shared" si="63"/>
        <v/>
      </c>
      <c r="BS99" s="148" t="str">
        <f t="shared" si="64"/>
        <v/>
      </c>
      <c r="BT99" s="148" t="str">
        <f t="shared" si="44"/>
        <v/>
      </c>
      <c r="BU99" s="148" t="str">
        <f t="shared" si="45"/>
        <v/>
      </c>
      <c r="BV99" s="148" t="str">
        <f t="shared" si="46"/>
        <v/>
      </c>
      <c r="BW99" s="148" t="str">
        <f t="shared" si="47"/>
        <v/>
      </c>
      <c r="BX99" s="148" t="str">
        <f t="shared" si="48"/>
        <v/>
      </c>
      <c r="BY99" s="148" t="str">
        <f t="shared" si="49"/>
        <v/>
      </c>
      <c r="BZ99" s="149" t="str">
        <f>IFERROR(INDEX('Prescriptive Rebate Table'!$B$2:$E$64,MATCH(O99,'Prescriptive Rebate Table'!$C$2:$C$64,0),3),"")</f>
        <v/>
      </c>
      <c r="CA99" s="145" t="str">
        <f>IFERROR(INDEX('Prescriptive Rebate Table'!$B$2:$E$64,MATCH(O99,'Prescriptive Rebate Table'!$C$2:$C$64,0),4),"")</f>
        <v/>
      </c>
      <c r="CB99" s="149" t="str">
        <f t="shared" si="65"/>
        <v/>
      </c>
      <c r="CC99" s="145" t="str">
        <f t="shared" si="66"/>
        <v/>
      </c>
      <c r="CD99" s="149" t="str">
        <f t="shared" si="50"/>
        <v/>
      </c>
      <c r="CE99" s="149" t="str">
        <f t="shared" si="51"/>
        <v/>
      </c>
      <c r="CF99" s="149" t="str">
        <f>IF(BK99&lt;=0,0,IFERROR(IF(OR(ISBLANK(AC99),ISBLANK(CD99))=TRUE,"",IF(CA99="Per Foot",INDEX('Fixture Codes'!$I$8:$I$976,MATCH(AD99,'Fixture Codes'!$B$8:$B$976,0))/12*AF99*BZ99,IF(CA99="Lamp",INDEX('Fixture Codes'!$J$8:$J$976,MATCH(AD99,'Fixture Codes'!$B$8:$B$976,0))*AF99*BZ99,IF(CA99="Fixture",AF99*BZ99,IF(CA99="kWh",BK99*BZ99,0))))),""))</f>
        <v/>
      </c>
      <c r="CG99" s="149" t="str">
        <f t="shared" si="67"/>
        <v/>
      </c>
      <c r="CH99" s="149" t="str">
        <f t="shared" si="68"/>
        <v/>
      </c>
      <c r="CI99" s="152"/>
      <c r="CJ99" s="146"/>
      <c r="CK99" s="241">
        <f>IFERROR(IF(CL99="Yes",'Prescriptive Rebate Table'!$D$69,IF(ISBLANK(AI99),0,IF(AND(AH99=Lookups!$A$62,BK99&gt;0),'Prescriptive Rebate Table'!$D$68,IF(AND(BK99&gt;0,CJ99=AF99),'Prescriptive Rebate Table'!$D$67,IF(AND(BK99&gt;0,CJ99&lt;&gt;AF99),'Prescriptive Rebate Table'!D158,0))))),"")</f>
        <v>0</v>
      </c>
      <c r="CL99" s="240" t="s">
        <v>2712</v>
      </c>
      <c r="CM99" s="152"/>
      <c r="CN99" s="152"/>
      <c r="CO99" s="152"/>
      <c r="CP99" s="146">
        <f t="shared" si="52"/>
        <v>0</v>
      </c>
      <c r="CQ99" s="153">
        <f>IF(D99="Interior",ROUND(($AG99*AF99)/1000*$AM99*(Lookups!$B$54-$AA99)*$AN99*$AO99,3),0)</f>
        <v>0</v>
      </c>
      <c r="CR99" s="153">
        <f>IFERROR(IF(D99="Interior",ROUND(($AG99*$AF99)/1000*(Lookups!$C$54-$AB99)*$AN99*AQ99*AT99,6),0),"")</f>
        <v>0</v>
      </c>
      <c r="CS99" s="165">
        <f t="shared" si="69"/>
        <v>0</v>
      </c>
      <c r="CT99" s="165">
        <f t="shared" si="70"/>
        <v>0</v>
      </c>
      <c r="CV99" s="153"/>
      <c r="CW99" s="153"/>
      <c r="CX99" s="165"/>
      <c r="CY99" s="165"/>
      <c r="DA99" s="153">
        <f>IF(D99="Interior",ROUND(($AG99*AF99*(1-0.15))/1000*$AM99*(Lookups!$B$43+0.097-$AA99)*$AN99*$AO99+((W99*V99)/1000*AN99*AM99*AO99*0.15),3),0)</f>
        <v>0</v>
      </c>
      <c r="DB99" s="153">
        <f>IFERROR(IF(D99="Interior",ROUND(($AG99*$AF99)/1000*(Lookups!$C$43+0.097-$AB99)*$AN99*AQ99*AT99+(($AG99*$AF99)/1000*$AN99*AQ99*AT99*0.15),6),0),"")</f>
        <v>0</v>
      </c>
      <c r="DC99" s="165">
        <f t="shared" si="53"/>
        <v>0</v>
      </c>
      <c r="DD99" s="165">
        <f t="shared" si="54"/>
        <v>0</v>
      </c>
    </row>
    <row r="100" spans="1:108" s="164" customFormat="1">
      <c r="A100" s="150">
        <v>96</v>
      </c>
      <c r="B100" s="153" t="str">
        <f>IFERROR(INDEX(Lookups!$B$2:$B$38,MATCH('Project Info &amp; Summary'!$C$19,Lookups!$A$2:$A$38,0)),"")</f>
        <v/>
      </c>
      <c r="C100" s="153" t="str">
        <f>IFERROR(INDEX(Lookups!$C$2:$C$38,MATCH('Project Info &amp; Summary'!$C$19,Lookups!$A$2:$A$38,0)),"")</f>
        <v/>
      </c>
      <c r="D100" s="163"/>
      <c r="E100" s="160"/>
      <c r="F100" s="158"/>
      <c r="G100" s="158"/>
      <c r="H100" s="158"/>
      <c r="I100" s="158"/>
      <c r="J100" s="154" t="str">
        <f>IFERROR(INDEX(Lookups!$W$21:$W$26,MATCH(I100,Lookups!$V$21:$V$26,0)),"")</f>
        <v/>
      </c>
      <c r="K100" s="158"/>
      <c r="L100" s="162" t="str">
        <f>IFERROR(INDEX(Lookups!$Y$2:$Y$19,MATCH(_xlfn.CONCAT(I100,K100),Lookups!$X$2:$X$19,0)),"")</f>
        <v/>
      </c>
      <c r="M100" s="158"/>
      <c r="N100" s="153" t="str">
        <f>IFERROR(INDEX('Prescriptive Rebate Table'!$M$3:$M$20,MATCH(M100,'Prescriptive Rebate Table'!$L$3:$L$20,0)),"")</f>
        <v/>
      </c>
      <c r="O100" s="158"/>
      <c r="P100" s="154" t="str">
        <f>IFERROR(INDEX('Prescriptive Rebate Table'!$B$2:$H$64, MATCH(O100,'Prescriptive Rebate Table'!$C$2:$C$64,0),7),"")</f>
        <v/>
      </c>
      <c r="Q100" s="155" t="str">
        <f>IFERROR(INDEX('Prescriptive Rebate Table'!$B$2:$I$64, MATCH(O100,'Prescriptive Rebate Table'!$C$2:$C$64,0),8),"")</f>
        <v/>
      </c>
      <c r="R100" s="155" t="str">
        <f>IFERROR(INDEX('Prescriptive Rebate Table'!$B$2:$J$64, MATCH(O100,'Prescriptive Rebate Table'!$C$2:$C$64,0),9),"")</f>
        <v/>
      </c>
      <c r="S100" s="160"/>
      <c r="T100" s="145" t="str">
        <f>IFERROR(INDEX('Fixture Codes'!$M$8:$M$976,MATCH(S100,'Fixture Codes'!$B$8:$B$976,0)),"")</f>
        <v/>
      </c>
      <c r="U100" s="145" t="str">
        <f>IFERROR(INDEX('Fixture Codes'!$B$7:$M$976,MATCH(T100,'Fixture Codes'!$B$7:$B$976,0),5),"")</f>
        <v/>
      </c>
      <c r="V100" s="160"/>
      <c r="W100" s="145" t="str">
        <f>IFERROR(INDEX('Fixture Codes'!$L$8:$L$976,MATCH(T100,'Fixture Codes'!$B$8:$B$976,0)),"")</f>
        <v/>
      </c>
      <c r="X100" s="158"/>
      <c r="Y100" s="159"/>
      <c r="Z100" s="155" t="str">
        <f>IFERROR(INDEX(Lookups!B$68:B$87,MATCH($X100,Lookups!$A$68:$A$87,0)),"")</f>
        <v/>
      </c>
      <c r="AA100" s="150" t="str">
        <f>IFERROR(INDEX(Lookups!B$42:B$62,MATCH($X100,Lookups!$A$42:$A$62,0)),"")</f>
        <v/>
      </c>
      <c r="AB100" s="150" t="str">
        <f>IFERROR(INDEX(Lookups!C$42:C$62,MATCH($X100,Lookups!$A$42:$A$62,0)),"")</f>
        <v/>
      </c>
      <c r="AC100" s="160"/>
      <c r="AD100" s="160"/>
      <c r="AE100" s="150" t="str">
        <f>IFERROR(INDEX('Fixture Codes'!$B$7:$M$976,MATCH(AD100,'Fixture Codes'!$B$7:$B$976,0),5),"")</f>
        <v/>
      </c>
      <c r="AF100" s="160"/>
      <c r="AG100" s="145" t="str">
        <f>IFERROR(INDEX('Fixture Codes'!$L$8:$L$976,MATCH(AD100,'Fixture Codes'!$B$8:$B$976,0)),"")</f>
        <v/>
      </c>
      <c r="AH100" s="158"/>
      <c r="AI100" s="160"/>
      <c r="AJ100" s="150" t="str">
        <f>IFERROR(INDEX(Lookups!B$68:B$87,MATCH($AH100,Lookups!$A$68:$A$87,0)),"")</f>
        <v/>
      </c>
      <c r="AK100" s="150" t="str">
        <f>IFERROR(INDEX(Lookups!B$42:B$62,MATCH($AH100,Lookups!$A$42:$A$62,0)),"")</f>
        <v/>
      </c>
      <c r="AL100" s="150" t="str">
        <f>IFERROR(INDEX(Lookups!C$42:C$62,MATCH($AH100,Lookups!$A$42:$A$62,0)),"")</f>
        <v/>
      </c>
      <c r="AM100" s="150" t="str">
        <f>IFERROR(IF(M100="Exit Signs",8760,IF(INDEX('Fixture Codes'!$C$8:$C$976,MATCH(AD100,'Fixture Codes'!$B$8:$B$976,0))="Exit Sign",8760,INDEX(Lookups!$I$2:$I$428,MATCH(_xlfn.CONCAT(B100,H100),Lookups!$H$2:$H$428,0)))),"")</f>
        <v/>
      </c>
      <c r="AN100" s="153">
        <v>1</v>
      </c>
      <c r="AO100" s="150" t="str">
        <f>IF($D100="Interior",INDEX(Lookups!Q$2:Q$86,MATCH(_xlfn.CONCAT($C100,$L100),Lookups!$P$2:$P$86,0)),IF($D100="Exterior",1,""))</f>
        <v/>
      </c>
      <c r="AP100" s="150">
        <f t="shared" si="55"/>
        <v>1</v>
      </c>
      <c r="AQ100" s="150" t="str">
        <f>IF($D100="Interior",INDEX(Lookups!R$2:R$86,MATCH(_xlfn.CONCAT($C100,$L100),Lookups!$P$2:$P$86,0)),IF($D100="Exterior",1,""))</f>
        <v/>
      </c>
      <c r="AR100" s="150" t="str">
        <f>IF($D100="Interior",INDEX(Lookups!S$2:S$86,MATCH(_xlfn.CONCAT($C100,$L100),Lookups!$P$2:$P$86,0)),IF($D100="Exterior",1,""))</f>
        <v/>
      </c>
      <c r="AS100" s="150" t="str">
        <f>IF($D100="Interior",INDEX(Lookups!T$2:T$86,MATCH(_xlfn.CONCAT($C100,$L100),Lookups!$P$2:$P$86,0)),IF($D100="Exterior",1,""))</f>
        <v/>
      </c>
      <c r="AT100" s="150" t="str">
        <f>IFERROR(IF(M100="Exit Signs",1,IF(INDEX('Fixture Codes'!$C$8:$C$976,MATCH($AD100,'Fixture Codes'!$B$8:$B$976,0))="Exit Sign",1,INDEX(Lookups!J$2:J$428,MATCH(_xlfn.CONCAT($B100,$H100),Lookups!$H$2:$H$428,0)))),"")</f>
        <v/>
      </c>
      <c r="AU100" s="150" t="str">
        <f>IFERROR(IF(M100="Exit Signs",1,IF(INDEX('Fixture Codes'!$C$8:$C$976,MATCH($AD100,'Fixture Codes'!$B$8:$B$976,0))="Exit Sign",1,INDEX(Lookups!K$2:K$428,MATCH(_xlfn.CONCAT($B100,$H100),Lookups!$H$2:$H$428,0)))),"")</f>
        <v/>
      </c>
      <c r="AV100" s="150" t="str">
        <f>IFERROR(IF(M100="Exit Signs",1,IF(INDEX('Fixture Codes'!$C$8:$C$976,MATCH($AD100,'Fixture Codes'!$B$8:$B$976,0))="Exit Sign",1,INDEX(Lookups!L$2:L$428,MATCH(_xlfn.CONCAT($B100,$H100),Lookups!$H$2:$H$428,0)))),"")</f>
        <v/>
      </c>
      <c r="AW100" s="150" t="str">
        <f>IF(ISBLANK(K100),"",IF(K100="Gas",INDEX(Lookups!$AG$2:$AG$63,MATCH(O100,Lookups!$AD$2:$AD$63,0),0),0))</f>
        <v/>
      </c>
      <c r="AX100" s="150" t="str">
        <f>IF(ISBLANK(K100),"",IF(K100="Gas",INDEX(Lookups!$AF$2:$AF$63,MATCH(O100,Lookups!$AD$2:$AD$63,0),0),0))</f>
        <v/>
      </c>
      <c r="AY100" s="150" t="str">
        <f>IF(ISBLANK(K100),"",IF(K100="Gas",INDEX(Lookups!$AH$2:$AH$63,MATCH(O100,Lookups!$AD$2:$AD$63,0),0),0))</f>
        <v/>
      </c>
      <c r="AZ100" s="150" t="str">
        <f>IF(ISBLANK(K100),"",IF(K100="Gas",INDEX(Lookups!$AI$2:$AI$63,MATCH(O100,Lookups!$AD$2:$AD$63,0),0),0))</f>
        <v/>
      </c>
      <c r="BA100" s="150" t="str">
        <f t="shared" si="40"/>
        <v/>
      </c>
      <c r="BB100" s="156" t="str">
        <f>IF(ISBLANK(AH100),"",IF(AH100="None",0,IF(K100="Gas",INDEX(Lookups!$AF$51:$AF$69,MATCH(AH100,Lookups!$AD$51:$AD$69,0),0),0)))</f>
        <v/>
      </c>
      <c r="BC100" s="156" t="str">
        <f>IF(ISBLANK(AH100),"",IF(AH100="None",0,IF(K100="Gas",INDEX(Lookups!$AH$51:$AH$69,MATCH(AH100,Lookups!$AD$51:$AD$69,0),0),0)))</f>
        <v/>
      </c>
      <c r="BD100" s="156" t="str">
        <f>IF(ISBLANK(AH100),"",IF(AH100="None",0,IF(K100="Gas",INDEX(Lookups!$AI$51:$AI$69,MATCH(AH100,Lookups!$AD$51:$AD$69,0),0),0)))</f>
        <v/>
      </c>
      <c r="BE100" s="157"/>
      <c r="BF100" s="157"/>
      <c r="BG100" s="147" t="str">
        <f t="shared" si="56"/>
        <v/>
      </c>
      <c r="BH100" s="147" t="str">
        <f t="shared" si="57"/>
        <v/>
      </c>
      <c r="BI100" s="147" t="str">
        <f t="shared" si="41"/>
        <v/>
      </c>
      <c r="BJ100" s="147" t="str">
        <f t="shared" si="42"/>
        <v/>
      </c>
      <c r="BK100" s="148" t="str">
        <f t="shared" si="58"/>
        <v/>
      </c>
      <c r="BL100" s="147" t="str">
        <f t="shared" si="43"/>
        <v/>
      </c>
      <c r="BM100" s="148" t="str">
        <f t="shared" si="59"/>
        <v/>
      </c>
      <c r="BN100" s="147" t="str">
        <f t="shared" si="60"/>
        <v/>
      </c>
      <c r="BO100" s="147" t="str">
        <f t="shared" si="60"/>
        <v/>
      </c>
      <c r="BP100" s="147" t="str">
        <f t="shared" si="61"/>
        <v/>
      </c>
      <c r="BQ100" s="148" t="str">
        <f t="shared" si="62"/>
        <v/>
      </c>
      <c r="BR100" s="148" t="str">
        <f t="shared" si="63"/>
        <v/>
      </c>
      <c r="BS100" s="148" t="str">
        <f t="shared" si="64"/>
        <v/>
      </c>
      <c r="BT100" s="148" t="str">
        <f t="shared" si="44"/>
        <v/>
      </c>
      <c r="BU100" s="148" t="str">
        <f t="shared" si="45"/>
        <v/>
      </c>
      <c r="BV100" s="148" t="str">
        <f t="shared" si="46"/>
        <v/>
      </c>
      <c r="BW100" s="148" t="str">
        <f t="shared" si="47"/>
        <v/>
      </c>
      <c r="BX100" s="148" t="str">
        <f t="shared" si="48"/>
        <v/>
      </c>
      <c r="BY100" s="148" t="str">
        <f t="shared" si="49"/>
        <v/>
      </c>
      <c r="BZ100" s="149" t="str">
        <f>IFERROR(INDEX('Prescriptive Rebate Table'!$B$2:$E$64,MATCH(O100,'Prescriptive Rebate Table'!$C$2:$C$64,0),3),"")</f>
        <v/>
      </c>
      <c r="CA100" s="145" t="str">
        <f>IFERROR(INDEX('Prescriptive Rebate Table'!$B$2:$E$64,MATCH(O100,'Prescriptive Rebate Table'!$C$2:$C$64,0),4),"")</f>
        <v/>
      </c>
      <c r="CB100" s="149" t="str">
        <f t="shared" si="65"/>
        <v/>
      </c>
      <c r="CC100" s="145" t="str">
        <f t="shared" si="66"/>
        <v/>
      </c>
      <c r="CD100" s="149" t="str">
        <f t="shared" si="50"/>
        <v/>
      </c>
      <c r="CE100" s="149" t="str">
        <f t="shared" si="51"/>
        <v/>
      </c>
      <c r="CF100" s="149" t="str">
        <f>IF(BK100&lt;=0,0,IFERROR(IF(OR(ISBLANK(AC100),ISBLANK(CD100))=TRUE,"",IF(CA100="Per Foot",INDEX('Fixture Codes'!$I$8:$I$976,MATCH(AD100,'Fixture Codes'!$B$8:$B$976,0))/12*AF100*BZ100,IF(CA100="Lamp",INDEX('Fixture Codes'!$J$8:$J$976,MATCH(AD100,'Fixture Codes'!$B$8:$B$976,0))*AF100*BZ100,IF(CA100="Fixture",AF100*BZ100,IF(CA100="kWh",BK100*BZ100,0))))),""))</f>
        <v/>
      </c>
      <c r="CG100" s="149" t="str">
        <f t="shared" si="67"/>
        <v/>
      </c>
      <c r="CH100" s="149" t="str">
        <f t="shared" si="68"/>
        <v/>
      </c>
      <c r="CI100" s="152"/>
      <c r="CJ100" s="146"/>
      <c r="CK100" s="241">
        <f>IFERROR(IF(CL100="Yes",'Prescriptive Rebate Table'!$D$69,IF(ISBLANK(AI100),0,IF(AND(AH100=Lookups!$A$62,BK100&gt;0),'Prescriptive Rebate Table'!$D$68,IF(AND(BK100&gt;0,CJ100=AF100),'Prescriptive Rebate Table'!$D$67,IF(AND(BK100&gt;0,CJ100&lt;&gt;AF100),'Prescriptive Rebate Table'!D159,0))))),"")</f>
        <v>0</v>
      </c>
      <c r="CL100" s="240" t="s">
        <v>2712</v>
      </c>
      <c r="CM100" s="152"/>
      <c r="CN100" s="152"/>
      <c r="CO100" s="152"/>
      <c r="CP100" s="146">
        <f t="shared" si="52"/>
        <v>0</v>
      </c>
      <c r="CQ100" s="153">
        <f>IF(D100="Interior",ROUND(($AG100*AF100)/1000*$AM100*(Lookups!$B$54-$AA100)*$AN100*$AO100,3),0)</f>
        <v>0</v>
      </c>
      <c r="CR100" s="153">
        <f>IFERROR(IF(D100="Interior",ROUND(($AG100*$AF100)/1000*(Lookups!$C$54-$AB100)*$AN100*AQ100*AT100,6),0),"")</f>
        <v>0</v>
      </c>
      <c r="CS100" s="165">
        <f t="shared" si="69"/>
        <v>0</v>
      </c>
      <c r="CT100" s="165">
        <f t="shared" si="70"/>
        <v>0</v>
      </c>
      <c r="CV100" s="153"/>
      <c r="CW100" s="153"/>
      <c r="CX100" s="165"/>
      <c r="CY100" s="165"/>
      <c r="DA100" s="153">
        <f>IF(D100="Interior",ROUND(($AG100*AF100*(1-0.15))/1000*$AM100*(Lookups!$B$43+0.097-$AA100)*$AN100*$AO100+((W100*V100)/1000*AN100*AM100*AO100*0.15),3),0)</f>
        <v>0</v>
      </c>
      <c r="DB100" s="153">
        <f>IFERROR(IF(D100="Interior",ROUND(($AG100*$AF100)/1000*(Lookups!$C$43+0.097-$AB100)*$AN100*AQ100*AT100+(($AG100*$AF100)/1000*$AN100*AQ100*AT100*0.15),6),0),"")</f>
        <v>0</v>
      </c>
      <c r="DC100" s="165">
        <f t="shared" si="53"/>
        <v>0</v>
      </c>
      <c r="DD100" s="165">
        <f t="shared" si="54"/>
        <v>0</v>
      </c>
    </row>
    <row r="101" spans="1:108" s="164" customFormat="1">
      <c r="A101" s="150">
        <v>97</v>
      </c>
      <c r="B101" s="153" t="str">
        <f>IFERROR(INDEX(Lookups!$B$2:$B$38,MATCH('Project Info &amp; Summary'!$C$19,Lookups!$A$2:$A$38,0)),"")</f>
        <v/>
      </c>
      <c r="C101" s="153" t="str">
        <f>IFERROR(INDEX(Lookups!$C$2:$C$38,MATCH('Project Info &amp; Summary'!$C$19,Lookups!$A$2:$A$38,0)),"")</f>
        <v/>
      </c>
      <c r="D101" s="163"/>
      <c r="E101" s="160"/>
      <c r="F101" s="158"/>
      <c r="G101" s="158"/>
      <c r="H101" s="158"/>
      <c r="I101" s="158"/>
      <c r="J101" s="154" t="str">
        <f>IFERROR(INDEX(Lookups!$W$21:$W$26,MATCH(I101,Lookups!$V$21:$V$26,0)),"")</f>
        <v/>
      </c>
      <c r="K101" s="158"/>
      <c r="L101" s="162" t="str">
        <f>IFERROR(INDEX(Lookups!$Y$2:$Y$19,MATCH(_xlfn.CONCAT(I101,K101),Lookups!$X$2:$X$19,0)),"")</f>
        <v/>
      </c>
      <c r="M101" s="158"/>
      <c r="N101" s="153" t="str">
        <f>IFERROR(INDEX('Prescriptive Rebate Table'!$M$3:$M$20,MATCH(M101,'Prescriptive Rebate Table'!$L$3:$L$20,0)),"")</f>
        <v/>
      </c>
      <c r="O101" s="158"/>
      <c r="P101" s="154" t="str">
        <f>IFERROR(INDEX('Prescriptive Rebate Table'!$B$2:$H$64, MATCH(O101,'Prescriptive Rebate Table'!$C$2:$C$64,0),7),"")</f>
        <v/>
      </c>
      <c r="Q101" s="155" t="str">
        <f>IFERROR(INDEX('Prescriptive Rebate Table'!$B$2:$I$64, MATCH(O101,'Prescriptive Rebate Table'!$C$2:$C$64,0),8),"")</f>
        <v/>
      </c>
      <c r="R101" s="155" t="str">
        <f>IFERROR(INDEX('Prescriptive Rebate Table'!$B$2:$J$64, MATCH(O101,'Prescriptive Rebate Table'!$C$2:$C$64,0),9),"")</f>
        <v/>
      </c>
      <c r="S101" s="160"/>
      <c r="T101" s="145" t="str">
        <f>IFERROR(INDEX('Fixture Codes'!$M$8:$M$976,MATCH(S101,'Fixture Codes'!$B$8:$B$976,0)),"")</f>
        <v/>
      </c>
      <c r="U101" s="145" t="str">
        <f>IFERROR(INDEX('Fixture Codes'!$B$7:$M$976,MATCH(T101,'Fixture Codes'!$B$7:$B$976,0),5),"")</f>
        <v/>
      </c>
      <c r="V101" s="160"/>
      <c r="W101" s="145" t="str">
        <f>IFERROR(INDEX('Fixture Codes'!$L$8:$L$976,MATCH(T101,'Fixture Codes'!$B$8:$B$976,0)),"")</f>
        <v/>
      </c>
      <c r="X101" s="158"/>
      <c r="Y101" s="159"/>
      <c r="Z101" s="155" t="str">
        <f>IFERROR(INDEX(Lookups!B$68:B$87,MATCH($X101,Lookups!$A$68:$A$87,0)),"")</f>
        <v/>
      </c>
      <c r="AA101" s="150" t="str">
        <f>IFERROR(INDEX(Lookups!B$42:B$62,MATCH($X101,Lookups!$A$42:$A$62,0)),"")</f>
        <v/>
      </c>
      <c r="AB101" s="150" t="str">
        <f>IFERROR(INDEX(Lookups!C$42:C$62,MATCH($X101,Lookups!$A$42:$A$62,0)),"")</f>
        <v/>
      </c>
      <c r="AC101" s="160"/>
      <c r="AD101" s="160"/>
      <c r="AE101" s="150" t="str">
        <f>IFERROR(INDEX('Fixture Codes'!$B$7:$M$976,MATCH(AD101,'Fixture Codes'!$B$7:$B$976,0),5),"")</f>
        <v/>
      </c>
      <c r="AF101" s="160"/>
      <c r="AG101" s="145" t="str">
        <f>IFERROR(INDEX('Fixture Codes'!$L$8:$L$976,MATCH(AD101,'Fixture Codes'!$B$8:$B$976,0)),"")</f>
        <v/>
      </c>
      <c r="AH101" s="158"/>
      <c r="AI101" s="160"/>
      <c r="AJ101" s="150" t="str">
        <f>IFERROR(INDEX(Lookups!B$68:B$87,MATCH($AH101,Lookups!$A$68:$A$87,0)),"")</f>
        <v/>
      </c>
      <c r="AK101" s="150" t="str">
        <f>IFERROR(INDEX(Lookups!B$42:B$62,MATCH($AH101,Lookups!$A$42:$A$62,0)),"")</f>
        <v/>
      </c>
      <c r="AL101" s="150" t="str">
        <f>IFERROR(INDEX(Lookups!C$42:C$62,MATCH($AH101,Lookups!$A$42:$A$62,0)),"")</f>
        <v/>
      </c>
      <c r="AM101" s="150" t="str">
        <f>IFERROR(IF(M101="Exit Signs",8760,IF(INDEX('Fixture Codes'!$C$8:$C$976,MATCH(AD101,'Fixture Codes'!$B$8:$B$976,0))="Exit Sign",8760,INDEX(Lookups!$I$2:$I$428,MATCH(_xlfn.CONCAT(B101,H101),Lookups!$H$2:$H$428,0)))),"")</f>
        <v/>
      </c>
      <c r="AN101" s="153">
        <v>1</v>
      </c>
      <c r="AO101" s="150" t="str">
        <f>IF($D101="Interior",INDEX(Lookups!Q$2:Q$86,MATCH(_xlfn.CONCAT($C101,$L101),Lookups!$P$2:$P$86,0)),IF($D101="Exterior",1,""))</f>
        <v/>
      </c>
      <c r="AP101" s="150">
        <f t="shared" si="55"/>
        <v>1</v>
      </c>
      <c r="AQ101" s="150" t="str">
        <f>IF($D101="Interior",INDEX(Lookups!R$2:R$86,MATCH(_xlfn.CONCAT($C101,$L101),Lookups!$P$2:$P$86,0)),IF($D101="Exterior",1,""))</f>
        <v/>
      </c>
      <c r="AR101" s="150" t="str">
        <f>IF($D101="Interior",INDEX(Lookups!S$2:S$86,MATCH(_xlfn.CONCAT($C101,$L101),Lookups!$P$2:$P$86,0)),IF($D101="Exterior",1,""))</f>
        <v/>
      </c>
      <c r="AS101" s="150" t="str">
        <f>IF($D101="Interior",INDEX(Lookups!T$2:T$86,MATCH(_xlfn.CONCAT($C101,$L101),Lookups!$P$2:$P$86,0)),IF($D101="Exterior",1,""))</f>
        <v/>
      </c>
      <c r="AT101" s="150" t="str">
        <f>IFERROR(IF(M101="Exit Signs",1,IF(INDEX('Fixture Codes'!$C$8:$C$976,MATCH($AD101,'Fixture Codes'!$B$8:$B$976,0))="Exit Sign",1,INDEX(Lookups!J$2:J$428,MATCH(_xlfn.CONCAT($B101,$H101),Lookups!$H$2:$H$428,0)))),"")</f>
        <v/>
      </c>
      <c r="AU101" s="150" t="str">
        <f>IFERROR(IF(M101="Exit Signs",1,IF(INDEX('Fixture Codes'!$C$8:$C$976,MATCH($AD101,'Fixture Codes'!$B$8:$B$976,0))="Exit Sign",1,INDEX(Lookups!K$2:K$428,MATCH(_xlfn.CONCAT($B101,$H101),Lookups!$H$2:$H$428,0)))),"")</f>
        <v/>
      </c>
      <c r="AV101" s="150" t="str">
        <f>IFERROR(IF(M101="Exit Signs",1,IF(INDEX('Fixture Codes'!$C$8:$C$976,MATCH($AD101,'Fixture Codes'!$B$8:$B$976,0))="Exit Sign",1,INDEX(Lookups!L$2:L$428,MATCH(_xlfn.CONCAT($B101,$H101),Lookups!$H$2:$H$428,0)))),"")</f>
        <v/>
      </c>
      <c r="AW101" s="150" t="str">
        <f>IF(ISBLANK(K101),"",IF(K101="Gas",INDEX(Lookups!$AG$2:$AG$63,MATCH(O101,Lookups!$AD$2:$AD$63,0),0),0))</f>
        <v/>
      </c>
      <c r="AX101" s="150" t="str">
        <f>IF(ISBLANK(K101),"",IF(K101="Gas",INDEX(Lookups!$AF$2:$AF$63,MATCH(O101,Lookups!$AD$2:$AD$63,0),0),0))</f>
        <v/>
      </c>
      <c r="AY101" s="150" t="str">
        <f>IF(ISBLANK(K101),"",IF(K101="Gas",INDEX(Lookups!$AH$2:$AH$63,MATCH(O101,Lookups!$AD$2:$AD$63,0),0),0))</f>
        <v/>
      </c>
      <c r="AZ101" s="150" t="str">
        <f>IF(ISBLANK(K101),"",IF(K101="Gas",INDEX(Lookups!$AI$2:$AI$63,MATCH(O101,Lookups!$AD$2:$AD$63,0),0),0))</f>
        <v/>
      </c>
      <c r="BA101" s="150" t="str">
        <f t="shared" si="40"/>
        <v/>
      </c>
      <c r="BB101" s="156" t="str">
        <f>IF(ISBLANK(AH101),"",IF(AH101="None",0,IF(K101="Gas",INDEX(Lookups!$AF$51:$AF$69,MATCH(AH101,Lookups!$AD$51:$AD$69,0),0),0)))</f>
        <v/>
      </c>
      <c r="BC101" s="156" t="str">
        <f>IF(ISBLANK(AH101),"",IF(AH101="None",0,IF(K101="Gas",INDEX(Lookups!$AH$51:$AH$69,MATCH(AH101,Lookups!$AD$51:$AD$69,0),0),0)))</f>
        <v/>
      </c>
      <c r="BD101" s="156" t="str">
        <f>IF(ISBLANK(AH101),"",IF(AH101="None",0,IF(K101="Gas",INDEX(Lookups!$AI$51:$AI$69,MATCH(AH101,Lookups!$AD$51:$AD$69,0),0),0)))</f>
        <v/>
      </c>
      <c r="BE101" s="157"/>
      <c r="BF101" s="157"/>
      <c r="BG101" s="147" t="str">
        <f t="shared" si="56"/>
        <v/>
      </c>
      <c r="BH101" s="147" t="str">
        <f t="shared" si="57"/>
        <v/>
      </c>
      <c r="BI101" s="147" t="str">
        <f t="shared" si="41"/>
        <v/>
      </c>
      <c r="BJ101" s="147" t="str">
        <f t="shared" si="42"/>
        <v/>
      </c>
      <c r="BK101" s="148" t="str">
        <f t="shared" si="58"/>
        <v/>
      </c>
      <c r="BL101" s="147" t="str">
        <f t="shared" si="43"/>
        <v/>
      </c>
      <c r="BM101" s="148" t="str">
        <f t="shared" si="59"/>
        <v/>
      </c>
      <c r="BN101" s="147" t="str">
        <f t="shared" si="60"/>
        <v/>
      </c>
      <c r="BO101" s="147" t="str">
        <f t="shared" si="60"/>
        <v/>
      </c>
      <c r="BP101" s="147" t="str">
        <f t="shared" si="61"/>
        <v/>
      </c>
      <c r="BQ101" s="148" t="str">
        <f t="shared" si="62"/>
        <v/>
      </c>
      <c r="BR101" s="148" t="str">
        <f t="shared" si="63"/>
        <v/>
      </c>
      <c r="BS101" s="148" t="str">
        <f t="shared" si="64"/>
        <v/>
      </c>
      <c r="BT101" s="148" t="str">
        <f t="shared" si="44"/>
        <v/>
      </c>
      <c r="BU101" s="148" t="str">
        <f t="shared" si="45"/>
        <v/>
      </c>
      <c r="BV101" s="148" t="str">
        <f t="shared" si="46"/>
        <v/>
      </c>
      <c r="BW101" s="148" t="str">
        <f t="shared" si="47"/>
        <v/>
      </c>
      <c r="BX101" s="148" t="str">
        <f t="shared" si="48"/>
        <v/>
      </c>
      <c r="BY101" s="148" t="str">
        <f t="shared" si="49"/>
        <v/>
      </c>
      <c r="BZ101" s="149" t="str">
        <f>IFERROR(INDEX('Prescriptive Rebate Table'!$B$2:$E$64,MATCH(O101,'Prescriptive Rebate Table'!$C$2:$C$64,0),3),"")</f>
        <v/>
      </c>
      <c r="CA101" s="145" t="str">
        <f>IFERROR(INDEX('Prescriptive Rebate Table'!$B$2:$E$64,MATCH(O101,'Prescriptive Rebate Table'!$C$2:$C$64,0),4),"")</f>
        <v/>
      </c>
      <c r="CB101" s="149" t="str">
        <f t="shared" si="65"/>
        <v/>
      </c>
      <c r="CC101" s="145" t="str">
        <f t="shared" si="66"/>
        <v/>
      </c>
      <c r="CD101" s="149" t="str">
        <f t="shared" si="50"/>
        <v/>
      </c>
      <c r="CE101" s="149" t="str">
        <f t="shared" si="51"/>
        <v/>
      </c>
      <c r="CF101" s="149" t="str">
        <f>IF(BK101&lt;=0,0,IFERROR(IF(OR(ISBLANK(AC101),ISBLANK(CD101))=TRUE,"",IF(CA101="Per Foot",INDEX('Fixture Codes'!$I$8:$I$976,MATCH(AD101,'Fixture Codes'!$B$8:$B$976,0))/12*AF101*BZ101,IF(CA101="Lamp",INDEX('Fixture Codes'!$J$8:$J$976,MATCH(AD101,'Fixture Codes'!$B$8:$B$976,0))*AF101*BZ101,IF(CA101="Fixture",AF101*BZ101,IF(CA101="kWh",BK101*BZ101,0))))),""))</f>
        <v/>
      </c>
      <c r="CG101" s="149" t="str">
        <f t="shared" si="67"/>
        <v/>
      </c>
      <c r="CH101" s="149" t="str">
        <f t="shared" si="68"/>
        <v/>
      </c>
      <c r="CI101" s="152"/>
      <c r="CJ101" s="146"/>
      <c r="CK101" s="241">
        <f>IFERROR(IF(CL101="Yes",'Prescriptive Rebate Table'!$D$69,IF(ISBLANK(AI101),0,IF(AND(AH101=Lookups!$A$62,BK101&gt;0),'Prescriptive Rebate Table'!$D$68,IF(AND(BK101&gt;0,CJ101=AF101),'Prescriptive Rebate Table'!$D$67,IF(AND(BK101&gt;0,CJ101&lt;&gt;AF101),'Prescriptive Rebate Table'!D160,0))))),"")</f>
        <v>0</v>
      </c>
      <c r="CL101" s="240" t="s">
        <v>2712</v>
      </c>
      <c r="CM101" s="152"/>
      <c r="CN101" s="152"/>
      <c r="CO101" s="152"/>
      <c r="CP101" s="146">
        <f t="shared" si="52"/>
        <v>0</v>
      </c>
      <c r="CQ101" s="153">
        <f>IF(D101="Interior",ROUND(($AG101*AF101)/1000*$AM101*(Lookups!$B$54-$AA101)*$AN101*$AO101,3),0)</f>
        <v>0</v>
      </c>
      <c r="CR101" s="153">
        <f>IFERROR(IF(D101="Interior",ROUND(($AG101*$AF101)/1000*(Lookups!$C$54-$AB101)*$AN101*AQ101*AT101,6),0),"")</f>
        <v>0</v>
      </c>
      <c r="CS101" s="165">
        <f t="shared" si="69"/>
        <v>0</v>
      </c>
      <c r="CT101" s="165">
        <f t="shared" si="70"/>
        <v>0</v>
      </c>
      <c r="CV101" s="153"/>
      <c r="CW101" s="153"/>
      <c r="CX101" s="165"/>
      <c r="CY101" s="165"/>
      <c r="DA101" s="153">
        <f>IF(D101="Interior",ROUND(($AG101*AF101*(1-0.15))/1000*$AM101*(Lookups!$B$43+0.097-$AA101)*$AN101*$AO101+((W101*V101)/1000*AN101*AM101*AO101*0.15),3),0)</f>
        <v>0</v>
      </c>
      <c r="DB101" s="153">
        <f>IFERROR(IF(D101="Interior",ROUND(($AG101*$AF101)/1000*(Lookups!$C$43+0.097-$AB101)*$AN101*AQ101*AT101+(($AG101*$AF101)/1000*$AN101*AQ101*AT101*0.15),6),0),"")</f>
        <v>0</v>
      </c>
      <c r="DC101" s="165">
        <f t="shared" ref="DC101:DC132" si="71">IFERROR(IF(D101="Interior",IF(AF101*AG101&gt;200,AF101*AG101*0.6,AF101*50),0),0)</f>
        <v>0</v>
      </c>
      <c r="DD101" s="165">
        <f t="shared" ref="DD101:DD132" si="72">IF(D101="Interior",AF101*49,0)</f>
        <v>0</v>
      </c>
    </row>
    <row r="102" spans="1:108" s="164" customFormat="1">
      <c r="A102" s="150">
        <v>98</v>
      </c>
      <c r="B102" s="153" t="str">
        <f>IFERROR(INDEX(Lookups!$B$2:$B$38,MATCH('Project Info &amp; Summary'!$C$19,Lookups!$A$2:$A$38,0)),"")</f>
        <v/>
      </c>
      <c r="C102" s="153" t="str">
        <f>IFERROR(INDEX(Lookups!$C$2:$C$38,MATCH('Project Info &amp; Summary'!$C$19,Lookups!$A$2:$A$38,0)),"")</f>
        <v/>
      </c>
      <c r="D102" s="163"/>
      <c r="E102" s="160"/>
      <c r="F102" s="158"/>
      <c r="G102" s="158"/>
      <c r="H102" s="158"/>
      <c r="I102" s="158"/>
      <c r="J102" s="154" t="str">
        <f>IFERROR(INDEX(Lookups!$W$21:$W$26,MATCH(I102,Lookups!$V$21:$V$26,0)),"")</f>
        <v/>
      </c>
      <c r="K102" s="158"/>
      <c r="L102" s="162" t="str">
        <f>IFERROR(INDEX(Lookups!$Y$2:$Y$19,MATCH(_xlfn.CONCAT(I102,K102),Lookups!$X$2:$X$19,0)),"")</f>
        <v/>
      </c>
      <c r="M102" s="158"/>
      <c r="N102" s="153" t="str">
        <f>IFERROR(INDEX('Prescriptive Rebate Table'!$M$3:$M$20,MATCH(M102,'Prescriptive Rebate Table'!$L$3:$L$20,0)),"")</f>
        <v/>
      </c>
      <c r="O102" s="158"/>
      <c r="P102" s="154" t="str">
        <f>IFERROR(INDEX('Prescriptive Rebate Table'!$B$2:$H$64, MATCH(O102,'Prescriptive Rebate Table'!$C$2:$C$64,0),7),"")</f>
        <v/>
      </c>
      <c r="Q102" s="155" t="str">
        <f>IFERROR(INDEX('Prescriptive Rebate Table'!$B$2:$I$64, MATCH(O102,'Prescriptive Rebate Table'!$C$2:$C$64,0),8),"")</f>
        <v/>
      </c>
      <c r="R102" s="155" t="str">
        <f>IFERROR(INDEX('Prescriptive Rebate Table'!$B$2:$J$64, MATCH(O102,'Prescriptive Rebate Table'!$C$2:$C$64,0),9),"")</f>
        <v/>
      </c>
      <c r="S102" s="160"/>
      <c r="T102" s="145" t="str">
        <f>IFERROR(INDEX('Fixture Codes'!$M$8:$M$976,MATCH(S102,'Fixture Codes'!$B$8:$B$976,0)),"")</f>
        <v/>
      </c>
      <c r="U102" s="145" t="str">
        <f>IFERROR(INDEX('Fixture Codes'!$B$7:$M$976,MATCH(T102,'Fixture Codes'!$B$7:$B$976,0),5),"")</f>
        <v/>
      </c>
      <c r="V102" s="160"/>
      <c r="W102" s="145" t="str">
        <f>IFERROR(INDEX('Fixture Codes'!$L$8:$L$976,MATCH(T102,'Fixture Codes'!$B$8:$B$976,0)),"")</f>
        <v/>
      </c>
      <c r="X102" s="158"/>
      <c r="Y102" s="159"/>
      <c r="Z102" s="155" t="str">
        <f>IFERROR(INDEX(Lookups!B$68:B$87,MATCH($X102,Lookups!$A$68:$A$87,0)),"")</f>
        <v/>
      </c>
      <c r="AA102" s="150" t="str">
        <f>IFERROR(INDEX(Lookups!B$42:B$62,MATCH($X102,Lookups!$A$42:$A$62,0)),"")</f>
        <v/>
      </c>
      <c r="AB102" s="150" t="str">
        <f>IFERROR(INDEX(Lookups!C$42:C$62,MATCH($X102,Lookups!$A$42:$A$62,0)),"")</f>
        <v/>
      </c>
      <c r="AC102" s="160"/>
      <c r="AD102" s="160"/>
      <c r="AE102" s="150" t="str">
        <f>IFERROR(INDEX('Fixture Codes'!$B$7:$M$976,MATCH(AD102,'Fixture Codes'!$B$7:$B$976,0),5),"")</f>
        <v/>
      </c>
      <c r="AF102" s="160"/>
      <c r="AG102" s="145" t="str">
        <f>IFERROR(INDEX('Fixture Codes'!$L$8:$L$976,MATCH(AD102,'Fixture Codes'!$B$8:$B$976,0)),"")</f>
        <v/>
      </c>
      <c r="AH102" s="158"/>
      <c r="AI102" s="160"/>
      <c r="AJ102" s="150" t="str">
        <f>IFERROR(INDEX(Lookups!B$68:B$87,MATCH($AH102,Lookups!$A$68:$A$87,0)),"")</f>
        <v/>
      </c>
      <c r="AK102" s="150" t="str">
        <f>IFERROR(INDEX(Lookups!B$42:B$62,MATCH($AH102,Lookups!$A$42:$A$62,0)),"")</f>
        <v/>
      </c>
      <c r="AL102" s="150" t="str">
        <f>IFERROR(INDEX(Lookups!C$42:C$62,MATCH($AH102,Lookups!$A$42:$A$62,0)),"")</f>
        <v/>
      </c>
      <c r="AM102" s="150" t="str">
        <f>IFERROR(IF(M102="Exit Signs",8760,IF(INDEX('Fixture Codes'!$C$8:$C$976,MATCH(AD102,'Fixture Codes'!$B$8:$B$976,0))="Exit Sign",8760,INDEX(Lookups!$I$2:$I$428,MATCH(_xlfn.CONCAT(B102,H102),Lookups!$H$2:$H$428,0)))),"")</f>
        <v/>
      </c>
      <c r="AN102" s="153">
        <v>1</v>
      </c>
      <c r="AO102" s="150" t="str">
        <f>IF($D102="Interior",INDEX(Lookups!Q$2:Q$86,MATCH(_xlfn.CONCAT($C102,$L102),Lookups!$P$2:$P$86,0)),IF($D102="Exterior",1,""))</f>
        <v/>
      </c>
      <c r="AP102" s="150">
        <f t="shared" si="55"/>
        <v>1</v>
      </c>
      <c r="AQ102" s="150" t="str">
        <f>IF($D102="Interior",INDEX(Lookups!R$2:R$86,MATCH(_xlfn.CONCAT($C102,$L102),Lookups!$P$2:$P$86,0)),IF($D102="Exterior",1,""))</f>
        <v/>
      </c>
      <c r="AR102" s="150" t="str">
        <f>IF($D102="Interior",INDEX(Lookups!S$2:S$86,MATCH(_xlfn.CONCAT($C102,$L102),Lookups!$P$2:$P$86,0)),IF($D102="Exterior",1,""))</f>
        <v/>
      </c>
      <c r="AS102" s="150" t="str">
        <f>IF($D102="Interior",INDEX(Lookups!T$2:T$86,MATCH(_xlfn.CONCAT($C102,$L102),Lookups!$P$2:$P$86,0)),IF($D102="Exterior",1,""))</f>
        <v/>
      </c>
      <c r="AT102" s="150" t="str">
        <f>IFERROR(IF(M102="Exit Signs",1,IF(INDEX('Fixture Codes'!$C$8:$C$976,MATCH($AD102,'Fixture Codes'!$B$8:$B$976,0))="Exit Sign",1,INDEX(Lookups!J$2:J$428,MATCH(_xlfn.CONCAT($B102,$H102),Lookups!$H$2:$H$428,0)))),"")</f>
        <v/>
      </c>
      <c r="AU102" s="150" t="str">
        <f>IFERROR(IF(M102="Exit Signs",1,IF(INDEX('Fixture Codes'!$C$8:$C$976,MATCH($AD102,'Fixture Codes'!$B$8:$B$976,0))="Exit Sign",1,INDEX(Lookups!K$2:K$428,MATCH(_xlfn.CONCAT($B102,$H102),Lookups!$H$2:$H$428,0)))),"")</f>
        <v/>
      </c>
      <c r="AV102" s="150" t="str">
        <f>IFERROR(IF(M102="Exit Signs",1,IF(INDEX('Fixture Codes'!$C$8:$C$976,MATCH($AD102,'Fixture Codes'!$B$8:$B$976,0))="Exit Sign",1,INDEX(Lookups!L$2:L$428,MATCH(_xlfn.CONCAT($B102,$H102),Lookups!$H$2:$H$428,0)))),"")</f>
        <v/>
      </c>
      <c r="AW102" s="150" t="str">
        <f>IF(ISBLANK(K102),"",IF(K102="Gas",INDEX(Lookups!$AG$2:$AG$63,MATCH(O102,Lookups!$AD$2:$AD$63,0),0),0))</f>
        <v/>
      </c>
      <c r="AX102" s="150" t="str">
        <f>IF(ISBLANK(K102),"",IF(K102="Gas",INDEX(Lookups!$AF$2:$AF$63,MATCH(O102,Lookups!$AD$2:$AD$63,0),0),0))</f>
        <v/>
      </c>
      <c r="AY102" s="150" t="str">
        <f>IF(ISBLANK(K102),"",IF(K102="Gas",INDEX(Lookups!$AH$2:$AH$63,MATCH(O102,Lookups!$AD$2:$AD$63,0),0),0))</f>
        <v/>
      </c>
      <c r="AZ102" s="150" t="str">
        <f>IF(ISBLANK(K102),"",IF(K102="Gas",INDEX(Lookups!$AI$2:$AI$63,MATCH(O102,Lookups!$AD$2:$AD$63,0),0),0))</f>
        <v/>
      </c>
      <c r="BA102" s="150" t="str">
        <f t="shared" si="40"/>
        <v/>
      </c>
      <c r="BB102" s="156" t="str">
        <f>IF(ISBLANK(AH102),"",IF(AH102="None",0,IF(K102="Gas",INDEX(Lookups!$AF$51:$AF$69,MATCH(AH102,Lookups!$AD$51:$AD$69,0),0),0)))</f>
        <v/>
      </c>
      <c r="BC102" s="156" t="str">
        <f>IF(ISBLANK(AH102),"",IF(AH102="None",0,IF(K102="Gas",INDEX(Lookups!$AH$51:$AH$69,MATCH(AH102,Lookups!$AD$51:$AD$69,0),0),0)))</f>
        <v/>
      </c>
      <c r="BD102" s="156" t="str">
        <f>IF(ISBLANK(AH102),"",IF(AH102="None",0,IF(K102="Gas",INDEX(Lookups!$AI$51:$AI$69,MATCH(AH102,Lookups!$AD$51:$AD$69,0),0),0)))</f>
        <v/>
      </c>
      <c r="BE102" s="157"/>
      <c r="BF102" s="157"/>
      <c r="BG102" s="147" t="str">
        <f t="shared" si="56"/>
        <v/>
      </c>
      <c r="BH102" s="147" t="str">
        <f t="shared" si="57"/>
        <v/>
      </c>
      <c r="BI102" s="147" t="str">
        <f t="shared" si="41"/>
        <v/>
      </c>
      <c r="BJ102" s="147" t="str">
        <f t="shared" si="42"/>
        <v/>
      </c>
      <c r="BK102" s="148" t="str">
        <f t="shared" si="58"/>
        <v/>
      </c>
      <c r="BL102" s="147" t="str">
        <f t="shared" si="43"/>
        <v/>
      </c>
      <c r="BM102" s="148" t="str">
        <f t="shared" si="59"/>
        <v/>
      </c>
      <c r="BN102" s="147" t="str">
        <f t="shared" si="60"/>
        <v/>
      </c>
      <c r="BO102" s="147" t="str">
        <f t="shared" si="60"/>
        <v/>
      </c>
      <c r="BP102" s="147" t="str">
        <f t="shared" si="61"/>
        <v/>
      </c>
      <c r="BQ102" s="148" t="str">
        <f t="shared" si="62"/>
        <v/>
      </c>
      <c r="BR102" s="148" t="str">
        <f t="shared" si="63"/>
        <v/>
      </c>
      <c r="BS102" s="148" t="str">
        <f t="shared" si="64"/>
        <v/>
      </c>
      <c r="BT102" s="148" t="str">
        <f t="shared" si="44"/>
        <v/>
      </c>
      <c r="BU102" s="148" t="str">
        <f t="shared" si="45"/>
        <v/>
      </c>
      <c r="BV102" s="148" t="str">
        <f t="shared" si="46"/>
        <v/>
      </c>
      <c r="BW102" s="148" t="str">
        <f t="shared" si="47"/>
        <v/>
      </c>
      <c r="BX102" s="148" t="str">
        <f t="shared" si="48"/>
        <v/>
      </c>
      <c r="BY102" s="148" t="str">
        <f t="shared" si="49"/>
        <v/>
      </c>
      <c r="BZ102" s="149" t="str">
        <f>IFERROR(INDEX('Prescriptive Rebate Table'!$B$2:$E$64,MATCH(O102,'Prescriptive Rebate Table'!$C$2:$C$64,0),3),"")</f>
        <v/>
      </c>
      <c r="CA102" s="145" t="str">
        <f>IFERROR(INDEX('Prescriptive Rebate Table'!$B$2:$E$64,MATCH(O102,'Prescriptive Rebate Table'!$C$2:$C$64,0),4),"")</f>
        <v/>
      </c>
      <c r="CB102" s="149" t="str">
        <f t="shared" si="65"/>
        <v/>
      </c>
      <c r="CC102" s="145" t="str">
        <f t="shared" si="66"/>
        <v/>
      </c>
      <c r="CD102" s="149" t="str">
        <f t="shared" si="50"/>
        <v/>
      </c>
      <c r="CE102" s="149" t="str">
        <f t="shared" si="51"/>
        <v/>
      </c>
      <c r="CF102" s="149" t="str">
        <f>IF(BK102&lt;=0,0,IFERROR(IF(OR(ISBLANK(AC102),ISBLANK(CD102))=TRUE,"",IF(CA102="Per Foot",INDEX('Fixture Codes'!$I$8:$I$976,MATCH(AD102,'Fixture Codes'!$B$8:$B$976,0))/12*AF102*BZ102,IF(CA102="Lamp",INDEX('Fixture Codes'!$J$8:$J$976,MATCH(AD102,'Fixture Codes'!$B$8:$B$976,0))*AF102*BZ102,IF(CA102="Fixture",AF102*BZ102,IF(CA102="kWh",BK102*BZ102,0))))),""))</f>
        <v/>
      </c>
      <c r="CG102" s="149" t="str">
        <f t="shared" si="67"/>
        <v/>
      </c>
      <c r="CH102" s="149" t="str">
        <f t="shared" si="68"/>
        <v/>
      </c>
      <c r="CI102" s="152"/>
      <c r="CJ102" s="146"/>
      <c r="CK102" s="241">
        <f>IFERROR(IF(CL102="Yes",'Prescriptive Rebate Table'!$D$69,IF(ISBLANK(AI102),0,IF(AND(AH102=Lookups!$A$62,BK102&gt;0),'Prescriptive Rebate Table'!$D$68,IF(AND(BK102&gt;0,CJ102=AF102),'Prescriptive Rebate Table'!$D$67,IF(AND(BK102&gt;0,CJ102&lt;&gt;AF102),'Prescriptive Rebate Table'!D161,0))))),"")</f>
        <v>0</v>
      </c>
      <c r="CL102" s="240" t="s">
        <v>2712</v>
      </c>
      <c r="CM102" s="152"/>
      <c r="CN102" s="152"/>
      <c r="CO102" s="152"/>
      <c r="CP102" s="146">
        <f t="shared" si="52"/>
        <v>0</v>
      </c>
      <c r="CQ102" s="153">
        <f>IF(D102="Interior",ROUND(($AG102*AF102)/1000*$AM102*(Lookups!$B$54-$AA102)*$AN102*$AO102,3),0)</f>
        <v>0</v>
      </c>
      <c r="CR102" s="153">
        <f>IFERROR(IF(D102="Interior",ROUND(($AG102*$AF102)/1000*(Lookups!$C$54-$AB102)*$AN102*AQ102*AT102,6),0),"")</f>
        <v>0</v>
      </c>
      <c r="CS102" s="165">
        <f t="shared" si="69"/>
        <v>0</v>
      </c>
      <c r="CT102" s="165">
        <f t="shared" si="70"/>
        <v>0</v>
      </c>
      <c r="CV102" s="153"/>
      <c r="CW102" s="153"/>
      <c r="CX102" s="165"/>
      <c r="CY102" s="165"/>
      <c r="DA102" s="153">
        <f>IF(D102="Interior",ROUND(($AG102*AF102*(1-0.15))/1000*$AM102*(Lookups!$B$43+0.097-$AA102)*$AN102*$AO102+((W102*V102)/1000*AN102*AM102*AO102*0.15),3),0)</f>
        <v>0</v>
      </c>
      <c r="DB102" s="153">
        <f>IFERROR(IF(D102="Interior",ROUND(($AG102*$AF102)/1000*(Lookups!$C$43+0.097-$AB102)*$AN102*AQ102*AT102+(($AG102*$AF102)/1000*$AN102*AQ102*AT102*0.15),6),0),"")</f>
        <v>0</v>
      </c>
      <c r="DC102" s="165">
        <f t="shared" si="71"/>
        <v>0</v>
      </c>
      <c r="DD102" s="165">
        <f t="shared" si="72"/>
        <v>0</v>
      </c>
    </row>
    <row r="103" spans="1:108" s="164" customFormat="1">
      <c r="A103" s="150">
        <v>99</v>
      </c>
      <c r="B103" s="153" t="str">
        <f>IFERROR(INDEX(Lookups!$B$2:$B$38,MATCH('Project Info &amp; Summary'!$C$19,Lookups!$A$2:$A$38,0)),"")</f>
        <v/>
      </c>
      <c r="C103" s="153" t="str">
        <f>IFERROR(INDEX(Lookups!$C$2:$C$38,MATCH('Project Info &amp; Summary'!$C$19,Lookups!$A$2:$A$38,0)),"")</f>
        <v/>
      </c>
      <c r="D103" s="163"/>
      <c r="E103" s="160"/>
      <c r="F103" s="158"/>
      <c r="G103" s="158"/>
      <c r="H103" s="158"/>
      <c r="I103" s="158"/>
      <c r="J103" s="154" t="str">
        <f>IFERROR(INDEX(Lookups!$W$21:$W$26,MATCH(I103,Lookups!$V$21:$V$26,0)),"")</f>
        <v/>
      </c>
      <c r="K103" s="158"/>
      <c r="L103" s="162" t="str">
        <f>IFERROR(INDEX(Lookups!$Y$2:$Y$19,MATCH(_xlfn.CONCAT(I103,K103),Lookups!$X$2:$X$19,0)),"")</f>
        <v/>
      </c>
      <c r="M103" s="158"/>
      <c r="N103" s="153" t="str">
        <f>IFERROR(INDEX('Prescriptive Rebate Table'!$M$3:$M$20,MATCH(M103,'Prescriptive Rebate Table'!$L$3:$L$20,0)),"")</f>
        <v/>
      </c>
      <c r="O103" s="158"/>
      <c r="P103" s="154" t="str">
        <f>IFERROR(INDEX('Prescriptive Rebate Table'!$B$2:$H$64, MATCH(O103,'Prescriptive Rebate Table'!$C$2:$C$64,0),7),"")</f>
        <v/>
      </c>
      <c r="Q103" s="155" t="str">
        <f>IFERROR(INDEX('Prescriptive Rebate Table'!$B$2:$I$64, MATCH(O103,'Prescriptive Rebate Table'!$C$2:$C$64,0),8),"")</f>
        <v/>
      </c>
      <c r="R103" s="155" t="str">
        <f>IFERROR(INDEX('Prescriptive Rebate Table'!$B$2:$J$64, MATCH(O103,'Prescriptive Rebate Table'!$C$2:$C$64,0),9),"")</f>
        <v/>
      </c>
      <c r="S103" s="160"/>
      <c r="T103" s="145" t="str">
        <f>IFERROR(INDEX('Fixture Codes'!$M$8:$M$976,MATCH(S103,'Fixture Codes'!$B$8:$B$976,0)),"")</f>
        <v/>
      </c>
      <c r="U103" s="145" t="str">
        <f>IFERROR(INDEX('Fixture Codes'!$B$7:$M$976,MATCH(T103,'Fixture Codes'!$B$7:$B$976,0),5),"")</f>
        <v/>
      </c>
      <c r="V103" s="160"/>
      <c r="W103" s="145" t="str">
        <f>IFERROR(INDEX('Fixture Codes'!$L$8:$L$976,MATCH(T103,'Fixture Codes'!$B$8:$B$976,0)),"")</f>
        <v/>
      </c>
      <c r="X103" s="158"/>
      <c r="Y103" s="159"/>
      <c r="Z103" s="155" t="str">
        <f>IFERROR(INDEX(Lookups!B$68:B$87,MATCH($X103,Lookups!$A$68:$A$87,0)),"")</f>
        <v/>
      </c>
      <c r="AA103" s="150" t="str">
        <f>IFERROR(INDEX(Lookups!B$42:B$62,MATCH($X103,Lookups!$A$42:$A$62,0)),"")</f>
        <v/>
      </c>
      <c r="AB103" s="150" t="str">
        <f>IFERROR(INDEX(Lookups!C$42:C$62,MATCH($X103,Lookups!$A$42:$A$62,0)),"")</f>
        <v/>
      </c>
      <c r="AC103" s="160"/>
      <c r="AD103" s="160"/>
      <c r="AE103" s="150" t="str">
        <f>IFERROR(INDEX('Fixture Codes'!$B$7:$M$976,MATCH(AD103,'Fixture Codes'!$B$7:$B$976,0),5),"")</f>
        <v/>
      </c>
      <c r="AF103" s="160"/>
      <c r="AG103" s="145" t="str">
        <f>IFERROR(INDEX('Fixture Codes'!$L$8:$L$976,MATCH(AD103,'Fixture Codes'!$B$8:$B$976,0)),"")</f>
        <v/>
      </c>
      <c r="AH103" s="158"/>
      <c r="AI103" s="160"/>
      <c r="AJ103" s="150" t="str">
        <f>IFERROR(INDEX(Lookups!B$68:B$87,MATCH($AH103,Lookups!$A$68:$A$87,0)),"")</f>
        <v/>
      </c>
      <c r="AK103" s="150" t="str">
        <f>IFERROR(INDEX(Lookups!B$42:B$62,MATCH($AH103,Lookups!$A$42:$A$62,0)),"")</f>
        <v/>
      </c>
      <c r="AL103" s="150" t="str">
        <f>IFERROR(INDEX(Lookups!C$42:C$62,MATCH($AH103,Lookups!$A$42:$A$62,0)),"")</f>
        <v/>
      </c>
      <c r="AM103" s="150" t="str">
        <f>IFERROR(IF(M103="Exit Signs",8760,IF(INDEX('Fixture Codes'!$C$8:$C$976,MATCH(AD103,'Fixture Codes'!$B$8:$B$976,0))="Exit Sign",8760,INDEX(Lookups!$I$2:$I$428,MATCH(_xlfn.CONCAT(B103,H103),Lookups!$H$2:$H$428,0)))),"")</f>
        <v/>
      </c>
      <c r="AN103" s="153">
        <v>1</v>
      </c>
      <c r="AO103" s="150" t="str">
        <f>IF($D103="Interior",INDEX(Lookups!Q$2:Q$86,MATCH(_xlfn.CONCAT($C103,$L103),Lookups!$P$2:$P$86,0)),IF($D103="Exterior",1,""))</f>
        <v/>
      </c>
      <c r="AP103" s="150">
        <f t="shared" si="55"/>
        <v>1</v>
      </c>
      <c r="AQ103" s="150" t="str">
        <f>IF($D103="Interior",INDEX(Lookups!R$2:R$86,MATCH(_xlfn.CONCAT($C103,$L103),Lookups!$P$2:$P$86,0)),IF($D103="Exterior",1,""))</f>
        <v/>
      </c>
      <c r="AR103" s="150" t="str">
        <f>IF($D103="Interior",INDEX(Lookups!S$2:S$86,MATCH(_xlfn.CONCAT($C103,$L103),Lookups!$P$2:$P$86,0)),IF($D103="Exterior",1,""))</f>
        <v/>
      </c>
      <c r="AS103" s="150" t="str">
        <f>IF($D103="Interior",INDEX(Lookups!T$2:T$86,MATCH(_xlfn.CONCAT($C103,$L103),Lookups!$P$2:$P$86,0)),IF($D103="Exterior",1,""))</f>
        <v/>
      </c>
      <c r="AT103" s="150" t="str">
        <f>IFERROR(IF(M103="Exit Signs",1,IF(INDEX('Fixture Codes'!$C$8:$C$976,MATCH($AD103,'Fixture Codes'!$B$8:$B$976,0))="Exit Sign",1,INDEX(Lookups!J$2:J$428,MATCH(_xlfn.CONCAT($B103,$H103),Lookups!$H$2:$H$428,0)))),"")</f>
        <v/>
      </c>
      <c r="AU103" s="150" t="str">
        <f>IFERROR(IF(M103="Exit Signs",1,IF(INDEX('Fixture Codes'!$C$8:$C$976,MATCH($AD103,'Fixture Codes'!$B$8:$B$976,0))="Exit Sign",1,INDEX(Lookups!K$2:K$428,MATCH(_xlfn.CONCAT($B103,$H103),Lookups!$H$2:$H$428,0)))),"")</f>
        <v/>
      </c>
      <c r="AV103" s="150" t="str">
        <f>IFERROR(IF(M103="Exit Signs",1,IF(INDEX('Fixture Codes'!$C$8:$C$976,MATCH($AD103,'Fixture Codes'!$B$8:$B$976,0))="Exit Sign",1,INDEX(Lookups!L$2:L$428,MATCH(_xlfn.CONCAT($B103,$H103),Lookups!$H$2:$H$428,0)))),"")</f>
        <v/>
      </c>
      <c r="AW103" s="150" t="str">
        <f>IF(ISBLANK(K103),"",IF(K103="Gas",INDEX(Lookups!$AG$2:$AG$63,MATCH(O103,Lookups!$AD$2:$AD$63,0),0),0))</f>
        <v/>
      </c>
      <c r="AX103" s="150" t="str">
        <f>IF(ISBLANK(K103),"",IF(K103="Gas",INDEX(Lookups!$AF$2:$AF$63,MATCH(O103,Lookups!$AD$2:$AD$63,0),0),0))</f>
        <v/>
      </c>
      <c r="AY103" s="150" t="str">
        <f>IF(ISBLANK(K103),"",IF(K103="Gas",INDEX(Lookups!$AH$2:$AH$63,MATCH(O103,Lookups!$AD$2:$AD$63,0),0),0))</f>
        <v/>
      </c>
      <c r="AZ103" s="150" t="str">
        <f>IF(ISBLANK(K103),"",IF(K103="Gas",INDEX(Lookups!$AI$2:$AI$63,MATCH(O103,Lookups!$AD$2:$AD$63,0),0),0))</f>
        <v/>
      </c>
      <c r="BA103" s="150" t="str">
        <f t="shared" si="40"/>
        <v/>
      </c>
      <c r="BB103" s="156" t="str">
        <f>IF(ISBLANK(AH103),"",IF(AH103="None",0,IF(K103="Gas",INDEX(Lookups!$AF$51:$AF$69,MATCH(AH103,Lookups!$AD$51:$AD$69,0),0),0)))</f>
        <v/>
      </c>
      <c r="BC103" s="156" t="str">
        <f>IF(ISBLANK(AH103),"",IF(AH103="None",0,IF(K103="Gas",INDEX(Lookups!$AH$51:$AH$69,MATCH(AH103,Lookups!$AD$51:$AD$69,0),0),0)))</f>
        <v/>
      </c>
      <c r="BD103" s="156" t="str">
        <f>IF(ISBLANK(AH103),"",IF(AH103="None",0,IF(K103="Gas",INDEX(Lookups!$AI$51:$AI$69,MATCH(AH103,Lookups!$AD$51:$AD$69,0),0),0)))</f>
        <v/>
      </c>
      <c r="BE103" s="157"/>
      <c r="BF103" s="157"/>
      <c r="BG103" s="147" t="str">
        <f t="shared" si="56"/>
        <v/>
      </c>
      <c r="BH103" s="147" t="str">
        <f t="shared" si="57"/>
        <v/>
      </c>
      <c r="BI103" s="147" t="str">
        <f t="shared" si="41"/>
        <v/>
      </c>
      <c r="BJ103" s="147" t="str">
        <f t="shared" si="42"/>
        <v/>
      </c>
      <c r="BK103" s="148" t="str">
        <f t="shared" si="58"/>
        <v/>
      </c>
      <c r="BL103" s="147" t="str">
        <f t="shared" si="43"/>
        <v/>
      </c>
      <c r="BM103" s="148" t="str">
        <f t="shared" si="59"/>
        <v/>
      </c>
      <c r="BN103" s="147" t="str">
        <f t="shared" si="60"/>
        <v/>
      </c>
      <c r="BO103" s="147" t="str">
        <f t="shared" si="60"/>
        <v/>
      </c>
      <c r="BP103" s="147" t="str">
        <f t="shared" si="61"/>
        <v/>
      </c>
      <c r="BQ103" s="148" t="str">
        <f t="shared" si="62"/>
        <v/>
      </c>
      <c r="BR103" s="148" t="str">
        <f t="shared" si="63"/>
        <v/>
      </c>
      <c r="BS103" s="148" t="str">
        <f t="shared" si="64"/>
        <v/>
      </c>
      <c r="BT103" s="148" t="str">
        <f t="shared" si="44"/>
        <v/>
      </c>
      <c r="BU103" s="148" t="str">
        <f t="shared" si="45"/>
        <v/>
      </c>
      <c r="BV103" s="148" t="str">
        <f t="shared" si="46"/>
        <v/>
      </c>
      <c r="BW103" s="148" t="str">
        <f t="shared" si="47"/>
        <v/>
      </c>
      <c r="BX103" s="148" t="str">
        <f t="shared" si="48"/>
        <v/>
      </c>
      <c r="BY103" s="148" t="str">
        <f t="shared" si="49"/>
        <v/>
      </c>
      <c r="BZ103" s="149" t="str">
        <f>IFERROR(INDEX('Prescriptive Rebate Table'!$B$2:$E$64,MATCH(O103,'Prescriptive Rebate Table'!$C$2:$C$64,0),3),"")</f>
        <v/>
      </c>
      <c r="CA103" s="145" t="str">
        <f>IFERROR(INDEX('Prescriptive Rebate Table'!$B$2:$E$64,MATCH(O103,'Prescriptive Rebate Table'!$C$2:$C$64,0),4),"")</f>
        <v/>
      </c>
      <c r="CB103" s="149" t="str">
        <f t="shared" si="65"/>
        <v/>
      </c>
      <c r="CC103" s="145" t="str">
        <f t="shared" si="66"/>
        <v/>
      </c>
      <c r="CD103" s="149" t="str">
        <f t="shared" si="50"/>
        <v/>
      </c>
      <c r="CE103" s="149" t="str">
        <f t="shared" si="51"/>
        <v/>
      </c>
      <c r="CF103" s="149" t="str">
        <f>IF(BK103&lt;=0,0,IFERROR(IF(OR(ISBLANK(AC103),ISBLANK(CD103))=TRUE,"",IF(CA103="Per Foot",INDEX('Fixture Codes'!$I$8:$I$976,MATCH(AD103,'Fixture Codes'!$B$8:$B$976,0))/12*AF103*BZ103,IF(CA103="Lamp",INDEX('Fixture Codes'!$J$8:$J$976,MATCH(AD103,'Fixture Codes'!$B$8:$B$976,0))*AF103*BZ103,IF(CA103="Fixture",AF103*BZ103,IF(CA103="kWh",BK103*BZ103,0))))),""))</f>
        <v/>
      </c>
      <c r="CG103" s="149" t="str">
        <f t="shared" si="67"/>
        <v/>
      </c>
      <c r="CH103" s="149" t="str">
        <f t="shared" si="68"/>
        <v/>
      </c>
      <c r="CI103" s="152"/>
      <c r="CJ103" s="146"/>
      <c r="CK103" s="241">
        <f>IFERROR(IF(CL103="Yes",'Prescriptive Rebate Table'!$D$69,IF(ISBLANK(AI103),0,IF(AND(AH103=Lookups!$A$62,BK103&gt;0),'Prescriptive Rebate Table'!$D$68,IF(AND(BK103&gt;0,CJ103=AF103),'Prescriptive Rebate Table'!$D$67,IF(AND(BK103&gt;0,CJ103&lt;&gt;AF103),'Prescriptive Rebate Table'!D162,0))))),"")</f>
        <v>0</v>
      </c>
      <c r="CL103" s="240" t="s">
        <v>2712</v>
      </c>
      <c r="CM103" s="152"/>
      <c r="CN103" s="152"/>
      <c r="CO103" s="152"/>
      <c r="CP103" s="146">
        <f t="shared" si="52"/>
        <v>0</v>
      </c>
      <c r="CQ103" s="153">
        <f>IF(D103="Interior",ROUND(($AG103*AF103)/1000*$AM103*(Lookups!$B$54-$AA103)*$AN103*$AO103,3),0)</f>
        <v>0</v>
      </c>
      <c r="CR103" s="153">
        <f>IFERROR(IF(D103="Interior",ROUND(($AG103*$AF103)/1000*(Lookups!$C$54-$AB103)*$AN103*AQ103*AT103,6),0),"")</f>
        <v>0</v>
      </c>
      <c r="CS103" s="165">
        <f t="shared" si="69"/>
        <v>0</v>
      </c>
      <c r="CT103" s="165">
        <f t="shared" si="70"/>
        <v>0</v>
      </c>
      <c r="CV103" s="153"/>
      <c r="CW103" s="153"/>
      <c r="CX103" s="165"/>
      <c r="CY103" s="165"/>
      <c r="DA103" s="153">
        <f>IF(D103="Interior",ROUND(($AG103*AF103*(1-0.15))/1000*$AM103*(Lookups!$B$43+0.097-$AA103)*$AN103*$AO103+((W103*V103)/1000*AN103*AM103*AO103*0.15),3),0)</f>
        <v>0</v>
      </c>
      <c r="DB103" s="153">
        <f>IFERROR(IF(D103="Interior",ROUND(($AG103*$AF103)/1000*(Lookups!$C$43+0.097-$AB103)*$AN103*AQ103*AT103+(($AG103*$AF103)/1000*$AN103*AQ103*AT103*0.15),6),0),"")</f>
        <v>0</v>
      </c>
      <c r="DC103" s="165">
        <f t="shared" si="71"/>
        <v>0</v>
      </c>
      <c r="DD103" s="165">
        <f t="shared" si="72"/>
        <v>0</v>
      </c>
    </row>
    <row r="104" spans="1:108" s="164" customFormat="1">
      <c r="A104" s="150">
        <v>100</v>
      </c>
      <c r="B104" s="153" t="str">
        <f>IFERROR(INDEX(Lookups!$B$2:$B$38,MATCH('Project Info &amp; Summary'!$C$19,Lookups!$A$2:$A$38,0)),"")</f>
        <v/>
      </c>
      <c r="C104" s="153" t="str">
        <f>IFERROR(INDEX(Lookups!$C$2:$C$38,MATCH('Project Info &amp; Summary'!$C$19,Lookups!$A$2:$A$38,0)),"")</f>
        <v/>
      </c>
      <c r="D104" s="163"/>
      <c r="E104" s="160"/>
      <c r="F104" s="158"/>
      <c r="G104" s="158"/>
      <c r="H104" s="158"/>
      <c r="I104" s="158"/>
      <c r="J104" s="154" t="str">
        <f>IFERROR(INDEX(Lookups!$W$21:$W$26,MATCH(I104,Lookups!$V$21:$V$26,0)),"")</f>
        <v/>
      </c>
      <c r="K104" s="158"/>
      <c r="L104" s="162" t="str">
        <f>IFERROR(INDEX(Lookups!$Y$2:$Y$19,MATCH(_xlfn.CONCAT(I104,K104),Lookups!$X$2:$X$19,0)),"")</f>
        <v/>
      </c>
      <c r="M104" s="158"/>
      <c r="N104" s="153" t="str">
        <f>IFERROR(INDEX('Prescriptive Rebate Table'!$M$3:$M$20,MATCH(M104,'Prescriptive Rebate Table'!$L$3:$L$20,0)),"")</f>
        <v/>
      </c>
      <c r="O104" s="158"/>
      <c r="P104" s="154" t="str">
        <f>IFERROR(INDEX('Prescriptive Rebate Table'!$B$2:$H$64, MATCH(O104,'Prescriptive Rebate Table'!$C$2:$C$64,0),7),"")</f>
        <v/>
      </c>
      <c r="Q104" s="155" t="str">
        <f>IFERROR(INDEX('Prescriptive Rebate Table'!$B$2:$I$64, MATCH(O104,'Prescriptive Rebate Table'!$C$2:$C$64,0),8),"")</f>
        <v/>
      </c>
      <c r="R104" s="155" t="str">
        <f>IFERROR(INDEX('Prescriptive Rebate Table'!$B$2:$J$64, MATCH(O104,'Prescriptive Rebate Table'!$C$2:$C$64,0),9),"")</f>
        <v/>
      </c>
      <c r="S104" s="160"/>
      <c r="T104" s="145" t="str">
        <f>IFERROR(INDEX('Fixture Codes'!$M$8:$M$976,MATCH(S104,'Fixture Codes'!$B$8:$B$976,0)),"")</f>
        <v/>
      </c>
      <c r="U104" s="145" t="str">
        <f>IFERROR(INDEX('Fixture Codes'!$B$7:$M$976,MATCH(T104,'Fixture Codes'!$B$7:$B$976,0),5),"")</f>
        <v/>
      </c>
      <c r="V104" s="160"/>
      <c r="W104" s="145" t="str">
        <f>IFERROR(INDEX('Fixture Codes'!$L$8:$L$976,MATCH(T104,'Fixture Codes'!$B$8:$B$976,0)),"")</f>
        <v/>
      </c>
      <c r="X104" s="158"/>
      <c r="Y104" s="159"/>
      <c r="Z104" s="155" t="str">
        <f>IFERROR(INDEX(Lookups!B$68:B$87,MATCH($X104,Lookups!$A$68:$A$87,0)),"")</f>
        <v/>
      </c>
      <c r="AA104" s="150" t="str">
        <f>IFERROR(INDEX(Lookups!B$42:B$62,MATCH($X104,Lookups!$A$42:$A$62,0)),"")</f>
        <v/>
      </c>
      <c r="AB104" s="150" t="str">
        <f>IFERROR(INDEX(Lookups!C$42:C$62,MATCH($X104,Lookups!$A$42:$A$62,0)),"")</f>
        <v/>
      </c>
      <c r="AC104" s="160"/>
      <c r="AD104" s="160"/>
      <c r="AE104" s="150" t="str">
        <f>IFERROR(INDEX('Fixture Codes'!$B$7:$M$976,MATCH(AD104,'Fixture Codes'!$B$7:$B$976,0),5),"")</f>
        <v/>
      </c>
      <c r="AF104" s="160"/>
      <c r="AG104" s="145" t="str">
        <f>IFERROR(INDEX('Fixture Codes'!$L$8:$L$976,MATCH(AD104,'Fixture Codes'!$B$8:$B$976,0)),"")</f>
        <v/>
      </c>
      <c r="AH104" s="158"/>
      <c r="AI104" s="160"/>
      <c r="AJ104" s="150" t="str">
        <f>IFERROR(INDEX(Lookups!B$68:B$87,MATCH($AH104,Lookups!$A$68:$A$87,0)),"")</f>
        <v/>
      </c>
      <c r="AK104" s="150" t="str">
        <f>IFERROR(INDEX(Lookups!B$42:B$62,MATCH($AH104,Lookups!$A$42:$A$62,0)),"")</f>
        <v/>
      </c>
      <c r="AL104" s="150" t="str">
        <f>IFERROR(INDEX(Lookups!C$42:C$62,MATCH($AH104,Lookups!$A$42:$A$62,0)),"")</f>
        <v/>
      </c>
      <c r="AM104" s="150" t="str">
        <f>IFERROR(IF(M104="Exit Signs",8760,IF(INDEX('Fixture Codes'!$C$8:$C$976,MATCH(AD104,'Fixture Codes'!$B$8:$B$976,0))="Exit Sign",8760,INDEX(Lookups!$I$2:$I$428,MATCH(_xlfn.CONCAT(B104,H104),Lookups!$H$2:$H$428,0)))),"")</f>
        <v/>
      </c>
      <c r="AN104" s="153">
        <v>1</v>
      </c>
      <c r="AO104" s="150" t="str">
        <f>IF($D104="Interior",INDEX(Lookups!Q$2:Q$86,MATCH(_xlfn.CONCAT($C104,$L104),Lookups!$P$2:$P$86,0)),IF($D104="Exterior",1,""))</f>
        <v/>
      </c>
      <c r="AP104" s="150">
        <f t="shared" si="55"/>
        <v>1</v>
      </c>
      <c r="AQ104" s="150" t="str">
        <f>IF($D104="Interior",INDEX(Lookups!R$2:R$86,MATCH(_xlfn.CONCAT($C104,$L104),Lookups!$P$2:$P$86,0)),IF($D104="Exterior",1,""))</f>
        <v/>
      </c>
      <c r="AR104" s="150" t="str">
        <f>IF($D104="Interior",INDEX(Lookups!S$2:S$86,MATCH(_xlfn.CONCAT($C104,$L104),Lookups!$P$2:$P$86,0)),IF($D104="Exterior",1,""))</f>
        <v/>
      </c>
      <c r="AS104" s="150" t="str">
        <f>IF($D104="Interior",INDEX(Lookups!T$2:T$86,MATCH(_xlfn.CONCAT($C104,$L104),Lookups!$P$2:$P$86,0)),IF($D104="Exterior",1,""))</f>
        <v/>
      </c>
      <c r="AT104" s="150" t="str">
        <f>IFERROR(IF(M104="Exit Signs",1,IF(INDEX('Fixture Codes'!$C$8:$C$976,MATCH($AD104,'Fixture Codes'!$B$8:$B$976,0))="Exit Sign",1,INDEX(Lookups!J$2:J$428,MATCH(_xlfn.CONCAT($B104,$H104),Lookups!$H$2:$H$428,0)))),"")</f>
        <v/>
      </c>
      <c r="AU104" s="150" t="str">
        <f>IFERROR(IF(M104="Exit Signs",1,IF(INDEX('Fixture Codes'!$C$8:$C$976,MATCH($AD104,'Fixture Codes'!$B$8:$B$976,0))="Exit Sign",1,INDEX(Lookups!K$2:K$428,MATCH(_xlfn.CONCAT($B104,$H104),Lookups!$H$2:$H$428,0)))),"")</f>
        <v/>
      </c>
      <c r="AV104" s="150" t="str">
        <f>IFERROR(IF(M104="Exit Signs",1,IF(INDEX('Fixture Codes'!$C$8:$C$976,MATCH($AD104,'Fixture Codes'!$B$8:$B$976,0))="Exit Sign",1,INDEX(Lookups!L$2:L$428,MATCH(_xlfn.CONCAT($B104,$H104),Lookups!$H$2:$H$428,0)))),"")</f>
        <v/>
      </c>
      <c r="AW104" s="150" t="str">
        <f>IF(ISBLANK(K104),"",IF(K104="Gas",INDEX(Lookups!$AG$2:$AG$63,MATCH(O104,Lookups!$AD$2:$AD$63,0),0),0))</f>
        <v/>
      </c>
      <c r="AX104" s="150" t="str">
        <f>IF(ISBLANK(K104),"",IF(K104="Gas",INDEX(Lookups!$AF$2:$AF$63,MATCH(O104,Lookups!$AD$2:$AD$63,0),0),0))</f>
        <v/>
      </c>
      <c r="AY104" s="150" t="str">
        <f>IF(ISBLANK(K104),"",IF(K104="Gas",INDEX(Lookups!$AH$2:$AH$63,MATCH(O104,Lookups!$AD$2:$AD$63,0),0),0))</f>
        <v/>
      </c>
      <c r="AZ104" s="150" t="str">
        <f>IF(ISBLANK(K104),"",IF(K104="Gas",INDEX(Lookups!$AI$2:$AI$63,MATCH(O104,Lookups!$AD$2:$AD$63,0),0),0))</f>
        <v/>
      </c>
      <c r="BA104" s="150" t="str">
        <f t="shared" si="40"/>
        <v/>
      </c>
      <c r="BB104" s="156" t="str">
        <f>IF(ISBLANK(AH104),"",IF(AH104="None",0,IF(K104="Gas",INDEX(Lookups!$AF$51:$AF$69,MATCH(AH104,Lookups!$AD$51:$AD$69,0),0),0)))</f>
        <v/>
      </c>
      <c r="BC104" s="156" t="str">
        <f>IF(ISBLANK(AH104),"",IF(AH104="None",0,IF(K104="Gas",INDEX(Lookups!$AH$51:$AH$69,MATCH(AH104,Lookups!$AD$51:$AD$69,0),0),0)))</f>
        <v/>
      </c>
      <c r="BD104" s="156" t="str">
        <f>IF(ISBLANK(AH104),"",IF(AH104="None",0,IF(K104="Gas",INDEX(Lookups!$AI$51:$AI$69,MATCH(AH104,Lookups!$AD$51:$AD$69,0),0),0)))</f>
        <v/>
      </c>
      <c r="BE104" s="157"/>
      <c r="BF104" s="157"/>
      <c r="BG104" s="147" t="str">
        <f t="shared" si="56"/>
        <v/>
      </c>
      <c r="BH104" s="147" t="str">
        <f t="shared" si="57"/>
        <v/>
      </c>
      <c r="BI104" s="147" t="str">
        <f t="shared" si="41"/>
        <v/>
      </c>
      <c r="BJ104" s="147" t="str">
        <f t="shared" si="42"/>
        <v/>
      </c>
      <c r="BK104" s="148" t="str">
        <f t="shared" si="58"/>
        <v/>
      </c>
      <c r="BL104" s="147" t="str">
        <f t="shared" si="43"/>
        <v/>
      </c>
      <c r="BM104" s="148" t="str">
        <f t="shared" si="59"/>
        <v/>
      </c>
      <c r="BN104" s="147" t="str">
        <f t="shared" si="60"/>
        <v/>
      </c>
      <c r="BO104" s="147" t="str">
        <f t="shared" si="60"/>
        <v/>
      </c>
      <c r="BP104" s="147" t="str">
        <f t="shared" si="61"/>
        <v/>
      </c>
      <c r="BQ104" s="148" t="str">
        <f t="shared" si="62"/>
        <v/>
      </c>
      <c r="BR104" s="148" t="str">
        <f t="shared" si="63"/>
        <v/>
      </c>
      <c r="BS104" s="148" t="str">
        <f t="shared" si="64"/>
        <v/>
      </c>
      <c r="BT104" s="148" t="str">
        <f t="shared" si="44"/>
        <v/>
      </c>
      <c r="BU104" s="148" t="str">
        <f t="shared" si="45"/>
        <v/>
      </c>
      <c r="BV104" s="148" t="str">
        <f t="shared" si="46"/>
        <v/>
      </c>
      <c r="BW104" s="148" t="str">
        <f t="shared" si="47"/>
        <v/>
      </c>
      <c r="BX104" s="148" t="str">
        <f t="shared" si="48"/>
        <v/>
      </c>
      <c r="BY104" s="148" t="str">
        <f t="shared" si="49"/>
        <v/>
      </c>
      <c r="BZ104" s="149" t="str">
        <f>IFERROR(INDEX('Prescriptive Rebate Table'!$B$2:$E$64,MATCH(O104,'Prescriptive Rebate Table'!$C$2:$C$64,0),3),"")</f>
        <v/>
      </c>
      <c r="CA104" s="145" t="str">
        <f>IFERROR(INDEX('Prescriptive Rebate Table'!$B$2:$E$64,MATCH(O104,'Prescriptive Rebate Table'!$C$2:$C$64,0),4),"")</f>
        <v/>
      </c>
      <c r="CB104" s="149" t="str">
        <f t="shared" si="65"/>
        <v/>
      </c>
      <c r="CC104" s="145" t="str">
        <f t="shared" si="66"/>
        <v/>
      </c>
      <c r="CD104" s="149" t="str">
        <f t="shared" si="50"/>
        <v/>
      </c>
      <c r="CE104" s="149" t="str">
        <f t="shared" si="51"/>
        <v/>
      </c>
      <c r="CF104" s="149" t="str">
        <f>IF(BK104&lt;=0,0,IFERROR(IF(OR(ISBLANK(AC104),ISBLANK(CD104))=TRUE,"",IF(CA104="Per Foot",INDEX('Fixture Codes'!$I$8:$I$976,MATCH(AD104,'Fixture Codes'!$B$8:$B$976,0))/12*AF104*BZ104,IF(CA104="Lamp",INDEX('Fixture Codes'!$J$8:$J$976,MATCH(AD104,'Fixture Codes'!$B$8:$B$976,0))*AF104*BZ104,IF(CA104="Fixture",AF104*BZ104,IF(CA104="kWh",BK104*BZ104,0))))),""))</f>
        <v/>
      </c>
      <c r="CG104" s="149" t="str">
        <f t="shared" si="67"/>
        <v/>
      </c>
      <c r="CH104" s="149" t="str">
        <f t="shared" si="68"/>
        <v/>
      </c>
      <c r="CI104" s="152"/>
      <c r="CJ104" s="146"/>
      <c r="CK104" s="241">
        <f>IFERROR(IF(CL104="Yes",'Prescriptive Rebate Table'!$D$69,IF(ISBLANK(AI104),0,IF(AND(AH104=Lookups!$A$62,BK104&gt;0),'Prescriptive Rebate Table'!$D$68,IF(AND(BK104&gt;0,CJ104=AF104),'Prescriptive Rebate Table'!$D$67,IF(AND(BK104&gt;0,CJ104&lt;&gt;AF104),'Prescriptive Rebate Table'!D163,0))))),"")</f>
        <v>0</v>
      </c>
      <c r="CL104" s="240" t="s">
        <v>2712</v>
      </c>
      <c r="CM104" s="152"/>
      <c r="CN104" s="152"/>
      <c r="CO104" s="152"/>
      <c r="CP104" s="146">
        <f t="shared" si="52"/>
        <v>0</v>
      </c>
      <c r="CQ104" s="153">
        <f>IF(D104="Interior",ROUND(($AG104*AF104)/1000*$AM104*(Lookups!$B$54-$AA104)*$AN104*$AO104,3),0)</f>
        <v>0</v>
      </c>
      <c r="CR104" s="153">
        <f>IFERROR(IF(D104="Interior",ROUND(($AG104*$AF104)/1000*(Lookups!$C$54-$AB104)*$AN104*AQ104*AT104,6),0),"")</f>
        <v>0</v>
      </c>
      <c r="CS104" s="165">
        <f t="shared" si="69"/>
        <v>0</v>
      </c>
      <c r="CT104" s="165">
        <f t="shared" si="70"/>
        <v>0</v>
      </c>
      <c r="CV104" s="153"/>
      <c r="CW104" s="153"/>
      <c r="CX104" s="165"/>
      <c r="CY104" s="165"/>
      <c r="DA104" s="153">
        <f>IF(D104="Interior",ROUND(($AG104*AF104*(1-0.15))/1000*$AM104*(Lookups!$B$43+0.097-$AA104)*$AN104*$AO104+((W104*V104)/1000*AN104*AM104*AO104*0.15),3),0)</f>
        <v>0</v>
      </c>
      <c r="DB104" s="153">
        <f>IFERROR(IF(D104="Interior",ROUND(($AG104*$AF104)/1000*(Lookups!$C$43+0.097-$AB104)*$AN104*AQ104*AT104+(($AG104*$AF104)/1000*$AN104*AQ104*AT104*0.15),6),0),"")</f>
        <v>0</v>
      </c>
      <c r="DC104" s="165">
        <f t="shared" si="71"/>
        <v>0</v>
      </c>
      <c r="DD104" s="165">
        <f t="shared" si="72"/>
        <v>0</v>
      </c>
    </row>
    <row r="105" spans="1:108" s="164" customFormat="1">
      <c r="A105" s="150">
        <v>101</v>
      </c>
      <c r="B105" s="153" t="str">
        <f>IFERROR(INDEX(Lookups!$B$2:$B$38,MATCH('Project Info &amp; Summary'!$C$19,Lookups!$A$2:$A$38,0)),"")</f>
        <v/>
      </c>
      <c r="C105" s="153" t="str">
        <f>IFERROR(INDEX(Lookups!$C$2:$C$38,MATCH('Project Info &amp; Summary'!$C$19,Lookups!$A$2:$A$38,0)),"")</f>
        <v/>
      </c>
      <c r="D105" s="163"/>
      <c r="E105" s="160"/>
      <c r="F105" s="158"/>
      <c r="G105" s="158"/>
      <c r="H105" s="158"/>
      <c r="I105" s="158"/>
      <c r="J105" s="154" t="str">
        <f>IFERROR(INDEX(Lookups!$W$21:$W$26,MATCH(I105,Lookups!$V$21:$V$26,0)),"")</f>
        <v/>
      </c>
      <c r="K105" s="158"/>
      <c r="L105" s="162" t="str">
        <f>IFERROR(INDEX(Lookups!$Y$2:$Y$19,MATCH(_xlfn.CONCAT(I105,K105),Lookups!$X$2:$X$19,0)),"")</f>
        <v/>
      </c>
      <c r="M105" s="158"/>
      <c r="N105" s="153" t="str">
        <f>IFERROR(INDEX('Prescriptive Rebate Table'!$M$3:$M$20,MATCH(M105,'Prescriptive Rebate Table'!$L$3:$L$20,0)),"")</f>
        <v/>
      </c>
      <c r="O105" s="158"/>
      <c r="P105" s="154" t="str">
        <f>IFERROR(INDEX('Prescriptive Rebate Table'!$B$2:$H$64, MATCH(O105,'Prescriptive Rebate Table'!$C$2:$C$64,0),7),"")</f>
        <v/>
      </c>
      <c r="Q105" s="155" t="str">
        <f>IFERROR(INDEX('Prescriptive Rebate Table'!$B$2:$I$64, MATCH(O105,'Prescriptive Rebate Table'!$C$2:$C$64,0),8),"")</f>
        <v/>
      </c>
      <c r="R105" s="155" t="str">
        <f>IFERROR(INDEX('Prescriptive Rebate Table'!$B$2:$J$64, MATCH(O105,'Prescriptive Rebate Table'!$C$2:$C$64,0),9),"")</f>
        <v/>
      </c>
      <c r="S105" s="160"/>
      <c r="T105" s="145" t="str">
        <f>IFERROR(INDEX('Fixture Codes'!$M$8:$M$976,MATCH(S105,'Fixture Codes'!$B$8:$B$976,0)),"")</f>
        <v/>
      </c>
      <c r="U105" s="145" t="str">
        <f>IFERROR(INDEX('Fixture Codes'!$B$7:$M$976,MATCH(T105,'Fixture Codes'!$B$7:$B$976,0),5),"")</f>
        <v/>
      </c>
      <c r="V105" s="160"/>
      <c r="W105" s="145" t="str">
        <f>IFERROR(INDEX('Fixture Codes'!$L$8:$L$976,MATCH(T105,'Fixture Codes'!$B$8:$B$976,0)),"")</f>
        <v/>
      </c>
      <c r="X105" s="158"/>
      <c r="Y105" s="159"/>
      <c r="Z105" s="155" t="str">
        <f>IFERROR(INDEX(Lookups!B$68:B$87,MATCH($X105,Lookups!$A$68:$A$87,0)),"")</f>
        <v/>
      </c>
      <c r="AA105" s="150" t="str">
        <f>IFERROR(INDEX(Lookups!B$42:B$62,MATCH($X105,Lookups!$A$42:$A$62,0)),"")</f>
        <v/>
      </c>
      <c r="AB105" s="150" t="str">
        <f>IFERROR(INDEX(Lookups!C$42:C$62,MATCH($X105,Lookups!$A$42:$A$62,0)),"")</f>
        <v/>
      </c>
      <c r="AC105" s="160"/>
      <c r="AD105" s="160"/>
      <c r="AE105" s="150" t="str">
        <f>IFERROR(INDEX('Fixture Codes'!$B$7:$M$976,MATCH(AD105,'Fixture Codes'!$B$7:$B$976,0),5),"")</f>
        <v/>
      </c>
      <c r="AF105" s="160"/>
      <c r="AG105" s="145" t="str">
        <f>IFERROR(INDEX('Fixture Codes'!$L$8:$L$976,MATCH(AD105,'Fixture Codes'!$B$8:$B$976,0)),"")</f>
        <v/>
      </c>
      <c r="AH105" s="158"/>
      <c r="AI105" s="160"/>
      <c r="AJ105" s="150" t="str">
        <f>IFERROR(INDEX(Lookups!B$68:B$87,MATCH($AH105,Lookups!$A$68:$A$87,0)),"")</f>
        <v/>
      </c>
      <c r="AK105" s="150" t="str">
        <f>IFERROR(INDEX(Lookups!B$42:B$62,MATCH($AH105,Lookups!$A$42:$A$62,0)),"")</f>
        <v/>
      </c>
      <c r="AL105" s="150" t="str">
        <f>IFERROR(INDEX(Lookups!C$42:C$62,MATCH($AH105,Lookups!$A$42:$A$62,0)),"")</f>
        <v/>
      </c>
      <c r="AM105" s="150" t="str">
        <f>IFERROR(IF(M105="Exit Signs",8760,IF(INDEX('Fixture Codes'!$C$8:$C$976,MATCH(AD105,'Fixture Codes'!$B$8:$B$976,0))="Exit Sign",8760,INDEX(Lookups!$I$2:$I$428,MATCH(_xlfn.CONCAT(B105,H105),Lookups!$H$2:$H$428,0)))),"")</f>
        <v/>
      </c>
      <c r="AN105" s="153">
        <v>1</v>
      </c>
      <c r="AO105" s="150" t="str">
        <f>IF($D105="Interior",INDEX(Lookups!Q$2:Q$86,MATCH(_xlfn.CONCAT($C105,$L105),Lookups!$P$2:$P$86,0)),IF($D105="Exterior",1,""))</f>
        <v/>
      </c>
      <c r="AP105" s="150">
        <f t="shared" si="55"/>
        <v>1</v>
      </c>
      <c r="AQ105" s="150" t="str">
        <f>IF($D105="Interior",INDEX(Lookups!R$2:R$86,MATCH(_xlfn.CONCAT($C105,$L105),Lookups!$P$2:$P$86,0)),IF($D105="Exterior",1,""))</f>
        <v/>
      </c>
      <c r="AR105" s="150" t="str">
        <f>IF($D105="Interior",INDEX(Lookups!S$2:S$86,MATCH(_xlfn.CONCAT($C105,$L105),Lookups!$P$2:$P$86,0)),IF($D105="Exterior",1,""))</f>
        <v/>
      </c>
      <c r="AS105" s="150" t="str">
        <f>IF($D105="Interior",INDEX(Lookups!T$2:T$86,MATCH(_xlfn.CONCAT($C105,$L105),Lookups!$P$2:$P$86,0)),IF($D105="Exterior",1,""))</f>
        <v/>
      </c>
      <c r="AT105" s="150" t="str">
        <f>IFERROR(IF(M105="Exit Signs",1,IF(INDEX('Fixture Codes'!$C$8:$C$976,MATCH($AD105,'Fixture Codes'!$B$8:$B$976,0))="Exit Sign",1,INDEX(Lookups!J$2:J$428,MATCH(_xlfn.CONCAT($B105,$H105),Lookups!$H$2:$H$428,0)))),"")</f>
        <v/>
      </c>
      <c r="AU105" s="150" t="str">
        <f>IFERROR(IF(M105="Exit Signs",1,IF(INDEX('Fixture Codes'!$C$8:$C$976,MATCH($AD105,'Fixture Codes'!$B$8:$B$976,0))="Exit Sign",1,INDEX(Lookups!K$2:K$428,MATCH(_xlfn.CONCAT($B105,$H105),Lookups!$H$2:$H$428,0)))),"")</f>
        <v/>
      </c>
      <c r="AV105" s="150" t="str">
        <f>IFERROR(IF(M105="Exit Signs",1,IF(INDEX('Fixture Codes'!$C$8:$C$976,MATCH($AD105,'Fixture Codes'!$B$8:$B$976,0))="Exit Sign",1,INDEX(Lookups!L$2:L$428,MATCH(_xlfn.CONCAT($B105,$H105),Lookups!$H$2:$H$428,0)))),"")</f>
        <v/>
      </c>
      <c r="AW105" s="150" t="str">
        <f>IF(ISBLANK(K105),"",IF(K105="Gas",INDEX(Lookups!$AG$2:$AG$63,MATCH(O105,Lookups!$AD$2:$AD$63,0),0),0))</f>
        <v/>
      </c>
      <c r="AX105" s="150" t="str">
        <f>IF(ISBLANK(K105),"",IF(K105="Gas",INDEX(Lookups!$AF$2:$AF$63,MATCH(O105,Lookups!$AD$2:$AD$63,0),0),0))</f>
        <v/>
      </c>
      <c r="AY105" s="150" t="str">
        <f>IF(ISBLANK(K105),"",IF(K105="Gas",INDEX(Lookups!$AH$2:$AH$63,MATCH(O105,Lookups!$AD$2:$AD$63,0),0),0))</f>
        <v/>
      </c>
      <c r="AZ105" s="150" t="str">
        <f>IF(ISBLANK(K105),"",IF(K105="Gas",INDEX(Lookups!$AI$2:$AI$63,MATCH(O105,Lookups!$AD$2:$AD$63,0),0),0))</f>
        <v/>
      </c>
      <c r="BA105" s="150" t="str">
        <f t="shared" si="40"/>
        <v/>
      </c>
      <c r="BB105" s="156" t="str">
        <f>IF(ISBLANK(AH105),"",IF(AH105="None",0,IF(K105="Gas",INDEX(Lookups!$AF$51:$AF$69,MATCH(AH105,Lookups!$AD$51:$AD$69,0),0),0)))</f>
        <v/>
      </c>
      <c r="BC105" s="156" t="str">
        <f>IF(ISBLANK(AH105),"",IF(AH105="None",0,IF(K105="Gas",INDEX(Lookups!$AH$51:$AH$69,MATCH(AH105,Lookups!$AD$51:$AD$69,0),0),0)))</f>
        <v/>
      </c>
      <c r="BD105" s="156" t="str">
        <f>IF(ISBLANK(AH105),"",IF(AH105="None",0,IF(K105="Gas",INDEX(Lookups!$AI$51:$AI$69,MATCH(AH105,Lookups!$AD$51:$AD$69,0),0),0)))</f>
        <v/>
      </c>
      <c r="BE105" s="157"/>
      <c r="BF105" s="157"/>
      <c r="BG105" s="147" t="str">
        <f t="shared" si="56"/>
        <v/>
      </c>
      <c r="BH105" s="147" t="str">
        <f t="shared" si="57"/>
        <v/>
      </c>
      <c r="BI105" s="147" t="str">
        <f t="shared" si="41"/>
        <v/>
      </c>
      <c r="BJ105" s="147" t="str">
        <f t="shared" si="42"/>
        <v/>
      </c>
      <c r="BK105" s="148" t="str">
        <f t="shared" si="58"/>
        <v/>
      </c>
      <c r="BL105" s="147" t="str">
        <f t="shared" si="43"/>
        <v/>
      </c>
      <c r="BM105" s="148" t="str">
        <f t="shared" si="59"/>
        <v/>
      </c>
      <c r="BN105" s="147" t="str">
        <f t="shared" si="60"/>
        <v/>
      </c>
      <c r="BO105" s="147" t="str">
        <f t="shared" si="60"/>
        <v/>
      </c>
      <c r="BP105" s="147" t="str">
        <f t="shared" si="61"/>
        <v/>
      </c>
      <c r="BQ105" s="148" t="str">
        <f t="shared" si="62"/>
        <v/>
      </c>
      <c r="BR105" s="148" t="str">
        <f t="shared" si="63"/>
        <v/>
      </c>
      <c r="BS105" s="148" t="str">
        <f t="shared" si="64"/>
        <v/>
      </c>
      <c r="BT105" s="148" t="str">
        <f t="shared" si="44"/>
        <v/>
      </c>
      <c r="BU105" s="148" t="str">
        <f t="shared" si="45"/>
        <v/>
      </c>
      <c r="BV105" s="148" t="str">
        <f t="shared" si="46"/>
        <v/>
      </c>
      <c r="BW105" s="148" t="str">
        <f t="shared" si="47"/>
        <v/>
      </c>
      <c r="BX105" s="148" t="str">
        <f t="shared" si="48"/>
        <v/>
      </c>
      <c r="BY105" s="148" t="str">
        <f t="shared" si="49"/>
        <v/>
      </c>
      <c r="BZ105" s="149" t="str">
        <f>IFERROR(INDEX('Prescriptive Rebate Table'!$B$2:$E$64,MATCH(O105,'Prescriptive Rebate Table'!$C$2:$C$64,0),3),"")</f>
        <v/>
      </c>
      <c r="CA105" s="145" t="str">
        <f>IFERROR(INDEX('Prescriptive Rebate Table'!$B$2:$E$64,MATCH(O105,'Prescriptive Rebate Table'!$C$2:$C$64,0),4),"")</f>
        <v/>
      </c>
      <c r="CB105" s="149" t="str">
        <f t="shared" si="65"/>
        <v/>
      </c>
      <c r="CC105" s="145" t="str">
        <f t="shared" si="66"/>
        <v/>
      </c>
      <c r="CD105" s="149" t="str">
        <f t="shared" si="50"/>
        <v/>
      </c>
      <c r="CE105" s="149" t="str">
        <f t="shared" si="51"/>
        <v/>
      </c>
      <c r="CF105" s="149" t="str">
        <f>IF(BK105&lt;=0,0,IFERROR(IF(OR(ISBLANK(AC105),ISBLANK(CD105))=TRUE,"",IF(CA105="Per Foot",INDEX('Fixture Codes'!$I$8:$I$976,MATCH(AD105,'Fixture Codes'!$B$8:$B$976,0))/12*AF105*BZ105,IF(CA105="Lamp",INDEX('Fixture Codes'!$J$8:$J$976,MATCH(AD105,'Fixture Codes'!$B$8:$B$976,0))*AF105*BZ105,IF(CA105="Fixture",AF105*BZ105,IF(CA105="kWh",BK105*BZ105,0))))),""))</f>
        <v/>
      </c>
      <c r="CG105" s="149" t="str">
        <f t="shared" si="67"/>
        <v/>
      </c>
      <c r="CH105" s="149" t="str">
        <f t="shared" si="68"/>
        <v/>
      </c>
      <c r="CI105" s="152"/>
      <c r="CJ105" s="146"/>
      <c r="CK105" s="241">
        <f>IFERROR(IF(CL105="Yes",'Prescriptive Rebate Table'!$D$69,IF(ISBLANK(AI105),0,IF(AND(AH105=Lookups!$A$62,BK105&gt;0),'Prescriptive Rebate Table'!$D$68,IF(AND(BK105&gt;0,CJ105=AF105),'Prescriptive Rebate Table'!$D$67,IF(AND(BK105&gt;0,CJ105&lt;&gt;AF105),'Prescriptive Rebate Table'!D164,0))))),"")</f>
        <v>0</v>
      </c>
      <c r="CL105" s="240" t="s">
        <v>2712</v>
      </c>
      <c r="CM105" s="152"/>
      <c r="CN105" s="152"/>
      <c r="CO105" s="152"/>
      <c r="CP105" s="146">
        <f t="shared" si="52"/>
        <v>0</v>
      </c>
      <c r="CQ105" s="153">
        <f>IF(D105="Interior",ROUND(($AG105*AF105)/1000*$AM105*(Lookups!$B$54-$AA105)*$AN105*$AO105,3),0)</f>
        <v>0</v>
      </c>
      <c r="CR105" s="153">
        <f>IFERROR(IF(D105="Interior",ROUND(($AG105*$AF105)/1000*(Lookups!$C$54-$AB105)*$AN105*AQ105*AT105,6),0),"")</f>
        <v>0</v>
      </c>
      <c r="CS105" s="165">
        <f t="shared" si="69"/>
        <v>0</v>
      </c>
      <c r="CT105" s="165">
        <f t="shared" si="70"/>
        <v>0</v>
      </c>
      <c r="CV105" s="153"/>
      <c r="CW105" s="153"/>
      <c r="CX105" s="165"/>
      <c r="CY105" s="165"/>
      <c r="DA105" s="153">
        <f>IF(D105="Interior",ROUND(($AG105*AF105*(1-0.15))/1000*$AM105*(Lookups!$B$43+0.097-$AA105)*$AN105*$AO105+((W105*V105)/1000*AN105*AM105*AO105*0.15),3),0)</f>
        <v>0</v>
      </c>
      <c r="DB105" s="153">
        <f>IFERROR(IF(D105="Interior",ROUND(($AG105*$AF105)/1000*(Lookups!$C$43+0.097-$AB105)*$AN105*AQ105*AT105+(($AG105*$AF105)/1000*$AN105*AQ105*AT105*0.15),6),0),"")</f>
        <v>0</v>
      </c>
      <c r="DC105" s="165">
        <f t="shared" si="71"/>
        <v>0</v>
      </c>
      <c r="DD105" s="165">
        <f t="shared" si="72"/>
        <v>0</v>
      </c>
    </row>
    <row r="106" spans="1:108" s="164" customFormat="1">
      <c r="A106" s="150">
        <v>102</v>
      </c>
      <c r="B106" s="153" t="str">
        <f>IFERROR(INDEX(Lookups!$B$2:$B$38,MATCH('Project Info &amp; Summary'!$C$19,Lookups!$A$2:$A$38,0)),"")</f>
        <v/>
      </c>
      <c r="C106" s="153" t="str">
        <f>IFERROR(INDEX(Lookups!$C$2:$C$38,MATCH('Project Info &amp; Summary'!$C$19,Lookups!$A$2:$A$38,0)),"")</f>
        <v/>
      </c>
      <c r="D106" s="163"/>
      <c r="E106" s="160"/>
      <c r="F106" s="158"/>
      <c r="G106" s="158"/>
      <c r="H106" s="158"/>
      <c r="I106" s="158"/>
      <c r="J106" s="154" t="str">
        <f>IFERROR(INDEX(Lookups!$W$21:$W$26,MATCH(I106,Lookups!$V$21:$V$26,0)),"")</f>
        <v/>
      </c>
      <c r="K106" s="158"/>
      <c r="L106" s="162" t="str">
        <f>IFERROR(INDEX(Lookups!$Y$2:$Y$19,MATCH(_xlfn.CONCAT(I106,K106),Lookups!$X$2:$X$19,0)),"")</f>
        <v/>
      </c>
      <c r="M106" s="158"/>
      <c r="N106" s="153" t="str">
        <f>IFERROR(INDEX('Prescriptive Rebate Table'!$M$3:$M$20,MATCH(M106,'Prescriptive Rebate Table'!$L$3:$L$20,0)),"")</f>
        <v/>
      </c>
      <c r="O106" s="158"/>
      <c r="P106" s="154" t="str">
        <f>IFERROR(INDEX('Prescriptive Rebate Table'!$B$2:$H$64, MATCH(O106,'Prescriptive Rebate Table'!$C$2:$C$64,0),7),"")</f>
        <v/>
      </c>
      <c r="Q106" s="155" t="str">
        <f>IFERROR(INDEX('Prescriptive Rebate Table'!$B$2:$I$64, MATCH(O106,'Prescriptive Rebate Table'!$C$2:$C$64,0),8),"")</f>
        <v/>
      </c>
      <c r="R106" s="155" t="str">
        <f>IFERROR(INDEX('Prescriptive Rebate Table'!$B$2:$J$64, MATCH(O106,'Prescriptive Rebate Table'!$C$2:$C$64,0),9),"")</f>
        <v/>
      </c>
      <c r="S106" s="160"/>
      <c r="T106" s="145" t="str">
        <f>IFERROR(INDEX('Fixture Codes'!$M$8:$M$976,MATCH(S106,'Fixture Codes'!$B$8:$B$976,0)),"")</f>
        <v/>
      </c>
      <c r="U106" s="145" t="str">
        <f>IFERROR(INDEX('Fixture Codes'!$B$7:$M$976,MATCH(T106,'Fixture Codes'!$B$7:$B$976,0),5),"")</f>
        <v/>
      </c>
      <c r="V106" s="160"/>
      <c r="W106" s="145" t="str">
        <f>IFERROR(INDEX('Fixture Codes'!$L$8:$L$976,MATCH(T106,'Fixture Codes'!$B$8:$B$976,0)),"")</f>
        <v/>
      </c>
      <c r="X106" s="158"/>
      <c r="Y106" s="159"/>
      <c r="Z106" s="155" t="str">
        <f>IFERROR(INDEX(Lookups!B$68:B$87,MATCH($X106,Lookups!$A$68:$A$87,0)),"")</f>
        <v/>
      </c>
      <c r="AA106" s="150" t="str">
        <f>IFERROR(INDEX(Lookups!B$42:B$62,MATCH($X106,Lookups!$A$42:$A$62,0)),"")</f>
        <v/>
      </c>
      <c r="AB106" s="150" t="str">
        <f>IFERROR(INDEX(Lookups!C$42:C$62,MATCH($X106,Lookups!$A$42:$A$62,0)),"")</f>
        <v/>
      </c>
      <c r="AC106" s="160"/>
      <c r="AD106" s="160"/>
      <c r="AE106" s="150" t="str">
        <f>IFERROR(INDEX('Fixture Codes'!$B$7:$M$976,MATCH(AD106,'Fixture Codes'!$B$7:$B$976,0),5),"")</f>
        <v/>
      </c>
      <c r="AF106" s="160"/>
      <c r="AG106" s="145" t="str">
        <f>IFERROR(INDEX('Fixture Codes'!$L$8:$L$976,MATCH(AD106,'Fixture Codes'!$B$8:$B$976,0)),"")</f>
        <v/>
      </c>
      <c r="AH106" s="158"/>
      <c r="AI106" s="160"/>
      <c r="AJ106" s="150" t="str">
        <f>IFERROR(INDEX(Lookups!B$68:B$87,MATCH($AH106,Lookups!$A$68:$A$87,0)),"")</f>
        <v/>
      </c>
      <c r="AK106" s="150" t="str">
        <f>IFERROR(INDEX(Lookups!B$42:B$62,MATCH($AH106,Lookups!$A$42:$A$62,0)),"")</f>
        <v/>
      </c>
      <c r="AL106" s="150" t="str">
        <f>IFERROR(INDEX(Lookups!C$42:C$62,MATCH($AH106,Lookups!$A$42:$A$62,0)),"")</f>
        <v/>
      </c>
      <c r="AM106" s="150" t="str">
        <f>IFERROR(IF(M106="Exit Signs",8760,IF(INDEX('Fixture Codes'!$C$8:$C$976,MATCH(AD106,'Fixture Codes'!$B$8:$B$976,0))="Exit Sign",8760,INDEX(Lookups!$I$2:$I$428,MATCH(_xlfn.CONCAT(B106,H106),Lookups!$H$2:$H$428,0)))),"")</f>
        <v/>
      </c>
      <c r="AN106" s="153">
        <v>1</v>
      </c>
      <c r="AO106" s="150" t="str">
        <f>IF($D106="Interior",INDEX(Lookups!Q$2:Q$86,MATCH(_xlfn.CONCAT($C106,$L106),Lookups!$P$2:$P$86,0)),IF($D106="Exterior",1,""))</f>
        <v/>
      </c>
      <c r="AP106" s="150">
        <f t="shared" si="55"/>
        <v>1</v>
      </c>
      <c r="AQ106" s="150" t="str">
        <f>IF($D106="Interior",INDEX(Lookups!R$2:R$86,MATCH(_xlfn.CONCAT($C106,$L106),Lookups!$P$2:$P$86,0)),IF($D106="Exterior",1,""))</f>
        <v/>
      </c>
      <c r="AR106" s="150" t="str">
        <f>IF($D106="Interior",INDEX(Lookups!S$2:S$86,MATCH(_xlfn.CONCAT($C106,$L106),Lookups!$P$2:$P$86,0)),IF($D106="Exterior",1,""))</f>
        <v/>
      </c>
      <c r="AS106" s="150" t="str">
        <f>IF($D106="Interior",INDEX(Lookups!T$2:T$86,MATCH(_xlfn.CONCAT($C106,$L106),Lookups!$P$2:$P$86,0)),IF($D106="Exterior",1,""))</f>
        <v/>
      </c>
      <c r="AT106" s="150" t="str">
        <f>IFERROR(IF(M106="Exit Signs",1,IF(INDEX('Fixture Codes'!$C$8:$C$976,MATCH($AD106,'Fixture Codes'!$B$8:$B$976,0))="Exit Sign",1,INDEX(Lookups!J$2:J$428,MATCH(_xlfn.CONCAT($B106,$H106),Lookups!$H$2:$H$428,0)))),"")</f>
        <v/>
      </c>
      <c r="AU106" s="150" t="str">
        <f>IFERROR(IF(M106="Exit Signs",1,IF(INDEX('Fixture Codes'!$C$8:$C$976,MATCH($AD106,'Fixture Codes'!$B$8:$B$976,0))="Exit Sign",1,INDEX(Lookups!K$2:K$428,MATCH(_xlfn.CONCAT($B106,$H106),Lookups!$H$2:$H$428,0)))),"")</f>
        <v/>
      </c>
      <c r="AV106" s="150" t="str">
        <f>IFERROR(IF(M106="Exit Signs",1,IF(INDEX('Fixture Codes'!$C$8:$C$976,MATCH($AD106,'Fixture Codes'!$B$8:$B$976,0))="Exit Sign",1,INDEX(Lookups!L$2:L$428,MATCH(_xlfn.CONCAT($B106,$H106),Lookups!$H$2:$H$428,0)))),"")</f>
        <v/>
      </c>
      <c r="AW106" s="150" t="str">
        <f>IF(ISBLANK(K106),"",IF(K106="Gas",INDEX(Lookups!$AG$2:$AG$63,MATCH(O106,Lookups!$AD$2:$AD$63,0),0),0))</f>
        <v/>
      </c>
      <c r="AX106" s="150" t="str">
        <f>IF(ISBLANK(K106),"",IF(K106="Gas",INDEX(Lookups!$AF$2:$AF$63,MATCH(O106,Lookups!$AD$2:$AD$63,0),0),0))</f>
        <v/>
      </c>
      <c r="AY106" s="150" t="str">
        <f>IF(ISBLANK(K106),"",IF(K106="Gas",INDEX(Lookups!$AH$2:$AH$63,MATCH(O106,Lookups!$AD$2:$AD$63,0),0),0))</f>
        <v/>
      </c>
      <c r="AZ106" s="150" t="str">
        <f>IF(ISBLANK(K106),"",IF(K106="Gas",INDEX(Lookups!$AI$2:$AI$63,MATCH(O106,Lookups!$AD$2:$AD$63,0),0),0))</f>
        <v/>
      </c>
      <c r="BA106" s="150" t="str">
        <f t="shared" si="40"/>
        <v/>
      </c>
      <c r="BB106" s="156" t="str">
        <f>IF(ISBLANK(AH106),"",IF(AH106="None",0,IF(K106="Gas",INDEX(Lookups!$AF$51:$AF$69,MATCH(AH106,Lookups!$AD$51:$AD$69,0),0),0)))</f>
        <v/>
      </c>
      <c r="BC106" s="156" t="str">
        <f>IF(ISBLANK(AH106),"",IF(AH106="None",0,IF(K106="Gas",INDEX(Lookups!$AH$51:$AH$69,MATCH(AH106,Lookups!$AD$51:$AD$69,0),0),0)))</f>
        <v/>
      </c>
      <c r="BD106" s="156" t="str">
        <f>IF(ISBLANK(AH106),"",IF(AH106="None",0,IF(K106="Gas",INDEX(Lookups!$AI$51:$AI$69,MATCH(AH106,Lookups!$AD$51:$AD$69,0),0),0)))</f>
        <v/>
      </c>
      <c r="BE106" s="157"/>
      <c r="BF106" s="157"/>
      <c r="BG106" s="147" t="str">
        <f t="shared" si="56"/>
        <v/>
      </c>
      <c r="BH106" s="147" t="str">
        <f t="shared" si="57"/>
        <v/>
      </c>
      <c r="BI106" s="147" t="str">
        <f t="shared" si="41"/>
        <v/>
      </c>
      <c r="BJ106" s="147" t="str">
        <f t="shared" si="42"/>
        <v/>
      </c>
      <c r="BK106" s="148" t="str">
        <f t="shared" si="58"/>
        <v/>
      </c>
      <c r="BL106" s="147" t="str">
        <f t="shared" si="43"/>
        <v/>
      </c>
      <c r="BM106" s="148" t="str">
        <f t="shared" si="59"/>
        <v/>
      </c>
      <c r="BN106" s="147" t="str">
        <f t="shared" si="60"/>
        <v/>
      </c>
      <c r="BO106" s="147" t="str">
        <f t="shared" si="60"/>
        <v/>
      </c>
      <c r="BP106" s="147" t="str">
        <f t="shared" si="61"/>
        <v/>
      </c>
      <c r="BQ106" s="148" t="str">
        <f t="shared" si="62"/>
        <v/>
      </c>
      <c r="BR106" s="148" t="str">
        <f t="shared" si="63"/>
        <v/>
      </c>
      <c r="BS106" s="148" t="str">
        <f t="shared" si="64"/>
        <v/>
      </c>
      <c r="BT106" s="148" t="str">
        <f t="shared" si="44"/>
        <v/>
      </c>
      <c r="BU106" s="148" t="str">
        <f t="shared" si="45"/>
        <v/>
      </c>
      <c r="BV106" s="148" t="str">
        <f t="shared" si="46"/>
        <v/>
      </c>
      <c r="BW106" s="148" t="str">
        <f t="shared" si="47"/>
        <v/>
      </c>
      <c r="BX106" s="148" t="str">
        <f t="shared" si="48"/>
        <v/>
      </c>
      <c r="BY106" s="148" t="str">
        <f t="shared" si="49"/>
        <v/>
      </c>
      <c r="BZ106" s="149" t="str">
        <f>IFERROR(INDEX('Prescriptive Rebate Table'!$B$2:$E$64,MATCH(O106,'Prescriptive Rebate Table'!$C$2:$C$64,0),3),"")</f>
        <v/>
      </c>
      <c r="CA106" s="145" t="str">
        <f>IFERROR(INDEX('Prescriptive Rebate Table'!$B$2:$E$64,MATCH(O106,'Prescriptive Rebate Table'!$C$2:$C$64,0),4),"")</f>
        <v/>
      </c>
      <c r="CB106" s="149" t="str">
        <f t="shared" si="65"/>
        <v/>
      </c>
      <c r="CC106" s="145" t="str">
        <f t="shared" si="66"/>
        <v/>
      </c>
      <c r="CD106" s="149" t="str">
        <f t="shared" si="50"/>
        <v/>
      </c>
      <c r="CE106" s="149" t="str">
        <f t="shared" si="51"/>
        <v/>
      </c>
      <c r="CF106" s="149" t="str">
        <f>IF(BK106&lt;=0,0,IFERROR(IF(OR(ISBLANK(AC106),ISBLANK(CD106))=TRUE,"",IF(CA106="Per Foot",INDEX('Fixture Codes'!$I$8:$I$976,MATCH(AD106,'Fixture Codes'!$B$8:$B$976,0))/12*AF106*BZ106,IF(CA106="Lamp",INDEX('Fixture Codes'!$J$8:$J$976,MATCH(AD106,'Fixture Codes'!$B$8:$B$976,0))*AF106*BZ106,IF(CA106="Fixture",AF106*BZ106,IF(CA106="kWh",BK106*BZ106,0))))),""))</f>
        <v/>
      </c>
      <c r="CG106" s="149" t="str">
        <f t="shared" si="67"/>
        <v/>
      </c>
      <c r="CH106" s="149" t="str">
        <f t="shared" si="68"/>
        <v/>
      </c>
      <c r="CI106" s="152"/>
      <c r="CJ106" s="146"/>
      <c r="CK106" s="241">
        <f>IFERROR(IF(CL106="Yes",'Prescriptive Rebate Table'!$D$69,IF(ISBLANK(AI106),0,IF(AND(AH106=Lookups!$A$62,BK106&gt;0),'Prescriptive Rebate Table'!$D$68,IF(AND(BK106&gt;0,CJ106=AF106),'Prescriptive Rebate Table'!$D$67,IF(AND(BK106&gt;0,CJ106&lt;&gt;AF106),'Prescriptive Rebate Table'!D165,0))))),"")</f>
        <v>0</v>
      </c>
      <c r="CL106" s="240" t="s">
        <v>2712</v>
      </c>
      <c r="CM106" s="152"/>
      <c r="CN106" s="152"/>
      <c r="CO106" s="152"/>
      <c r="CP106" s="146">
        <f t="shared" si="52"/>
        <v>0</v>
      </c>
      <c r="CQ106" s="153">
        <f>IF(D106="Interior",ROUND(($AG106*AF106)/1000*$AM106*(Lookups!$B$54-$AA106)*$AN106*$AO106,3),0)</f>
        <v>0</v>
      </c>
      <c r="CR106" s="153">
        <f>IFERROR(IF(D106="Interior",ROUND(($AG106*$AF106)/1000*(Lookups!$C$54-$AB106)*$AN106*AQ106*AT106,6),0),"")</f>
        <v>0</v>
      </c>
      <c r="CS106" s="165">
        <f t="shared" si="69"/>
        <v>0</v>
      </c>
      <c r="CT106" s="165">
        <f t="shared" si="70"/>
        <v>0</v>
      </c>
      <c r="CV106" s="153"/>
      <c r="CW106" s="153"/>
      <c r="CX106" s="165"/>
      <c r="CY106" s="165"/>
      <c r="DA106" s="153">
        <f>IF(D106="Interior",ROUND(($AG106*AF106*(1-0.15))/1000*$AM106*(Lookups!$B$43+0.097-$AA106)*$AN106*$AO106+((W106*V106)/1000*AN106*AM106*AO106*0.15),3),0)</f>
        <v>0</v>
      </c>
      <c r="DB106" s="153">
        <f>IFERROR(IF(D106="Interior",ROUND(($AG106*$AF106)/1000*(Lookups!$C$43+0.097-$AB106)*$AN106*AQ106*AT106+(($AG106*$AF106)/1000*$AN106*AQ106*AT106*0.15),6),0),"")</f>
        <v>0</v>
      </c>
      <c r="DC106" s="165">
        <f t="shared" si="71"/>
        <v>0</v>
      </c>
      <c r="DD106" s="165">
        <f t="shared" si="72"/>
        <v>0</v>
      </c>
    </row>
    <row r="107" spans="1:108" s="164" customFormat="1">
      <c r="A107" s="150">
        <v>103</v>
      </c>
      <c r="B107" s="153" t="str">
        <f>IFERROR(INDEX(Lookups!$B$2:$B$38,MATCH('Project Info &amp; Summary'!$C$19,Lookups!$A$2:$A$38,0)),"")</f>
        <v/>
      </c>
      <c r="C107" s="153" t="str">
        <f>IFERROR(INDEX(Lookups!$C$2:$C$38,MATCH('Project Info &amp; Summary'!$C$19,Lookups!$A$2:$A$38,0)),"")</f>
        <v/>
      </c>
      <c r="D107" s="163"/>
      <c r="E107" s="160"/>
      <c r="F107" s="158"/>
      <c r="G107" s="158"/>
      <c r="H107" s="158"/>
      <c r="I107" s="158"/>
      <c r="J107" s="154" t="str">
        <f>IFERROR(INDEX(Lookups!$W$21:$W$26,MATCH(I107,Lookups!$V$21:$V$26,0)),"")</f>
        <v/>
      </c>
      <c r="K107" s="158"/>
      <c r="L107" s="162" t="str">
        <f>IFERROR(INDEX(Lookups!$Y$2:$Y$19,MATCH(_xlfn.CONCAT(I107,K107),Lookups!$X$2:$X$19,0)),"")</f>
        <v/>
      </c>
      <c r="M107" s="158"/>
      <c r="N107" s="153" t="str">
        <f>IFERROR(INDEX('Prescriptive Rebate Table'!$M$3:$M$20,MATCH(M107,'Prescriptive Rebate Table'!$L$3:$L$20,0)),"")</f>
        <v/>
      </c>
      <c r="O107" s="158"/>
      <c r="P107" s="154" t="str">
        <f>IFERROR(INDEX('Prescriptive Rebate Table'!$B$2:$H$64, MATCH(O107,'Prescriptive Rebate Table'!$C$2:$C$64,0),7),"")</f>
        <v/>
      </c>
      <c r="Q107" s="155" t="str">
        <f>IFERROR(INDEX('Prescriptive Rebate Table'!$B$2:$I$64, MATCH(O107,'Prescriptive Rebate Table'!$C$2:$C$64,0),8),"")</f>
        <v/>
      </c>
      <c r="R107" s="155" t="str">
        <f>IFERROR(INDEX('Prescriptive Rebate Table'!$B$2:$J$64, MATCH(O107,'Prescriptive Rebate Table'!$C$2:$C$64,0),9),"")</f>
        <v/>
      </c>
      <c r="S107" s="160"/>
      <c r="T107" s="145" t="str">
        <f>IFERROR(INDEX('Fixture Codes'!$M$8:$M$976,MATCH(S107,'Fixture Codes'!$B$8:$B$976,0)),"")</f>
        <v/>
      </c>
      <c r="U107" s="145" t="str">
        <f>IFERROR(INDEX('Fixture Codes'!$B$7:$M$976,MATCH(T107,'Fixture Codes'!$B$7:$B$976,0),5),"")</f>
        <v/>
      </c>
      <c r="V107" s="160"/>
      <c r="W107" s="145" t="str">
        <f>IFERROR(INDEX('Fixture Codes'!$L$8:$L$976,MATCH(T107,'Fixture Codes'!$B$8:$B$976,0)),"")</f>
        <v/>
      </c>
      <c r="X107" s="158"/>
      <c r="Y107" s="159"/>
      <c r="Z107" s="155" t="str">
        <f>IFERROR(INDEX(Lookups!B$68:B$87,MATCH($X107,Lookups!$A$68:$A$87,0)),"")</f>
        <v/>
      </c>
      <c r="AA107" s="150" t="str">
        <f>IFERROR(INDEX(Lookups!B$42:B$62,MATCH($X107,Lookups!$A$42:$A$62,0)),"")</f>
        <v/>
      </c>
      <c r="AB107" s="150" t="str">
        <f>IFERROR(INDEX(Lookups!C$42:C$62,MATCH($X107,Lookups!$A$42:$A$62,0)),"")</f>
        <v/>
      </c>
      <c r="AC107" s="160"/>
      <c r="AD107" s="160"/>
      <c r="AE107" s="150" t="str">
        <f>IFERROR(INDEX('Fixture Codes'!$B$7:$M$976,MATCH(AD107,'Fixture Codes'!$B$7:$B$976,0),5),"")</f>
        <v/>
      </c>
      <c r="AF107" s="160"/>
      <c r="AG107" s="145" t="str">
        <f>IFERROR(INDEX('Fixture Codes'!$L$8:$L$976,MATCH(AD107,'Fixture Codes'!$B$8:$B$976,0)),"")</f>
        <v/>
      </c>
      <c r="AH107" s="158"/>
      <c r="AI107" s="160"/>
      <c r="AJ107" s="150" t="str">
        <f>IFERROR(INDEX(Lookups!B$68:B$87,MATCH($AH107,Lookups!$A$68:$A$87,0)),"")</f>
        <v/>
      </c>
      <c r="AK107" s="150" t="str">
        <f>IFERROR(INDEX(Lookups!B$42:B$62,MATCH($AH107,Lookups!$A$42:$A$62,0)),"")</f>
        <v/>
      </c>
      <c r="AL107" s="150" t="str">
        <f>IFERROR(INDEX(Lookups!C$42:C$62,MATCH($AH107,Lookups!$A$42:$A$62,0)),"")</f>
        <v/>
      </c>
      <c r="AM107" s="150" t="str">
        <f>IFERROR(IF(M107="Exit Signs",8760,IF(INDEX('Fixture Codes'!$C$8:$C$976,MATCH(AD107,'Fixture Codes'!$B$8:$B$976,0))="Exit Sign",8760,INDEX(Lookups!$I$2:$I$428,MATCH(_xlfn.CONCAT(B107,H107),Lookups!$H$2:$H$428,0)))),"")</f>
        <v/>
      </c>
      <c r="AN107" s="153">
        <v>1</v>
      </c>
      <c r="AO107" s="150" t="str">
        <f>IF($D107="Interior",INDEX(Lookups!Q$2:Q$86,MATCH(_xlfn.CONCAT($C107,$L107),Lookups!$P$2:$P$86,0)),IF($D107="Exterior",1,""))</f>
        <v/>
      </c>
      <c r="AP107" s="150">
        <f t="shared" si="55"/>
        <v>1</v>
      </c>
      <c r="AQ107" s="150" t="str">
        <f>IF($D107="Interior",INDEX(Lookups!R$2:R$86,MATCH(_xlfn.CONCAT($C107,$L107),Lookups!$P$2:$P$86,0)),IF($D107="Exterior",1,""))</f>
        <v/>
      </c>
      <c r="AR107" s="150" t="str">
        <f>IF($D107="Interior",INDEX(Lookups!S$2:S$86,MATCH(_xlfn.CONCAT($C107,$L107),Lookups!$P$2:$P$86,0)),IF($D107="Exterior",1,""))</f>
        <v/>
      </c>
      <c r="AS107" s="150" t="str">
        <f>IF($D107="Interior",INDEX(Lookups!T$2:T$86,MATCH(_xlfn.CONCAT($C107,$L107),Lookups!$P$2:$P$86,0)),IF($D107="Exterior",1,""))</f>
        <v/>
      </c>
      <c r="AT107" s="150" t="str">
        <f>IFERROR(IF(M107="Exit Signs",1,IF(INDEX('Fixture Codes'!$C$8:$C$976,MATCH($AD107,'Fixture Codes'!$B$8:$B$976,0))="Exit Sign",1,INDEX(Lookups!J$2:J$428,MATCH(_xlfn.CONCAT($B107,$H107),Lookups!$H$2:$H$428,0)))),"")</f>
        <v/>
      </c>
      <c r="AU107" s="150" t="str">
        <f>IFERROR(IF(M107="Exit Signs",1,IF(INDEX('Fixture Codes'!$C$8:$C$976,MATCH($AD107,'Fixture Codes'!$B$8:$B$976,0))="Exit Sign",1,INDEX(Lookups!K$2:K$428,MATCH(_xlfn.CONCAT($B107,$H107),Lookups!$H$2:$H$428,0)))),"")</f>
        <v/>
      </c>
      <c r="AV107" s="150" t="str">
        <f>IFERROR(IF(M107="Exit Signs",1,IF(INDEX('Fixture Codes'!$C$8:$C$976,MATCH($AD107,'Fixture Codes'!$B$8:$B$976,0))="Exit Sign",1,INDEX(Lookups!L$2:L$428,MATCH(_xlfn.CONCAT($B107,$H107),Lookups!$H$2:$H$428,0)))),"")</f>
        <v/>
      </c>
      <c r="AW107" s="150" t="str">
        <f>IF(ISBLANK(K107),"",IF(K107="Gas",INDEX(Lookups!$AG$2:$AG$63,MATCH(O107,Lookups!$AD$2:$AD$63,0),0),0))</f>
        <v/>
      </c>
      <c r="AX107" s="150" t="str">
        <f>IF(ISBLANK(K107),"",IF(K107="Gas",INDEX(Lookups!$AF$2:$AF$63,MATCH(O107,Lookups!$AD$2:$AD$63,0),0),0))</f>
        <v/>
      </c>
      <c r="AY107" s="150" t="str">
        <f>IF(ISBLANK(K107),"",IF(K107="Gas",INDEX(Lookups!$AH$2:$AH$63,MATCH(O107,Lookups!$AD$2:$AD$63,0),0),0))</f>
        <v/>
      </c>
      <c r="AZ107" s="150" t="str">
        <f>IF(ISBLANK(K107),"",IF(K107="Gas",INDEX(Lookups!$AI$2:$AI$63,MATCH(O107,Lookups!$AD$2:$AD$63,0),0),0))</f>
        <v/>
      </c>
      <c r="BA107" s="150" t="str">
        <f t="shared" si="40"/>
        <v/>
      </c>
      <c r="BB107" s="156" t="str">
        <f>IF(ISBLANK(AH107),"",IF(AH107="None",0,IF(K107="Gas",INDEX(Lookups!$AF$51:$AF$69,MATCH(AH107,Lookups!$AD$51:$AD$69,0),0),0)))</f>
        <v/>
      </c>
      <c r="BC107" s="156" t="str">
        <f>IF(ISBLANK(AH107),"",IF(AH107="None",0,IF(K107="Gas",INDEX(Lookups!$AH$51:$AH$69,MATCH(AH107,Lookups!$AD$51:$AD$69,0),0),0)))</f>
        <v/>
      </c>
      <c r="BD107" s="156" t="str">
        <f>IF(ISBLANK(AH107),"",IF(AH107="None",0,IF(K107="Gas",INDEX(Lookups!$AI$51:$AI$69,MATCH(AH107,Lookups!$AD$51:$AD$69,0),0),0)))</f>
        <v/>
      </c>
      <c r="BE107" s="157"/>
      <c r="BF107" s="157"/>
      <c r="BG107" s="147" t="str">
        <f t="shared" si="56"/>
        <v/>
      </c>
      <c r="BH107" s="147" t="str">
        <f t="shared" si="57"/>
        <v/>
      </c>
      <c r="BI107" s="147" t="str">
        <f t="shared" si="41"/>
        <v/>
      </c>
      <c r="BJ107" s="147" t="str">
        <f t="shared" si="42"/>
        <v/>
      </c>
      <c r="BK107" s="148" t="str">
        <f t="shared" si="58"/>
        <v/>
      </c>
      <c r="BL107" s="147" t="str">
        <f t="shared" si="43"/>
        <v/>
      </c>
      <c r="BM107" s="148" t="str">
        <f t="shared" si="59"/>
        <v/>
      </c>
      <c r="BN107" s="147" t="str">
        <f t="shared" si="60"/>
        <v/>
      </c>
      <c r="BO107" s="147" t="str">
        <f t="shared" si="60"/>
        <v/>
      </c>
      <c r="BP107" s="147" t="str">
        <f t="shared" si="61"/>
        <v/>
      </c>
      <c r="BQ107" s="148" t="str">
        <f t="shared" si="62"/>
        <v/>
      </c>
      <c r="BR107" s="148" t="str">
        <f t="shared" si="63"/>
        <v/>
      </c>
      <c r="BS107" s="148" t="str">
        <f t="shared" si="64"/>
        <v/>
      </c>
      <c r="BT107" s="148" t="str">
        <f t="shared" si="44"/>
        <v/>
      </c>
      <c r="BU107" s="148" t="str">
        <f t="shared" si="45"/>
        <v/>
      </c>
      <c r="BV107" s="148" t="str">
        <f t="shared" si="46"/>
        <v/>
      </c>
      <c r="BW107" s="148" t="str">
        <f t="shared" si="47"/>
        <v/>
      </c>
      <c r="BX107" s="148" t="str">
        <f t="shared" si="48"/>
        <v/>
      </c>
      <c r="BY107" s="148" t="str">
        <f t="shared" si="49"/>
        <v/>
      </c>
      <c r="BZ107" s="149" t="str">
        <f>IFERROR(INDEX('Prescriptive Rebate Table'!$B$2:$E$64,MATCH(O107,'Prescriptive Rebate Table'!$C$2:$C$64,0),3),"")</f>
        <v/>
      </c>
      <c r="CA107" s="145" t="str">
        <f>IFERROR(INDEX('Prescriptive Rebate Table'!$B$2:$E$64,MATCH(O107,'Prescriptive Rebate Table'!$C$2:$C$64,0),4),"")</f>
        <v/>
      </c>
      <c r="CB107" s="149" t="str">
        <f t="shared" si="65"/>
        <v/>
      </c>
      <c r="CC107" s="145" t="str">
        <f t="shared" si="66"/>
        <v/>
      </c>
      <c r="CD107" s="149" t="str">
        <f t="shared" si="50"/>
        <v/>
      </c>
      <c r="CE107" s="149" t="str">
        <f t="shared" si="51"/>
        <v/>
      </c>
      <c r="CF107" s="149" t="str">
        <f>IF(BK107&lt;=0,0,IFERROR(IF(OR(ISBLANK(AC107),ISBLANK(CD107))=TRUE,"",IF(CA107="Per Foot",INDEX('Fixture Codes'!$I$8:$I$976,MATCH(AD107,'Fixture Codes'!$B$8:$B$976,0))/12*AF107*BZ107,IF(CA107="Lamp",INDEX('Fixture Codes'!$J$8:$J$976,MATCH(AD107,'Fixture Codes'!$B$8:$B$976,0))*AF107*BZ107,IF(CA107="Fixture",AF107*BZ107,IF(CA107="kWh",BK107*BZ107,0))))),""))</f>
        <v/>
      </c>
      <c r="CG107" s="149" t="str">
        <f t="shared" si="67"/>
        <v/>
      </c>
      <c r="CH107" s="149" t="str">
        <f t="shared" si="68"/>
        <v/>
      </c>
      <c r="CI107" s="152"/>
      <c r="CJ107" s="146"/>
      <c r="CK107" s="241">
        <f>IFERROR(IF(CL107="Yes",'Prescriptive Rebate Table'!$D$69,IF(ISBLANK(AI107),0,IF(AND(AH107=Lookups!$A$62,BK107&gt;0),'Prescriptive Rebate Table'!$D$68,IF(AND(BK107&gt;0,CJ107=AF107),'Prescriptive Rebate Table'!$D$67,IF(AND(BK107&gt;0,CJ107&lt;&gt;AF107),'Prescriptive Rebate Table'!D166,0))))),"")</f>
        <v>0</v>
      </c>
      <c r="CL107" s="240" t="s">
        <v>2712</v>
      </c>
      <c r="CM107" s="152"/>
      <c r="CN107" s="152"/>
      <c r="CO107" s="152"/>
      <c r="CP107" s="146">
        <f t="shared" si="52"/>
        <v>0</v>
      </c>
      <c r="CQ107" s="153">
        <f>IF(D107="Interior",ROUND(($AG107*AF107)/1000*$AM107*(Lookups!$B$54-$AA107)*$AN107*$AO107,3),0)</f>
        <v>0</v>
      </c>
      <c r="CR107" s="153">
        <f>IFERROR(IF(D107="Interior",ROUND(($AG107*$AF107)/1000*(Lookups!$C$54-$AB107)*$AN107*AQ107*AT107,6),0),"")</f>
        <v>0</v>
      </c>
      <c r="CS107" s="165">
        <f t="shared" si="69"/>
        <v>0</v>
      </c>
      <c r="CT107" s="165">
        <f t="shared" si="70"/>
        <v>0</v>
      </c>
      <c r="CV107" s="153"/>
      <c r="CW107" s="153"/>
      <c r="CX107" s="165"/>
      <c r="CY107" s="165"/>
      <c r="DA107" s="153">
        <f>IF(D107="Interior",ROUND(($AG107*AF107*(1-0.15))/1000*$AM107*(Lookups!$B$43+0.097-$AA107)*$AN107*$AO107+((W107*V107)/1000*AN107*AM107*AO107*0.15),3),0)</f>
        <v>0</v>
      </c>
      <c r="DB107" s="153">
        <f>IFERROR(IF(D107="Interior",ROUND(($AG107*$AF107)/1000*(Lookups!$C$43+0.097-$AB107)*$AN107*AQ107*AT107+(($AG107*$AF107)/1000*$AN107*AQ107*AT107*0.15),6),0),"")</f>
        <v>0</v>
      </c>
      <c r="DC107" s="165">
        <f t="shared" si="71"/>
        <v>0</v>
      </c>
      <c r="DD107" s="165">
        <f t="shared" si="72"/>
        <v>0</v>
      </c>
    </row>
    <row r="108" spans="1:108" s="164" customFormat="1">
      <c r="A108" s="150">
        <v>104</v>
      </c>
      <c r="B108" s="153" t="str">
        <f>IFERROR(INDEX(Lookups!$B$2:$B$38,MATCH('Project Info &amp; Summary'!$C$19,Lookups!$A$2:$A$38,0)),"")</f>
        <v/>
      </c>
      <c r="C108" s="153" t="str">
        <f>IFERROR(INDEX(Lookups!$C$2:$C$38,MATCH('Project Info &amp; Summary'!$C$19,Lookups!$A$2:$A$38,0)),"")</f>
        <v/>
      </c>
      <c r="D108" s="163"/>
      <c r="E108" s="160"/>
      <c r="F108" s="158"/>
      <c r="G108" s="158"/>
      <c r="H108" s="158"/>
      <c r="I108" s="158"/>
      <c r="J108" s="154" t="str">
        <f>IFERROR(INDEX(Lookups!$W$21:$W$26,MATCH(I108,Lookups!$V$21:$V$26,0)),"")</f>
        <v/>
      </c>
      <c r="K108" s="158"/>
      <c r="L108" s="162" t="str">
        <f>IFERROR(INDEX(Lookups!$Y$2:$Y$19,MATCH(_xlfn.CONCAT(I108,K108),Lookups!$X$2:$X$19,0)),"")</f>
        <v/>
      </c>
      <c r="M108" s="158"/>
      <c r="N108" s="153" t="str">
        <f>IFERROR(INDEX('Prescriptive Rebate Table'!$M$3:$M$20,MATCH(M108,'Prescriptive Rebate Table'!$L$3:$L$20,0)),"")</f>
        <v/>
      </c>
      <c r="O108" s="158"/>
      <c r="P108" s="154" t="str">
        <f>IFERROR(INDEX('Prescriptive Rebate Table'!$B$2:$H$64, MATCH(O108,'Prescriptive Rebate Table'!$C$2:$C$64,0),7),"")</f>
        <v/>
      </c>
      <c r="Q108" s="155" t="str">
        <f>IFERROR(INDEX('Prescriptive Rebate Table'!$B$2:$I$64, MATCH(O108,'Prescriptive Rebate Table'!$C$2:$C$64,0),8),"")</f>
        <v/>
      </c>
      <c r="R108" s="155" t="str">
        <f>IFERROR(INDEX('Prescriptive Rebate Table'!$B$2:$J$64, MATCH(O108,'Prescriptive Rebate Table'!$C$2:$C$64,0),9),"")</f>
        <v/>
      </c>
      <c r="S108" s="160"/>
      <c r="T108" s="145" t="str">
        <f>IFERROR(INDEX('Fixture Codes'!$M$8:$M$976,MATCH(S108,'Fixture Codes'!$B$8:$B$976,0)),"")</f>
        <v/>
      </c>
      <c r="U108" s="145" t="str">
        <f>IFERROR(INDEX('Fixture Codes'!$B$7:$M$976,MATCH(T108,'Fixture Codes'!$B$7:$B$976,0),5),"")</f>
        <v/>
      </c>
      <c r="V108" s="160"/>
      <c r="W108" s="145" t="str">
        <f>IFERROR(INDEX('Fixture Codes'!$L$8:$L$976,MATCH(T108,'Fixture Codes'!$B$8:$B$976,0)),"")</f>
        <v/>
      </c>
      <c r="X108" s="158"/>
      <c r="Y108" s="159"/>
      <c r="Z108" s="155" t="str">
        <f>IFERROR(INDEX(Lookups!B$68:B$87,MATCH($X108,Lookups!$A$68:$A$87,0)),"")</f>
        <v/>
      </c>
      <c r="AA108" s="150" t="str">
        <f>IFERROR(INDEX(Lookups!B$42:B$62,MATCH($X108,Lookups!$A$42:$A$62,0)),"")</f>
        <v/>
      </c>
      <c r="AB108" s="150" t="str">
        <f>IFERROR(INDEX(Lookups!C$42:C$62,MATCH($X108,Lookups!$A$42:$A$62,0)),"")</f>
        <v/>
      </c>
      <c r="AC108" s="160"/>
      <c r="AD108" s="160"/>
      <c r="AE108" s="150" t="str">
        <f>IFERROR(INDEX('Fixture Codes'!$B$7:$M$976,MATCH(AD108,'Fixture Codes'!$B$7:$B$976,0),5),"")</f>
        <v/>
      </c>
      <c r="AF108" s="160"/>
      <c r="AG108" s="145" t="str">
        <f>IFERROR(INDEX('Fixture Codes'!$L$8:$L$976,MATCH(AD108,'Fixture Codes'!$B$8:$B$976,0)),"")</f>
        <v/>
      </c>
      <c r="AH108" s="158"/>
      <c r="AI108" s="160"/>
      <c r="AJ108" s="150" t="str">
        <f>IFERROR(INDEX(Lookups!B$68:B$87,MATCH($AH108,Lookups!$A$68:$A$87,0)),"")</f>
        <v/>
      </c>
      <c r="AK108" s="150" t="str">
        <f>IFERROR(INDEX(Lookups!B$42:B$62,MATCH($AH108,Lookups!$A$42:$A$62,0)),"")</f>
        <v/>
      </c>
      <c r="AL108" s="150" t="str">
        <f>IFERROR(INDEX(Lookups!C$42:C$62,MATCH($AH108,Lookups!$A$42:$A$62,0)),"")</f>
        <v/>
      </c>
      <c r="AM108" s="150" t="str">
        <f>IFERROR(IF(M108="Exit Signs",8760,IF(INDEX('Fixture Codes'!$C$8:$C$976,MATCH(AD108,'Fixture Codes'!$B$8:$B$976,0))="Exit Sign",8760,INDEX(Lookups!$I$2:$I$428,MATCH(_xlfn.CONCAT(B108,H108),Lookups!$H$2:$H$428,0)))),"")</f>
        <v/>
      </c>
      <c r="AN108" s="153">
        <v>1</v>
      </c>
      <c r="AO108" s="150" t="str">
        <f>IF($D108="Interior",INDEX(Lookups!Q$2:Q$86,MATCH(_xlfn.CONCAT($C108,$L108),Lookups!$P$2:$P$86,0)),IF($D108="Exterior",1,""))</f>
        <v/>
      </c>
      <c r="AP108" s="150">
        <f t="shared" si="55"/>
        <v>1</v>
      </c>
      <c r="AQ108" s="150" t="str">
        <f>IF($D108="Interior",INDEX(Lookups!R$2:R$86,MATCH(_xlfn.CONCAT($C108,$L108),Lookups!$P$2:$P$86,0)),IF($D108="Exterior",1,""))</f>
        <v/>
      </c>
      <c r="AR108" s="150" t="str">
        <f>IF($D108="Interior",INDEX(Lookups!S$2:S$86,MATCH(_xlfn.CONCAT($C108,$L108),Lookups!$P$2:$P$86,0)),IF($D108="Exterior",1,""))</f>
        <v/>
      </c>
      <c r="AS108" s="150" t="str">
        <f>IF($D108="Interior",INDEX(Lookups!T$2:T$86,MATCH(_xlfn.CONCAT($C108,$L108),Lookups!$P$2:$P$86,0)),IF($D108="Exterior",1,""))</f>
        <v/>
      </c>
      <c r="AT108" s="150" t="str">
        <f>IFERROR(IF(M108="Exit Signs",1,IF(INDEX('Fixture Codes'!$C$8:$C$976,MATCH($AD108,'Fixture Codes'!$B$8:$B$976,0))="Exit Sign",1,INDEX(Lookups!J$2:J$428,MATCH(_xlfn.CONCAT($B108,$H108),Lookups!$H$2:$H$428,0)))),"")</f>
        <v/>
      </c>
      <c r="AU108" s="150" t="str">
        <f>IFERROR(IF(M108="Exit Signs",1,IF(INDEX('Fixture Codes'!$C$8:$C$976,MATCH($AD108,'Fixture Codes'!$B$8:$B$976,0))="Exit Sign",1,INDEX(Lookups!K$2:K$428,MATCH(_xlfn.CONCAT($B108,$H108),Lookups!$H$2:$H$428,0)))),"")</f>
        <v/>
      </c>
      <c r="AV108" s="150" t="str">
        <f>IFERROR(IF(M108="Exit Signs",1,IF(INDEX('Fixture Codes'!$C$8:$C$976,MATCH($AD108,'Fixture Codes'!$B$8:$B$976,0))="Exit Sign",1,INDEX(Lookups!L$2:L$428,MATCH(_xlfn.CONCAT($B108,$H108),Lookups!$H$2:$H$428,0)))),"")</f>
        <v/>
      </c>
      <c r="AW108" s="150" t="str">
        <f>IF(ISBLANK(K108),"",IF(K108="Gas",INDEX(Lookups!$AG$2:$AG$63,MATCH(O108,Lookups!$AD$2:$AD$63,0),0),0))</f>
        <v/>
      </c>
      <c r="AX108" s="150" t="str">
        <f>IF(ISBLANK(K108),"",IF(K108="Gas",INDEX(Lookups!$AF$2:$AF$63,MATCH(O108,Lookups!$AD$2:$AD$63,0),0),0))</f>
        <v/>
      </c>
      <c r="AY108" s="150" t="str">
        <f>IF(ISBLANK(K108),"",IF(K108="Gas",INDEX(Lookups!$AH$2:$AH$63,MATCH(O108,Lookups!$AD$2:$AD$63,0),0),0))</f>
        <v/>
      </c>
      <c r="AZ108" s="150" t="str">
        <f>IF(ISBLANK(K108),"",IF(K108="Gas",INDEX(Lookups!$AI$2:$AI$63,MATCH(O108,Lookups!$AD$2:$AD$63,0),0),0))</f>
        <v/>
      </c>
      <c r="BA108" s="150" t="str">
        <f t="shared" si="40"/>
        <v/>
      </c>
      <c r="BB108" s="156" t="str">
        <f>IF(ISBLANK(AH108),"",IF(AH108="None",0,IF(K108="Gas",INDEX(Lookups!$AF$51:$AF$69,MATCH(AH108,Lookups!$AD$51:$AD$69,0),0),0)))</f>
        <v/>
      </c>
      <c r="BC108" s="156" t="str">
        <f>IF(ISBLANK(AH108),"",IF(AH108="None",0,IF(K108="Gas",INDEX(Lookups!$AH$51:$AH$69,MATCH(AH108,Lookups!$AD$51:$AD$69,0),0),0)))</f>
        <v/>
      </c>
      <c r="BD108" s="156" t="str">
        <f>IF(ISBLANK(AH108),"",IF(AH108="None",0,IF(K108="Gas",INDEX(Lookups!$AI$51:$AI$69,MATCH(AH108,Lookups!$AD$51:$AD$69,0),0),0)))</f>
        <v/>
      </c>
      <c r="BE108" s="157"/>
      <c r="BF108" s="157"/>
      <c r="BG108" s="147" t="str">
        <f t="shared" si="56"/>
        <v/>
      </c>
      <c r="BH108" s="147" t="str">
        <f t="shared" si="57"/>
        <v/>
      </c>
      <c r="BI108" s="147" t="str">
        <f t="shared" si="41"/>
        <v/>
      </c>
      <c r="BJ108" s="147" t="str">
        <f t="shared" si="42"/>
        <v/>
      </c>
      <c r="BK108" s="148" t="str">
        <f t="shared" si="58"/>
        <v/>
      </c>
      <c r="BL108" s="147" t="str">
        <f t="shared" si="43"/>
        <v/>
      </c>
      <c r="BM108" s="148" t="str">
        <f t="shared" si="59"/>
        <v/>
      </c>
      <c r="BN108" s="147" t="str">
        <f t="shared" si="60"/>
        <v/>
      </c>
      <c r="BO108" s="147" t="str">
        <f t="shared" si="60"/>
        <v/>
      </c>
      <c r="BP108" s="147" t="str">
        <f t="shared" si="61"/>
        <v/>
      </c>
      <c r="BQ108" s="148" t="str">
        <f t="shared" si="62"/>
        <v/>
      </c>
      <c r="BR108" s="148" t="str">
        <f t="shared" si="63"/>
        <v/>
      </c>
      <c r="BS108" s="148" t="str">
        <f t="shared" si="64"/>
        <v/>
      </c>
      <c r="BT108" s="148" t="str">
        <f t="shared" si="44"/>
        <v/>
      </c>
      <c r="BU108" s="148" t="str">
        <f t="shared" si="45"/>
        <v/>
      </c>
      <c r="BV108" s="148" t="str">
        <f t="shared" si="46"/>
        <v/>
      </c>
      <c r="BW108" s="148" t="str">
        <f t="shared" si="47"/>
        <v/>
      </c>
      <c r="BX108" s="148" t="str">
        <f t="shared" si="48"/>
        <v/>
      </c>
      <c r="BY108" s="148" t="str">
        <f t="shared" si="49"/>
        <v/>
      </c>
      <c r="BZ108" s="149" t="str">
        <f>IFERROR(INDEX('Prescriptive Rebate Table'!$B$2:$E$64,MATCH(O108,'Prescriptive Rebate Table'!$C$2:$C$64,0),3),"")</f>
        <v/>
      </c>
      <c r="CA108" s="145" t="str">
        <f>IFERROR(INDEX('Prescriptive Rebate Table'!$B$2:$E$64,MATCH(O108,'Prescriptive Rebate Table'!$C$2:$C$64,0),4),"")</f>
        <v/>
      </c>
      <c r="CB108" s="149" t="str">
        <f t="shared" si="65"/>
        <v/>
      </c>
      <c r="CC108" s="145" t="str">
        <f t="shared" si="66"/>
        <v/>
      </c>
      <c r="CD108" s="149" t="str">
        <f t="shared" si="50"/>
        <v/>
      </c>
      <c r="CE108" s="149" t="str">
        <f t="shared" si="51"/>
        <v/>
      </c>
      <c r="CF108" s="149" t="str">
        <f>IF(BK108&lt;=0,0,IFERROR(IF(OR(ISBLANK(AC108),ISBLANK(CD108))=TRUE,"",IF(CA108="Per Foot",INDEX('Fixture Codes'!$I$8:$I$976,MATCH(AD108,'Fixture Codes'!$B$8:$B$976,0))/12*AF108*BZ108,IF(CA108="Lamp",INDEX('Fixture Codes'!$J$8:$J$976,MATCH(AD108,'Fixture Codes'!$B$8:$B$976,0))*AF108*BZ108,IF(CA108="Fixture",AF108*BZ108,IF(CA108="kWh",BK108*BZ108,0))))),""))</f>
        <v/>
      </c>
      <c r="CG108" s="149" t="str">
        <f t="shared" si="67"/>
        <v/>
      </c>
      <c r="CH108" s="149" t="str">
        <f t="shared" si="68"/>
        <v/>
      </c>
      <c r="CI108" s="152"/>
      <c r="CJ108" s="146"/>
      <c r="CK108" s="241">
        <f>IFERROR(IF(CL108="Yes",'Prescriptive Rebate Table'!$D$69,IF(ISBLANK(AI108),0,IF(AND(AH108=Lookups!$A$62,BK108&gt;0),'Prescriptive Rebate Table'!$D$68,IF(AND(BK108&gt;0,CJ108=AF108),'Prescriptive Rebate Table'!$D$67,IF(AND(BK108&gt;0,CJ108&lt;&gt;AF108),'Prescriptive Rebate Table'!D167,0))))),"")</f>
        <v>0</v>
      </c>
      <c r="CL108" s="240" t="s">
        <v>2712</v>
      </c>
      <c r="CM108" s="152"/>
      <c r="CN108" s="152"/>
      <c r="CO108" s="152"/>
      <c r="CP108" s="146">
        <f t="shared" si="52"/>
        <v>0</v>
      </c>
      <c r="CQ108" s="153">
        <f>IF(D108="Interior",ROUND(($AG108*AF108)/1000*$AM108*(Lookups!$B$54-$AA108)*$AN108*$AO108,3),0)</f>
        <v>0</v>
      </c>
      <c r="CR108" s="153">
        <f>IFERROR(IF(D108="Interior",ROUND(($AG108*$AF108)/1000*(Lookups!$C$54-$AB108)*$AN108*AQ108*AT108,6),0),"")</f>
        <v>0</v>
      </c>
      <c r="CS108" s="165">
        <f t="shared" si="69"/>
        <v>0</v>
      </c>
      <c r="CT108" s="165">
        <f t="shared" si="70"/>
        <v>0</v>
      </c>
      <c r="CV108" s="153"/>
      <c r="CW108" s="153"/>
      <c r="CX108" s="165"/>
      <c r="CY108" s="165"/>
      <c r="DA108" s="153">
        <f>IF(D108="Interior",ROUND(($AG108*AF108*(1-0.15))/1000*$AM108*(Lookups!$B$43+0.097-$AA108)*$AN108*$AO108+((W108*V108)/1000*AN108*AM108*AO108*0.15),3),0)</f>
        <v>0</v>
      </c>
      <c r="DB108" s="153">
        <f>IFERROR(IF(D108="Interior",ROUND(($AG108*$AF108)/1000*(Lookups!$C$43+0.097-$AB108)*$AN108*AQ108*AT108+(($AG108*$AF108)/1000*$AN108*AQ108*AT108*0.15),6),0),"")</f>
        <v>0</v>
      </c>
      <c r="DC108" s="165">
        <f t="shared" si="71"/>
        <v>0</v>
      </c>
      <c r="DD108" s="165">
        <f t="shared" si="72"/>
        <v>0</v>
      </c>
    </row>
    <row r="109" spans="1:108" s="164" customFormat="1">
      <c r="A109" s="150">
        <v>105</v>
      </c>
      <c r="B109" s="153" t="str">
        <f>IFERROR(INDEX(Lookups!$B$2:$B$38,MATCH('Project Info &amp; Summary'!$C$19,Lookups!$A$2:$A$38,0)),"")</f>
        <v/>
      </c>
      <c r="C109" s="153" t="str">
        <f>IFERROR(INDEX(Lookups!$C$2:$C$38,MATCH('Project Info &amp; Summary'!$C$19,Lookups!$A$2:$A$38,0)),"")</f>
        <v/>
      </c>
      <c r="D109" s="163"/>
      <c r="E109" s="160"/>
      <c r="F109" s="158"/>
      <c r="G109" s="158"/>
      <c r="H109" s="158"/>
      <c r="I109" s="158"/>
      <c r="J109" s="154" t="str">
        <f>IFERROR(INDEX(Lookups!$W$21:$W$26,MATCH(I109,Lookups!$V$21:$V$26,0)),"")</f>
        <v/>
      </c>
      <c r="K109" s="158"/>
      <c r="L109" s="162" t="str">
        <f>IFERROR(INDEX(Lookups!$Y$2:$Y$19,MATCH(_xlfn.CONCAT(I109,K109),Lookups!$X$2:$X$19,0)),"")</f>
        <v/>
      </c>
      <c r="M109" s="158"/>
      <c r="N109" s="153" t="str">
        <f>IFERROR(INDEX('Prescriptive Rebate Table'!$M$3:$M$20,MATCH(M109,'Prescriptive Rebate Table'!$L$3:$L$20,0)),"")</f>
        <v/>
      </c>
      <c r="O109" s="158"/>
      <c r="P109" s="154" t="str">
        <f>IFERROR(INDEX('Prescriptive Rebate Table'!$B$2:$H$64, MATCH(O109,'Prescriptive Rebate Table'!$C$2:$C$64,0),7),"")</f>
        <v/>
      </c>
      <c r="Q109" s="155" t="str">
        <f>IFERROR(INDEX('Prescriptive Rebate Table'!$B$2:$I$64, MATCH(O109,'Prescriptive Rebate Table'!$C$2:$C$64,0),8),"")</f>
        <v/>
      </c>
      <c r="R109" s="155" t="str">
        <f>IFERROR(INDEX('Prescriptive Rebate Table'!$B$2:$J$64, MATCH(O109,'Prescriptive Rebate Table'!$C$2:$C$64,0),9),"")</f>
        <v/>
      </c>
      <c r="S109" s="160"/>
      <c r="T109" s="145" t="str">
        <f>IFERROR(INDEX('Fixture Codes'!$M$8:$M$976,MATCH(S109,'Fixture Codes'!$B$8:$B$976,0)),"")</f>
        <v/>
      </c>
      <c r="U109" s="145" t="str">
        <f>IFERROR(INDEX('Fixture Codes'!$B$7:$M$976,MATCH(T109,'Fixture Codes'!$B$7:$B$976,0),5),"")</f>
        <v/>
      </c>
      <c r="V109" s="160"/>
      <c r="W109" s="145" t="str">
        <f>IFERROR(INDEX('Fixture Codes'!$L$8:$L$976,MATCH(T109,'Fixture Codes'!$B$8:$B$976,0)),"")</f>
        <v/>
      </c>
      <c r="X109" s="158"/>
      <c r="Y109" s="159"/>
      <c r="Z109" s="155" t="str">
        <f>IFERROR(INDEX(Lookups!B$68:B$87,MATCH($X109,Lookups!$A$68:$A$87,0)),"")</f>
        <v/>
      </c>
      <c r="AA109" s="150" t="str">
        <f>IFERROR(INDEX(Lookups!B$42:B$62,MATCH($X109,Lookups!$A$42:$A$62,0)),"")</f>
        <v/>
      </c>
      <c r="AB109" s="150" t="str">
        <f>IFERROR(INDEX(Lookups!C$42:C$62,MATCH($X109,Lookups!$A$42:$A$62,0)),"")</f>
        <v/>
      </c>
      <c r="AC109" s="160"/>
      <c r="AD109" s="160"/>
      <c r="AE109" s="150" t="str">
        <f>IFERROR(INDEX('Fixture Codes'!$B$7:$M$976,MATCH(AD109,'Fixture Codes'!$B$7:$B$976,0),5),"")</f>
        <v/>
      </c>
      <c r="AF109" s="160"/>
      <c r="AG109" s="145" t="str">
        <f>IFERROR(INDEX('Fixture Codes'!$L$8:$L$976,MATCH(AD109,'Fixture Codes'!$B$8:$B$976,0)),"")</f>
        <v/>
      </c>
      <c r="AH109" s="158"/>
      <c r="AI109" s="160"/>
      <c r="AJ109" s="150" t="str">
        <f>IFERROR(INDEX(Lookups!B$68:B$87,MATCH($AH109,Lookups!$A$68:$A$87,0)),"")</f>
        <v/>
      </c>
      <c r="AK109" s="150" t="str">
        <f>IFERROR(INDEX(Lookups!B$42:B$62,MATCH($AH109,Lookups!$A$42:$A$62,0)),"")</f>
        <v/>
      </c>
      <c r="AL109" s="150" t="str">
        <f>IFERROR(INDEX(Lookups!C$42:C$62,MATCH($AH109,Lookups!$A$42:$A$62,0)),"")</f>
        <v/>
      </c>
      <c r="AM109" s="150" t="str">
        <f>IFERROR(IF(M109="Exit Signs",8760,IF(INDEX('Fixture Codes'!$C$8:$C$976,MATCH(AD109,'Fixture Codes'!$B$8:$B$976,0))="Exit Sign",8760,INDEX(Lookups!$I$2:$I$428,MATCH(_xlfn.CONCAT(B109,H109),Lookups!$H$2:$H$428,0)))),"")</f>
        <v/>
      </c>
      <c r="AN109" s="153">
        <v>1</v>
      </c>
      <c r="AO109" s="150" t="str">
        <f>IF($D109="Interior",INDEX(Lookups!Q$2:Q$86,MATCH(_xlfn.CONCAT($C109,$L109),Lookups!$P$2:$P$86,0)),IF($D109="Exterior",1,""))</f>
        <v/>
      </c>
      <c r="AP109" s="150">
        <f t="shared" si="55"/>
        <v>1</v>
      </c>
      <c r="AQ109" s="150" t="str">
        <f>IF($D109="Interior",INDEX(Lookups!R$2:R$86,MATCH(_xlfn.CONCAT($C109,$L109),Lookups!$P$2:$P$86,0)),IF($D109="Exterior",1,""))</f>
        <v/>
      </c>
      <c r="AR109" s="150" t="str">
        <f>IF($D109="Interior",INDEX(Lookups!S$2:S$86,MATCH(_xlfn.CONCAT($C109,$L109),Lookups!$P$2:$P$86,0)),IF($D109="Exterior",1,""))</f>
        <v/>
      </c>
      <c r="AS109" s="150" t="str">
        <f>IF($D109="Interior",INDEX(Lookups!T$2:T$86,MATCH(_xlfn.CONCAT($C109,$L109),Lookups!$P$2:$P$86,0)),IF($D109="Exterior",1,""))</f>
        <v/>
      </c>
      <c r="AT109" s="150" t="str">
        <f>IFERROR(IF(M109="Exit Signs",1,IF(INDEX('Fixture Codes'!$C$8:$C$976,MATCH($AD109,'Fixture Codes'!$B$8:$B$976,0))="Exit Sign",1,INDEX(Lookups!J$2:J$428,MATCH(_xlfn.CONCAT($B109,$H109),Lookups!$H$2:$H$428,0)))),"")</f>
        <v/>
      </c>
      <c r="AU109" s="150" t="str">
        <f>IFERROR(IF(M109="Exit Signs",1,IF(INDEX('Fixture Codes'!$C$8:$C$976,MATCH($AD109,'Fixture Codes'!$B$8:$B$976,0))="Exit Sign",1,INDEX(Lookups!K$2:K$428,MATCH(_xlfn.CONCAT($B109,$H109),Lookups!$H$2:$H$428,0)))),"")</f>
        <v/>
      </c>
      <c r="AV109" s="150" t="str">
        <f>IFERROR(IF(M109="Exit Signs",1,IF(INDEX('Fixture Codes'!$C$8:$C$976,MATCH($AD109,'Fixture Codes'!$B$8:$B$976,0))="Exit Sign",1,INDEX(Lookups!L$2:L$428,MATCH(_xlfn.CONCAT($B109,$H109),Lookups!$H$2:$H$428,0)))),"")</f>
        <v/>
      </c>
      <c r="AW109" s="150" t="str">
        <f>IF(ISBLANK(K109),"",IF(K109="Gas",INDEX(Lookups!$AG$2:$AG$63,MATCH(O109,Lookups!$AD$2:$AD$63,0),0),0))</f>
        <v/>
      </c>
      <c r="AX109" s="150" t="str">
        <f>IF(ISBLANK(K109),"",IF(K109="Gas",INDEX(Lookups!$AF$2:$AF$63,MATCH(O109,Lookups!$AD$2:$AD$63,0),0),0))</f>
        <v/>
      </c>
      <c r="AY109" s="150" t="str">
        <f>IF(ISBLANK(K109),"",IF(K109="Gas",INDEX(Lookups!$AH$2:$AH$63,MATCH(O109,Lookups!$AD$2:$AD$63,0),0),0))</f>
        <v/>
      </c>
      <c r="AZ109" s="150" t="str">
        <f>IF(ISBLANK(K109),"",IF(K109="Gas",INDEX(Lookups!$AI$2:$AI$63,MATCH(O109,Lookups!$AD$2:$AD$63,0),0),0))</f>
        <v/>
      </c>
      <c r="BA109" s="150" t="str">
        <f t="shared" si="40"/>
        <v/>
      </c>
      <c r="BB109" s="156" t="str">
        <f>IF(ISBLANK(AH109),"",IF(AH109="None",0,IF(K109="Gas",INDEX(Lookups!$AF$51:$AF$69,MATCH(AH109,Lookups!$AD$51:$AD$69,0),0),0)))</f>
        <v/>
      </c>
      <c r="BC109" s="156" t="str">
        <f>IF(ISBLANK(AH109),"",IF(AH109="None",0,IF(K109="Gas",INDEX(Lookups!$AH$51:$AH$69,MATCH(AH109,Lookups!$AD$51:$AD$69,0),0),0)))</f>
        <v/>
      </c>
      <c r="BD109" s="156" t="str">
        <f>IF(ISBLANK(AH109),"",IF(AH109="None",0,IF(K109="Gas",INDEX(Lookups!$AI$51:$AI$69,MATCH(AH109,Lookups!$AD$51:$AD$69,0),0),0)))</f>
        <v/>
      </c>
      <c r="BE109" s="157"/>
      <c r="BF109" s="157"/>
      <c r="BG109" s="147" t="str">
        <f t="shared" si="56"/>
        <v/>
      </c>
      <c r="BH109" s="147" t="str">
        <f t="shared" si="57"/>
        <v/>
      </c>
      <c r="BI109" s="147" t="str">
        <f t="shared" si="41"/>
        <v/>
      </c>
      <c r="BJ109" s="147" t="str">
        <f t="shared" si="42"/>
        <v/>
      </c>
      <c r="BK109" s="148" t="str">
        <f t="shared" si="58"/>
        <v/>
      </c>
      <c r="BL109" s="147" t="str">
        <f t="shared" si="43"/>
        <v/>
      </c>
      <c r="BM109" s="148" t="str">
        <f t="shared" si="59"/>
        <v/>
      </c>
      <c r="BN109" s="147" t="str">
        <f t="shared" si="60"/>
        <v/>
      </c>
      <c r="BO109" s="147" t="str">
        <f t="shared" si="60"/>
        <v/>
      </c>
      <c r="BP109" s="147" t="str">
        <f t="shared" si="61"/>
        <v/>
      </c>
      <c r="BQ109" s="148" t="str">
        <f t="shared" si="62"/>
        <v/>
      </c>
      <c r="BR109" s="148" t="str">
        <f t="shared" si="63"/>
        <v/>
      </c>
      <c r="BS109" s="148" t="str">
        <f t="shared" si="64"/>
        <v/>
      </c>
      <c r="BT109" s="148" t="str">
        <f t="shared" si="44"/>
        <v/>
      </c>
      <c r="BU109" s="148" t="str">
        <f t="shared" si="45"/>
        <v/>
      </c>
      <c r="BV109" s="148" t="str">
        <f t="shared" si="46"/>
        <v/>
      </c>
      <c r="BW109" s="148" t="str">
        <f t="shared" si="47"/>
        <v/>
      </c>
      <c r="BX109" s="148" t="str">
        <f t="shared" si="48"/>
        <v/>
      </c>
      <c r="BY109" s="148" t="str">
        <f t="shared" si="49"/>
        <v/>
      </c>
      <c r="BZ109" s="149" t="str">
        <f>IFERROR(INDEX('Prescriptive Rebate Table'!$B$2:$E$64,MATCH(O109,'Prescriptive Rebate Table'!$C$2:$C$64,0),3),"")</f>
        <v/>
      </c>
      <c r="CA109" s="145" t="str">
        <f>IFERROR(INDEX('Prescriptive Rebate Table'!$B$2:$E$64,MATCH(O109,'Prescriptive Rebate Table'!$C$2:$C$64,0),4),"")</f>
        <v/>
      </c>
      <c r="CB109" s="149" t="str">
        <f t="shared" si="65"/>
        <v/>
      </c>
      <c r="CC109" s="145" t="str">
        <f t="shared" si="66"/>
        <v/>
      </c>
      <c r="CD109" s="149" t="str">
        <f t="shared" si="50"/>
        <v/>
      </c>
      <c r="CE109" s="149" t="str">
        <f t="shared" si="51"/>
        <v/>
      </c>
      <c r="CF109" s="149" t="str">
        <f>IF(BK109&lt;=0,0,IFERROR(IF(OR(ISBLANK(AC109),ISBLANK(CD109))=TRUE,"",IF(CA109="Per Foot",INDEX('Fixture Codes'!$I$8:$I$976,MATCH(AD109,'Fixture Codes'!$B$8:$B$976,0))/12*AF109*BZ109,IF(CA109="Lamp",INDEX('Fixture Codes'!$J$8:$J$976,MATCH(AD109,'Fixture Codes'!$B$8:$B$976,0))*AF109*BZ109,IF(CA109="Fixture",AF109*BZ109,IF(CA109="kWh",BK109*BZ109,0))))),""))</f>
        <v/>
      </c>
      <c r="CG109" s="149" t="str">
        <f t="shared" si="67"/>
        <v/>
      </c>
      <c r="CH109" s="149" t="str">
        <f t="shared" si="68"/>
        <v/>
      </c>
      <c r="CI109" s="152"/>
      <c r="CJ109" s="146"/>
      <c r="CK109" s="241">
        <f>IFERROR(IF(CL109="Yes",'Prescriptive Rebate Table'!$D$69,IF(ISBLANK(AI109),0,IF(AND(AH109=Lookups!$A$62,BK109&gt;0),'Prescriptive Rebate Table'!$D$68,IF(AND(BK109&gt;0,CJ109=AF109),'Prescriptive Rebate Table'!$D$67,IF(AND(BK109&gt;0,CJ109&lt;&gt;AF109),'Prescriptive Rebate Table'!D168,0))))),"")</f>
        <v>0</v>
      </c>
      <c r="CL109" s="240" t="s">
        <v>2712</v>
      </c>
      <c r="CM109" s="152"/>
      <c r="CN109" s="152"/>
      <c r="CO109" s="152"/>
      <c r="CP109" s="146">
        <f t="shared" si="52"/>
        <v>0</v>
      </c>
      <c r="CQ109" s="153">
        <f>IF(D109="Interior",ROUND(($AG109*AF109)/1000*$AM109*(Lookups!$B$54-$AA109)*$AN109*$AO109,3),0)</f>
        <v>0</v>
      </c>
      <c r="CR109" s="153">
        <f>IFERROR(IF(D109="Interior",ROUND(($AG109*$AF109)/1000*(Lookups!$C$54-$AB109)*$AN109*AQ109*AT109,6),0),"")</f>
        <v>0</v>
      </c>
      <c r="CS109" s="165">
        <f t="shared" si="69"/>
        <v>0</v>
      </c>
      <c r="CT109" s="165">
        <f t="shared" si="70"/>
        <v>0</v>
      </c>
      <c r="CV109" s="153"/>
      <c r="CW109" s="153"/>
      <c r="CX109" s="165"/>
      <c r="CY109" s="165"/>
      <c r="DA109" s="153">
        <f>IF(D109="Interior",ROUND(($AG109*AF109*(1-0.15))/1000*$AM109*(Lookups!$B$43+0.097-$AA109)*$AN109*$AO109+((W109*V109)/1000*AN109*AM109*AO109*0.15),3),0)</f>
        <v>0</v>
      </c>
      <c r="DB109" s="153">
        <f>IFERROR(IF(D109="Interior",ROUND(($AG109*$AF109)/1000*(Lookups!$C$43+0.097-$AB109)*$AN109*AQ109*AT109+(($AG109*$AF109)/1000*$AN109*AQ109*AT109*0.15),6),0),"")</f>
        <v>0</v>
      </c>
      <c r="DC109" s="165">
        <f t="shared" si="71"/>
        <v>0</v>
      </c>
      <c r="DD109" s="165">
        <f t="shared" si="72"/>
        <v>0</v>
      </c>
    </row>
    <row r="110" spans="1:108" s="164" customFormat="1">
      <c r="A110" s="150">
        <v>106</v>
      </c>
      <c r="B110" s="153" t="str">
        <f>IFERROR(INDEX(Lookups!$B$2:$B$38,MATCH('Project Info &amp; Summary'!$C$19,Lookups!$A$2:$A$38,0)),"")</f>
        <v/>
      </c>
      <c r="C110" s="153" t="str">
        <f>IFERROR(INDEX(Lookups!$C$2:$C$38,MATCH('Project Info &amp; Summary'!$C$19,Lookups!$A$2:$A$38,0)),"")</f>
        <v/>
      </c>
      <c r="D110" s="163"/>
      <c r="E110" s="160"/>
      <c r="F110" s="158"/>
      <c r="G110" s="158"/>
      <c r="H110" s="158"/>
      <c r="I110" s="158"/>
      <c r="J110" s="154" t="str">
        <f>IFERROR(INDEX(Lookups!$W$21:$W$26,MATCH(I110,Lookups!$V$21:$V$26,0)),"")</f>
        <v/>
      </c>
      <c r="K110" s="158"/>
      <c r="L110" s="162" t="str">
        <f>IFERROR(INDEX(Lookups!$Y$2:$Y$19,MATCH(_xlfn.CONCAT(I110,K110),Lookups!$X$2:$X$19,0)),"")</f>
        <v/>
      </c>
      <c r="M110" s="158"/>
      <c r="N110" s="153" t="str">
        <f>IFERROR(INDEX('Prescriptive Rebate Table'!$M$3:$M$20,MATCH(M110,'Prescriptive Rebate Table'!$L$3:$L$20,0)),"")</f>
        <v/>
      </c>
      <c r="O110" s="158"/>
      <c r="P110" s="154" t="str">
        <f>IFERROR(INDEX('Prescriptive Rebate Table'!$B$2:$H$64, MATCH(O110,'Prescriptive Rebate Table'!$C$2:$C$64,0),7),"")</f>
        <v/>
      </c>
      <c r="Q110" s="155" t="str">
        <f>IFERROR(INDEX('Prescriptive Rebate Table'!$B$2:$I$64, MATCH(O110,'Prescriptive Rebate Table'!$C$2:$C$64,0),8),"")</f>
        <v/>
      </c>
      <c r="R110" s="155" t="str">
        <f>IFERROR(INDEX('Prescriptive Rebate Table'!$B$2:$J$64, MATCH(O110,'Prescriptive Rebate Table'!$C$2:$C$64,0),9),"")</f>
        <v/>
      </c>
      <c r="S110" s="160"/>
      <c r="T110" s="145" t="str">
        <f>IFERROR(INDEX('Fixture Codes'!$M$8:$M$976,MATCH(S110,'Fixture Codes'!$B$8:$B$976,0)),"")</f>
        <v/>
      </c>
      <c r="U110" s="145" t="str">
        <f>IFERROR(INDEX('Fixture Codes'!$B$7:$M$976,MATCH(T110,'Fixture Codes'!$B$7:$B$976,0),5),"")</f>
        <v/>
      </c>
      <c r="V110" s="160"/>
      <c r="W110" s="145" t="str">
        <f>IFERROR(INDEX('Fixture Codes'!$L$8:$L$976,MATCH(T110,'Fixture Codes'!$B$8:$B$976,0)),"")</f>
        <v/>
      </c>
      <c r="X110" s="158"/>
      <c r="Y110" s="159"/>
      <c r="Z110" s="155" t="str">
        <f>IFERROR(INDEX(Lookups!B$68:B$87,MATCH($X110,Lookups!$A$68:$A$87,0)),"")</f>
        <v/>
      </c>
      <c r="AA110" s="150" t="str">
        <f>IFERROR(INDEX(Lookups!B$42:B$62,MATCH($X110,Lookups!$A$42:$A$62,0)),"")</f>
        <v/>
      </c>
      <c r="AB110" s="150" t="str">
        <f>IFERROR(INDEX(Lookups!C$42:C$62,MATCH($X110,Lookups!$A$42:$A$62,0)),"")</f>
        <v/>
      </c>
      <c r="AC110" s="160"/>
      <c r="AD110" s="160"/>
      <c r="AE110" s="150" t="str">
        <f>IFERROR(INDEX('Fixture Codes'!$B$7:$M$976,MATCH(AD110,'Fixture Codes'!$B$7:$B$976,0),5),"")</f>
        <v/>
      </c>
      <c r="AF110" s="160"/>
      <c r="AG110" s="145" t="str">
        <f>IFERROR(INDEX('Fixture Codes'!$L$8:$L$976,MATCH(AD110,'Fixture Codes'!$B$8:$B$976,0)),"")</f>
        <v/>
      </c>
      <c r="AH110" s="158"/>
      <c r="AI110" s="160"/>
      <c r="AJ110" s="150" t="str">
        <f>IFERROR(INDEX(Lookups!B$68:B$87,MATCH($AH110,Lookups!$A$68:$A$87,0)),"")</f>
        <v/>
      </c>
      <c r="AK110" s="150" t="str">
        <f>IFERROR(INDEX(Lookups!B$42:B$62,MATCH($AH110,Lookups!$A$42:$A$62,0)),"")</f>
        <v/>
      </c>
      <c r="AL110" s="150" t="str">
        <f>IFERROR(INDEX(Lookups!C$42:C$62,MATCH($AH110,Lookups!$A$42:$A$62,0)),"")</f>
        <v/>
      </c>
      <c r="AM110" s="150" t="str">
        <f>IFERROR(IF(M110="Exit Signs",8760,IF(INDEX('Fixture Codes'!$C$8:$C$976,MATCH(AD110,'Fixture Codes'!$B$8:$B$976,0))="Exit Sign",8760,INDEX(Lookups!$I$2:$I$428,MATCH(_xlfn.CONCAT(B110,H110),Lookups!$H$2:$H$428,0)))),"")</f>
        <v/>
      </c>
      <c r="AN110" s="153">
        <v>1</v>
      </c>
      <c r="AO110" s="150" t="str">
        <f>IF($D110="Interior",INDEX(Lookups!Q$2:Q$86,MATCH(_xlfn.CONCAT($C110,$L110),Lookups!$P$2:$P$86,0)),IF($D110="Exterior",1,""))</f>
        <v/>
      </c>
      <c r="AP110" s="150">
        <f t="shared" si="55"/>
        <v>1</v>
      </c>
      <c r="AQ110" s="150" t="str">
        <f>IF($D110="Interior",INDEX(Lookups!R$2:R$86,MATCH(_xlfn.CONCAT($C110,$L110),Lookups!$P$2:$P$86,0)),IF($D110="Exterior",1,""))</f>
        <v/>
      </c>
      <c r="AR110" s="150" t="str">
        <f>IF($D110="Interior",INDEX(Lookups!S$2:S$86,MATCH(_xlfn.CONCAT($C110,$L110),Lookups!$P$2:$P$86,0)),IF($D110="Exterior",1,""))</f>
        <v/>
      </c>
      <c r="AS110" s="150" t="str">
        <f>IF($D110="Interior",INDEX(Lookups!T$2:T$86,MATCH(_xlfn.CONCAT($C110,$L110),Lookups!$P$2:$P$86,0)),IF($D110="Exterior",1,""))</f>
        <v/>
      </c>
      <c r="AT110" s="150" t="str">
        <f>IFERROR(IF(M110="Exit Signs",1,IF(INDEX('Fixture Codes'!$C$8:$C$976,MATCH($AD110,'Fixture Codes'!$B$8:$B$976,0))="Exit Sign",1,INDEX(Lookups!J$2:J$428,MATCH(_xlfn.CONCAT($B110,$H110),Lookups!$H$2:$H$428,0)))),"")</f>
        <v/>
      </c>
      <c r="AU110" s="150" t="str">
        <f>IFERROR(IF(M110="Exit Signs",1,IF(INDEX('Fixture Codes'!$C$8:$C$976,MATCH($AD110,'Fixture Codes'!$B$8:$B$976,0))="Exit Sign",1,INDEX(Lookups!K$2:K$428,MATCH(_xlfn.CONCAT($B110,$H110),Lookups!$H$2:$H$428,0)))),"")</f>
        <v/>
      </c>
      <c r="AV110" s="150" t="str">
        <f>IFERROR(IF(M110="Exit Signs",1,IF(INDEX('Fixture Codes'!$C$8:$C$976,MATCH($AD110,'Fixture Codes'!$B$8:$B$976,0))="Exit Sign",1,INDEX(Lookups!L$2:L$428,MATCH(_xlfn.CONCAT($B110,$H110),Lookups!$H$2:$H$428,0)))),"")</f>
        <v/>
      </c>
      <c r="AW110" s="150" t="str">
        <f>IF(ISBLANK(K110),"",IF(K110="Gas",INDEX(Lookups!$AG$2:$AG$63,MATCH(O110,Lookups!$AD$2:$AD$63,0),0),0))</f>
        <v/>
      </c>
      <c r="AX110" s="150" t="str">
        <f>IF(ISBLANK(K110),"",IF(K110="Gas",INDEX(Lookups!$AF$2:$AF$63,MATCH(O110,Lookups!$AD$2:$AD$63,0),0),0))</f>
        <v/>
      </c>
      <c r="AY110" s="150" t="str">
        <f>IF(ISBLANK(K110),"",IF(K110="Gas",INDEX(Lookups!$AH$2:$AH$63,MATCH(O110,Lookups!$AD$2:$AD$63,0),0),0))</f>
        <v/>
      </c>
      <c r="AZ110" s="150" t="str">
        <f>IF(ISBLANK(K110),"",IF(K110="Gas",INDEX(Lookups!$AI$2:$AI$63,MATCH(O110,Lookups!$AD$2:$AD$63,0),0),0))</f>
        <v/>
      </c>
      <c r="BA110" s="150" t="str">
        <f t="shared" si="40"/>
        <v/>
      </c>
      <c r="BB110" s="156" t="str">
        <f>IF(ISBLANK(AH110),"",IF(AH110="None",0,IF(K110="Gas",INDEX(Lookups!$AF$51:$AF$69,MATCH(AH110,Lookups!$AD$51:$AD$69,0),0),0)))</f>
        <v/>
      </c>
      <c r="BC110" s="156" t="str">
        <f>IF(ISBLANK(AH110),"",IF(AH110="None",0,IF(K110="Gas",INDEX(Lookups!$AH$51:$AH$69,MATCH(AH110,Lookups!$AD$51:$AD$69,0),0),0)))</f>
        <v/>
      </c>
      <c r="BD110" s="156" t="str">
        <f>IF(ISBLANK(AH110),"",IF(AH110="None",0,IF(K110="Gas",INDEX(Lookups!$AI$51:$AI$69,MATCH(AH110,Lookups!$AD$51:$AD$69,0),0),0)))</f>
        <v/>
      </c>
      <c r="BE110" s="157"/>
      <c r="BF110" s="157"/>
      <c r="BG110" s="147" t="str">
        <f t="shared" si="56"/>
        <v/>
      </c>
      <c r="BH110" s="147" t="str">
        <f t="shared" si="57"/>
        <v/>
      </c>
      <c r="BI110" s="147" t="str">
        <f t="shared" si="41"/>
        <v/>
      </c>
      <c r="BJ110" s="147" t="str">
        <f t="shared" si="42"/>
        <v/>
      </c>
      <c r="BK110" s="148" t="str">
        <f t="shared" si="58"/>
        <v/>
      </c>
      <c r="BL110" s="147" t="str">
        <f t="shared" si="43"/>
        <v/>
      </c>
      <c r="BM110" s="148" t="str">
        <f t="shared" si="59"/>
        <v/>
      </c>
      <c r="BN110" s="147" t="str">
        <f t="shared" si="60"/>
        <v/>
      </c>
      <c r="BO110" s="147" t="str">
        <f t="shared" si="60"/>
        <v/>
      </c>
      <c r="BP110" s="147" t="str">
        <f t="shared" si="61"/>
        <v/>
      </c>
      <c r="BQ110" s="148" t="str">
        <f t="shared" si="62"/>
        <v/>
      </c>
      <c r="BR110" s="148" t="str">
        <f t="shared" si="63"/>
        <v/>
      </c>
      <c r="BS110" s="148" t="str">
        <f t="shared" si="64"/>
        <v/>
      </c>
      <c r="BT110" s="148" t="str">
        <f t="shared" si="44"/>
        <v/>
      </c>
      <c r="BU110" s="148" t="str">
        <f t="shared" si="45"/>
        <v/>
      </c>
      <c r="BV110" s="148" t="str">
        <f t="shared" si="46"/>
        <v/>
      </c>
      <c r="BW110" s="148" t="str">
        <f t="shared" si="47"/>
        <v/>
      </c>
      <c r="BX110" s="148" t="str">
        <f t="shared" si="48"/>
        <v/>
      </c>
      <c r="BY110" s="148" t="str">
        <f t="shared" si="49"/>
        <v/>
      </c>
      <c r="BZ110" s="149" t="str">
        <f>IFERROR(INDEX('Prescriptive Rebate Table'!$B$2:$E$64,MATCH(O110,'Prescriptive Rebate Table'!$C$2:$C$64,0),3),"")</f>
        <v/>
      </c>
      <c r="CA110" s="145" t="str">
        <f>IFERROR(INDEX('Prescriptive Rebate Table'!$B$2:$E$64,MATCH(O110,'Prescriptive Rebate Table'!$C$2:$C$64,0),4),"")</f>
        <v/>
      </c>
      <c r="CB110" s="149" t="str">
        <f t="shared" si="65"/>
        <v/>
      </c>
      <c r="CC110" s="145" t="str">
        <f t="shared" si="66"/>
        <v/>
      </c>
      <c r="CD110" s="149" t="str">
        <f t="shared" si="50"/>
        <v/>
      </c>
      <c r="CE110" s="149" t="str">
        <f t="shared" si="51"/>
        <v/>
      </c>
      <c r="CF110" s="149" t="str">
        <f>IF(BK110&lt;=0,0,IFERROR(IF(OR(ISBLANK(AC110),ISBLANK(CD110))=TRUE,"",IF(CA110="Per Foot",INDEX('Fixture Codes'!$I$8:$I$976,MATCH(AD110,'Fixture Codes'!$B$8:$B$976,0))/12*AF110*BZ110,IF(CA110="Lamp",INDEX('Fixture Codes'!$J$8:$J$976,MATCH(AD110,'Fixture Codes'!$B$8:$B$976,0))*AF110*BZ110,IF(CA110="Fixture",AF110*BZ110,IF(CA110="kWh",BK110*BZ110,0))))),""))</f>
        <v/>
      </c>
      <c r="CG110" s="149" t="str">
        <f t="shared" si="67"/>
        <v/>
      </c>
      <c r="CH110" s="149" t="str">
        <f t="shared" si="68"/>
        <v/>
      </c>
      <c r="CI110" s="152"/>
      <c r="CJ110" s="146"/>
      <c r="CK110" s="241">
        <f>IFERROR(IF(CL110="Yes",'Prescriptive Rebate Table'!$D$69,IF(ISBLANK(AI110),0,IF(AND(AH110=Lookups!$A$62,BK110&gt;0),'Prescriptive Rebate Table'!$D$68,IF(AND(BK110&gt;0,CJ110=AF110),'Prescriptive Rebate Table'!$D$67,IF(AND(BK110&gt;0,CJ110&lt;&gt;AF110),'Prescriptive Rebate Table'!D169,0))))),"")</f>
        <v>0</v>
      </c>
      <c r="CL110" s="240" t="s">
        <v>2712</v>
      </c>
      <c r="CM110" s="152"/>
      <c r="CN110" s="152"/>
      <c r="CO110" s="152"/>
      <c r="CP110" s="146">
        <f t="shared" si="52"/>
        <v>0</v>
      </c>
      <c r="CQ110" s="153">
        <f>IF(D110="Interior",ROUND(($AG110*AF110)/1000*$AM110*(Lookups!$B$54-$AA110)*$AN110*$AO110,3),0)</f>
        <v>0</v>
      </c>
      <c r="CR110" s="153">
        <f>IFERROR(IF(D110="Interior",ROUND(($AG110*$AF110)/1000*(Lookups!$C$54-$AB110)*$AN110*AQ110*AT110,6),0),"")</f>
        <v>0</v>
      </c>
      <c r="CS110" s="165">
        <f t="shared" si="69"/>
        <v>0</v>
      </c>
      <c r="CT110" s="165">
        <f t="shared" si="70"/>
        <v>0</v>
      </c>
      <c r="CV110" s="153"/>
      <c r="CW110" s="153"/>
      <c r="CX110" s="165"/>
      <c r="CY110" s="165"/>
      <c r="DA110" s="153">
        <f>IF(D110="Interior",ROUND(($AG110*AF110*(1-0.15))/1000*$AM110*(Lookups!$B$43+0.097-$AA110)*$AN110*$AO110+((W110*V110)/1000*AN110*AM110*AO110*0.15),3),0)</f>
        <v>0</v>
      </c>
      <c r="DB110" s="153">
        <f>IFERROR(IF(D110="Interior",ROUND(($AG110*$AF110)/1000*(Lookups!$C$43+0.097-$AB110)*$AN110*AQ110*AT110+(($AG110*$AF110)/1000*$AN110*AQ110*AT110*0.15),6),0),"")</f>
        <v>0</v>
      </c>
      <c r="DC110" s="165">
        <f t="shared" si="71"/>
        <v>0</v>
      </c>
      <c r="DD110" s="165">
        <f t="shared" si="72"/>
        <v>0</v>
      </c>
    </row>
    <row r="111" spans="1:108" s="164" customFormat="1">
      <c r="A111" s="150">
        <v>107</v>
      </c>
      <c r="B111" s="153" t="str">
        <f>IFERROR(INDEX(Lookups!$B$2:$B$38,MATCH('Project Info &amp; Summary'!$C$19,Lookups!$A$2:$A$38,0)),"")</f>
        <v/>
      </c>
      <c r="C111" s="153" t="str">
        <f>IFERROR(INDEX(Lookups!$C$2:$C$38,MATCH('Project Info &amp; Summary'!$C$19,Lookups!$A$2:$A$38,0)),"")</f>
        <v/>
      </c>
      <c r="D111" s="163"/>
      <c r="E111" s="160"/>
      <c r="F111" s="158"/>
      <c r="G111" s="158"/>
      <c r="H111" s="158"/>
      <c r="I111" s="158"/>
      <c r="J111" s="154" t="str">
        <f>IFERROR(INDEX(Lookups!$W$21:$W$26,MATCH(I111,Lookups!$V$21:$V$26,0)),"")</f>
        <v/>
      </c>
      <c r="K111" s="158"/>
      <c r="L111" s="162" t="str">
        <f>IFERROR(INDEX(Lookups!$Y$2:$Y$19,MATCH(_xlfn.CONCAT(I111,K111),Lookups!$X$2:$X$19,0)),"")</f>
        <v/>
      </c>
      <c r="M111" s="158"/>
      <c r="N111" s="153" t="str">
        <f>IFERROR(INDEX('Prescriptive Rebate Table'!$M$3:$M$20,MATCH(M111,'Prescriptive Rebate Table'!$L$3:$L$20,0)),"")</f>
        <v/>
      </c>
      <c r="O111" s="158"/>
      <c r="P111" s="154" t="str">
        <f>IFERROR(INDEX('Prescriptive Rebate Table'!$B$2:$H$64, MATCH(O111,'Prescriptive Rebate Table'!$C$2:$C$64,0),7),"")</f>
        <v/>
      </c>
      <c r="Q111" s="155" t="str">
        <f>IFERROR(INDEX('Prescriptive Rebate Table'!$B$2:$I$64, MATCH(O111,'Prescriptive Rebate Table'!$C$2:$C$64,0),8),"")</f>
        <v/>
      </c>
      <c r="R111" s="155" t="str">
        <f>IFERROR(INDEX('Prescriptive Rebate Table'!$B$2:$J$64, MATCH(O111,'Prescriptive Rebate Table'!$C$2:$C$64,0),9),"")</f>
        <v/>
      </c>
      <c r="S111" s="160"/>
      <c r="T111" s="145" t="str">
        <f>IFERROR(INDEX('Fixture Codes'!$M$8:$M$976,MATCH(S111,'Fixture Codes'!$B$8:$B$976,0)),"")</f>
        <v/>
      </c>
      <c r="U111" s="145" t="str">
        <f>IFERROR(INDEX('Fixture Codes'!$B$7:$M$976,MATCH(T111,'Fixture Codes'!$B$7:$B$976,0),5),"")</f>
        <v/>
      </c>
      <c r="V111" s="160"/>
      <c r="W111" s="145" t="str">
        <f>IFERROR(INDEX('Fixture Codes'!$L$8:$L$976,MATCH(T111,'Fixture Codes'!$B$8:$B$976,0)),"")</f>
        <v/>
      </c>
      <c r="X111" s="158"/>
      <c r="Y111" s="159"/>
      <c r="Z111" s="155" t="str">
        <f>IFERROR(INDEX(Lookups!B$68:B$87,MATCH($X111,Lookups!$A$68:$A$87,0)),"")</f>
        <v/>
      </c>
      <c r="AA111" s="150" t="str">
        <f>IFERROR(INDEX(Lookups!B$42:B$62,MATCH($X111,Lookups!$A$42:$A$62,0)),"")</f>
        <v/>
      </c>
      <c r="AB111" s="150" t="str">
        <f>IFERROR(INDEX(Lookups!C$42:C$62,MATCH($X111,Lookups!$A$42:$A$62,0)),"")</f>
        <v/>
      </c>
      <c r="AC111" s="160"/>
      <c r="AD111" s="160"/>
      <c r="AE111" s="150" t="str">
        <f>IFERROR(INDEX('Fixture Codes'!$B$7:$M$976,MATCH(AD111,'Fixture Codes'!$B$7:$B$976,0),5),"")</f>
        <v/>
      </c>
      <c r="AF111" s="160"/>
      <c r="AG111" s="145" t="str">
        <f>IFERROR(INDEX('Fixture Codes'!$L$8:$L$976,MATCH(AD111,'Fixture Codes'!$B$8:$B$976,0)),"")</f>
        <v/>
      </c>
      <c r="AH111" s="158"/>
      <c r="AI111" s="160"/>
      <c r="AJ111" s="150" t="str">
        <f>IFERROR(INDEX(Lookups!B$68:B$87,MATCH($AH111,Lookups!$A$68:$A$87,0)),"")</f>
        <v/>
      </c>
      <c r="AK111" s="150" t="str">
        <f>IFERROR(INDEX(Lookups!B$42:B$62,MATCH($AH111,Lookups!$A$42:$A$62,0)),"")</f>
        <v/>
      </c>
      <c r="AL111" s="150" t="str">
        <f>IFERROR(INDEX(Lookups!C$42:C$62,MATCH($AH111,Lookups!$A$42:$A$62,0)),"")</f>
        <v/>
      </c>
      <c r="AM111" s="150" t="str">
        <f>IFERROR(IF(M111="Exit Signs",8760,IF(INDEX('Fixture Codes'!$C$8:$C$976,MATCH(AD111,'Fixture Codes'!$B$8:$B$976,0))="Exit Sign",8760,INDEX(Lookups!$I$2:$I$428,MATCH(_xlfn.CONCAT(B111,H111),Lookups!$H$2:$H$428,0)))),"")</f>
        <v/>
      </c>
      <c r="AN111" s="153">
        <v>1</v>
      </c>
      <c r="AO111" s="150" t="str">
        <f>IF($D111="Interior",INDEX(Lookups!Q$2:Q$86,MATCH(_xlfn.CONCAT($C111,$L111),Lookups!$P$2:$P$86,0)),IF($D111="Exterior",1,""))</f>
        <v/>
      </c>
      <c r="AP111" s="150">
        <f t="shared" si="55"/>
        <v>1</v>
      </c>
      <c r="AQ111" s="150" t="str">
        <f>IF($D111="Interior",INDEX(Lookups!R$2:R$86,MATCH(_xlfn.CONCAT($C111,$L111),Lookups!$P$2:$P$86,0)),IF($D111="Exterior",1,""))</f>
        <v/>
      </c>
      <c r="AR111" s="150" t="str">
        <f>IF($D111="Interior",INDEX(Lookups!S$2:S$86,MATCH(_xlfn.CONCAT($C111,$L111),Lookups!$P$2:$P$86,0)),IF($D111="Exterior",1,""))</f>
        <v/>
      </c>
      <c r="AS111" s="150" t="str">
        <f>IF($D111="Interior",INDEX(Lookups!T$2:T$86,MATCH(_xlfn.CONCAT($C111,$L111),Lookups!$P$2:$P$86,0)),IF($D111="Exterior",1,""))</f>
        <v/>
      </c>
      <c r="AT111" s="150" t="str">
        <f>IFERROR(IF(M111="Exit Signs",1,IF(INDEX('Fixture Codes'!$C$8:$C$976,MATCH($AD111,'Fixture Codes'!$B$8:$B$976,0))="Exit Sign",1,INDEX(Lookups!J$2:J$428,MATCH(_xlfn.CONCAT($B111,$H111),Lookups!$H$2:$H$428,0)))),"")</f>
        <v/>
      </c>
      <c r="AU111" s="150" t="str">
        <f>IFERROR(IF(M111="Exit Signs",1,IF(INDEX('Fixture Codes'!$C$8:$C$976,MATCH($AD111,'Fixture Codes'!$B$8:$B$976,0))="Exit Sign",1,INDEX(Lookups!K$2:K$428,MATCH(_xlfn.CONCAT($B111,$H111),Lookups!$H$2:$H$428,0)))),"")</f>
        <v/>
      </c>
      <c r="AV111" s="150" t="str">
        <f>IFERROR(IF(M111="Exit Signs",1,IF(INDEX('Fixture Codes'!$C$8:$C$976,MATCH($AD111,'Fixture Codes'!$B$8:$B$976,0))="Exit Sign",1,INDEX(Lookups!L$2:L$428,MATCH(_xlfn.CONCAT($B111,$H111),Lookups!$H$2:$H$428,0)))),"")</f>
        <v/>
      </c>
      <c r="AW111" s="150" t="str">
        <f>IF(ISBLANK(K111),"",IF(K111="Gas",INDEX(Lookups!$AG$2:$AG$63,MATCH(O111,Lookups!$AD$2:$AD$63,0),0),0))</f>
        <v/>
      </c>
      <c r="AX111" s="150" t="str">
        <f>IF(ISBLANK(K111),"",IF(K111="Gas",INDEX(Lookups!$AF$2:$AF$63,MATCH(O111,Lookups!$AD$2:$AD$63,0),0),0))</f>
        <v/>
      </c>
      <c r="AY111" s="150" t="str">
        <f>IF(ISBLANK(K111),"",IF(K111="Gas",INDEX(Lookups!$AH$2:$AH$63,MATCH(O111,Lookups!$AD$2:$AD$63,0),0),0))</f>
        <v/>
      </c>
      <c r="AZ111" s="150" t="str">
        <f>IF(ISBLANK(K111),"",IF(K111="Gas",INDEX(Lookups!$AI$2:$AI$63,MATCH(O111,Lookups!$AD$2:$AD$63,0),0),0))</f>
        <v/>
      </c>
      <c r="BA111" s="150" t="str">
        <f t="shared" si="40"/>
        <v/>
      </c>
      <c r="BB111" s="156" t="str">
        <f>IF(ISBLANK(AH111),"",IF(AH111="None",0,IF(K111="Gas",INDEX(Lookups!$AF$51:$AF$69,MATCH(AH111,Lookups!$AD$51:$AD$69,0),0),0)))</f>
        <v/>
      </c>
      <c r="BC111" s="156" t="str">
        <f>IF(ISBLANK(AH111),"",IF(AH111="None",0,IF(K111="Gas",INDEX(Lookups!$AH$51:$AH$69,MATCH(AH111,Lookups!$AD$51:$AD$69,0),0),0)))</f>
        <v/>
      </c>
      <c r="BD111" s="156" t="str">
        <f>IF(ISBLANK(AH111),"",IF(AH111="None",0,IF(K111="Gas",INDEX(Lookups!$AI$51:$AI$69,MATCH(AH111,Lookups!$AD$51:$AD$69,0),0),0)))</f>
        <v/>
      </c>
      <c r="BE111" s="157"/>
      <c r="BF111" s="157"/>
      <c r="BG111" s="147" t="str">
        <f t="shared" si="56"/>
        <v/>
      </c>
      <c r="BH111" s="147" t="str">
        <f t="shared" si="57"/>
        <v/>
      </c>
      <c r="BI111" s="147" t="str">
        <f t="shared" si="41"/>
        <v/>
      </c>
      <c r="BJ111" s="147" t="str">
        <f t="shared" si="42"/>
        <v/>
      </c>
      <c r="BK111" s="148" t="str">
        <f t="shared" si="58"/>
        <v/>
      </c>
      <c r="BL111" s="147" t="str">
        <f t="shared" si="43"/>
        <v/>
      </c>
      <c r="BM111" s="148" t="str">
        <f t="shared" si="59"/>
        <v/>
      </c>
      <c r="BN111" s="147" t="str">
        <f t="shared" si="60"/>
        <v/>
      </c>
      <c r="BO111" s="147" t="str">
        <f t="shared" si="60"/>
        <v/>
      </c>
      <c r="BP111" s="147" t="str">
        <f t="shared" si="61"/>
        <v/>
      </c>
      <c r="BQ111" s="148" t="str">
        <f t="shared" si="62"/>
        <v/>
      </c>
      <c r="BR111" s="148" t="str">
        <f t="shared" si="63"/>
        <v/>
      </c>
      <c r="BS111" s="148" t="str">
        <f t="shared" si="64"/>
        <v/>
      </c>
      <c r="BT111" s="148" t="str">
        <f t="shared" si="44"/>
        <v/>
      </c>
      <c r="BU111" s="148" t="str">
        <f t="shared" si="45"/>
        <v/>
      </c>
      <c r="BV111" s="148" t="str">
        <f t="shared" si="46"/>
        <v/>
      </c>
      <c r="BW111" s="148" t="str">
        <f t="shared" si="47"/>
        <v/>
      </c>
      <c r="BX111" s="148" t="str">
        <f t="shared" si="48"/>
        <v/>
      </c>
      <c r="BY111" s="148" t="str">
        <f t="shared" si="49"/>
        <v/>
      </c>
      <c r="BZ111" s="149" t="str">
        <f>IFERROR(INDEX('Prescriptive Rebate Table'!$B$2:$E$64,MATCH(O111,'Prescriptive Rebate Table'!$C$2:$C$64,0),3),"")</f>
        <v/>
      </c>
      <c r="CA111" s="145" t="str">
        <f>IFERROR(INDEX('Prescriptive Rebate Table'!$B$2:$E$64,MATCH(O111,'Prescriptive Rebate Table'!$C$2:$C$64,0),4),"")</f>
        <v/>
      </c>
      <c r="CB111" s="149" t="str">
        <f t="shared" si="65"/>
        <v/>
      </c>
      <c r="CC111" s="145" t="str">
        <f t="shared" si="66"/>
        <v/>
      </c>
      <c r="CD111" s="149" t="str">
        <f t="shared" si="50"/>
        <v/>
      </c>
      <c r="CE111" s="149" t="str">
        <f t="shared" si="51"/>
        <v/>
      </c>
      <c r="CF111" s="149" t="str">
        <f>IF(BK111&lt;=0,0,IFERROR(IF(OR(ISBLANK(AC111),ISBLANK(CD111))=TRUE,"",IF(CA111="Per Foot",INDEX('Fixture Codes'!$I$8:$I$976,MATCH(AD111,'Fixture Codes'!$B$8:$B$976,0))/12*AF111*BZ111,IF(CA111="Lamp",INDEX('Fixture Codes'!$J$8:$J$976,MATCH(AD111,'Fixture Codes'!$B$8:$B$976,0))*AF111*BZ111,IF(CA111="Fixture",AF111*BZ111,IF(CA111="kWh",BK111*BZ111,0))))),""))</f>
        <v/>
      </c>
      <c r="CG111" s="149" t="str">
        <f t="shared" si="67"/>
        <v/>
      </c>
      <c r="CH111" s="149" t="str">
        <f t="shared" si="68"/>
        <v/>
      </c>
      <c r="CI111" s="152"/>
      <c r="CJ111" s="146"/>
      <c r="CK111" s="241">
        <f>IFERROR(IF(CL111="Yes",'Prescriptive Rebate Table'!$D$69,IF(ISBLANK(AI111),0,IF(AND(AH111=Lookups!$A$62,BK111&gt;0),'Prescriptive Rebate Table'!$D$68,IF(AND(BK111&gt;0,CJ111=AF111),'Prescriptive Rebate Table'!$D$67,IF(AND(BK111&gt;0,CJ111&lt;&gt;AF111),'Prescriptive Rebate Table'!D170,0))))),"")</f>
        <v>0</v>
      </c>
      <c r="CL111" s="240" t="s">
        <v>2712</v>
      </c>
      <c r="CM111" s="152"/>
      <c r="CN111" s="152"/>
      <c r="CO111" s="152"/>
      <c r="CP111" s="146">
        <f t="shared" si="52"/>
        <v>0</v>
      </c>
      <c r="CQ111" s="153">
        <f>IF(D111="Interior",ROUND(($AG111*AF111)/1000*$AM111*(Lookups!$B$54-$AA111)*$AN111*$AO111,3),0)</f>
        <v>0</v>
      </c>
      <c r="CR111" s="153">
        <f>IFERROR(IF(D111="Interior",ROUND(($AG111*$AF111)/1000*(Lookups!$C$54-$AB111)*$AN111*AQ111*AT111,6),0),"")</f>
        <v>0</v>
      </c>
      <c r="CS111" s="165">
        <f t="shared" si="69"/>
        <v>0</v>
      </c>
      <c r="CT111" s="165">
        <f t="shared" si="70"/>
        <v>0</v>
      </c>
      <c r="CV111" s="153"/>
      <c r="CW111" s="153"/>
      <c r="CX111" s="165"/>
      <c r="CY111" s="165"/>
      <c r="DA111" s="153">
        <f>IF(D111="Interior",ROUND(($AG111*AF111*(1-0.15))/1000*$AM111*(Lookups!$B$43+0.097-$AA111)*$AN111*$AO111+((W111*V111)/1000*AN111*AM111*AO111*0.15),3),0)</f>
        <v>0</v>
      </c>
      <c r="DB111" s="153">
        <f>IFERROR(IF(D111="Interior",ROUND(($AG111*$AF111)/1000*(Lookups!$C$43+0.097-$AB111)*$AN111*AQ111*AT111+(($AG111*$AF111)/1000*$AN111*AQ111*AT111*0.15),6),0),"")</f>
        <v>0</v>
      </c>
      <c r="DC111" s="165">
        <f t="shared" si="71"/>
        <v>0</v>
      </c>
      <c r="DD111" s="165">
        <f t="shared" si="72"/>
        <v>0</v>
      </c>
    </row>
    <row r="112" spans="1:108" s="164" customFormat="1">
      <c r="A112" s="150">
        <v>108</v>
      </c>
      <c r="B112" s="153" t="str">
        <f>IFERROR(INDEX(Lookups!$B$2:$B$38,MATCH('Project Info &amp; Summary'!$C$19,Lookups!$A$2:$A$38,0)),"")</f>
        <v/>
      </c>
      <c r="C112" s="153" t="str">
        <f>IFERROR(INDEX(Lookups!$C$2:$C$38,MATCH('Project Info &amp; Summary'!$C$19,Lookups!$A$2:$A$38,0)),"")</f>
        <v/>
      </c>
      <c r="D112" s="163"/>
      <c r="E112" s="160"/>
      <c r="F112" s="158"/>
      <c r="G112" s="158"/>
      <c r="H112" s="158"/>
      <c r="I112" s="158"/>
      <c r="J112" s="154" t="str">
        <f>IFERROR(INDEX(Lookups!$W$21:$W$26,MATCH(I112,Lookups!$V$21:$V$26,0)),"")</f>
        <v/>
      </c>
      <c r="K112" s="158"/>
      <c r="L112" s="162" t="str">
        <f>IFERROR(INDEX(Lookups!$Y$2:$Y$19,MATCH(_xlfn.CONCAT(I112,K112),Lookups!$X$2:$X$19,0)),"")</f>
        <v/>
      </c>
      <c r="M112" s="158"/>
      <c r="N112" s="153" t="str">
        <f>IFERROR(INDEX('Prescriptive Rebate Table'!$M$3:$M$20,MATCH(M112,'Prescriptive Rebate Table'!$L$3:$L$20,0)),"")</f>
        <v/>
      </c>
      <c r="O112" s="158"/>
      <c r="P112" s="154" t="str">
        <f>IFERROR(INDEX('Prescriptive Rebate Table'!$B$2:$H$64, MATCH(O112,'Prescriptive Rebate Table'!$C$2:$C$64,0),7),"")</f>
        <v/>
      </c>
      <c r="Q112" s="155" t="str">
        <f>IFERROR(INDEX('Prescriptive Rebate Table'!$B$2:$I$64, MATCH(O112,'Prescriptive Rebate Table'!$C$2:$C$64,0),8),"")</f>
        <v/>
      </c>
      <c r="R112" s="155" t="str">
        <f>IFERROR(INDEX('Prescriptive Rebate Table'!$B$2:$J$64, MATCH(O112,'Prescriptive Rebate Table'!$C$2:$C$64,0),9),"")</f>
        <v/>
      </c>
      <c r="S112" s="160"/>
      <c r="T112" s="145" t="str">
        <f>IFERROR(INDEX('Fixture Codes'!$M$8:$M$976,MATCH(S112,'Fixture Codes'!$B$8:$B$976,0)),"")</f>
        <v/>
      </c>
      <c r="U112" s="145" t="str">
        <f>IFERROR(INDEX('Fixture Codes'!$B$7:$M$976,MATCH(T112,'Fixture Codes'!$B$7:$B$976,0),5),"")</f>
        <v/>
      </c>
      <c r="V112" s="160"/>
      <c r="W112" s="145" t="str">
        <f>IFERROR(INDEX('Fixture Codes'!$L$8:$L$976,MATCH(T112,'Fixture Codes'!$B$8:$B$976,0)),"")</f>
        <v/>
      </c>
      <c r="X112" s="158"/>
      <c r="Y112" s="159"/>
      <c r="Z112" s="155" t="str">
        <f>IFERROR(INDEX(Lookups!B$68:B$87,MATCH($X112,Lookups!$A$68:$A$87,0)),"")</f>
        <v/>
      </c>
      <c r="AA112" s="150" t="str">
        <f>IFERROR(INDEX(Lookups!B$42:B$62,MATCH($X112,Lookups!$A$42:$A$62,0)),"")</f>
        <v/>
      </c>
      <c r="AB112" s="150" t="str">
        <f>IFERROR(INDEX(Lookups!C$42:C$62,MATCH($X112,Lookups!$A$42:$A$62,0)),"")</f>
        <v/>
      </c>
      <c r="AC112" s="160"/>
      <c r="AD112" s="160"/>
      <c r="AE112" s="150" t="str">
        <f>IFERROR(INDEX('Fixture Codes'!$B$7:$M$976,MATCH(AD112,'Fixture Codes'!$B$7:$B$976,0),5),"")</f>
        <v/>
      </c>
      <c r="AF112" s="160"/>
      <c r="AG112" s="145" t="str">
        <f>IFERROR(INDEX('Fixture Codes'!$L$8:$L$976,MATCH(AD112,'Fixture Codes'!$B$8:$B$976,0)),"")</f>
        <v/>
      </c>
      <c r="AH112" s="158"/>
      <c r="AI112" s="160"/>
      <c r="AJ112" s="150" t="str">
        <f>IFERROR(INDEX(Lookups!B$68:B$87,MATCH($AH112,Lookups!$A$68:$A$87,0)),"")</f>
        <v/>
      </c>
      <c r="AK112" s="150" t="str">
        <f>IFERROR(INDEX(Lookups!B$42:B$62,MATCH($AH112,Lookups!$A$42:$A$62,0)),"")</f>
        <v/>
      </c>
      <c r="AL112" s="150" t="str">
        <f>IFERROR(INDEX(Lookups!C$42:C$62,MATCH($AH112,Lookups!$A$42:$A$62,0)),"")</f>
        <v/>
      </c>
      <c r="AM112" s="150" t="str">
        <f>IFERROR(IF(M112="Exit Signs",8760,IF(INDEX('Fixture Codes'!$C$8:$C$976,MATCH(AD112,'Fixture Codes'!$B$8:$B$976,0))="Exit Sign",8760,INDEX(Lookups!$I$2:$I$428,MATCH(_xlfn.CONCAT(B112,H112),Lookups!$H$2:$H$428,0)))),"")</f>
        <v/>
      </c>
      <c r="AN112" s="153">
        <v>1</v>
      </c>
      <c r="AO112" s="150" t="str">
        <f>IF($D112="Interior",INDEX(Lookups!Q$2:Q$86,MATCH(_xlfn.CONCAT($C112,$L112),Lookups!$P$2:$P$86,0)),IF($D112="Exterior",1,""))</f>
        <v/>
      </c>
      <c r="AP112" s="150">
        <f t="shared" si="55"/>
        <v>1</v>
      </c>
      <c r="AQ112" s="150" t="str">
        <f>IF($D112="Interior",INDEX(Lookups!R$2:R$86,MATCH(_xlfn.CONCAT($C112,$L112),Lookups!$P$2:$P$86,0)),IF($D112="Exterior",1,""))</f>
        <v/>
      </c>
      <c r="AR112" s="150" t="str">
        <f>IF($D112="Interior",INDEX(Lookups!S$2:S$86,MATCH(_xlfn.CONCAT($C112,$L112),Lookups!$P$2:$P$86,0)),IF($D112="Exterior",1,""))</f>
        <v/>
      </c>
      <c r="AS112" s="150" t="str">
        <f>IF($D112="Interior",INDEX(Lookups!T$2:T$86,MATCH(_xlfn.CONCAT($C112,$L112),Lookups!$P$2:$P$86,0)),IF($D112="Exterior",1,""))</f>
        <v/>
      </c>
      <c r="AT112" s="150" t="str">
        <f>IFERROR(IF(M112="Exit Signs",1,IF(INDEX('Fixture Codes'!$C$8:$C$976,MATCH($AD112,'Fixture Codes'!$B$8:$B$976,0))="Exit Sign",1,INDEX(Lookups!J$2:J$428,MATCH(_xlfn.CONCAT($B112,$H112),Lookups!$H$2:$H$428,0)))),"")</f>
        <v/>
      </c>
      <c r="AU112" s="150" t="str">
        <f>IFERROR(IF(M112="Exit Signs",1,IF(INDEX('Fixture Codes'!$C$8:$C$976,MATCH($AD112,'Fixture Codes'!$B$8:$B$976,0))="Exit Sign",1,INDEX(Lookups!K$2:K$428,MATCH(_xlfn.CONCAT($B112,$H112),Lookups!$H$2:$H$428,0)))),"")</f>
        <v/>
      </c>
      <c r="AV112" s="150" t="str">
        <f>IFERROR(IF(M112="Exit Signs",1,IF(INDEX('Fixture Codes'!$C$8:$C$976,MATCH($AD112,'Fixture Codes'!$B$8:$B$976,0))="Exit Sign",1,INDEX(Lookups!L$2:L$428,MATCH(_xlfn.CONCAT($B112,$H112),Lookups!$H$2:$H$428,0)))),"")</f>
        <v/>
      </c>
      <c r="AW112" s="150" t="str">
        <f>IF(ISBLANK(K112),"",IF(K112="Gas",INDEX(Lookups!$AG$2:$AG$63,MATCH(O112,Lookups!$AD$2:$AD$63,0),0),0))</f>
        <v/>
      </c>
      <c r="AX112" s="150" t="str">
        <f>IF(ISBLANK(K112),"",IF(K112="Gas",INDEX(Lookups!$AF$2:$AF$63,MATCH(O112,Lookups!$AD$2:$AD$63,0),0),0))</f>
        <v/>
      </c>
      <c r="AY112" s="150" t="str">
        <f>IF(ISBLANK(K112),"",IF(K112="Gas",INDEX(Lookups!$AH$2:$AH$63,MATCH(O112,Lookups!$AD$2:$AD$63,0),0),0))</f>
        <v/>
      </c>
      <c r="AZ112" s="150" t="str">
        <f>IF(ISBLANK(K112),"",IF(K112="Gas",INDEX(Lookups!$AI$2:$AI$63,MATCH(O112,Lookups!$AD$2:$AD$63,0),0),0))</f>
        <v/>
      </c>
      <c r="BA112" s="150" t="str">
        <f t="shared" si="40"/>
        <v/>
      </c>
      <c r="BB112" s="156" t="str">
        <f>IF(ISBLANK(AH112),"",IF(AH112="None",0,IF(K112="Gas",INDEX(Lookups!$AF$51:$AF$69,MATCH(AH112,Lookups!$AD$51:$AD$69,0),0),0)))</f>
        <v/>
      </c>
      <c r="BC112" s="156" t="str">
        <f>IF(ISBLANK(AH112),"",IF(AH112="None",0,IF(K112="Gas",INDEX(Lookups!$AH$51:$AH$69,MATCH(AH112,Lookups!$AD$51:$AD$69,0),0),0)))</f>
        <v/>
      </c>
      <c r="BD112" s="156" t="str">
        <f>IF(ISBLANK(AH112),"",IF(AH112="None",0,IF(K112="Gas",INDEX(Lookups!$AI$51:$AI$69,MATCH(AH112,Lookups!$AD$51:$AD$69,0),0),0)))</f>
        <v/>
      </c>
      <c r="BE112" s="157"/>
      <c r="BF112" s="157"/>
      <c r="BG112" s="147" t="str">
        <f t="shared" si="56"/>
        <v/>
      </c>
      <c r="BH112" s="147" t="str">
        <f t="shared" si="57"/>
        <v/>
      </c>
      <c r="BI112" s="147" t="str">
        <f t="shared" si="41"/>
        <v/>
      </c>
      <c r="BJ112" s="147" t="str">
        <f t="shared" si="42"/>
        <v/>
      </c>
      <c r="BK112" s="148" t="str">
        <f t="shared" si="58"/>
        <v/>
      </c>
      <c r="BL112" s="147" t="str">
        <f t="shared" si="43"/>
        <v/>
      </c>
      <c r="BM112" s="148" t="str">
        <f t="shared" si="59"/>
        <v/>
      </c>
      <c r="BN112" s="147" t="str">
        <f t="shared" si="60"/>
        <v/>
      </c>
      <c r="BO112" s="147" t="str">
        <f t="shared" si="60"/>
        <v/>
      </c>
      <c r="BP112" s="147" t="str">
        <f t="shared" si="61"/>
        <v/>
      </c>
      <c r="BQ112" s="148" t="str">
        <f t="shared" si="62"/>
        <v/>
      </c>
      <c r="BR112" s="148" t="str">
        <f t="shared" si="63"/>
        <v/>
      </c>
      <c r="BS112" s="148" t="str">
        <f t="shared" si="64"/>
        <v/>
      </c>
      <c r="BT112" s="148" t="str">
        <f t="shared" si="44"/>
        <v/>
      </c>
      <c r="BU112" s="148" t="str">
        <f t="shared" si="45"/>
        <v/>
      </c>
      <c r="BV112" s="148" t="str">
        <f t="shared" si="46"/>
        <v/>
      </c>
      <c r="BW112" s="148" t="str">
        <f t="shared" si="47"/>
        <v/>
      </c>
      <c r="BX112" s="148" t="str">
        <f t="shared" si="48"/>
        <v/>
      </c>
      <c r="BY112" s="148" t="str">
        <f t="shared" si="49"/>
        <v/>
      </c>
      <c r="BZ112" s="149" t="str">
        <f>IFERROR(INDEX('Prescriptive Rebate Table'!$B$2:$E$64,MATCH(O112,'Prescriptive Rebate Table'!$C$2:$C$64,0),3),"")</f>
        <v/>
      </c>
      <c r="CA112" s="145" t="str">
        <f>IFERROR(INDEX('Prescriptive Rebate Table'!$B$2:$E$64,MATCH(O112,'Prescriptive Rebate Table'!$C$2:$C$64,0),4),"")</f>
        <v/>
      </c>
      <c r="CB112" s="149" t="str">
        <f t="shared" si="65"/>
        <v/>
      </c>
      <c r="CC112" s="145" t="str">
        <f t="shared" si="66"/>
        <v/>
      </c>
      <c r="CD112" s="149" t="str">
        <f t="shared" si="50"/>
        <v/>
      </c>
      <c r="CE112" s="149" t="str">
        <f t="shared" si="51"/>
        <v/>
      </c>
      <c r="CF112" s="149" t="str">
        <f>IF(BK112&lt;=0,0,IFERROR(IF(OR(ISBLANK(AC112),ISBLANK(CD112))=TRUE,"",IF(CA112="Per Foot",INDEX('Fixture Codes'!$I$8:$I$976,MATCH(AD112,'Fixture Codes'!$B$8:$B$976,0))/12*AF112*BZ112,IF(CA112="Lamp",INDEX('Fixture Codes'!$J$8:$J$976,MATCH(AD112,'Fixture Codes'!$B$8:$B$976,0))*AF112*BZ112,IF(CA112="Fixture",AF112*BZ112,IF(CA112="kWh",BK112*BZ112,0))))),""))</f>
        <v/>
      </c>
      <c r="CG112" s="149" t="str">
        <f t="shared" si="67"/>
        <v/>
      </c>
      <c r="CH112" s="149" t="str">
        <f t="shared" si="68"/>
        <v/>
      </c>
      <c r="CI112" s="152"/>
      <c r="CJ112" s="146"/>
      <c r="CK112" s="241">
        <f>IFERROR(IF(CL112="Yes",'Prescriptive Rebate Table'!$D$69,IF(ISBLANK(AI112),0,IF(AND(AH112=Lookups!$A$62,BK112&gt;0),'Prescriptive Rebate Table'!$D$68,IF(AND(BK112&gt;0,CJ112=AF112),'Prescriptive Rebate Table'!$D$67,IF(AND(BK112&gt;0,CJ112&lt;&gt;AF112),'Prescriptive Rebate Table'!D171,0))))),"")</f>
        <v>0</v>
      </c>
      <c r="CL112" s="240" t="s">
        <v>2712</v>
      </c>
      <c r="CM112" s="152"/>
      <c r="CN112" s="152"/>
      <c r="CO112" s="152"/>
      <c r="CP112" s="146">
        <f t="shared" si="52"/>
        <v>0</v>
      </c>
      <c r="CQ112" s="153">
        <f>IF(D112="Interior",ROUND(($AG112*AF112)/1000*$AM112*(Lookups!$B$54-$AA112)*$AN112*$AO112,3),0)</f>
        <v>0</v>
      </c>
      <c r="CR112" s="153">
        <f>IFERROR(IF(D112="Interior",ROUND(($AG112*$AF112)/1000*(Lookups!$C$54-$AB112)*$AN112*AQ112*AT112,6),0),"")</f>
        <v>0</v>
      </c>
      <c r="CS112" s="165">
        <f t="shared" si="69"/>
        <v>0</v>
      </c>
      <c r="CT112" s="165">
        <f t="shared" si="70"/>
        <v>0</v>
      </c>
      <c r="CV112" s="153"/>
      <c r="CW112" s="153"/>
      <c r="CX112" s="165"/>
      <c r="CY112" s="165"/>
      <c r="DA112" s="153">
        <f>IF(D112="Interior",ROUND(($AG112*AF112*(1-0.15))/1000*$AM112*(Lookups!$B$43+0.097-$AA112)*$AN112*$AO112+((W112*V112)/1000*AN112*AM112*AO112*0.15),3),0)</f>
        <v>0</v>
      </c>
      <c r="DB112" s="153">
        <f>IFERROR(IF(D112="Interior",ROUND(($AG112*$AF112)/1000*(Lookups!$C$43+0.097-$AB112)*$AN112*AQ112*AT112+(($AG112*$AF112)/1000*$AN112*AQ112*AT112*0.15),6),0),"")</f>
        <v>0</v>
      </c>
      <c r="DC112" s="165">
        <f t="shared" si="71"/>
        <v>0</v>
      </c>
      <c r="DD112" s="165">
        <f t="shared" si="72"/>
        <v>0</v>
      </c>
    </row>
    <row r="113" spans="1:108" s="164" customFormat="1">
      <c r="A113" s="150">
        <v>109</v>
      </c>
      <c r="B113" s="153" t="str">
        <f>IFERROR(INDEX(Lookups!$B$2:$B$38,MATCH('Project Info &amp; Summary'!$C$19,Lookups!$A$2:$A$38,0)),"")</f>
        <v/>
      </c>
      <c r="C113" s="153" t="str">
        <f>IFERROR(INDEX(Lookups!$C$2:$C$38,MATCH('Project Info &amp; Summary'!$C$19,Lookups!$A$2:$A$38,0)),"")</f>
        <v/>
      </c>
      <c r="D113" s="163"/>
      <c r="E113" s="160"/>
      <c r="F113" s="158"/>
      <c r="G113" s="158"/>
      <c r="H113" s="158"/>
      <c r="I113" s="158"/>
      <c r="J113" s="154" t="str">
        <f>IFERROR(INDEX(Lookups!$W$21:$W$26,MATCH(I113,Lookups!$V$21:$V$26,0)),"")</f>
        <v/>
      </c>
      <c r="K113" s="158"/>
      <c r="L113" s="162" t="str">
        <f>IFERROR(INDEX(Lookups!$Y$2:$Y$19,MATCH(_xlfn.CONCAT(I113,K113),Lookups!$X$2:$X$19,0)),"")</f>
        <v/>
      </c>
      <c r="M113" s="158"/>
      <c r="N113" s="153" t="str">
        <f>IFERROR(INDEX('Prescriptive Rebate Table'!$M$3:$M$20,MATCH(M113,'Prescriptive Rebate Table'!$L$3:$L$20,0)),"")</f>
        <v/>
      </c>
      <c r="O113" s="158"/>
      <c r="P113" s="154" t="str">
        <f>IFERROR(INDEX('Prescriptive Rebate Table'!$B$2:$H$64, MATCH(O113,'Prescriptive Rebate Table'!$C$2:$C$64,0),7),"")</f>
        <v/>
      </c>
      <c r="Q113" s="155" t="str">
        <f>IFERROR(INDEX('Prescriptive Rebate Table'!$B$2:$I$64, MATCH(O113,'Prescriptive Rebate Table'!$C$2:$C$64,0),8),"")</f>
        <v/>
      </c>
      <c r="R113" s="155" t="str">
        <f>IFERROR(INDEX('Prescriptive Rebate Table'!$B$2:$J$64, MATCH(O113,'Prescriptive Rebate Table'!$C$2:$C$64,0),9),"")</f>
        <v/>
      </c>
      <c r="S113" s="160"/>
      <c r="T113" s="145" t="str">
        <f>IFERROR(INDEX('Fixture Codes'!$M$8:$M$976,MATCH(S113,'Fixture Codes'!$B$8:$B$976,0)),"")</f>
        <v/>
      </c>
      <c r="U113" s="145" t="str">
        <f>IFERROR(INDEX('Fixture Codes'!$B$7:$M$976,MATCH(T113,'Fixture Codes'!$B$7:$B$976,0),5),"")</f>
        <v/>
      </c>
      <c r="V113" s="160"/>
      <c r="W113" s="145" t="str">
        <f>IFERROR(INDEX('Fixture Codes'!$L$8:$L$976,MATCH(T113,'Fixture Codes'!$B$8:$B$976,0)),"")</f>
        <v/>
      </c>
      <c r="X113" s="158"/>
      <c r="Y113" s="159"/>
      <c r="Z113" s="155" t="str">
        <f>IFERROR(INDEX(Lookups!B$68:B$87,MATCH($X113,Lookups!$A$68:$A$87,0)),"")</f>
        <v/>
      </c>
      <c r="AA113" s="150" t="str">
        <f>IFERROR(INDEX(Lookups!B$42:B$62,MATCH($X113,Lookups!$A$42:$A$62,0)),"")</f>
        <v/>
      </c>
      <c r="AB113" s="150" t="str">
        <f>IFERROR(INDEX(Lookups!C$42:C$62,MATCH($X113,Lookups!$A$42:$A$62,0)),"")</f>
        <v/>
      </c>
      <c r="AC113" s="160"/>
      <c r="AD113" s="160"/>
      <c r="AE113" s="150" t="str">
        <f>IFERROR(INDEX('Fixture Codes'!$B$7:$M$976,MATCH(AD113,'Fixture Codes'!$B$7:$B$976,0),5),"")</f>
        <v/>
      </c>
      <c r="AF113" s="160"/>
      <c r="AG113" s="145" t="str">
        <f>IFERROR(INDEX('Fixture Codes'!$L$8:$L$976,MATCH(AD113,'Fixture Codes'!$B$8:$B$976,0)),"")</f>
        <v/>
      </c>
      <c r="AH113" s="158"/>
      <c r="AI113" s="160"/>
      <c r="AJ113" s="150" t="str">
        <f>IFERROR(INDEX(Lookups!B$68:B$87,MATCH($AH113,Lookups!$A$68:$A$87,0)),"")</f>
        <v/>
      </c>
      <c r="AK113" s="150" t="str">
        <f>IFERROR(INDEX(Lookups!B$42:B$62,MATCH($AH113,Lookups!$A$42:$A$62,0)),"")</f>
        <v/>
      </c>
      <c r="AL113" s="150" t="str">
        <f>IFERROR(INDEX(Lookups!C$42:C$62,MATCH($AH113,Lookups!$A$42:$A$62,0)),"")</f>
        <v/>
      </c>
      <c r="AM113" s="150" t="str">
        <f>IFERROR(IF(M113="Exit Signs",8760,IF(INDEX('Fixture Codes'!$C$8:$C$976,MATCH(AD113,'Fixture Codes'!$B$8:$B$976,0))="Exit Sign",8760,INDEX(Lookups!$I$2:$I$428,MATCH(_xlfn.CONCAT(B113,H113),Lookups!$H$2:$H$428,0)))),"")</f>
        <v/>
      </c>
      <c r="AN113" s="153">
        <v>1</v>
      </c>
      <c r="AO113" s="150" t="str">
        <f>IF($D113="Interior",INDEX(Lookups!Q$2:Q$86,MATCH(_xlfn.CONCAT($C113,$L113),Lookups!$P$2:$P$86,0)),IF($D113="Exterior",1,""))</f>
        <v/>
      </c>
      <c r="AP113" s="150">
        <f t="shared" si="55"/>
        <v>1</v>
      </c>
      <c r="AQ113" s="150" t="str">
        <f>IF($D113="Interior",INDEX(Lookups!R$2:R$86,MATCH(_xlfn.CONCAT($C113,$L113),Lookups!$P$2:$P$86,0)),IF($D113="Exterior",1,""))</f>
        <v/>
      </c>
      <c r="AR113" s="150" t="str">
        <f>IF($D113="Interior",INDEX(Lookups!S$2:S$86,MATCH(_xlfn.CONCAT($C113,$L113),Lookups!$P$2:$P$86,0)),IF($D113="Exterior",1,""))</f>
        <v/>
      </c>
      <c r="AS113" s="150" t="str">
        <f>IF($D113="Interior",INDEX(Lookups!T$2:T$86,MATCH(_xlfn.CONCAT($C113,$L113),Lookups!$P$2:$P$86,0)),IF($D113="Exterior",1,""))</f>
        <v/>
      </c>
      <c r="AT113" s="150" t="str">
        <f>IFERROR(IF(M113="Exit Signs",1,IF(INDEX('Fixture Codes'!$C$8:$C$976,MATCH($AD113,'Fixture Codes'!$B$8:$B$976,0))="Exit Sign",1,INDEX(Lookups!J$2:J$428,MATCH(_xlfn.CONCAT($B113,$H113),Lookups!$H$2:$H$428,0)))),"")</f>
        <v/>
      </c>
      <c r="AU113" s="150" t="str">
        <f>IFERROR(IF(M113="Exit Signs",1,IF(INDEX('Fixture Codes'!$C$8:$C$976,MATCH($AD113,'Fixture Codes'!$B$8:$B$976,0))="Exit Sign",1,INDEX(Lookups!K$2:K$428,MATCH(_xlfn.CONCAT($B113,$H113),Lookups!$H$2:$H$428,0)))),"")</f>
        <v/>
      </c>
      <c r="AV113" s="150" t="str">
        <f>IFERROR(IF(M113="Exit Signs",1,IF(INDEX('Fixture Codes'!$C$8:$C$976,MATCH($AD113,'Fixture Codes'!$B$8:$B$976,0))="Exit Sign",1,INDEX(Lookups!L$2:L$428,MATCH(_xlfn.CONCAT($B113,$H113),Lookups!$H$2:$H$428,0)))),"")</f>
        <v/>
      </c>
      <c r="AW113" s="150" t="str">
        <f>IF(ISBLANK(K113),"",IF(K113="Gas",INDEX(Lookups!$AG$2:$AG$63,MATCH(O113,Lookups!$AD$2:$AD$63,0),0),0))</f>
        <v/>
      </c>
      <c r="AX113" s="150" t="str">
        <f>IF(ISBLANK(K113),"",IF(K113="Gas",INDEX(Lookups!$AF$2:$AF$63,MATCH(O113,Lookups!$AD$2:$AD$63,0),0),0))</f>
        <v/>
      </c>
      <c r="AY113" s="150" t="str">
        <f>IF(ISBLANK(K113),"",IF(K113="Gas",INDEX(Lookups!$AH$2:$AH$63,MATCH(O113,Lookups!$AD$2:$AD$63,0),0),0))</f>
        <v/>
      </c>
      <c r="AZ113" s="150" t="str">
        <f>IF(ISBLANK(K113),"",IF(K113="Gas",INDEX(Lookups!$AI$2:$AI$63,MATCH(O113,Lookups!$AD$2:$AD$63,0),0),0))</f>
        <v/>
      </c>
      <c r="BA113" s="150" t="str">
        <f t="shared" si="40"/>
        <v/>
      </c>
      <c r="BB113" s="156" t="str">
        <f>IF(ISBLANK(AH113),"",IF(AH113="None",0,IF(K113="Gas",INDEX(Lookups!$AF$51:$AF$69,MATCH(AH113,Lookups!$AD$51:$AD$69,0),0),0)))</f>
        <v/>
      </c>
      <c r="BC113" s="156" t="str">
        <f>IF(ISBLANK(AH113),"",IF(AH113="None",0,IF(K113="Gas",INDEX(Lookups!$AH$51:$AH$69,MATCH(AH113,Lookups!$AD$51:$AD$69,0),0),0)))</f>
        <v/>
      </c>
      <c r="BD113" s="156" t="str">
        <f>IF(ISBLANK(AH113),"",IF(AH113="None",0,IF(K113="Gas",INDEX(Lookups!$AI$51:$AI$69,MATCH(AH113,Lookups!$AD$51:$AD$69,0),0),0)))</f>
        <v/>
      </c>
      <c r="BE113" s="157"/>
      <c r="BF113" s="157"/>
      <c r="BG113" s="147" t="str">
        <f t="shared" si="56"/>
        <v/>
      </c>
      <c r="BH113" s="147" t="str">
        <f t="shared" si="57"/>
        <v/>
      </c>
      <c r="BI113" s="147" t="str">
        <f t="shared" si="41"/>
        <v/>
      </c>
      <c r="BJ113" s="147" t="str">
        <f t="shared" si="42"/>
        <v/>
      </c>
      <c r="BK113" s="148" t="str">
        <f t="shared" si="58"/>
        <v/>
      </c>
      <c r="BL113" s="147" t="str">
        <f t="shared" si="43"/>
        <v/>
      </c>
      <c r="BM113" s="148" t="str">
        <f t="shared" si="59"/>
        <v/>
      </c>
      <c r="BN113" s="147" t="str">
        <f t="shared" si="60"/>
        <v/>
      </c>
      <c r="BO113" s="147" t="str">
        <f t="shared" si="60"/>
        <v/>
      </c>
      <c r="BP113" s="147" t="str">
        <f t="shared" si="61"/>
        <v/>
      </c>
      <c r="BQ113" s="148" t="str">
        <f t="shared" si="62"/>
        <v/>
      </c>
      <c r="BR113" s="148" t="str">
        <f t="shared" si="63"/>
        <v/>
      </c>
      <c r="BS113" s="148" t="str">
        <f t="shared" si="64"/>
        <v/>
      </c>
      <c r="BT113" s="148" t="str">
        <f t="shared" si="44"/>
        <v/>
      </c>
      <c r="BU113" s="148" t="str">
        <f t="shared" si="45"/>
        <v/>
      </c>
      <c r="BV113" s="148" t="str">
        <f t="shared" si="46"/>
        <v/>
      </c>
      <c r="BW113" s="148" t="str">
        <f t="shared" si="47"/>
        <v/>
      </c>
      <c r="BX113" s="148" t="str">
        <f t="shared" si="48"/>
        <v/>
      </c>
      <c r="BY113" s="148" t="str">
        <f t="shared" si="49"/>
        <v/>
      </c>
      <c r="BZ113" s="149" t="str">
        <f>IFERROR(INDEX('Prescriptive Rebate Table'!$B$2:$E$64,MATCH(O113,'Prescriptive Rebate Table'!$C$2:$C$64,0),3),"")</f>
        <v/>
      </c>
      <c r="CA113" s="145" t="str">
        <f>IFERROR(INDEX('Prescriptive Rebate Table'!$B$2:$E$64,MATCH(O113,'Prescriptive Rebate Table'!$C$2:$C$64,0),4),"")</f>
        <v/>
      </c>
      <c r="CB113" s="149" t="str">
        <f t="shared" si="65"/>
        <v/>
      </c>
      <c r="CC113" s="145" t="str">
        <f t="shared" si="66"/>
        <v/>
      </c>
      <c r="CD113" s="149" t="str">
        <f t="shared" si="50"/>
        <v/>
      </c>
      <c r="CE113" s="149" t="str">
        <f t="shared" si="51"/>
        <v/>
      </c>
      <c r="CF113" s="149" t="str">
        <f>IF(BK113&lt;=0,0,IFERROR(IF(OR(ISBLANK(AC113),ISBLANK(CD113))=TRUE,"",IF(CA113="Per Foot",INDEX('Fixture Codes'!$I$8:$I$976,MATCH(AD113,'Fixture Codes'!$B$8:$B$976,0))/12*AF113*BZ113,IF(CA113="Lamp",INDEX('Fixture Codes'!$J$8:$J$976,MATCH(AD113,'Fixture Codes'!$B$8:$B$976,0))*AF113*BZ113,IF(CA113="Fixture",AF113*BZ113,IF(CA113="kWh",BK113*BZ113,0))))),""))</f>
        <v/>
      </c>
      <c r="CG113" s="149" t="str">
        <f t="shared" si="67"/>
        <v/>
      </c>
      <c r="CH113" s="149" t="str">
        <f t="shared" si="68"/>
        <v/>
      </c>
      <c r="CI113" s="152"/>
      <c r="CJ113" s="146"/>
      <c r="CK113" s="241">
        <f>IFERROR(IF(CL113="Yes",'Prescriptive Rebate Table'!$D$69,IF(ISBLANK(AI113),0,IF(AND(AH113=Lookups!$A$62,BK113&gt;0),'Prescriptive Rebate Table'!$D$68,IF(AND(BK113&gt;0,CJ113=AF113),'Prescriptive Rebate Table'!$D$67,IF(AND(BK113&gt;0,CJ113&lt;&gt;AF113),'Prescriptive Rebate Table'!D172,0))))),"")</f>
        <v>0</v>
      </c>
      <c r="CL113" s="240" t="s">
        <v>2712</v>
      </c>
      <c r="CM113" s="152"/>
      <c r="CN113" s="152"/>
      <c r="CO113" s="152"/>
      <c r="CP113" s="146">
        <f t="shared" si="52"/>
        <v>0</v>
      </c>
      <c r="CQ113" s="153">
        <f>IF(D113="Interior",ROUND(($AG113*AF113)/1000*$AM113*(Lookups!$B$54-$AA113)*$AN113*$AO113,3),0)</f>
        <v>0</v>
      </c>
      <c r="CR113" s="153">
        <f>IFERROR(IF(D113="Interior",ROUND(($AG113*$AF113)/1000*(Lookups!$C$54-$AB113)*$AN113*AQ113*AT113,6),0),"")</f>
        <v>0</v>
      </c>
      <c r="CS113" s="165">
        <f t="shared" si="69"/>
        <v>0</v>
      </c>
      <c r="CT113" s="165">
        <f t="shared" si="70"/>
        <v>0</v>
      </c>
      <c r="CV113" s="153"/>
      <c r="CW113" s="153"/>
      <c r="CX113" s="165"/>
      <c r="CY113" s="165"/>
      <c r="DA113" s="153">
        <f>IF(D113="Interior",ROUND(($AG113*AF113*(1-0.15))/1000*$AM113*(Lookups!$B$43+0.097-$AA113)*$AN113*$AO113+((W113*V113)/1000*AN113*AM113*AO113*0.15),3),0)</f>
        <v>0</v>
      </c>
      <c r="DB113" s="153">
        <f>IFERROR(IF(D113="Interior",ROUND(($AG113*$AF113)/1000*(Lookups!$C$43+0.097-$AB113)*$AN113*AQ113*AT113+(($AG113*$AF113)/1000*$AN113*AQ113*AT113*0.15),6),0),"")</f>
        <v>0</v>
      </c>
      <c r="DC113" s="165">
        <f t="shared" si="71"/>
        <v>0</v>
      </c>
      <c r="DD113" s="165">
        <f t="shared" si="72"/>
        <v>0</v>
      </c>
    </row>
    <row r="114" spans="1:108" s="164" customFormat="1">
      <c r="A114" s="150">
        <v>110</v>
      </c>
      <c r="B114" s="153" t="str">
        <f>IFERROR(INDEX(Lookups!$B$2:$B$38,MATCH('Project Info &amp; Summary'!$C$19,Lookups!$A$2:$A$38,0)),"")</f>
        <v/>
      </c>
      <c r="C114" s="153" t="str">
        <f>IFERROR(INDEX(Lookups!$C$2:$C$38,MATCH('Project Info &amp; Summary'!$C$19,Lookups!$A$2:$A$38,0)),"")</f>
        <v/>
      </c>
      <c r="D114" s="163"/>
      <c r="E114" s="160"/>
      <c r="F114" s="158"/>
      <c r="G114" s="158"/>
      <c r="H114" s="158"/>
      <c r="I114" s="158"/>
      <c r="J114" s="154" t="str">
        <f>IFERROR(INDEX(Lookups!$W$21:$W$26,MATCH(I114,Lookups!$V$21:$V$26,0)),"")</f>
        <v/>
      </c>
      <c r="K114" s="158"/>
      <c r="L114" s="162" t="str">
        <f>IFERROR(INDEX(Lookups!$Y$2:$Y$19,MATCH(_xlfn.CONCAT(I114,K114),Lookups!$X$2:$X$19,0)),"")</f>
        <v/>
      </c>
      <c r="M114" s="158"/>
      <c r="N114" s="153" t="str">
        <f>IFERROR(INDEX('Prescriptive Rebate Table'!$M$3:$M$20,MATCH(M114,'Prescriptive Rebate Table'!$L$3:$L$20,0)),"")</f>
        <v/>
      </c>
      <c r="O114" s="158"/>
      <c r="P114" s="154" t="str">
        <f>IFERROR(INDEX('Prescriptive Rebate Table'!$B$2:$H$64, MATCH(O114,'Prescriptive Rebate Table'!$C$2:$C$64,0),7),"")</f>
        <v/>
      </c>
      <c r="Q114" s="155" t="str">
        <f>IFERROR(INDEX('Prescriptive Rebate Table'!$B$2:$I$64, MATCH(O114,'Prescriptive Rebate Table'!$C$2:$C$64,0),8),"")</f>
        <v/>
      </c>
      <c r="R114" s="155" t="str">
        <f>IFERROR(INDEX('Prescriptive Rebate Table'!$B$2:$J$64, MATCH(O114,'Prescriptive Rebate Table'!$C$2:$C$64,0),9),"")</f>
        <v/>
      </c>
      <c r="S114" s="160"/>
      <c r="T114" s="145" t="str">
        <f>IFERROR(INDEX('Fixture Codes'!$M$8:$M$976,MATCH(S114,'Fixture Codes'!$B$8:$B$976,0)),"")</f>
        <v/>
      </c>
      <c r="U114" s="145" t="str">
        <f>IFERROR(INDEX('Fixture Codes'!$B$7:$M$976,MATCH(T114,'Fixture Codes'!$B$7:$B$976,0),5),"")</f>
        <v/>
      </c>
      <c r="V114" s="160"/>
      <c r="W114" s="145" t="str">
        <f>IFERROR(INDEX('Fixture Codes'!$L$8:$L$976,MATCH(T114,'Fixture Codes'!$B$8:$B$976,0)),"")</f>
        <v/>
      </c>
      <c r="X114" s="158"/>
      <c r="Y114" s="159"/>
      <c r="Z114" s="155" t="str">
        <f>IFERROR(INDEX(Lookups!B$68:B$87,MATCH($X114,Lookups!$A$68:$A$87,0)),"")</f>
        <v/>
      </c>
      <c r="AA114" s="150" t="str">
        <f>IFERROR(INDEX(Lookups!B$42:B$62,MATCH($X114,Lookups!$A$42:$A$62,0)),"")</f>
        <v/>
      </c>
      <c r="AB114" s="150" t="str">
        <f>IFERROR(INDEX(Lookups!C$42:C$62,MATCH($X114,Lookups!$A$42:$A$62,0)),"")</f>
        <v/>
      </c>
      <c r="AC114" s="160"/>
      <c r="AD114" s="160"/>
      <c r="AE114" s="150" t="str">
        <f>IFERROR(INDEX('Fixture Codes'!$B$7:$M$976,MATCH(AD114,'Fixture Codes'!$B$7:$B$976,0),5),"")</f>
        <v/>
      </c>
      <c r="AF114" s="160"/>
      <c r="AG114" s="145" t="str">
        <f>IFERROR(INDEX('Fixture Codes'!$L$8:$L$976,MATCH(AD114,'Fixture Codes'!$B$8:$B$976,0)),"")</f>
        <v/>
      </c>
      <c r="AH114" s="158"/>
      <c r="AI114" s="160"/>
      <c r="AJ114" s="150" t="str">
        <f>IFERROR(INDEX(Lookups!B$68:B$87,MATCH($AH114,Lookups!$A$68:$A$87,0)),"")</f>
        <v/>
      </c>
      <c r="AK114" s="150" t="str">
        <f>IFERROR(INDEX(Lookups!B$42:B$62,MATCH($AH114,Lookups!$A$42:$A$62,0)),"")</f>
        <v/>
      </c>
      <c r="AL114" s="150" t="str">
        <f>IFERROR(INDEX(Lookups!C$42:C$62,MATCH($AH114,Lookups!$A$42:$A$62,0)),"")</f>
        <v/>
      </c>
      <c r="AM114" s="150" t="str">
        <f>IFERROR(IF(M114="Exit Signs",8760,IF(INDEX('Fixture Codes'!$C$8:$C$976,MATCH(AD114,'Fixture Codes'!$B$8:$B$976,0))="Exit Sign",8760,INDEX(Lookups!$I$2:$I$428,MATCH(_xlfn.CONCAT(B114,H114),Lookups!$H$2:$H$428,0)))),"")</f>
        <v/>
      </c>
      <c r="AN114" s="153">
        <v>1</v>
      </c>
      <c r="AO114" s="150" t="str">
        <f>IF($D114="Interior",INDEX(Lookups!Q$2:Q$86,MATCH(_xlfn.CONCAT($C114,$L114),Lookups!$P$2:$P$86,0)),IF($D114="Exterior",1,""))</f>
        <v/>
      </c>
      <c r="AP114" s="150">
        <f t="shared" si="55"/>
        <v>1</v>
      </c>
      <c r="AQ114" s="150" t="str">
        <f>IF($D114="Interior",INDEX(Lookups!R$2:R$86,MATCH(_xlfn.CONCAT($C114,$L114),Lookups!$P$2:$P$86,0)),IF($D114="Exterior",1,""))</f>
        <v/>
      </c>
      <c r="AR114" s="150" t="str">
        <f>IF($D114="Interior",INDEX(Lookups!S$2:S$86,MATCH(_xlfn.CONCAT($C114,$L114),Lookups!$P$2:$P$86,0)),IF($D114="Exterior",1,""))</f>
        <v/>
      </c>
      <c r="AS114" s="150" t="str">
        <f>IF($D114="Interior",INDEX(Lookups!T$2:T$86,MATCH(_xlfn.CONCAT($C114,$L114),Lookups!$P$2:$P$86,0)),IF($D114="Exterior",1,""))</f>
        <v/>
      </c>
      <c r="AT114" s="150" t="str">
        <f>IFERROR(IF(M114="Exit Signs",1,IF(INDEX('Fixture Codes'!$C$8:$C$976,MATCH($AD114,'Fixture Codes'!$B$8:$B$976,0))="Exit Sign",1,INDEX(Lookups!J$2:J$428,MATCH(_xlfn.CONCAT($B114,$H114),Lookups!$H$2:$H$428,0)))),"")</f>
        <v/>
      </c>
      <c r="AU114" s="150" t="str">
        <f>IFERROR(IF(M114="Exit Signs",1,IF(INDEX('Fixture Codes'!$C$8:$C$976,MATCH($AD114,'Fixture Codes'!$B$8:$B$976,0))="Exit Sign",1,INDEX(Lookups!K$2:K$428,MATCH(_xlfn.CONCAT($B114,$H114),Lookups!$H$2:$H$428,0)))),"")</f>
        <v/>
      </c>
      <c r="AV114" s="150" t="str">
        <f>IFERROR(IF(M114="Exit Signs",1,IF(INDEX('Fixture Codes'!$C$8:$C$976,MATCH($AD114,'Fixture Codes'!$B$8:$B$976,0))="Exit Sign",1,INDEX(Lookups!L$2:L$428,MATCH(_xlfn.CONCAT($B114,$H114),Lookups!$H$2:$H$428,0)))),"")</f>
        <v/>
      </c>
      <c r="AW114" s="150" t="str">
        <f>IF(ISBLANK(K114),"",IF(K114="Gas",INDEX(Lookups!$AG$2:$AG$63,MATCH(O114,Lookups!$AD$2:$AD$63,0),0),0))</f>
        <v/>
      </c>
      <c r="AX114" s="150" t="str">
        <f>IF(ISBLANK(K114),"",IF(K114="Gas",INDEX(Lookups!$AF$2:$AF$63,MATCH(O114,Lookups!$AD$2:$AD$63,0),0),0))</f>
        <v/>
      </c>
      <c r="AY114" s="150" t="str">
        <f>IF(ISBLANK(K114),"",IF(K114="Gas",INDEX(Lookups!$AH$2:$AH$63,MATCH(O114,Lookups!$AD$2:$AD$63,0),0),0))</f>
        <v/>
      </c>
      <c r="AZ114" s="150" t="str">
        <f>IF(ISBLANK(K114),"",IF(K114="Gas",INDEX(Lookups!$AI$2:$AI$63,MATCH(O114,Lookups!$AD$2:$AD$63,0),0),0))</f>
        <v/>
      </c>
      <c r="BA114" s="150" t="str">
        <f t="shared" si="40"/>
        <v/>
      </c>
      <c r="BB114" s="156" t="str">
        <f>IF(ISBLANK(AH114),"",IF(AH114="None",0,IF(K114="Gas",INDEX(Lookups!$AF$51:$AF$69,MATCH(AH114,Lookups!$AD$51:$AD$69,0),0),0)))</f>
        <v/>
      </c>
      <c r="BC114" s="156" t="str">
        <f>IF(ISBLANK(AH114),"",IF(AH114="None",0,IF(K114="Gas",INDEX(Lookups!$AH$51:$AH$69,MATCH(AH114,Lookups!$AD$51:$AD$69,0),0),0)))</f>
        <v/>
      </c>
      <c r="BD114" s="156" t="str">
        <f>IF(ISBLANK(AH114),"",IF(AH114="None",0,IF(K114="Gas",INDEX(Lookups!$AI$51:$AI$69,MATCH(AH114,Lookups!$AD$51:$AD$69,0),0),0)))</f>
        <v/>
      </c>
      <c r="BE114" s="157"/>
      <c r="BF114" s="157"/>
      <c r="BG114" s="147" t="str">
        <f t="shared" si="56"/>
        <v/>
      </c>
      <c r="BH114" s="147" t="str">
        <f t="shared" si="57"/>
        <v/>
      </c>
      <c r="BI114" s="147" t="str">
        <f t="shared" si="41"/>
        <v/>
      </c>
      <c r="BJ114" s="147" t="str">
        <f t="shared" si="42"/>
        <v/>
      </c>
      <c r="BK114" s="148" t="str">
        <f t="shared" si="58"/>
        <v/>
      </c>
      <c r="BL114" s="147" t="str">
        <f t="shared" si="43"/>
        <v/>
      </c>
      <c r="BM114" s="148" t="str">
        <f t="shared" si="59"/>
        <v/>
      </c>
      <c r="BN114" s="147" t="str">
        <f t="shared" si="60"/>
        <v/>
      </c>
      <c r="BO114" s="147" t="str">
        <f t="shared" si="60"/>
        <v/>
      </c>
      <c r="BP114" s="147" t="str">
        <f t="shared" si="61"/>
        <v/>
      </c>
      <c r="BQ114" s="148" t="str">
        <f t="shared" si="62"/>
        <v/>
      </c>
      <c r="BR114" s="148" t="str">
        <f t="shared" si="63"/>
        <v/>
      </c>
      <c r="BS114" s="148" t="str">
        <f t="shared" si="64"/>
        <v/>
      </c>
      <c r="BT114" s="148" t="str">
        <f t="shared" si="44"/>
        <v/>
      </c>
      <c r="BU114" s="148" t="str">
        <f t="shared" si="45"/>
        <v/>
      </c>
      <c r="BV114" s="148" t="str">
        <f t="shared" si="46"/>
        <v/>
      </c>
      <c r="BW114" s="148" t="str">
        <f t="shared" si="47"/>
        <v/>
      </c>
      <c r="BX114" s="148" t="str">
        <f t="shared" si="48"/>
        <v/>
      </c>
      <c r="BY114" s="148" t="str">
        <f t="shared" si="49"/>
        <v/>
      </c>
      <c r="BZ114" s="149" t="str">
        <f>IFERROR(INDEX('Prescriptive Rebate Table'!$B$2:$E$64,MATCH(O114,'Prescriptive Rebate Table'!$C$2:$C$64,0),3),"")</f>
        <v/>
      </c>
      <c r="CA114" s="145" t="str">
        <f>IFERROR(INDEX('Prescriptive Rebate Table'!$B$2:$E$64,MATCH(O114,'Prescriptive Rebate Table'!$C$2:$C$64,0),4),"")</f>
        <v/>
      </c>
      <c r="CB114" s="149" t="str">
        <f t="shared" si="65"/>
        <v/>
      </c>
      <c r="CC114" s="145" t="str">
        <f t="shared" si="66"/>
        <v/>
      </c>
      <c r="CD114" s="149" t="str">
        <f t="shared" si="50"/>
        <v/>
      </c>
      <c r="CE114" s="149" t="str">
        <f t="shared" si="51"/>
        <v/>
      </c>
      <c r="CF114" s="149" t="str">
        <f>IF(BK114&lt;=0,0,IFERROR(IF(OR(ISBLANK(AC114),ISBLANK(CD114))=TRUE,"",IF(CA114="Per Foot",INDEX('Fixture Codes'!$I$8:$I$976,MATCH(AD114,'Fixture Codes'!$B$8:$B$976,0))/12*AF114*BZ114,IF(CA114="Lamp",INDEX('Fixture Codes'!$J$8:$J$976,MATCH(AD114,'Fixture Codes'!$B$8:$B$976,0))*AF114*BZ114,IF(CA114="Fixture",AF114*BZ114,IF(CA114="kWh",BK114*BZ114,0))))),""))</f>
        <v/>
      </c>
      <c r="CG114" s="149" t="str">
        <f t="shared" si="67"/>
        <v/>
      </c>
      <c r="CH114" s="149" t="str">
        <f t="shared" si="68"/>
        <v/>
      </c>
      <c r="CI114" s="152"/>
      <c r="CJ114" s="146"/>
      <c r="CK114" s="241">
        <f>IFERROR(IF(CL114="Yes",'Prescriptive Rebate Table'!$D$69,IF(ISBLANK(AI114),0,IF(AND(AH114=Lookups!$A$62,BK114&gt;0),'Prescriptive Rebate Table'!$D$68,IF(AND(BK114&gt;0,CJ114=AF114),'Prescriptive Rebate Table'!$D$67,IF(AND(BK114&gt;0,CJ114&lt;&gt;AF114),'Prescriptive Rebate Table'!D173,0))))),"")</f>
        <v>0</v>
      </c>
      <c r="CL114" s="240" t="s">
        <v>2712</v>
      </c>
      <c r="CM114" s="152"/>
      <c r="CN114" s="152"/>
      <c r="CO114" s="152"/>
      <c r="CP114" s="146">
        <f t="shared" si="52"/>
        <v>0</v>
      </c>
      <c r="CQ114" s="153">
        <f>IF(D114="Interior",ROUND(($AG114*AF114)/1000*$AM114*(Lookups!$B$54-$AA114)*$AN114*$AO114,3),0)</f>
        <v>0</v>
      </c>
      <c r="CR114" s="153">
        <f>IFERROR(IF(D114="Interior",ROUND(($AG114*$AF114)/1000*(Lookups!$C$54-$AB114)*$AN114*AQ114*AT114,6),0),"")</f>
        <v>0</v>
      </c>
      <c r="CS114" s="165">
        <f t="shared" si="69"/>
        <v>0</v>
      </c>
      <c r="CT114" s="165">
        <f t="shared" si="70"/>
        <v>0</v>
      </c>
      <c r="CV114" s="153"/>
      <c r="CW114" s="153"/>
      <c r="CX114" s="165"/>
      <c r="CY114" s="165"/>
      <c r="DA114" s="153">
        <f>IF(D114="Interior",ROUND(($AG114*AF114*(1-0.15))/1000*$AM114*(Lookups!$B$43+0.097-$AA114)*$AN114*$AO114+((W114*V114)/1000*AN114*AM114*AO114*0.15),3),0)</f>
        <v>0</v>
      </c>
      <c r="DB114" s="153">
        <f>IFERROR(IF(D114="Interior",ROUND(($AG114*$AF114)/1000*(Lookups!$C$43+0.097-$AB114)*$AN114*AQ114*AT114+(($AG114*$AF114)/1000*$AN114*AQ114*AT114*0.15),6),0),"")</f>
        <v>0</v>
      </c>
      <c r="DC114" s="165">
        <f t="shared" si="71"/>
        <v>0</v>
      </c>
      <c r="DD114" s="165">
        <f t="shared" si="72"/>
        <v>0</v>
      </c>
    </row>
    <row r="115" spans="1:108" s="164" customFormat="1">
      <c r="A115" s="150">
        <v>111</v>
      </c>
      <c r="B115" s="153" t="str">
        <f>IFERROR(INDEX(Lookups!$B$2:$B$38,MATCH('Project Info &amp; Summary'!$C$19,Lookups!$A$2:$A$38,0)),"")</f>
        <v/>
      </c>
      <c r="C115" s="153" t="str">
        <f>IFERROR(INDEX(Lookups!$C$2:$C$38,MATCH('Project Info &amp; Summary'!$C$19,Lookups!$A$2:$A$38,0)),"")</f>
        <v/>
      </c>
      <c r="D115" s="163"/>
      <c r="E115" s="160"/>
      <c r="F115" s="158"/>
      <c r="G115" s="158"/>
      <c r="H115" s="158"/>
      <c r="I115" s="158"/>
      <c r="J115" s="154" t="str">
        <f>IFERROR(INDEX(Lookups!$W$21:$W$26,MATCH(I115,Lookups!$V$21:$V$26,0)),"")</f>
        <v/>
      </c>
      <c r="K115" s="158"/>
      <c r="L115" s="162" t="str">
        <f>IFERROR(INDEX(Lookups!$Y$2:$Y$19,MATCH(_xlfn.CONCAT(I115,K115),Lookups!$X$2:$X$19,0)),"")</f>
        <v/>
      </c>
      <c r="M115" s="158"/>
      <c r="N115" s="153" t="str">
        <f>IFERROR(INDEX('Prescriptive Rebate Table'!$M$3:$M$20,MATCH(M115,'Prescriptive Rebate Table'!$L$3:$L$20,0)),"")</f>
        <v/>
      </c>
      <c r="O115" s="158"/>
      <c r="P115" s="154" t="str">
        <f>IFERROR(INDEX('Prescriptive Rebate Table'!$B$2:$H$64, MATCH(O115,'Prescriptive Rebate Table'!$C$2:$C$64,0),7),"")</f>
        <v/>
      </c>
      <c r="Q115" s="155" t="str">
        <f>IFERROR(INDEX('Prescriptive Rebate Table'!$B$2:$I$64, MATCH(O115,'Prescriptive Rebate Table'!$C$2:$C$64,0),8),"")</f>
        <v/>
      </c>
      <c r="R115" s="155" t="str">
        <f>IFERROR(INDEX('Prescriptive Rebate Table'!$B$2:$J$64, MATCH(O115,'Prescriptive Rebate Table'!$C$2:$C$64,0),9),"")</f>
        <v/>
      </c>
      <c r="S115" s="160"/>
      <c r="T115" s="145" t="str">
        <f>IFERROR(INDEX('Fixture Codes'!$M$8:$M$976,MATCH(S115,'Fixture Codes'!$B$8:$B$976,0)),"")</f>
        <v/>
      </c>
      <c r="U115" s="145" t="str">
        <f>IFERROR(INDEX('Fixture Codes'!$B$7:$M$976,MATCH(T115,'Fixture Codes'!$B$7:$B$976,0),5),"")</f>
        <v/>
      </c>
      <c r="V115" s="160"/>
      <c r="W115" s="145" t="str">
        <f>IFERROR(INDEX('Fixture Codes'!$L$8:$L$976,MATCH(T115,'Fixture Codes'!$B$8:$B$976,0)),"")</f>
        <v/>
      </c>
      <c r="X115" s="158"/>
      <c r="Y115" s="159"/>
      <c r="Z115" s="155" t="str">
        <f>IFERROR(INDEX(Lookups!B$68:B$87,MATCH($X115,Lookups!$A$68:$A$87,0)),"")</f>
        <v/>
      </c>
      <c r="AA115" s="150" t="str">
        <f>IFERROR(INDEX(Lookups!B$42:B$62,MATCH($X115,Lookups!$A$42:$A$62,0)),"")</f>
        <v/>
      </c>
      <c r="AB115" s="150" t="str">
        <f>IFERROR(INDEX(Lookups!C$42:C$62,MATCH($X115,Lookups!$A$42:$A$62,0)),"")</f>
        <v/>
      </c>
      <c r="AC115" s="160"/>
      <c r="AD115" s="160"/>
      <c r="AE115" s="150" t="str">
        <f>IFERROR(INDEX('Fixture Codes'!$B$7:$M$976,MATCH(AD115,'Fixture Codes'!$B$7:$B$976,0),5),"")</f>
        <v/>
      </c>
      <c r="AF115" s="160"/>
      <c r="AG115" s="145" t="str">
        <f>IFERROR(INDEX('Fixture Codes'!$L$8:$L$976,MATCH(AD115,'Fixture Codes'!$B$8:$B$976,0)),"")</f>
        <v/>
      </c>
      <c r="AH115" s="158"/>
      <c r="AI115" s="160"/>
      <c r="AJ115" s="150" t="str">
        <f>IFERROR(INDEX(Lookups!B$68:B$87,MATCH($AH115,Lookups!$A$68:$A$87,0)),"")</f>
        <v/>
      </c>
      <c r="AK115" s="150" t="str">
        <f>IFERROR(INDEX(Lookups!B$42:B$62,MATCH($AH115,Lookups!$A$42:$A$62,0)),"")</f>
        <v/>
      </c>
      <c r="AL115" s="150" t="str">
        <f>IFERROR(INDEX(Lookups!C$42:C$62,MATCH($AH115,Lookups!$A$42:$A$62,0)),"")</f>
        <v/>
      </c>
      <c r="AM115" s="150" t="str">
        <f>IFERROR(IF(M115="Exit Signs",8760,IF(INDEX('Fixture Codes'!$C$8:$C$976,MATCH(AD115,'Fixture Codes'!$B$8:$B$976,0))="Exit Sign",8760,INDEX(Lookups!$I$2:$I$428,MATCH(_xlfn.CONCAT(B115,H115),Lookups!$H$2:$H$428,0)))),"")</f>
        <v/>
      </c>
      <c r="AN115" s="153">
        <v>1</v>
      </c>
      <c r="AO115" s="150" t="str">
        <f>IF($D115="Interior",INDEX(Lookups!Q$2:Q$86,MATCH(_xlfn.CONCAT($C115,$L115),Lookups!$P$2:$P$86,0)),IF($D115="Exterior",1,""))</f>
        <v/>
      </c>
      <c r="AP115" s="150">
        <f t="shared" si="55"/>
        <v>1</v>
      </c>
      <c r="AQ115" s="150" t="str">
        <f>IF($D115="Interior",INDEX(Lookups!R$2:R$86,MATCH(_xlfn.CONCAT($C115,$L115),Lookups!$P$2:$P$86,0)),IF($D115="Exterior",1,""))</f>
        <v/>
      </c>
      <c r="AR115" s="150" t="str">
        <f>IF($D115="Interior",INDEX(Lookups!S$2:S$86,MATCH(_xlfn.CONCAT($C115,$L115),Lookups!$P$2:$P$86,0)),IF($D115="Exterior",1,""))</f>
        <v/>
      </c>
      <c r="AS115" s="150" t="str">
        <f>IF($D115="Interior",INDEX(Lookups!T$2:T$86,MATCH(_xlfn.CONCAT($C115,$L115),Lookups!$P$2:$P$86,0)),IF($D115="Exterior",1,""))</f>
        <v/>
      </c>
      <c r="AT115" s="150" t="str">
        <f>IFERROR(IF(M115="Exit Signs",1,IF(INDEX('Fixture Codes'!$C$8:$C$976,MATCH($AD115,'Fixture Codes'!$B$8:$B$976,0))="Exit Sign",1,INDEX(Lookups!J$2:J$428,MATCH(_xlfn.CONCAT($B115,$H115),Lookups!$H$2:$H$428,0)))),"")</f>
        <v/>
      </c>
      <c r="AU115" s="150" t="str">
        <f>IFERROR(IF(M115="Exit Signs",1,IF(INDEX('Fixture Codes'!$C$8:$C$976,MATCH($AD115,'Fixture Codes'!$B$8:$B$976,0))="Exit Sign",1,INDEX(Lookups!K$2:K$428,MATCH(_xlfn.CONCAT($B115,$H115),Lookups!$H$2:$H$428,0)))),"")</f>
        <v/>
      </c>
      <c r="AV115" s="150" t="str">
        <f>IFERROR(IF(M115="Exit Signs",1,IF(INDEX('Fixture Codes'!$C$8:$C$976,MATCH($AD115,'Fixture Codes'!$B$8:$B$976,0))="Exit Sign",1,INDEX(Lookups!L$2:L$428,MATCH(_xlfn.CONCAT($B115,$H115),Lookups!$H$2:$H$428,0)))),"")</f>
        <v/>
      </c>
      <c r="AW115" s="150" t="str">
        <f>IF(ISBLANK(K115),"",IF(K115="Gas",INDEX(Lookups!$AG$2:$AG$63,MATCH(O115,Lookups!$AD$2:$AD$63,0),0),0))</f>
        <v/>
      </c>
      <c r="AX115" s="150" t="str">
        <f>IF(ISBLANK(K115),"",IF(K115="Gas",INDEX(Lookups!$AF$2:$AF$63,MATCH(O115,Lookups!$AD$2:$AD$63,0),0),0))</f>
        <v/>
      </c>
      <c r="AY115" s="150" t="str">
        <f>IF(ISBLANK(K115),"",IF(K115="Gas",INDEX(Lookups!$AH$2:$AH$63,MATCH(O115,Lookups!$AD$2:$AD$63,0),0),0))</f>
        <v/>
      </c>
      <c r="AZ115" s="150" t="str">
        <f>IF(ISBLANK(K115),"",IF(K115="Gas",INDEX(Lookups!$AI$2:$AI$63,MATCH(O115,Lookups!$AD$2:$AD$63,0),0),0))</f>
        <v/>
      </c>
      <c r="BA115" s="150" t="str">
        <f t="shared" si="40"/>
        <v/>
      </c>
      <c r="BB115" s="156" t="str">
        <f>IF(ISBLANK(AH115),"",IF(AH115="None",0,IF(K115="Gas",INDEX(Lookups!$AF$51:$AF$69,MATCH(AH115,Lookups!$AD$51:$AD$69,0),0),0)))</f>
        <v/>
      </c>
      <c r="BC115" s="156" t="str">
        <f>IF(ISBLANK(AH115),"",IF(AH115="None",0,IF(K115="Gas",INDEX(Lookups!$AH$51:$AH$69,MATCH(AH115,Lookups!$AD$51:$AD$69,0),0),0)))</f>
        <v/>
      </c>
      <c r="BD115" s="156" t="str">
        <f>IF(ISBLANK(AH115),"",IF(AH115="None",0,IF(K115="Gas",INDEX(Lookups!$AI$51:$AI$69,MATCH(AH115,Lookups!$AD$51:$AD$69,0),0),0)))</f>
        <v/>
      </c>
      <c r="BE115" s="157"/>
      <c r="BF115" s="157"/>
      <c r="BG115" s="147" t="str">
        <f t="shared" si="56"/>
        <v/>
      </c>
      <c r="BH115" s="147" t="str">
        <f t="shared" si="57"/>
        <v/>
      </c>
      <c r="BI115" s="147" t="str">
        <f t="shared" si="41"/>
        <v/>
      </c>
      <c r="BJ115" s="147" t="str">
        <f t="shared" si="42"/>
        <v/>
      </c>
      <c r="BK115" s="148" t="str">
        <f t="shared" si="58"/>
        <v/>
      </c>
      <c r="BL115" s="147" t="str">
        <f t="shared" si="43"/>
        <v/>
      </c>
      <c r="BM115" s="148" t="str">
        <f t="shared" si="59"/>
        <v/>
      </c>
      <c r="BN115" s="147" t="str">
        <f t="shared" si="60"/>
        <v/>
      </c>
      <c r="BO115" s="147" t="str">
        <f t="shared" si="60"/>
        <v/>
      </c>
      <c r="BP115" s="147" t="str">
        <f t="shared" si="61"/>
        <v/>
      </c>
      <c r="BQ115" s="148" t="str">
        <f t="shared" si="62"/>
        <v/>
      </c>
      <c r="BR115" s="148" t="str">
        <f t="shared" si="63"/>
        <v/>
      </c>
      <c r="BS115" s="148" t="str">
        <f t="shared" si="64"/>
        <v/>
      </c>
      <c r="BT115" s="148" t="str">
        <f t="shared" si="44"/>
        <v/>
      </c>
      <c r="BU115" s="148" t="str">
        <f t="shared" si="45"/>
        <v/>
      </c>
      <c r="BV115" s="148" t="str">
        <f t="shared" si="46"/>
        <v/>
      </c>
      <c r="BW115" s="148" t="str">
        <f t="shared" si="47"/>
        <v/>
      </c>
      <c r="BX115" s="148" t="str">
        <f t="shared" si="48"/>
        <v/>
      </c>
      <c r="BY115" s="148" t="str">
        <f t="shared" si="49"/>
        <v/>
      </c>
      <c r="BZ115" s="149" t="str">
        <f>IFERROR(INDEX('Prescriptive Rebate Table'!$B$2:$E$64,MATCH(O115,'Prescriptive Rebate Table'!$C$2:$C$64,0),3),"")</f>
        <v/>
      </c>
      <c r="CA115" s="145" t="str">
        <f>IFERROR(INDEX('Prescriptive Rebate Table'!$B$2:$E$64,MATCH(O115,'Prescriptive Rebate Table'!$C$2:$C$64,0),4),"")</f>
        <v/>
      </c>
      <c r="CB115" s="149" t="str">
        <f t="shared" si="65"/>
        <v/>
      </c>
      <c r="CC115" s="145" t="str">
        <f t="shared" si="66"/>
        <v/>
      </c>
      <c r="CD115" s="149" t="str">
        <f t="shared" si="50"/>
        <v/>
      </c>
      <c r="CE115" s="149" t="str">
        <f t="shared" si="51"/>
        <v/>
      </c>
      <c r="CF115" s="149" t="str">
        <f>IF(BK115&lt;=0,0,IFERROR(IF(OR(ISBLANK(AC115),ISBLANK(CD115))=TRUE,"",IF(CA115="Per Foot",INDEX('Fixture Codes'!$I$8:$I$976,MATCH(AD115,'Fixture Codes'!$B$8:$B$976,0))/12*AF115*BZ115,IF(CA115="Lamp",INDEX('Fixture Codes'!$J$8:$J$976,MATCH(AD115,'Fixture Codes'!$B$8:$B$976,0))*AF115*BZ115,IF(CA115="Fixture",AF115*BZ115,IF(CA115="kWh",BK115*BZ115,0))))),""))</f>
        <v/>
      </c>
      <c r="CG115" s="149" t="str">
        <f t="shared" si="67"/>
        <v/>
      </c>
      <c r="CH115" s="149" t="str">
        <f t="shared" si="68"/>
        <v/>
      </c>
      <c r="CI115" s="152"/>
      <c r="CJ115" s="146"/>
      <c r="CK115" s="241">
        <f>IFERROR(IF(CL115="Yes",'Prescriptive Rebate Table'!$D$69,IF(ISBLANK(AI115),0,IF(AND(AH115=Lookups!$A$62,BK115&gt;0),'Prescriptive Rebate Table'!$D$68,IF(AND(BK115&gt;0,CJ115=AF115),'Prescriptive Rebate Table'!$D$67,IF(AND(BK115&gt;0,CJ115&lt;&gt;AF115),'Prescriptive Rebate Table'!D174,0))))),"")</f>
        <v>0</v>
      </c>
      <c r="CL115" s="240" t="s">
        <v>2712</v>
      </c>
      <c r="CM115" s="152"/>
      <c r="CN115" s="152"/>
      <c r="CO115" s="152"/>
      <c r="CP115" s="146">
        <f t="shared" si="52"/>
        <v>0</v>
      </c>
      <c r="CQ115" s="153">
        <f>IF(D115="Interior",ROUND(($AG115*AF115)/1000*$AM115*(Lookups!$B$54-$AA115)*$AN115*$AO115,3),0)</f>
        <v>0</v>
      </c>
      <c r="CR115" s="153">
        <f>IFERROR(IF(D115="Interior",ROUND(($AG115*$AF115)/1000*(Lookups!$C$54-$AB115)*$AN115*AQ115*AT115,6),0),"")</f>
        <v>0</v>
      </c>
      <c r="CS115" s="165">
        <f t="shared" si="69"/>
        <v>0</v>
      </c>
      <c r="CT115" s="165">
        <f t="shared" si="70"/>
        <v>0</v>
      </c>
      <c r="CV115" s="153"/>
      <c r="CW115" s="153"/>
      <c r="CX115" s="165"/>
      <c r="CY115" s="165"/>
      <c r="DA115" s="153">
        <f>IF(D115="Interior",ROUND(($AG115*AF115*(1-0.15))/1000*$AM115*(Lookups!$B$43+0.097-$AA115)*$AN115*$AO115+((W115*V115)/1000*AN115*AM115*AO115*0.15),3),0)</f>
        <v>0</v>
      </c>
      <c r="DB115" s="153">
        <f>IFERROR(IF(D115="Interior",ROUND(($AG115*$AF115)/1000*(Lookups!$C$43+0.097-$AB115)*$AN115*AQ115*AT115+(($AG115*$AF115)/1000*$AN115*AQ115*AT115*0.15),6),0),"")</f>
        <v>0</v>
      </c>
      <c r="DC115" s="165">
        <f t="shared" si="71"/>
        <v>0</v>
      </c>
      <c r="DD115" s="165">
        <f t="shared" si="72"/>
        <v>0</v>
      </c>
    </row>
    <row r="116" spans="1:108" s="164" customFormat="1">
      <c r="A116" s="150">
        <v>112</v>
      </c>
      <c r="B116" s="153" t="str">
        <f>IFERROR(INDEX(Lookups!$B$2:$B$38,MATCH('Project Info &amp; Summary'!$C$19,Lookups!$A$2:$A$38,0)),"")</f>
        <v/>
      </c>
      <c r="C116" s="153" t="str">
        <f>IFERROR(INDEX(Lookups!$C$2:$C$38,MATCH('Project Info &amp; Summary'!$C$19,Lookups!$A$2:$A$38,0)),"")</f>
        <v/>
      </c>
      <c r="D116" s="163"/>
      <c r="E116" s="160"/>
      <c r="F116" s="158"/>
      <c r="G116" s="158"/>
      <c r="H116" s="158"/>
      <c r="I116" s="158"/>
      <c r="J116" s="154" t="str">
        <f>IFERROR(INDEX(Lookups!$W$21:$W$26,MATCH(I116,Lookups!$V$21:$V$26,0)),"")</f>
        <v/>
      </c>
      <c r="K116" s="158"/>
      <c r="L116" s="162" t="str">
        <f>IFERROR(INDEX(Lookups!$Y$2:$Y$19,MATCH(_xlfn.CONCAT(I116,K116),Lookups!$X$2:$X$19,0)),"")</f>
        <v/>
      </c>
      <c r="M116" s="158"/>
      <c r="N116" s="153" t="str">
        <f>IFERROR(INDEX('Prescriptive Rebate Table'!$M$3:$M$20,MATCH(M116,'Prescriptive Rebate Table'!$L$3:$L$20,0)),"")</f>
        <v/>
      </c>
      <c r="O116" s="158"/>
      <c r="P116" s="154" t="str">
        <f>IFERROR(INDEX('Prescriptive Rebate Table'!$B$2:$H$64, MATCH(O116,'Prescriptive Rebate Table'!$C$2:$C$64,0),7),"")</f>
        <v/>
      </c>
      <c r="Q116" s="155" t="str">
        <f>IFERROR(INDEX('Prescriptive Rebate Table'!$B$2:$I$64, MATCH(O116,'Prescriptive Rebate Table'!$C$2:$C$64,0),8),"")</f>
        <v/>
      </c>
      <c r="R116" s="155" t="str">
        <f>IFERROR(INDEX('Prescriptive Rebate Table'!$B$2:$J$64, MATCH(O116,'Prescriptive Rebate Table'!$C$2:$C$64,0),9),"")</f>
        <v/>
      </c>
      <c r="S116" s="160"/>
      <c r="T116" s="145" t="str">
        <f>IFERROR(INDEX('Fixture Codes'!$M$8:$M$976,MATCH(S116,'Fixture Codes'!$B$8:$B$976,0)),"")</f>
        <v/>
      </c>
      <c r="U116" s="145" t="str">
        <f>IFERROR(INDEX('Fixture Codes'!$B$7:$M$976,MATCH(T116,'Fixture Codes'!$B$7:$B$976,0),5),"")</f>
        <v/>
      </c>
      <c r="V116" s="160"/>
      <c r="W116" s="145" t="str">
        <f>IFERROR(INDEX('Fixture Codes'!$L$8:$L$976,MATCH(T116,'Fixture Codes'!$B$8:$B$976,0)),"")</f>
        <v/>
      </c>
      <c r="X116" s="158"/>
      <c r="Y116" s="159"/>
      <c r="Z116" s="155" t="str">
        <f>IFERROR(INDEX(Lookups!B$68:B$87,MATCH($X116,Lookups!$A$68:$A$87,0)),"")</f>
        <v/>
      </c>
      <c r="AA116" s="150" t="str">
        <f>IFERROR(INDEX(Lookups!B$42:B$62,MATCH($X116,Lookups!$A$42:$A$62,0)),"")</f>
        <v/>
      </c>
      <c r="AB116" s="150" t="str">
        <f>IFERROR(INDEX(Lookups!C$42:C$62,MATCH($X116,Lookups!$A$42:$A$62,0)),"")</f>
        <v/>
      </c>
      <c r="AC116" s="160"/>
      <c r="AD116" s="160"/>
      <c r="AE116" s="150" t="str">
        <f>IFERROR(INDEX('Fixture Codes'!$B$7:$M$976,MATCH(AD116,'Fixture Codes'!$B$7:$B$976,0),5),"")</f>
        <v/>
      </c>
      <c r="AF116" s="160"/>
      <c r="AG116" s="145" t="str">
        <f>IFERROR(INDEX('Fixture Codes'!$L$8:$L$976,MATCH(AD116,'Fixture Codes'!$B$8:$B$976,0)),"")</f>
        <v/>
      </c>
      <c r="AH116" s="158"/>
      <c r="AI116" s="160"/>
      <c r="AJ116" s="150" t="str">
        <f>IFERROR(INDEX(Lookups!B$68:B$87,MATCH($AH116,Lookups!$A$68:$A$87,0)),"")</f>
        <v/>
      </c>
      <c r="AK116" s="150" t="str">
        <f>IFERROR(INDEX(Lookups!B$42:B$62,MATCH($AH116,Lookups!$A$42:$A$62,0)),"")</f>
        <v/>
      </c>
      <c r="AL116" s="150" t="str">
        <f>IFERROR(INDEX(Lookups!C$42:C$62,MATCH($AH116,Lookups!$A$42:$A$62,0)),"")</f>
        <v/>
      </c>
      <c r="AM116" s="150" t="str">
        <f>IFERROR(IF(M116="Exit Signs",8760,IF(INDEX('Fixture Codes'!$C$8:$C$976,MATCH(AD116,'Fixture Codes'!$B$8:$B$976,0))="Exit Sign",8760,INDEX(Lookups!$I$2:$I$428,MATCH(_xlfn.CONCAT(B116,H116),Lookups!$H$2:$H$428,0)))),"")</f>
        <v/>
      </c>
      <c r="AN116" s="153">
        <v>1</v>
      </c>
      <c r="AO116" s="150" t="str">
        <f>IF($D116="Interior",INDEX(Lookups!Q$2:Q$86,MATCH(_xlfn.CONCAT($C116,$L116),Lookups!$P$2:$P$86,0)),IF($D116="Exterior",1,""))</f>
        <v/>
      </c>
      <c r="AP116" s="150">
        <f t="shared" si="55"/>
        <v>1</v>
      </c>
      <c r="AQ116" s="150" t="str">
        <f>IF($D116="Interior",INDEX(Lookups!R$2:R$86,MATCH(_xlfn.CONCAT($C116,$L116),Lookups!$P$2:$P$86,0)),IF($D116="Exterior",1,""))</f>
        <v/>
      </c>
      <c r="AR116" s="150" t="str">
        <f>IF($D116="Interior",INDEX(Lookups!S$2:S$86,MATCH(_xlfn.CONCAT($C116,$L116),Lookups!$P$2:$P$86,0)),IF($D116="Exterior",1,""))</f>
        <v/>
      </c>
      <c r="AS116" s="150" t="str">
        <f>IF($D116="Interior",INDEX(Lookups!T$2:T$86,MATCH(_xlfn.CONCAT($C116,$L116),Lookups!$P$2:$P$86,0)),IF($D116="Exterior",1,""))</f>
        <v/>
      </c>
      <c r="AT116" s="150" t="str">
        <f>IFERROR(IF(M116="Exit Signs",1,IF(INDEX('Fixture Codes'!$C$8:$C$976,MATCH($AD116,'Fixture Codes'!$B$8:$B$976,0))="Exit Sign",1,INDEX(Lookups!J$2:J$428,MATCH(_xlfn.CONCAT($B116,$H116),Lookups!$H$2:$H$428,0)))),"")</f>
        <v/>
      </c>
      <c r="AU116" s="150" t="str">
        <f>IFERROR(IF(M116="Exit Signs",1,IF(INDEX('Fixture Codes'!$C$8:$C$976,MATCH($AD116,'Fixture Codes'!$B$8:$B$976,0))="Exit Sign",1,INDEX(Lookups!K$2:K$428,MATCH(_xlfn.CONCAT($B116,$H116),Lookups!$H$2:$H$428,0)))),"")</f>
        <v/>
      </c>
      <c r="AV116" s="150" t="str">
        <f>IFERROR(IF(M116="Exit Signs",1,IF(INDEX('Fixture Codes'!$C$8:$C$976,MATCH($AD116,'Fixture Codes'!$B$8:$B$976,0))="Exit Sign",1,INDEX(Lookups!L$2:L$428,MATCH(_xlfn.CONCAT($B116,$H116),Lookups!$H$2:$H$428,0)))),"")</f>
        <v/>
      </c>
      <c r="AW116" s="150" t="str">
        <f>IF(ISBLANK(K116),"",IF(K116="Gas",INDEX(Lookups!$AG$2:$AG$63,MATCH(O116,Lookups!$AD$2:$AD$63,0),0),0))</f>
        <v/>
      </c>
      <c r="AX116" s="150" t="str">
        <f>IF(ISBLANK(K116),"",IF(K116="Gas",INDEX(Lookups!$AF$2:$AF$63,MATCH(O116,Lookups!$AD$2:$AD$63,0),0),0))</f>
        <v/>
      </c>
      <c r="AY116" s="150" t="str">
        <f>IF(ISBLANK(K116),"",IF(K116="Gas",INDEX(Lookups!$AH$2:$AH$63,MATCH(O116,Lookups!$AD$2:$AD$63,0),0),0))</f>
        <v/>
      </c>
      <c r="AZ116" s="150" t="str">
        <f>IF(ISBLANK(K116),"",IF(K116="Gas",INDEX(Lookups!$AI$2:$AI$63,MATCH(O116,Lookups!$AD$2:$AD$63,0),0),0))</f>
        <v/>
      </c>
      <c r="BA116" s="150" t="str">
        <f t="shared" si="40"/>
        <v/>
      </c>
      <c r="BB116" s="156" t="str">
        <f>IF(ISBLANK(AH116),"",IF(AH116="None",0,IF(K116="Gas",INDEX(Lookups!$AF$51:$AF$69,MATCH(AH116,Lookups!$AD$51:$AD$69,0),0),0)))</f>
        <v/>
      </c>
      <c r="BC116" s="156" t="str">
        <f>IF(ISBLANK(AH116),"",IF(AH116="None",0,IF(K116="Gas",INDEX(Lookups!$AH$51:$AH$69,MATCH(AH116,Lookups!$AD$51:$AD$69,0),0),0)))</f>
        <v/>
      </c>
      <c r="BD116" s="156" t="str">
        <f>IF(ISBLANK(AH116),"",IF(AH116="None",0,IF(K116="Gas",INDEX(Lookups!$AI$51:$AI$69,MATCH(AH116,Lookups!$AD$51:$AD$69,0),0),0)))</f>
        <v/>
      </c>
      <c r="BE116" s="157"/>
      <c r="BF116" s="157"/>
      <c r="BG116" s="147" t="str">
        <f t="shared" si="56"/>
        <v/>
      </c>
      <c r="BH116" s="147" t="str">
        <f t="shared" si="57"/>
        <v/>
      </c>
      <c r="BI116" s="147" t="str">
        <f t="shared" si="41"/>
        <v/>
      </c>
      <c r="BJ116" s="147" t="str">
        <f t="shared" si="42"/>
        <v/>
      </c>
      <c r="BK116" s="148" t="str">
        <f t="shared" si="58"/>
        <v/>
      </c>
      <c r="BL116" s="147" t="str">
        <f t="shared" si="43"/>
        <v/>
      </c>
      <c r="BM116" s="148" t="str">
        <f t="shared" si="59"/>
        <v/>
      </c>
      <c r="BN116" s="147" t="str">
        <f t="shared" si="60"/>
        <v/>
      </c>
      <c r="BO116" s="147" t="str">
        <f t="shared" si="60"/>
        <v/>
      </c>
      <c r="BP116" s="147" t="str">
        <f t="shared" si="61"/>
        <v/>
      </c>
      <c r="BQ116" s="148" t="str">
        <f t="shared" si="62"/>
        <v/>
      </c>
      <c r="BR116" s="148" t="str">
        <f t="shared" si="63"/>
        <v/>
      </c>
      <c r="BS116" s="148" t="str">
        <f t="shared" si="64"/>
        <v/>
      </c>
      <c r="BT116" s="148" t="str">
        <f t="shared" si="44"/>
        <v/>
      </c>
      <c r="BU116" s="148" t="str">
        <f t="shared" si="45"/>
        <v/>
      </c>
      <c r="BV116" s="148" t="str">
        <f t="shared" si="46"/>
        <v/>
      </c>
      <c r="BW116" s="148" t="str">
        <f t="shared" si="47"/>
        <v/>
      </c>
      <c r="BX116" s="148" t="str">
        <f t="shared" si="48"/>
        <v/>
      </c>
      <c r="BY116" s="148" t="str">
        <f t="shared" si="49"/>
        <v/>
      </c>
      <c r="BZ116" s="149" t="str">
        <f>IFERROR(INDEX('Prescriptive Rebate Table'!$B$2:$E$64,MATCH(O116,'Prescriptive Rebate Table'!$C$2:$C$64,0),3),"")</f>
        <v/>
      </c>
      <c r="CA116" s="145" t="str">
        <f>IFERROR(INDEX('Prescriptive Rebate Table'!$B$2:$E$64,MATCH(O116,'Prescriptive Rebate Table'!$C$2:$C$64,0),4),"")</f>
        <v/>
      </c>
      <c r="CB116" s="149" t="str">
        <f t="shared" si="65"/>
        <v/>
      </c>
      <c r="CC116" s="145" t="str">
        <f t="shared" si="66"/>
        <v/>
      </c>
      <c r="CD116" s="149" t="str">
        <f t="shared" si="50"/>
        <v/>
      </c>
      <c r="CE116" s="149" t="str">
        <f t="shared" si="51"/>
        <v/>
      </c>
      <c r="CF116" s="149" t="str">
        <f>IF(BK116&lt;=0,0,IFERROR(IF(OR(ISBLANK(AC116),ISBLANK(CD116))=TRUE,"",IF(CA116="Per Foot",INDEX('Fixture Codes'!$I$8:$I$976,MATCH(AD116,'Fixture Codes'!$B$8:$B$976,0))/12*AF116*BZ116,IF(CA116="Lamp",INDEX('Fixture Codes'!$J$8:$J$976,MATCH(AD116,'Fixture Codes'!$B$8:$B$976,0))*AF116*BZ116,IF(CA116="Fixture",AF116*BZ116,IF(CA116="kWh",BK116*BZ116,0))))),""))</f>
        <v/>
      </c>
      <c r="CG116" s="149" t="str">
        <f t="shared" si="67"/>
        <v/>
      </c>
      <c r="CH116" s="149" t="str">
        <f t="shared" si="68"/>
        <v/>
      </c>
      <c r="CI116" s="152"/>
      <c r="CJ116" s="146"/>
      <c r="CK116" s="241">
        <f>IFERROR(IF(CL116="Yes",'Prescriptive Rebate Table'!$D$69,IF(ISBLANK(AI116),0,IF(AND(AH116=Lookups!$A$62,BK116&gt;0),'Prescriptive Rebate Table'!$D$68,IF(AND(BK116&gt;0,CJ116=AF116),'Prescriptive Rebate Table'!$D$67,IF(AND(BK116&gt;0,CJ116&lt;&gt;AF116),'Prescriptive Rebate Table'!D175,0))))),"")</f>
        <v>0</v>
      </c>
      <c r="CL116" s="240" t="s">
        <v>2712</v>
      </c>
      <c r="CM116" s="152"/>
      <c r="CN116" s="152"/>
      <c r="CO116" s="152"/>
      <c r="CP116" s="146">
        <f t="shared" si="52"/>
        <v>0</v>
      </c>
      <c r="CQ116" s="153">
        <f>IF(D116="Interior",ROUND(($AG116*AF116)/1000*$AM116*(Lookups!$B$54-$AA116)*$AN116*$AO116,3),0)</f>
        <v>0</v>
      </c>
      <c r="CR116" s="153">
        <f>IFERROR(IF(D116="Interior",ROUND(($AG116*$AF116)/1000*(Lookups!$C$54-$AB116)*$AN116*AQ116*AT116,6),0),"")</f>
        <v>0</v>
      </c>
      <c r="CS116" s="165">
        <f t="shared" si="69"/>
        <v>0</v>
      </c>
      <c r="CT116" s="165">
        <f t="shared" si="70"/>
        <v>0</v>
      </c>
      <c r="CV116" s="153"/>
      <c r="CW116" s="153"/>
      <c r="CX116" s="165"/>
      <c r="CY116" s="165"/>
      <c r="DA116" s="153">
        <f>IF(D116="Interior",ROUND(($AG116*AF116*(1-0.15))/1000*$AM116*(Lookups!$B$43+0.097-$AA116)*$AN116*$AO116+((W116*V116)/1000*AN116*AM116*AO116*0.15),3),0)</f>
        <v>0</v>
      </c>
      <c r="DB116" s="153">
        <f>IFERROR(IF(D116="Interior",ROUND(($AG116*$AF116)/1000*(Lookups!$C$43+0.097-$AB116)*$AN116*AQ116*AT116+(($AG116*$AF116)/1000*$AN116*AQ116*AT116*0.15),6),0),"")</f>
        <v>0</v>
      </c>
      <c r="DC116" s="165">
        <f t="shared" si="71"/>
        <v>0</v>
      </c>
      <c r="DD116" s="165">
        <f t="shared" si="72"/>
        <v>0</v>
      </c>
    </row>
    <row r="117" spans="1:108" s="164" customFormat="1">
      <c r="A117" s="150">
        <v>113</v>
      </c>
      <c r="B117" s="153" t="str">
        <f>IFERROR(INDEX(Lookups!$B$2:$B$38,MATCH('Project Info &amp; Summary'!$C$19,Lookups!$A$2:$A$38,0)),"")</f>
        <v/>
      </c>
      <c r="C117" s="153" t="str">
        <f>IFERROR(INDEX(Lookups!$C$2:$C$38,MATCH('Project Info &amp; Summary'!$C$19,Lookups!$A$2:$A$38,0)),"")</f>
        <v/>
      </c>
      <c r="D117" s="163"/>
      <c r="E117" s="160"/>
      <c r="F117" s="158"/>
      <c r="G117" s="158"/>
      <c r="H117" s="158"/>
      <c r="I117" s="158"/>
      <c r="J117" s="154" t="str">
        <f>IFERROR(INDEX(Lookups!$W$21:$W$26,MATCH(I117,Lookups!$V$21:$V$26,0)),"")</f>
        <v/>
      </c>
      <c r="K117" s="158"/>
      <c r="L117" s="162" t="str">
        <f>IFERROR(INDEX(Lookups!$Y$2:$Y$19,MATCH(_xlfn.CONCAT(I117,K117),Lookups!$X$2:$X$19,0)),"")</f>
        <v/>
      </c>
      <c r="M117" s="158"/>
      <c r="N117" s="153" t="str">
        <f>IFERROR(INDEX('Prescriptive Rebate Table'!$M$3:$M$20,MATCH(M117,'Prescriptive Rebate Table'!$L$3:$L$20,0)),"")</f>
        <v/>
      </c>
      <c r="O117" s="158"/>
      <c r="P117" s="154" t="str">
        <f>IFERROR(INDEX('Prescriptive Rebate Table'!$B$2:$H$64, MATCH(O117,'Prescriptive Rebate Table'!$C$2:$C$64,0),7),"")</f>
        <v/>
      </c>
      <c r="Q117" s="155" t="str">
        <f>IFERROR(INDEX('Prescriptive Rebate Table'!$B$2:$I$64, MATCH(O117,'Prescriptive Rebate Table'!$C$2:$C$64,0),8),"")</f>
        <v/>
      </c>
      <c r="R117" s="155" t="str">
        <f>IFERROR(INDEX('Prescriptive Rebate Table'!$B$2:$J$64, MATCH(O117,'Prescriptive Rebate Table'!$C$2:$C$64,0),9),"")</f>
        <v/>
      </c>
      <c r="S117" s="160"/>
      <c r="T117" s="145" t="str">
        <f>IFERROR(INDEX('Fixture Codes'!$M$8:$M$976,MATCH(S117,'Fixture Codes'!$B$8:$B$976,0)),"")</f>
        <v/>
      </c>
      <c r="U117" s="145" t="str">
        <f>IFERROR(INDEX('Fixture Codes'!$B$7:$M$976,MATCH(T117,'Fixture Codes'!$B$7:$B$976,0),5),"")</f>
        <v/>
      </c>
      <c r="V117" s="160"/>
      <c r="W117" s="145" t="str">
        <f>IFERROR(INDEX('Fixture Codes'!$L$8:$L$976,MATCH(T117,'Fixture Codes'!$B$8:$B$976,0)),"")</f>
        <v/>
      </c>
      <c r="X117" s="158"/>
      <c r="Y117" s="159"/>
      <c r="Z117" s="155" t="str">
        <f>IFERROR(INDEX(Lookups!B$68:B$87,MATCH($X117,Lookups!$A$68:$A$87,0)),"")</f>
        <v/>
      </c>
      <c r="AA117" s="150" t="str">
        <f>IFERROR(INDEX(Lookups!B$42:B$62,MATCH($X117,Lookups!$A$42:$A$62,0)),"")</f>
        <v/>
      </c>
      <c r="AB117" s="150" t="str">
        <f>IFERROR(INDEX(Lookups!C$42:C$62,MATCH($X117,Lookups!$A$42:$A$62,0)),"")</f>
        <v/>
      </c>
      <c r="AC117" s="160"/>
      <c r="AD117" s="160"/>
      <c r="AE117" s="150" t="str">
        <f>IFERROR(INDEX('Fixture Codes'!$B$7:$M$976,MATCH(AD117,'Fixture Codes'!$B$7:$B$976,0),5),"")</f>
        <v/>
      </c>
      <c r="AF117" s="160"/>
      <c r="AG117" s="145" t="str">
        <f>IFERROR(INDEX('Fixture Codes'!$L$8:$L$976,MATCH(AD117,'Fixture Codes'!$B$8:$B$976,0)),"")</f>
        <v/>
      </c>
      <c r="AH117" s="158"/>
      <c r="AI117" s="160"/>
      <c r="AJ117" s="150" t="str">
        <f>IFERROR(INDEX(Lookups!B$68:B$87,MATCH($AH117,Lookups!$A$68:$A$87,0)),"")</f>
        <v/>
      </c>
      <c r="AK117" s="150" t="str">
        <f>IFERROR(INDEX(Lookups!B$42:B$62,MATCH($AH117,Lookups!$A$42:$A$62,0)),"")</f>
        <v/>
      </c>
      <c r="AL117" s="150" t="str">
        <f>IFERROR(INDEX(Lookups!C$42:C$62,MATCH($AH117,Lookups!$A$42:$A$62,0)),"")</f>
        <v/>
      </c>
      <c r="AM117" s="150" t="str">
        <f>IFERROR(IF(M117="Exit Signs",8760,IF(INDEX('Fixture Codes'!$C$8:$C$976,MATCH(AD117,'Fixture Codes'!$B$8:$B$976,0))="Exit Sign",8760,INDEX(Lookups!$I$2:$I$428,MATCH(_xlfn.CONCAT(B117,H117),Lookups!$H$2:$H$428,0)))),"")</f>
        <v/>
      </c>
      <c r="AN117" s="153">
        <v>1</v>
      </c>
      <c r="AO117" s="150" t="str">
        <f>IF($D117="Interior",INDEX(Lookups!Q$2:Q$86,MATCH(_xlfn.CONCAT($C117,$L117),Lookups!$P$2:$P$86,0)),IF($D117="Exterior",1,""))</f>
        <v/>
      </c>
      <c r="AP117" s="150">
        <f t="shared" si="55"/>
        <v>1</v>
      </c>
      <c r="AQ117" s="150" t="str">
        <f>IF($D117="Interior",INDEX(Lookups!R$2:R$86,MATCH(_xlfn.CONCAT($C117,$L117),Lookups!$P$2:$P$86,0)),IF($D117="Exterior",1,""))</f>
        <v/>
      </c>
      <c r="AR117" s="150" t="str">
        <f>IF($D117="Interior",INDEX(Lookups!S$2:S$86,MATCH(_xlfn.CONCAT($C117,$L117),Lookups!$P$2:$P$86,0)),IF($D117="Exterior",1,""))</f>
        <v/>
      </c>
      <c r="AS117" s="150" t="str">
        <f>IF($D117="Interior",INDEX(Lookups!T$2:T$86,MATCH(_xlfn.CONCAT($C117,$L117),Lookups!$P$2:$P$86,0)),IF($D117="Exterior",1,""))</f>
        <v/>
      </c>
      <c r="AT117" s="150" t="str">
        <f>IFERROR(IF(M117="Exit Signs",1,IF(INDEX('Fixture Codes'!$C$8:$C$976,MATCH($AD117,'Fixture Codes'!$B$8:$B$976,0))="Exit Sign",1,INDEX(Lookups!J$2:J$428,MATCH(_xlfn.CONCAT($B117,$H117),Lookups!$H$2:$H$428,0)))),"")</f>
        <v/>
      </c>
      <c r="AU117" s="150" t="str">
        <f>IFERROR(IF(M117="Exit Signs",1,IF(INDEX('Fixture Codes'!$C$8:$C$976,MATCH($AD117,'Fixture Codes'!$B$8:$B$976,0))="Exit Sign",1,INDEX(Lookups!K$2:K$428,MATCH(_xlfn.CONCAT($B117,$H117),Lookups!$H$2:$H$428,0)))),"")</f>
        <v/>
      </c>
      <c r="AV117" s="150" t="str">
        <f>IFERROR(IF(M117="Exit Signs",1,IF(INDEX('Fixture Codes'!$C$8:$C$976,MATCH($AD117,'Fixture Codes'!$B$8:$B$976,0))="Exit Sign",1,INDEX(Lookups!L$2:L$428,MATCH(_xlfn.CONCAT($B117,$H117),Lookups!$H$2:$H$428,0)))),"")</f>
        <v/>
      </c>
      <c r="AW117" s="150" t="str">
        <f>IF(ISBLANK(K117),"",IF(K117="Gas",INDEX(Lookups!$AG$2:$AG$63,MATCH(O117,Lookups!$AD$2:$AD$63,0),0),0))</f>
        <v/>
      </c>
      <c r="AX117" s="150" t="str">
        <f>IF(ISBLANK(K117),"",IF(K117="Gas",INDEX(Lookups!$AF$2:$AF$63,MATCH(O117,Lookups!$AD$2:$AD$63,0),0),0))</f>
        <v/>
      </c>
      <c r="AY117" s="150" t="str">
        <f>IF(ISBLANK(K117),"",IF(K117="Gas",INDEX(Lookups!$AH$2:$AH$63,MATCH(O117,Lookups!$AD$2:$AD$63,0),0),0))</f>
        <v/>
      </c>
      <c r="AZ117" s="150" t="str">
        <f>IF(ISBLANK(K117),"",IF(K117="Gas",INDEX(Lookups!$AI$2:$AI$63,MATCH(O117,Lookups!$AD$2:$AD$63,0),0),0))</f>
        <v/>
      </c>
      <c r="BA117" s="150" t="str">
        <f t="shared" si="40"/>
        <v/>
      </c>
      <c r="BB117" s="156" t="str">
        <f>IF(ISBLANK(AH117),"",IF(AH117="None",0,IF(K117="Gas",INDEX(Lookups!$AF$51:$AF$69,MATCH(AH117,Lookups!$AD$51:$AD$69,0),0),0)))</f>
        <v/>
      </c>
      <c r="BC117" s="156" t="str">
        <f>IF(ISBLANK(AH117),"",IF(AH117="None",0,IF(K117="Gas",INDEX(Lookups!$AH$51:$AH$69,MATCH(AH117,Lookups!$AD$51:$AD$69,0),0),0)))</f>
        <v/>
      </c>
      <c r="BD117" s="156" t="str">
        <f>IF(ISBLANK(AH117),"",IF(AH117="None",0,IF(K117="Gas",INDEX(Lookups!$AI$51:$AI$69,MATCH(AH117,Lookups!$AD$51:$AD$69,0),0),0)))</f>
        <v/>
      </c>
      <c r="BE117" s="157"/>
      <c r="BF117" s="157"/>
      <c r="BG117" s="147" t="str">
        <f t="shared" si="56"/>
        <v/>
      </c>
      <c r="BH117" s="147" t="str">
        <f t="shared" si="57"/>
        <v/>
      </c>
      <c r="BI117" s="147" t="str">
        <f t="shared" si="41"/>
        <v/>
      </c>
      <c r="BJ117" s="147" t="str">
        <f t="shared" si="42"/>
        <v/>
      </c>
      <c r="BK117" s="148" t="str">
        <f t="shared" si="58"/>
        <v/>
      </c>
      <c r="BL117" s="147" t="str">
        <f t="shared" si="43"/>
        <v/>
      </c>
      <c r="BM117" s="148" t="str">
        <f t="shared" si="59"/>
        <v/>
      </c>
      <c r="BN117" s="147" t="str">
        <f t="shared" si="60"/>
        <v/>
      </c>
      <c r="BO117" s="147" t="str">
        <f t="shared" si="60"/>
        <v/>
      </c>
      <c r="BP117" s="147" t="str">
        <f t="shared" si="61"/>
        <v/>
      </c>
      <c r="BQ117" s="148" t="str">
        <f t="shared" si="62"/>
        <v/>
      </c>
      <c r="BR117" s="148" t="str">
        <f t="shared" si="63"/>
        <v/>
      </c>
      <c r="BS117" s="148" t="str">
        <f t="shared" si="64"/>
        <v/>
      </c>
      <c r="BT117" s="148" t="str">
        <f t="shared" si="44"/>
        <v/>
      </c>
      <c r="BU117" s="148" t="str">
        <f t="shared" si="45"/>
        <v/>
      </c>
      <c r="BV117" s="148" t="str">
        <f t="shared" si="46"/>
        <v/>
      </c>
      <c r="BW117" s="148" t="str">
        <f t="shared" si="47"/>
        <v/>
      </c>
      <c r="BX117" s="148" t="str">
        <f t="shared" si="48"/>
        <v/>
      </c>
      <c r="BY117" s="148" t="str">
        <f t="shared" si="49"/>
        <v/>
      </c>
      <c r="BZ117" s="149" t="str">
        <f>IFERROR(INDEX('Prescriptive Rebate Table'!$B$2:$E$64,MATCH(O117,'Prescriptive Rebate Table'!$C$2:$C$64,0),3),"")</f>
        <v/>
      </c>
      <c r="CA117" s="145" t="str">
        <f>IFERROR(INDEX('Prescriptive Rebate Table'!$B$2:$E$64,MATCH(O117,'Prescriptive Rebate Table'!$C$2:$C$64,0),4),"")</f>
        <v/>
      </c>
      <c r="CB117" s="149" t="str">
        <f t="shared" si="65"/>
        <v/>
      </c>
      <c r="CC117" s="145" t="str">
        <f t="shared" si="66"/>
        <v/>
      </c>
      <c r="CD117" s="149" t="str">
        <f t="shared" si="50"/>
        <v/>
      </c>
      <c r="CE117" s="149" t="str">
        <f t="shared" si="51"/>
        <v/>
      </c>
      <c r="CF117" s="149" t="str">
        <f>IF(BK117&lt;=0,0,IFERROR(IF(OR(ISBLANK(AC117),ISBLANK(CD117))=TRUE,"",IF(CA117="Per Foot",INDEX('Fixture Codes'!$I$8:$I$976,MATCH(AD117,'Fixture Codes'!$B$8:$B$976,0))/12*AF117*BZ117,IF(CA117="Lamp",INDEX('Fixture Codes'!$J$8:$J$976,MATCH(AD117,'Fixture Codes'!$B$8:$B$976,0))*AF117*BZ117,IF(CA117="Fixture",AF117*BZ117,IF(CA117="kWh",BK117*BZ117,0))))),""))</f>
        <v/>
      </c>
      <c r="CG117" s="149" t="str">
        <f t="shared" si="67"/>
        <v/>
      </c>
      <c r="CH117" s="149" t="str">
        <f t="shared" si="68"/>
        <v/>
      </c>
      <c r="CI117" s="152"/>
      <c r="CJ117" s="146"/>
      <c r="CK117" s="241">
        <f>IFERROR(IF(CL117="Yes",'Prescriptive Rebate Table'!$D$69,IF(ISBLANK(AI117),0,IF(AND(AH117=Lookups!$A$62,BK117&gt;0),'Prescriptive Rebate Table'!$D$68,IF(AND(BK117&gt;0,CJ117=AF117),'Prescriptive Rebate Table'!$D$67,IF(AND(BK117&gt;0,CJ117&lt;&gt;AF117),'Prescriptive Rebate Table'!D176,0))))),"")</f>
        <v>0</v>
      </c>
      <c r="CL117" s="240" t="s">
        <v>2712</v>
      </c>
      <c r="CM117" s="152"/>
      <c r="CN117" s="152"/>
      <c r="CO117" s="152"/>
      <c r="CP117" s="146">
        <f t="shared" si="52"/>
        <v>0</v>
      </c>
      <c r="CQ117" s="153">
        <f>IF(D117="Interior",ROUND(($AG117*AF117)/1000*$AM117*(Lookups!$B$54-$AA117)*$AN117*$AO117,3),0)</f>
        <v>0</v>
      </c>
      <c r="CR117" s="153">
        <f>IFERROR(IF(D117="Interior",ROUND(($AG117*$AF117)/1000*(Lookups!$C$54-$AB117)*$AN117*AQ117*AT117,6),0),"")</f>
        <v>0</v>
      </c>
      <c r="CS117" s="165">
        <f t="shared" si="69"/>
        <v>0</v>
      </c>
      <c r="CT117" s="165">
        <f t="shared" si="70"/>
        <v>0</v>
      </c>
      <c r="CV117" s="153"/>
      <c r="CW117" s="153"/>
      <c r="CX117" s="165"/>
      <c r="CY117" s="165"/>
      <c r="DA117" s="153">
        <f>IF(D117="Interior",ROUND(($AG117*AF117*(1-0.15))/1000*$AM117*(Lookups!$B$43+0.097-$AA117)*$AN117*$AO117+((W117*V117)/1000*AN117*AM117*AO117*0.15),3),0)</f>
        <v>0</v>
      </c>
      <c r="DB117" s="153">
        <f>IFERROR(IF(D117="Interior",ROUND(($AG117*$AF117)/1000*(Lookups!$C$43+0.097-$AB117)*$AN117*AQ117*AT117+(($AG117*$AF117)/1000*$AN117*AQ117*AT117*0.15),6),0),"")</f>
        <v>0</v>
      </c>
      <c r="DC117" s="165">
        <f t="shared" si="71"/>
        <v>0</v>
      </c>
      <c r="DD117" s="165">
        <f t="shared" si="72"/>
        <v>0</v>
      </c>
    </row>
    <row r="118" spans="1:108" s="164" customFormat="1">
      <c r="A118" s="150">
        <v>114</v>
      </c>
      <c r="B118" s="153" t="str">
        <f>IFERROR(INDEX(Lookups!$B$2:$B$38,MATCH('Project Info &amp; Summary'!$C$19,Lookups!$A$2:$A$38,0)),"")</f>
        <v/>
      </c>
      <c r="C118" s="153" t="str">
        <f>IFERROR(INDEX(Lookups!$C$2:$C$38,MATCH('Project Info &amp; Summary'!$C$19,Lookups!$A$2:$A$38,0)),"")</f>
        <v/>
      </c>
      <c r="D118" s="163"/>
      <c r="E118" s="160"/>
      <c r="F118" s="158"/>
      <c r="G118" s="158"/>
      <c r="H118" s="158"/>
      <c r="I118" s="158"/>
      <c r="J118" s="154" t="str">
        <f>IFERROR(INDEX(Lookups!$W$21:$W$26,MATCH(I118,Lookups!$V$21:$V$26,0)),"")</f>
        <v/>
      </c>
      <c r="K118" s="158"/>
      <c r="L118" s="162" t="str">
        <f>IFERROR(INDEX(Lookups!$Y$2:$Y$19,MATCH(_xlfn.CONCAT(I118,K118),Lookups!$X$2:$X$19,0)),"")</f>
        <v/>
      </c>
      <c r="M118" s="158"/>
      <c r="N118" s="153" t="str">
        <f>IFERROR(INDEX('Prescriptive Rebate Table'!$M$3:$M$20,MATCH(M118,'Prescriptive Rebate Table'!$L$3:$L$20,0)),"")</f>
        <v/>
      </c>
      <c r="O118" s="158"/>
      <c r="P118" s="154" t="str">
        <f>IFERROR(INDEX('Prescriptive Rebate Table'!$B$2:$H$64, MATCH(O118,'Prescriptive Rebate Table'!$C$2:$C$64,0),7),"")</f>
        <v/>
      </c>
      <c r="Q118" s="155" t="str">
        <f>IFERROR(INDEX('Prescriptive Rebate Table'!$B$2:$I$64, MATCH(O118,'Prescriptive Rebate Table'!$C$2:$C$64,0),8),"")</f>
        <v/>
      </c>
      <c r="R118" s="155" t="str">
        <f>IFERROR(INDEX('Prescriptive Rebate Table'!$B$2:$J$64, MATCH(O118,'Prescriptive Rebate Table'!$C$2:$C$64,0),9),"")</f>
        <v/>
      </c>
      <c r="S118" s="160"/>
      <c r="T118" s="145" t="str">
        <f>IFERROR(INDEX('Fixture Codes'!$M$8:$M$976,MATCH(S118,'Fixture Codes'!$B$8:$B$976,0)),"")</f>
        <v/>
      </c>
      <c r="U118" s="145" t="str">
        <f>IFERROR(INDEX('Fixture Codes'!$B$7:$M$976,MATCH(T118,'Fixture Codes'!$B$7:$B$976,0),5),"")</f>
        <v/>
      </c>
      <c r="V118" s="160"/>
      <c r="W118" s="145" t="str">
        <f>IFERROR(INDEX('Fixture Codes'!$L$8:$L$976,MATCH(T118,'Fixture Codes'!$B$8:$B$976,0)),"")</f>
        <v/>
      </c>
      <c r="X118" s="158"/>
      <c r="Y118" s="159"/>
      <c r="Z118" s="155" t="str">
        <f>IFERROR(INDEX(Lookups!B$68:B$87,MATCH($X118,Lookups!$A$68:$A$87,0)),"")</f>
        <v/>
      </c>
      <c r="AA118" s="150" t="str">
        <f>IFERROR(INDEX(Lookups!B$42:B$62,MATCH($X118,Lookups!$A$42:$A$62,0)),"")</f>
        <v/>
      </c>
      <c r="AB118" s="150" t="str">
        <f>IFERROR(INDEX(Lookups!C$42:C$62,MATCH($X118,Lookups!$A$42:$A$62,0)),"")</f>
        <v/>
      </c>
      <c r="AC118" s="160"/>
      <c r="AD118" s="160"/>
      <c r="AE118" s="150" t="str">
        <f>IFERROR(INDEX('Fixture Codes'!$B$7:$M$976,MATCH(AD118,'Fixture Codes'!$B$7:$B$976,0),5),"")</f>
        <v/>
      </c>
      <c r="AF118" s="160"/>
      <c r="AG118" s="145" t="str">
        <f>IFERROR(INDEX('Fixture Codes'!$L$8:$L$976,MATCH(AD118,'Fixture Codes'!$B$8:$B$976,0)),"")</f>
        <v/>
      </c>
      <c r="AH118" s="158"/>
      <c r="AI118" s="160"/>
      <c r="AJ118" s="150" t="str">
        <f>IFERROR(INDEX(Lookups!B$68:B$87,MATCH($AH118,Lookups!$A$68:$A$87,0)),"")</f>
        <v/>
      </c>
      <c r="AK118" s="150" t="str">
        <f>IFERROR(INDEX(Lookups!B$42:B$62,MATCH($AH118,Lookups!$A$42:$A$62,0)),"")</f>
        <v/>
      </c>
      <c r="AL118" s="150" t="str">
        <f>IFERROR(INDEX(Lookups!C$42:C$62,MATCH($AH118,Lookups!$A$42:$A$62,0)),"")</f>
        <v/>
      </c>
      <c r="AM118" s="150" t="str">
        <f>IFERROR(IF(M118="Exit Signs",8760,IF(INDEX('Fixture Codes'!$C$8:$C$976,MATCH(AD118,'Fixture Codes'!$B$8:$B$976,0))="Exit Sign",8760,INDEX(Lookups!$I$2:$I$428,MATCH(_xlfn.CONCAT(B118,H118),Lookups!$H$2:$H$428,0)))),"")</f>
        <v/>
      </c>
      <c r="AN118" s="153">
        <v>1</v>
      </c>
      <c r="AO118" s="150" t="str">
        <f>IF($D118="Interior",INDEX(Lookups!Q$2:Q$86,MATCH(_xlfn.CONCAT($C118,$L118),Lookups!$P$2:$P$86,0)),IF($D118="Exterior",1,""))</f>
        <v/>
      </c>
      <c r="AP118" s="150">
        <f t="shared" si="55"/>
        <v>1</v>
      </c>
      <c r="AQ118" s="150" t="str">
        <f>IF($D118="Interior",INDEX(Lookups!R$2:R$86,MATCH(_xlfn.CONCAT($C118,$L118),Lookups!$P$2:$P$86,0)),IF($D118="Exterior",1,""))</f>
        <v/>
      </c>
      <c r="AR118" s="150" t="str">
        <f>IF($D118="Interior",INDEX(Lookups!S$2:S$86,MATCH(_xlfn.CONCAT($C118,$L118),Lookups!$P$2:$P$86,0)),IF($D118="Exterior",1,""))</f>
        <v/>
      </c>
      <c r="AS118" s="150" t="str">
        <f>IF($D118="Interior",INDEX(Lookups!T$2:T$86,MATCH(_xlfn.CONCAT($C118,$L118),Lookups!$P$2:$P$86,0)),IF($D118="Exterior",1,""))</f>
        <v/>
      </c>
      <c r="AT118" s="150" t="str">
        <f>IFERROR(IF(M118="Exit Signs",1,IF(INDEX('Fixture Codes'!$C$8:$C$976,MATCH($AD118,'Fixture Codes'!$B$8:$B$976,0))="Exit Sign",1,INDEX(Lookups!J$2:J$428,MATCH(_xlfn.CONCAT($B118,$H118),Lookups!$H$2:$H$428,0)))),"")</f>
        <v/>
      </c>
      <c r="AU118" s="150" t="str">
        <f>IFERROR(IF(M118="Exit Signs",1,IF(INDEX('Fixture Codes'!$C$8:$C$976,MATCH($AD118,'Fixture Codes'!$B$8:$B$976,0))="Exit Sign",1,INDEX(Lookups!K$2:K$428,MATCH(_xlfn.CONCAT($B118,$H118),Lookups!$H$2:$H$428,0)))),"")</f>
        <v/>
      </c>
      <c r="AV118" s="150" t="str">
        <f>IFERROR(IF(M118="Exit Signs",1,IF(INDEX('Fixture Codes'!$C$8:$C$976,MATCH($AD118,'Fixture Codes'!$B$8:$B$976,0))="Exit Sign",1,INDEX(Lookups!L$2:L$428,MATCH(_xlfn.CONCAT($B118,$H118),Lookups!$H$2:$H$428,0)))),"")</f>
        <v/>
      </c>
      <c r="AW118" s="150" t="str">
        <f>IF(ISBLANK(K118),"",IF(K118="Gas",INDEX(Lookups!$AG$2:$AG$63,MATCH(O118,Lookups!$AD$2:$AD$63,0),0),0))</f>
        <v/>
      </c>
      <c r="AX118" s="150" t="str">
        <f>IF(ISBLANK(K118),"",IF(K118="Gas",INDEX(Lookups!$AF$2:$AF$63,MATCH(O118,Lookups!$AD$2:$AD$63,0),0),0))</f>
        <v/>
      </c>
      <c r="AY118" s="150" t="str">
        <f>IF(ISBLANK(K118),"",IF(K118="Gas",INDEX(Lookups!$AH$2:$AH$63,MATCH(O118,Lookups!$AD$2:$AD$63,0),0),0))</f>
        <v/>
      </c>
      <c r="AZ118" s="150" t="str">
        <f>IF(ISBLANK(K118),"",IF(K118="Gas",INDEX(Lookups!$AI$2:$AI$63,MATCH(O118,Lookups!$AD$2:$AD$63,0),0),0))</f>
        <v/>
      </c>
      <c r="BA118" s="150" t="str">
        <f t="shared" si="40"/>
        <v/>
      </c>
      <c r="BB118" s="156" t="str">
        <f>IF(ISBLANK(AH118),"",IF(AH118="None",0,IF(K118="Gas",INDEX(Lookups!$AF$51:$AF$69,MATCH(AH118,Lookups!$AD$51:$AD$69,0),0),0)))</f>
        <v/>
      </c>
      <c r="BC118" s="156" t="str">
        <f>IF(ISBLANK(AH118),"",IF(AH118="None",0,IF(K118="Gas",INDEX(Lookups!$AH$51:$AH$69,MATCH(AH118,Lookups!$AD$51:$AD$69,0),0),0)))</f>
        <v/>
      </c>
      <c r="BD118" s="156" t="str">
        <f>IF(ISBLANK(AH118),"",IF(AH118="None",0,IF(K118="Gas",INDEX(Lookups!$AI$51:$AI$69,MATCH(AH118,Lookups!$AD$51:$AD$69,0),0),0)))</f>
        <v/>
      </c>
      <c r="BE118" s="157"/>
      <c r="BF118" s="157"/>
      <c r="BG118" s="147" t="str">
        <f t="shared" si="56"/>
        <v/>
      </c>
      <c r="BH118" s="147" t="str">
        <f t="shared" si="57"/>
        <v/>
      </c>
      <c r="BI118" s="147" t="str">
        <f t="shared" si="41"/>
        <v/>
      </c>
      <c r="BJ118" s="147" t="str">
        <f t="shared" si="42"/>
        <v/>
      </c>
      <c r="BK118" s="148" t="str">
        <f t="shared" si="58"/>
        <v/>
      </c>
      <c r="BL118" s="147" t="str">
        <f t="shared" si="43"/>
        <v/>
      </c>
      <c r="BM118" s="148" t="str">
        <f t="shared" si="59"/>
        <v/>
      </c>
      <c r="BN118" s="147" t="str">
        <f t="shared" si="60"/>
        <v/>
      </c>
      <c r="BO118" s="147" t="str">
        <f t="shared" si="60"/>
        <v/>
      </c>
      <c r="BP118" s="147" t="str">
        <f t="shared" si="61"/>
        <v/>
      </c>
      <c r="BQ118" s="148" t="str">
        <f t="shared" si="62"/>
        <v/>
      </c>
      <c r="BR118" s="148" t="str">
        <f t="shared" si="63"/>
        <v/>
      </c>
      <c r="BS118" s="148" t="str">
        <f t="shared" si="64"/>
        <v/>
      </c>
      <c r="BT118" s="148" t="str">
        <f t="shared" si="44"/>
        <v/>
      </c>
      <c r="BU118" s="148" t="str">
        <f t="shared" si="45"/>
        <v/>
      </c>
      <c r="BV118" s="148" t="str">
        <f t="shared" si="46"/>
        <v/>
      </c>
      <c r="BW118" s="148" t="str">
        <f t="shared" si="47"/>
        <v/>
      </c>
      <c r="BX118" s="148" t="str">
        <f t="shared" si="48"/>
        <v/>
      </c>
      <c r="BY118" s="148" t="str">
        <f t="shared" si="49"/>
        <v/>
      </c>
      <c r="BZ118" s="149" t="str">
        <f>IFERROR(INDEX('Prescriptive Rebate Table'!$B$2:$E$64,MATCH(O118,'Prescriptive Rebate Table'!$C$2:$C$64,0),3),"")</f>
        <v/>
      </c>
      <c r="CA118" s="145" t="str">
        <f>IFERROR(INDEX('Prescriptive Rebate Table'!$B$2:$E$64,MATCH(O118,'Prescriptive Rebate Table'!$C$2:$C$64,0),4),"")</f>
        <v/>
      </c>
      <c r="CB118" s="149" t="str">
        <f t="shared" si="65"/>
        <v/>
      </c>
      <c r="CC118" s="145" t="str">
        <f t="shared" si="66"/>
        <v/>
      </c>
      <c r="CD118" s="149" t="str">
        <f t="shared" si="50"/>
        <v/>
      </c>
      <c r="CE118" s="149" t="str">
        <f t="shared" si="51"/>
        <v/>
      </c>
      <c r="CF118" s="149" t="str">
        <f>IF(BK118&lt;=0,0,IFERROR(IF(OR(ISBLANK(AC118),ISBLANK(CD118))=TRUE,"",IF(CA118="Per Foot",INDEX('Fixture Codes'!$I$8:$I$976,MATCH(AD118,'Fixture Codes'!$B$8:$B$976,0))/12*AF118*BZ118,IF(CA118="Lamp",INDEX('Fixture Codes'!$J$8:$J$976,MATCH(AD118,'Fixture Codes'!$B$8:$B$976,0))*AF118*BZ118,IF(CA118="Fixture",AF118*BZ118,IF(CA118="kWh",BK118*BZ118,0))))),""))</f>
        <v/>
      </c>
      <c r="CG118" s="149" t="str">
        <f t="shared" si="67"/>
        <v/>
      </c>
      <c r="CH118" s="149" t="str">
        <f t="shared" si="68"/>
        <v/>
      </c>
      <c r="CI118" s="152"/>
      <c r="CJ118" s="146"/>
      <c r="CK118" s="241">
        <f>IFERROR(IF(CL118="Yes",'Prescriptive Rebate Table'!$D$69,IF(ISBLANK(AI118),0,IF(AND(AH118=Lookups!$A$62,BK118&gt;0),'Prescriptive Rebate Table'!$D$68,IF(AND(BK118&gt;0,CJ118=AF118),'Prescriptive Rebate Table'!$D$67,IF(AND(BK118&gt;0,CJ118&lt;&gt;AF118),'Prescriptive Rebate Table'!D177,0))))),"")</f>
        <v>0</v>
      </c>
      <c r="CL118" s="240" t="s">
        <v>2712</v>
      </c>
      <c r="CM118" s="152"/>
      <c r="CN118" s="152"/>
      <c r="CO118" s="152"/>
      <c r="CP118" s="146">
        <f t="shared" si="52"/>
        <v>0</v>
      </c>
      <c r="CQ118" s="153">
        <f>IF(D118="Interior",ROUND(($AG118*AF118)/1000*$AM118*(Lookups!$B$54-$AA118)*$AN118*$AO118,3),0)</f>
        <v>0</v>
      </c>
      <c r="CR118" s="153">
        <f>IFERROR(IF(D118="Interior",ROUND(($AG118*$AF118)/1000*(Lookups!$C$54-$AB118)*$AN118*AQ118*AT118,6),0),"")</f>
        <v>0</v>
      </c>
      <c r="CS118" s="165">
        <f t="shared" si="69"/>
        <v>0</v>
      </c>
      <c r="CT118" s="165">
        <f t="shared" si="70"/>
        <v>0</v>
      </c>
      <c r="CV118" s="153"/>
      <c r="CW118" s="153"/>
      <c r="CX118" s="165"/>
      <c r="CY118" s="165"/>
      <c r="DA118" s="153">
        <f>IF(D118="Interior",ROUND(($AG118*AF118*(1-0.15))/1000*$AM118*(Lookups!$B$43+0.097-$AA118)*$AN118*$AO118+((W118*V118)/1000*AN118*AM118*AO118*0.15),3),0)</f>
        <v>0</v>
      </c>
      <c r="DB118" s="153">
        <f>IFERROR(IF(D118="Interior",ROUND(($AG118*$AF118)/1000*(Lookups!$C$43+0.097-$AB118)*$AN118*AQ118*AT118+(($AG118*$AF118)/1000*$AN118*AQ118*AT118*0.15),6),0),"")</f>
        <v>0</v>
      </c>
      <c r="DC118" s="165">
        <f t="shared" si="71"/>
        <v>0</v>
      </c>
      <c r="DD118" s="165">
        <f t="shared" si="72"/>
        <v>0</v>
      </c>
    </row>
    <row r="119" spans="1:108" s="164" customFormat="1">
      <c r="A119" s="150">
        <v>115</v>
      </c>
      <c r="B119" s="153" t="str">
        <f>IFERROR(INDEX(Lookups!$B$2:$B$38,MATCH('Project Info &amp; Summary'!$C$19,Lookups!$A$2:$A$38,0)),"")</f>
        <v/>
      </c>
      <c r="C119" s="153" t="str">
        <f>IFERROR(INDEX(Lookups!$C$2:$C$38,MATCH('Project Info &amp; Summary'!$C$19,Lookups!$A$2:$A$38,0)),"")</f>
        <v/>
      </c>
      <c r="D119" s="163"/>
      <c r="E119" s="160"/>
      <c r="F119" s="158"/>
      <c r="G119" s="158"/>
      <c r="H119" s="158"/>
      <c r="I119" s="158"/>
      <c r="J119" s="154" t="str">
        <f>IFERROR(INDEX(Lookups!$W$21:$W$26,MATCH(I119,Lookups!$V$21:$V$26,0)),"")</f>
        <v/>
      </c>
      <c r="K119" s="158"/>
      <c r="L119" s="162" t="str">
        <f>IFERROR(INDEX(Lookups!$Y$2:$Y$19,MATCH(_xlfn.CONCAT(I119,K119),Lookups!$X$2:$X$19,0)),"")</f>
        <v/>
      </c>
      <c r="M119" s="158"/>
      <c r="N119" s="153" t="str">
        <f>IFERROR(INDEX('Prescriptive Rebate Table'!$M$3:$M$20,MATCH(M119,'Prescriptive Rebate Table'!$L$3:$L$20,0)),"")</f>
        <v/>
      </c>
      <c r="O119" s="158"/>
      <c r="P119" s="154" t="str">
        <f>IFERROR(INDEX('Prescriptive Rebate Table'!$B$2:$H$64, MATCH(O119,'Prescriptive Rebate Table'!$C$2:$C$64,0),7),"")</f>
        <v/>
      </c>
      <c r="Q119" s="155" t="str">
        <f>IFERROR(INDEX('Prescriptive Rebate Table'!$B$2:$I$64, MATCH(O119,'Prescriptive Rebate Table'!$C$2:$C$64,0),8),"")</f>
        <v/>
      </c>
      <c r="R119" s="155" t="str">
        <f>IFERROR(INDEX('Prescriptive Rebate Table'!$B$2:$J$64, MATCH(O119,'Prescriptive Rebate Table'!$C$2:$C$64,0),9),"")</f>
        <v/>
      </c>
      <c r="S119" s="160"/>
      <c r="T119" s="145" t="str">
        <f>IFERROR(INDEX('Fixture Codes'!$M$8:$M$976,MATCH(S119,'Fixture Codes'!$B$8:$B$976,0)),"")</f>
        <v/>
      </c>
      <c r="U119" s="145" t="str">
        <f>IFERROR(INDEX('Fixture Codes'!$B$7:$M$976,MATCH(T119,'Fixture Codes'!$B$7:$B$976,0),5),"")</f>
        <v/>
      </c>
      <c r="V119" s="160"/>
      <c r="W119" s="145" t="str">
        <f>IFERROR(INDEX('Fixture Codes'!$L$8:$L$976,MATCH(T119,'Fixture Codes'!$B$8:$B$976,0)),"")</f>
        <v/>
      </c>
      <c r="X119" s="158"/>
      <c r="Y119" s="159"/>
      <c r="Z119" s="155" t="str">
        <f>IFERROR(INDEX(Lookups!B$68:B$87,MATCH($X119,Lookups!$A$68:$A$87,0)),"")</f>
        <v/>
      </c>
      <c r="AA119" s="150" t="str">
        <f>IFERROR(INDEX(Lookups!B$42:B$62,MATCH($X119,Lookups!$A$42:$A$62,0)),"")</f>
        <v/>
      </c>
      <c r="AB119" s="150" t="str">
        <f>IFERROR(INDEX(Lookups!C$42:C$62,MATCH($X119,Lookups!$A$42:$A$62,0)),"")</f>
        <v/>
      </c>
      <c r="AC119" s="160"/>
      <c r="AD119" s="160"/>
      <c r="AE119" s="150" t="str">
        <f>IFERROR(INDEX('Fixture Codes'!$B$7:$M$976,MATCH(AD119,'Fixture Codes'!$B$7:$B$976,0),5),"")</f>
        <v/>
      </c>
      <c r="AF119" s="160"/>
      <c r="AG119" s="145" t="str">
        <f>IFERROR(INDEX('Fixture Codes'!$L$8:$L$976,MATCH(AD119,'Fixture Codes'!$B$8:$B$976,0)),"")</f>
        <v/>
      </c>
      <c r="AH119" s="158"/>
      <c r="AI119" s="160"/>
      <c r="AJ119" s="150" t="str">
        <f>IFERROR(INDEX(Lookups!B$68:B$87,MATCH($AH119,Lookups!$A$68:$A$87,0)),"")</f>
        <v/>
      </c>
      <c r="AK119" s="150" t="str">
        <f>IFERROR(INDEX(Lookups!B$42:B$62,MATCH($AH119,Lookups!$A$42:$A$62,0)),"")</f>
        <v/>
      </c>
      <c r="AL119" s="150" t="str">
        <f>IFERROR(INDEX(Lookups!C$42:C$62,MATCH($AH119,Lookups!$A$42:$A$62,0)),"")</f>
        <v/>
      </c>
      <c r="AM119" s="150" t="str">
        <f>IFERROR(IF(M119="Exit Signs",8760,IF(INDEX('Fixture Codes'!$C$8:$C$976,MATCH(AD119,'Fixture Codes'!$B$8:$B$976,0))="Exit Sign",8760,INDEX(Lookups!$I$2:$I$428,MATCH(_xlfn.CONCAT(B119,H119),Lookups!$H$2:$H$428,0)))),"")</f>
        <v/>
      </c>
      <c r="AN119" s="153">
        <v>1</v>
      </c>
      <c r="AO119" s="150" t="str">
        <f>IF($D119="Interior",INDEX(Lookups!Q$2:Q$86,MATCH(_xlfn.CONCAT($C119,$L119),Lookups!$P$2:$P$86,0)),IF($D119="Exterior",1,""))</f>
        <v/>
      </c>
      <c r="AP119" s="150">
        <f t="shared" si="55"/>
        <v>1</v>
      </c>
      <c r="AQ119" s="150" t="str">
        <f>IF($D119="Interior",INDEX(Lookups!R$2:R$86,MATCH(_xlfn.CONCAT($C119,$L119),Lookups!$P$2:$P$86,0)),IF($D119="Exterior",1,""))</f>
        <v/>
      </c>
      <c r="AR119" s="150" t="str">
        <f>IF($D119="Interior",INDEX(Lookups!S$2:S$86,MATCH(_xlfn.CONCAT($C119,$L119),Lookups!$P$2:$P$86,0)),IF($D119="Exterior",1,""))</f>
        <v/>
      </c>
      <c r="AS119" s="150" t="str">
        <f>IF($D119="Interior",INDEX(Lookups!T$2:T$86,MATCH(_xlfn.CONCAT($C119,$L119),Lookups!$P$2:$P$86,0)),IF($D119="Exterior",1,""))</f>
        <v/>
      </c>
      <c r="AT119" s="150" t="str">
        <f>IFERROR(IF(M119="Exit Signs",1,IF(INDEX('Fixture Codes'!$C$8:$C$976,MATCH($AD119,'Fixture Codes'!$B$8:$B$976,0))="Exit Sign",1,INDEX(Lookups!J$2:J$428,MATCH(_xlfn.CONCAT($B119,$H119),Lookups!$H$2:$H$428,0)))),"")</f>
        <v/>
      </c>
      <c r="AU119" s="150" t="str">
        <f>IFERROR(IF(M119="Exit Signs",1,IF(INDEX('Fixture Codes'!$C$8:$C$976,MATCH($AD119,'Fixture Codes'!$B$8:$B$976,0))="Exit Sign",1,INDEX(Lookups!K$2:K$428,MATCH(_xlfn.CONCAT($B119,$H119),Lookups!$H$2:$H$428,0)))),"")</f>
        <v/>
      </c>
      <c r="AV119" s="150" t="str">
        <f>IFERROR(IF(M119="Exit Signs",1,IF(INDEX('Fixture Codes'!$C$8:$C$976,MATCH($AD119,'Fixture Codes'!$B$8:$B$976,0))="Exit Sign",1,INDEX(Lookups!L$2:L$428,MATCH(_xlfn.CONCAT($B119,$H119),Lookups!$H$2:$H$428,0)))),"")</f>
        <v/>
      </c>
      <c r="AW119" s="150" t="str">
        <f>IF(ISBLANK(K119),"",IF(K119="Gas",INDEX(Lookups!$AG$2:$AG$63,MATCH(O119,Lookups!$AD$2:$AD$63,0),0),0))</f>
        <v/>
      </c>
      <c r="AX119" s="150" t="str">
        <f>IF(ISBLANK(K119),"",IF(K119="Gas",INDEX(Lookups!$AF$2:$AF$63,MATCH(O119,Lookups!$AD$2:$AD$63,0),0),0))</f>
        <v/>
      </c>
      <c r="AY119" s="150" t="str">
        <f>IF(ISBLANK(K119),"",IF(K119="Gas",INDEX(Lookups!$AH$2:$AH$63,MATCH(O119,Lookups!$AD$2:$AD$63,0),0),0))</f>
        <v/>
      </c>
      <c r="AZ119" s="150" t="str">
        <f>IF(ISBLANK(K119),"",IF(K119="Gas",INDEX(Lookups!$AI$2:$AI$63,MATCH(O119,Lookups!$AD$2:$AD$63,0),0),0))</f>
        <v/>
      </c>
      <c r="BA119" s="150" t="str">
        <f t="shared" si="40"/>
        <v/>
      </c>
      <c r="BB119" s="156" t="str">
        <f>IF(ISBLANK(AH119),"",IF(AH119="None",0,IF(K119="Gas",INDEX(Lookups!$AF$51:$AF$69,MATCH(AH119,Lookups!$AD$51:$AD$69,0),0),0)))</f>
        <v/>
      </c>
      <c r="BC119" s="156" t="str">
        <f>IF(ISBLANK(AH119),"",IF(AH119="None",0,IF(K119="Gas",INDEX(Lookups!$AH$51:$AH$69,MATCH(AH119,Lookups!$AD$51:$AD$69,0),0),0)))</f>
        <v/>
      </c>
      <c r="BD119" s="156" t="str">
        <f>IF(ISBLANK(AH119),"",IF(AH119="None",0,IF(K119="Gas",INDEX(Lookups!$AI$51:$AI$69,MATCH(AH119,Lookups!$AD$51:$AD$69,0),0),0)))</f>
        <v/>
      </c>
      <c r="BE119" s="157"/>
      <c r="BF119" s="157"/>
      <c r="BG119" s="147" t="str">
        <f t="shared" si="56"/>
        <v/>
      </c>
      <c r="BH119" s="147" t="str">
        <f t="shared" si="57"/>
        <v/>
      </c>
      <c r="BI119" s="147" t="str">
        <f t="shared" si="41"/>
        <v/>
      </c>
      <c r="BJ119" s="147" t="str">
        <f t="shared" si="42"/>
        <v/>
      </c>
      <c r="BK119" s="148" t="str">
        <f t="shared" si="58"/>
        <v/>
      </c>
      <c r="BL119" s="147" t="str">
        <f t="shared" si="43"/>
        <v/>
      </c>
      <c r="BM119" s="148" t="str">
        <f t="shared" si="59"/>
        <v/>
      </c>
      <c r="BN119" s="147" t="str">
        <f t="shared" si="60"/>
        <v/>
      </c>
      <c r="BO119" s="147" t="str">
        <f t="shared" si="60"/>
        <v/>
      </c>
      <c r="BP119" s="147" t="str">
        <f t="shared" si="61"/>
        <v/>
      </c>
      <c r="BQ119" s="148" t="str">
        <f t="shared" si="62"/>
        <v/>
      </c>
      <c r="BR119" s="148" t="str">
        <f t="shared" si="63"/>
        <v/>
      </c>
      <c r="BS119" s="148" t="str">
        <f t="shared" si="64"/>
        <v/>
      </c>
      <c r="BT119" s="148" t="str">
        <f t="shared" si="44"/>
        <v/>
      </c>
      <c r="BU119" s="148" t="str">
        <f t="shared" si="45"/>
        <v/>
      </c>
      <c r="BV119" s="148" t="str">
        <f t="shared" si="46"/>
        <v/>
      </c>
      <c r="BW119" s="148" t="str">
        <f t="shared" si="47"/>
        <v/>
      </c>
      <c r="BX119" s="148" t="str">
        <f t="shared" si="48"/>
        <v/>
      </c>
      <c r="BY119" s="148" t="str">
        <f t="shared" si="49"/>
        <v/>
      </c>
      <c r="BZ119" s="149" t="str">
        <f>IFERROR(INDEX('Prescriptive Rebate Table'!$B$2:$E$64,MATCH(O119,'Prescriptive Rebate Table'!$C$2:$C$64,0),3),"")</f>
        <v/>
      </c>
      <c r="CA119" s="145" t="str">
        <f>IFERROR(INDEX('Prescriptive Rebate Table'!$B$2:$E$64,MATCH(O119,'Prescriptive Rebate Table'!$C$2:$C$64,0),4),"")</f>
        <v/>
      </c>
      <c r="CB119" s="149" t="str">
        <f t="shared" si="65"/>
        <v/>
      </c>
      <c r="CC119" s="145" t="str">
        <f t="shared" si="66"/>
        <v/>
      </c>
      <c r="CD119" s="149" t="str">
        <f t="shared" si="50"/>
        <v/>
      </c>
      <c r="CE119" s="149" t="str">
        <f t="shared" si="51"/>
        <v/>
      </c>
      <c r="CF119" s="149" t="str">
        <f>IF(BK119&lt;=0,0,IFERROR(IF(OR(ISBLANK(AC119),ISBLANK(CD119))=TRUE,"",IF(CA119="Per Foot",INDEX('Fixture Codes'!$I$8:$I$976,MATCH(AD119,'Fixture Codes'!$B$8:$B$976,0))/12*AF119*BZ119,IF(CA119="Lamp",INDEX('Fixture Codes'!$J$8:$J$976,MATCH(AD119,'Fixture Codes'!$B$8:$B$976,0))*AF119*BZ119,IF(CA119="Fixture",AF119*BZ119,IF(CA119="kWh",BK119*BZ119,0))))),""))</f>
        <v/>
      </c>
      <c r="CG119" s="149" t="str">
        <f t="shared" si="67"/>
        <v/>
      </c>
      <c r="CH119" s="149" t="str">
        <f t="shared" si="68"/>
        <v/>
      </c>
      <c r="CI119" s="152"/>
      <c r="CJ119" s="146"/>
      <c r="CK119" s="241">
        <f>IFERROR(IF(CL119="Yes",'Prescriptive Rebate Table'!$D$69,IF(ISBLANK(AI119),0,IF(AND(AH119=Lookups!$A$62,BK119&gt;0),'Prescriptive Rebate Table'!$D$68,IF(AND(BK119&gt;0,CJ119=AF119),'Prescriptive Rebate Table'!$D$67,IF(AND(BK119&gt;0,CJ119&lt;&gt;AF119),'Prescriptive Rebate Table'!D178,0))))),"")</f>
        <v>0</v>
      </c>
      <c r="CL119" s="240" t="s">
        <v>2712</v>
      </c>
      <c r="CM119" s="152"/>
      <c r="CN119" s="152"/>
      <c r="CO119" s="152"/>
      <c r="CP119" s="146">
        <f t="shared" si="52"/>
        <v>0</v>
      </c>
      <c r="CQ119" s="153">
        <f>IF(D119="Interior",ROUND(($AG119*AF119)/1000*$AM119*(Lookups!$B$54-$AA119)*$AN119*$AO119,3),0)</f>
        <v>0</v>
      </c>
      <c r="CR119" s="153">
        <f>IFERROR(IF(D119="Interior",ROUND(($AG119*$AF119)/1000*(Lookups!$C$54-$AB119)*$AN119*AQ119*AT119,6),0),"")</f>
        <v>0</v>
      </c>
      <c r="CS119" s="165">
        <f t="shared" si="69"/>
        <v>0</v>
      </c>
      <c r="CT119" s="165">
        <f t="shared" si="70"/>
        <v>0</v>
      </c>
      <c r="CV119" s="153"/>
      <c r="CW119" s="153"/>
      <c r="CX119" s="165"/>
      <c r="CY119" s="165"/>
      <c r="DA119" s="153">
        <f>IF(D119="Interior",ROUND(($AG119*AF119*(1-0.15))/1000*$AM119*(Lookups!$B$43+0.097-$AA119)*$AN119*$AO119+((W119*V119)/1000*AN119*AM119*AO119*0.15),3),0)</f>
        <v>0</v>
      </c>
      <c r="DB119" s="153">
        <f>IFERROR(IF(D119="Interior",ROUND(($AG119*$AF119)/1000*(Lookups!$C$43+0.097-$AB119)*$AN119*AQ119*AT119+(($AG119*$AF119)/1000*$AN119*AQ119*AT119*0.15),6),0),"")</f>
        <v>0</v>
      </c>
      <c r="DC119" s="165">
        <f t="shared" si="71"/>
        <v>0</v>
      </c>
      <c r="DD119" s="165">
        <f t="shared" si="72"/>
        <v>0</v>
      </c>
    </row>
    <row r="120" spans="1:108" s="164" customFormat="1">
      <c r="A120" s="150">
        <v>116</v>
      </c>
      <c r="B120" s="153" t="str">
        <f>IFERROR(INDEX(Lookups!$B$2:$B$38,MATCH('Project Info &amp; Summary'!$C$19,Lookups!$A$2:$A$38,0)),"")</f>
        <v/>
      </c>
      <c r="C120" s="153" t="str">
        <f>IFERROR(INDEX(Lookups!$C$2:$C$38,MATCH('Project Info &amp; Summary'!$C$19,Lookups!$A$2:$A$38,0)),"")</f>
        <v/>
      </c>
      <c r="D120" s="163"/>
      <c r="E120" s="160"/>
      <c r="F120" s="158"/>
      <c r="G120" s="158"/>
      <c r="H120" s="158"/>
      <c r="I120" s="158"/>
      <c r="J120" s="154" t="str">
        <f>IFERROR(INDEX(Lookups!$W$21:$W$26,MATCH(I120,Lookups!$V$21:$V$26,0)),"")</f>
        <v/>
      </c>
      <c r="K120" s="158"/>
      <c r="L120" s="162" t="str">
        <f>IFERROR(INDEX(Lookups!$Y$2:$Y$19,MATCH(_xlfn.CONCAT(I120,K120),Lookups!$X$2:$X$19,0)),"")</f>
        <v/>
      </c>
      <c r="M120" s="158"/>
      <c r="N120" s="153" t="str">
        <f>IFERROR(INDEX('Prescriptive Rebate Table'!$M$3:$M$20,MATCH(M120,'Prescriptive Rebate Table'!$L$3:$L$20,0)),"")</f>
        <v/>
      </c>
      <c r="O120" s="158"/>
      <c r="P120" s="154" t="str">
        <f>IFERROR(INDEX('Prescriptive Rebate Table'!$B$2:$H$64, MATCH(O120,'Prescriptive Rebate Table'!$C$2:$C$64,0),7),"")</f>
        <v/>
      </c>
      <c r="Q120" s="155" t="str">
        <f>IFERROR(INDEX('Prescriptive Rebate Table'!$B$2:$I$64, MATCH(O120,'Prescriptive Rebate Table'!$C$2:$C$64,0),8),"")</f>
        <v/>
      </c>
      <c r="R120" s="155" t="str">
        <f>IFERROR(INDEX('Prescriptive Rebate Table'!$B$2:$J$64, MATCH(O120,'Prescriptive Rebate Table'!$C$2:$C$64,0),9),"")</f>
        <v/>
      </c>
      <c r="S120" s="160"/>
      <c r="T120" s="145" t="str">
        <f>IFERROR(INDEX('Fixture Codes'!$M$8:$M$976,MATCH(S120,'Fixture Codes'!$B$8:$B$976,0)),"")</f>
        <v/>
      </c>
      <c r="U120" s="145" t="str">
        <f>IFERROR(INDEX('Fixture Codes'!$B$7:$M$976,MATCH(T120,'Fixture Codes'!$B$7:$B$976,0),5),"")</f>
        <v/>
      </c>
      <c r="V120" s="160"/>
      <c r="W120" s="145" t="str">
        <f>IFERROR(INDEX('Fixture Codes'!$L$8:$L$976,MATCH(T120,'Fixture Codes'!$B$8:$B$976,0)),"")</f>
        <v/>
      </c>
      <c r="X120" s="158"/>
      <c r="Y120" s="159"/>
      <c r="Z120" s="155" t="str">
        <f>IFERROR(INDEX(Lookups!B$68:B$87,MATCH($X120,Lookups!$A$68:$A$87,0)),"")</f>
        <v/>
      </c>
      <c r="AA120" s="150" t="str">
        <f>IFERROR(INDEX(Lookups!B$42:B$62,MATCH($X120,Lookups!$A$42:$A$62,0)),"")</f>
        <v/>
      </c>
      <c r="AB120" s="150" t="str">
        <f>IFERROR(INDEX(Lookups!C$42:C$62,MATCH($X120,Lookups!$A$42:$A$62,0)),"")</f>
        <v/>
      </c>
      <c r="AC120" s="160"/>
      <c r="AD120" s="160"/>
      <c r="AE120" s="150" t="str">
        <f>IFERROR(INDEX('Fixture Codes'!$B$7:$M$976,MATCH(AD120,'Fixture Codes'!$B$7:$B$976,0),5),"")</f>
        <v/>
      </c>
      <c r="AF120" s="160"/>
      <c r="AG120" s="145" t="str">
        <f>IFERROR(INDEX('Fixture Codes'!$L$8:$L$976,MATCH(AD120,'Fixture Codes'!$B$8:$B$976,0)),"")</f>
        <v/>
      </c>
      <c r="AH120" s="158"/>
      <c r="AI120" s="160"/>
      <c r="AJ120" s="150" t="str">
        <f>IFERROR(INDEX(Lookups!B$68:B$87,MATCH($AH120,Lookups!$A$68:$A$87,0)),"")</f>
        <v/>
      </c>
      <c r="AK120" s="150" t="str">
        <f>IFERROR(INDEX(Lookups!B$42:B$62,MATCH($AH120,Lookups!$A$42:$A$62,0)),"")</f>
        <v/>
      </c>
      <c r="AL120" s="150" t="str">
        <f>IFERROR(INDEX(Lookups!C$42:C$62,MATCH($AH120,Lookups!$A$42:$A$62,0)),"")</f>
        <v/>
      </c>
      <c r="AM120" s="150" t="str">
        <f>IFERROR(IF(M120="Exit Signs",8760,IF(INDEX('Fixture Codes'!$C$8:$C$976,MATCH(AD120,'Fixture Codes'!$B$8:$B$976,0))="Exit Sign",8760,INDEX(Lookups!$I$2:$I$428,MATCH(_xlfn.CONCAT(B120,H120),Lookups!$H$2:$H$428,0)))),"")</f>
        <v/>
      </c>
      <c r="AN120" s="153">
        <v>1</v>
      </c>
      <c r="AO120" s="150" t="str">
        <f>IF($D120="Interior",INDEX(Lookups!Q$2:Q$86,MATCH(_xlfn.CONCAT($C120,$L120),Lookups!$P$2:$P$86,0)),IF($D120="Exterior",1,""))</f>
        <v/>
      </c>
      <c r="AP120" s="150">
        <f t="shared" si="55"/>
        <v>1</v>
      </c>
      <c r="AQ120" s="150" t="str">
        <f>IF($D120="Interior",INDEX(Lookups!R$2:R$86,MATCH(_xlfn.CONCAT($C120,$L120),Lookups!$P$2:$P$86,0)),IF($D120="Exterior",1,""))</f>
        <v/>
      </c>
      <c r="AR120" s="150" t="str">
        <f>IF($D120="Interior",INDEX(Lookups!S$2:S$86,MATCH(_xlfn.CONCAT($C120,$L120),Lookups!$P$2:$P$86,0)),IF($D120="Exterior",1,""))</f>
        <v/>
      </c>
      <c r="AS120" s="150" t="str">
        <f>IF($D120="Interior",INDEX(Lookups!T$2:T$86,MATCH(_xlfn.CONCAT($C120,$L120),Lookups!$P$2:$P$86,0)),IF($D120="Exterior",1,""))</f>
        <v/>
      </c>
      <c r="AT120" s="150" t="str">
        <f>IFERROR(IF(M120="Exit Signs",1,IF(INDEX('Fixture Codes'!$C$8:$C$976,MATCH($AD120,'Fixture Codes'!$B$8:$B$976,0))="Exit Sign",1,INDEX(Lookups!J$2:J$428,MATCH(_xlfn.CONCAT($B120,$H120),Lookups!$H$2:$H$428,0)))),"")</f>
        <v/>
      </c>
      <c r="AU120" s="150" t="str">
        <f>IFERROR(IF(M120="Exit Signs",1,IF(INDEX('Fixture Codes'!$C$8:$C$976,MATCH($AD120,'Fixture Codes'!$B$8:$B$976,0))="Exit Sign",1,INDEX(Lookups!K$2:K$428,MATCH(_xlfn.CONCAT($B120,$H120),Lookups!$H$2:$H$428,0)))),"")</f>
        <v/>
      </c>
      <c r="AV120" s="150" t="str">
        <f>IFERROR(IF(M120="Exit Signs",1,IF(INDEX('Fixture Codes'!$C$8:$C$976,MATCH($AD120,'Fixture Codes'!$B$8:$B$976,0))="Exit Sign",1,INDEX(Lookups!L$2:L$428,MATCH(_xlfn.CONCAT($B120,$H120),Lookups!$H$2:$H$428,0)))),"")</f>
        <v/>
      </c>
      <c r="AW120" s="150" t="str">
        <f>IF(ISBLANK(K120),"",IF(K120="Gas",INDEX(Lookups!$AG$2:$AG$63,MATCH(O120,Lookups!$AD$2:$AD$63,0),0),0))</f>
        <v/>
      </c>
      <c r="AX120" s="150" t="str">
        <f>IF(ISBLANK(K120),"",IF(K120="Gas",INDEX(Lookups!$AF$2:$AF$63,MATCH(O120,Lookups!$AD$2:$AD$63,0),0),0))</f>
        <v/>
      </c>
      <c r="AY120" s="150" t="str">
        <f>IF(ISBLANK(K120),"",IF(K120="Gas",INDEX(Lookups!$AH$2:$AH$63,MATCH(O120,Lookups!$AD$2:$AD$63,0),0),0))</f>
        <v/>
      </c>
      <c r="AZ120" s="150" t="str">
        <f>IF(ISBLANK(K120),"",IF(K120="Gas",INDEX(Lookups!$AI$2:$AI$63,MATCH(O120,Lookups!$AD$2:$AD$63,0),0),0))</f>
        <v/>
      </c>
      <c r="BA120" s="150" t="str">
        <f t="shared" si="40"/>
        <v/>
      </c>
      <c r="BB120" s="156" t="str">
        <f>IF(ISBLANK(AH120),"",IF(AH120="None",0,IF(K120="Gas",INDEX(Lookups!$AF$51:$AF$69,MATCH(AH120,Lookups!$AD$51:$AD$69,0),0),0)))</f>
        <v/>
      </c>
      <c r="BC120" s="156" t="str">
        <f>IF(ISBLANK(AH120),"",IF(AH120="None",0,IF(K120="Gas",INDEX(Lookups!$AH$51:$AH$69,MATCH(AH120,Lookups!$AD$51:$AD$69,0),0),0)))</f>
        <v/>
      </c>
      <c r="BD120" s="156" t="str">
        <f>IF(ISBLANK(AH120),"",IF(AH120="None",0,IF(K120="Gas",INDEX(Lookups!$AI$51:$AI$69,MATCH(AH120,Lookups!$AD$51:$AD$69,0),0),0)))</f>
        <v/>
      </c>
      <c r="BE120" s="157"/>
      <c r="BF120" s="157"/>
      <c r="BG120" s="147" t="str">
        <f t="shared" si="56"/>
        <v/>
      </c>
      <c r="BH120" s="147" t="str">
        <f t="shared" si="57"/>
        <v/>
      </c>
      <c r="BI120" s="147" t="str">
        <f t="shared" si="41"/>
        <v/>
      </c>
      <c r="BJ120" s="147" t="str">
        <f t="shared" si="42"/>
        <v/>
      </c>
      <c r="BK120" s="148" t="str">
        <f t="shared" si="58"/>
        <v/>
      </c>
      <c r="BL120" s="147" t="str">
        <f t="shared" si="43"/>
        <v/>
      </c>
      <c r="BM120" s="148" t="str">
        <f t="shared" si="59"/>
        <v/>
      </c>
      <c r="BN120" s="147" t="str">
        <f t="shared" si="60"/>
        <v/>
      </c>
      <c r="BO120" s="147" t="str">
        <f t="shared" si="60"/>
        <v/>
      </c>
      <c r="BP120" s="147" t="str">
        <f t="shared" si="61"/>
        <v/>
      </c>
      <c r="BQ120" s="148" t="str">
        <f t="shared" si="62"/>
        <v/>
      </c>
      <c r="BR120" s="148" t="str">
        <f t="shared" si="63"/>
        <v/>
      </c>
      <c r="BS120" s="148" t="str">
        <f t="shared" si="64"/>
        <v/>
      </c>
      <c r="BT120" s="148" t="str">
        <f t="shared" si="44"/>
        <v/>
      </c>
      <c r="BU120" s="148" t="str">
        <f t="shared" si="45"/>
        <v/>
      </c>
      <c r="BV120" s="148" t="str">
        <f t="shared" si="46"/>
        <v/>
      </c>
      <c r="BW120" s="148" t="str">
        <f t="shared" si="47"/>
        <v/>
      </c>
      <c r="BX120" s="148" t="str">
        <f t="shared" si="48"/>
        <v/>
      </c>
      <c r="BY120" s="148" t="str">
        <f t="shared" si="49"/>
        <v/>
      </c>
      <c r="BZ120" s="149" t="str">
        <f>IFERROR(INDEX('Prescriptive Rebate Table'!$B$2:$E$64,MATCH(O120,'Prescriptive Rebate Table'!$C$2:$C$64,0),3),"")</f>
        <v/>
      </c>
      <c r="CA120" s="145" t="str">
        <f>IFERROR(INDEX('Prescriptive Rebate Table'!$B$2:$E$64,MATCH(O120,'Prescriptive Rebate Table'!$C$2:$C$64,0),4),"")</f>
        <v/>
      </c>
      <c r="CB120" s="149" t="str">
        <f t="shared" si="65"/>
        <v/>
      </c>
      <c r="CC120" s="145" t="str">
        <f t="shared" si="66"/>
        <v/>
      </c>
      <c r="CD120" s="149" t="str">
        <f t="shared" si="50"/>
        <v/>
      </c>
      <c r="CE120" s="149" t="str">
        <f t="shared" si="51"/>
        <v/>
      </c>
      <c r="CF120" s="149" t="str">
        <f>IF(BK120&lt;=0,0,IFERROR(IF(OR(ISBLANK(AC120),ISBLANK(CD120))=TRUE,"",IF(CA120="Per Foot",INDEX('Fixture Codes'!$I$8:$I$976,MATCH(AD120,'Fixture Codes'!$B$8:$B$976,0))/12*AF120*BZ120,IF(CA120="Lamp",INDEX('Fixture Codes'!$J$8:$J$976,MATCH(AD120,'Fixture Codes'!$B$8:$B$976,0))*AF120*BZ120,IF(CA120="Fixture",AF120*BZ120,IF(CA120="kWh",BK120*BZ120,0))))),""))</f>
        <v/>
      </c>
      <c r="CG120" s="149" t="str">
        <f t="shared" si="67"/>
        <v/>
      </c>
      <c r="CH120" s="149" t="str">
        <f t="shared" si="68"/>
        <v/>
      </c>
      <c r="CI120" s="152"/>
      <c r="CJ120" s="146"/>
      <c r="CK120" s="241">
        <f>IFERROR(IF(CL120="Yes",'Prescriptive Rebate Table'!$D$69,IF(ISBLANK(AI120),0,IF(AND(AH120=Lookups!$A$62,BK120&gt;0),'Prescriptive Rebate Table'!$D$68,IF(AND(BK120&gt;0,CJ120=AF120),'Prescriptive Rebate Table'!$D$67,IF(AND(BK120&gt;0,CJ120&lt;&gt;AF120),'Prescriptive Rebate Table'!D179,0))))),"")</f>
        <v>0</v>
      </c>
      <c r="CL120" s="240" t="s">
        <v>2712</v>
      </c>
      <c r="CM120" s="152"/>
      <c r="CN120" s="152"/>
      <c r="CO120" s="152"/>
      <c r="CP120" s="146">
        <f t="shared" si="52"/>
        <v>0</v>
      </c>
      <c r="CQ120" s="153">
        <f>IF(D120="Interior",ROUND(($AG120*AF120)/1000*$AM120*(Lookups!$B$54-$AA120)*$AN120*$AO120,3),0)</f>
        <v>0</v>
      </c>
      <c r="CR120" s="153">
        <f>IFERROR(IF(D120="Interior",ROUND(($AG120*$AF120)/1000*(Lookups!$C$54-$AB120)*$AN120*AQ120*AT120,6),0),"")</f>
        <v>0</v>
      </c>
      <c r="CS120" s="165">
        <f t="shared" si="69"/>
        <v>0</v>
      </c>
      <c r="CT120" s="165">
        <f t="shared" si="70"/>
        <v>0</v>
      </c>
      <c r="CV120" s="153"/>
      <c r="CW120" s="153"/>
      <c r="CX120" s="165"/>
      <c r="CY120" s="165"/>
      <c r="DA120" s="153">
        <f>IF(D120="Interior",ROUND(($AG120*AF120*(1-0.15))/1000*$AM120*(Lookups!$B$43+0.097-$AA120)*$AN120*$AO120+((W120*V120)/1000*AN120*AM120*AO120*0.15),3),0)</f>
        <v>0</v>
      </c>
      <c r="DB120" s="153">
        <f>IFERROR(IF(D120="Interior",ROUND(($AG120*$AF120)/1000*(Lookups!$C$43+0.097-$AB120)*$AN120*AQ120*AT120+(($AG120*$AF120)/1000*$AN120*AQ120*AT120*0.15),6),0),"")</f>
        <v>0</v>
      </c>
      <c r="DC120" s="165">
        <f t="shared" si="71"/>
        <v>0</v>
      </c>
      <c r="DD120" s="165">
        <f t="shared" si="72"/>
        <v>0</v>
      </c>
    </row>
    <row r="121" spans="1:108" s="164" customFormat="1">
      <c r="A121" s="150">
        <v>117</v>
      </c>
      <c r="B121" s="153" t="str">
        <f>IFERROR(INDEX(Lookups!$B$2:$B$38,MATCH('Project Info &amp; Summary'!$C$19,Lookups!$A$2:$A$38,0)),"")</f>
        <v/>
      </c>
      <c r="C121" s="153" t="str">
        <f>IFERROR(INDEX(Lookups!$C$2:$C$38,MATCH('Project Info &amp; Summary'!$C$19,Lookups!$A$2:$A$38,0)),"")</f>
        <v/>
      </c>
      <c r="D121" s="163"/>
      <c r="E121" s="160"/>
      <c r="F121" s="158"/>
      <c r="G121" s="158"/>
      <c r="H121" s="158"/>
      <c r="I121" s="158"/>
      <c r="J121" s="154" t="str">
        <f>IFERROR(INDEX(Lookups!$W$21:$W$26,MATCH(I121,Lookups!$V$21:$V$26,0)),"")</f>
        <v/>
      </c>
      <c r="K121" s="158"/>
      <c r="L121" s="162" t="str">
        <f>IFERROR(INDEX(Lookups!$Y$2:$Y$19,MATCH(_xlfn.CONCAT(I121,K121),Lookups!$X$2:$X$19,0)),"")</f>
        <v/>
      </c>
      <c r="M121" s="158"/>
      <c r="N121" s="153" t="str">
        <f>IFERROR(INDEX('Prescriptive Rebate Table'!$M$3:$M$20,MATCH(M121,'Prescriptive Rebate Table'!$L$3:$L$20,0)),"")</f>
        <v/>
      </c>
      <c r="O121" s="158"/>
      <c r="P121" s="154" t="str">
        <f>IFERROR(INDEX('Prescriptive Rebate Table'!$B$2:$H$64, MATCH(O121,'Prescriptive Rebate Table'!$C$2:$C$64,0),7),"")</f>
        <v/>
      </c>
      <c r="Q121" s="155" t="str">
        <f>IFERROR(INDEX('Prescriptive Rebate Table'!$B$2:$I$64, MATCH(O121,'Prescriptive Rebate Table'!$C$2:$C$64,0),8),"")</f>
        <v/>
      </c>
      <c r="R121" s="155" t="str">
        <f>IFERROR(INDEX('Prescriptive Rebate Table'!$B$2:$J$64, MATCH(O121,'Prescriptive Rebate Table'!$C$2:$C$64,0),9),"")</f>
        <v/>
      </c>
      <c r="S121" s="160"/>
      <c r="T121" s="145" t="str">
        <f>IFERROR(INDEX('Fixture Codes'!$M$8:$M$976,MATCH(S121,'Fixture Codes'!$B$8:$B$976,0)),"")</f>
        <v/>
      </c>
      <c r="U121" s="145" t="str">
        <f>IFERROR(INDEX('Fixture Codes'!$B$7:$M$976,MATCH(T121,'Fixture Codes'!$B$7:$B$976,0),5),"")</f>
        <v/>
      </c>
      <c r="V121" s="160"/>
      <c r="W121" s="145" t="str">
        <f>IFERROR(INDEX('Fixture Codes'!$L$8:$L$976,MATCH(T121,'Fixture Codes'!$B$8:$B$976,0)),"")</f>
        <v/>
      </c>
      <c r="X121" s="158"/>
      <c r="Y121" s="159"/>
      <c r="Z121" s="155" t="str">
        <f>IFERROR(INDEX(Lookups!B$68:B$87,MATCH($X121,Lookups!$A$68:$A$87,0)),"")</f>
        <v/>
      </c>
      <c r="AA121" s="150" t="str">
        <f>IFERROR(INDEX(Lookups!B$42:B$62,MATCH($X121,Lookups!$A$42:$A$62,0)),"")</f>
        <v/>
      </c>
      <c r="AB121" s="150" t="str">
        <f>IFERROR(INDEX(Lookups!C$42:C$62,MATCH($X121,Lookups!$A$42:$A$62,0)),"")</f>
        <v/>
      </c>
      <c r="AC121" s="160"/>
      <c r="AD121" s="160"/>
      <c r="AE121" s="150" t="str">
        <f>IFERROR(INDEX('Fixture Codes'!$B$7:$M$976,MATCH(AD121,'Fixture Codes'!$B$7:$B$976,0),5),"")</f>
        <v/>
      </c>
      <c r="AF121" s="160"/>
      <c r="AG121" s="145" t="str">
        <f>IFERROR(INDEX('Fixture Codes'!$L$8:$L$976,MATCH(AD121,'Fixture Codes'!$B$8:$B$976,0)),"")</f>
        <v/>
      </c>
      <c r="AH121" s="158"/>
      <c r="AI121" s="160"/>
      <c r="AJ121" s="150" t="str">
        <f>IFERROR(INDEX(Lookups!B$68:B$87,MATCH($AH121,Lookups!$A$68:$A$87,0)),"")</f>
        <v/>
      </c>
      <c r="AK121" s="150" t="str">
        <f>IFERROR(INDEX(Lookups!B$42:B$62,MATCH($AH121,Lookups!$A$42:$A$62,0)),"")</f>
        <v/>
      </c>
      <c r="AL121" s="150" t="str">
        <f>IFERROR(INDEX(Lookups!C$42:C$62,MATCH($AH121,Lookups!$A$42:$A$62,0)),"")</f>
        <v/>
      </c>
      <c r="AM121" s="150" t="str">
        <f>IFERROR(IF(M121="Exit Signs",8760,IF(INDEX('Fixture Codes'!$C$8:$C$976,MATCH(AD121,'Fixture Codes'!$B$8:$B$976,0))="Exit Sign",8760,INDEX(Lookups!$I$2:$I$428,MATCH(_xlfn.CONCAT(B121,H121),Lookups!$H$2:$H$428,0)))),"")</f>
        <v/>
      </c>
      <c r="AN121" s="153">
        <v>1</v>
      </c>
      <c r="AO121" s="150" t="str">
        <f>IF($D121="Interior",INDEX(Lookups!Q$2:Q$86,MATCH(_xlfn.CONCAT($C121,$L121),Lookups!$P$2:$P$86,0)),IF($D121="Exterior",1,""))</f>
        <v/>
      </c>
      <c r="AP121" s="150">
        <f t="shared" si="55"/>
        <v>1</v>
      </c>
      <c r="AQ121" s="150" t="str">
        <f>IF($D121="Interior",INDEX(Lookups!R$2:R$86,MATCH(_xlfn.CONCAT($C121,$L121),Lookups!$P$2:$P$86,0)),IF($D121="Exterior",1,""))</f>
        <v/>
      </c>
      <c r="AR121" s="150" t="str">
        <f>IF($D121="Interior",INDEX(Lookups!S$2:S$86,MATCH(_xlfn.CONCAT($C121,$L121),Lookups!$P$2:$P$86,0)),IF($D121="Exterior",1,""))</f>
        <v/>
      </c>
      <c r="AS121" s="150" t="str">
        <f>IF($D121="Interior",INDEX(Lookups!T$2:T$86,MATCH(_xlfn.CONCAT($C121,$L121),Lookups!$P$2:$P$86,0)),IF($D121="Exterior",1,""))</f>
        <v/>
      </c>
      <c r="AT121" s="150" t="str">
        <f>IFERROR(IF(M121="Exit Signs",1,IF(INDEX('Fixture Codes'!$C$8:$C$976,MATCH($AD121,'Fixture Codes'!$B$8:$B$976,0))="Exit Sign",1,INDEX(Lookups!J$2:J$428,MATCH(_xlfn.CONCAT($B121,$H121),Lookups!$H$2:$H$428,0)))),"")</f>
        <v/>
      </c>
      <c r="AU121" s="150" t="str">
        <f>IFERROR(IF(M121="Exit Signs",1,IF(INDEX('Fixture Codes'!$C$8:$C$976,MATCH($AD121,'Fixture Codes'!$B$8:$B$976,0))="Exit Sign",1,INDEX(Lookups!K$2:K$428,MATCH(_xlfn.CONCAT($B121,$H121),Lookups!$H$2:$H$428,0)))),"")</f>
        <v/>
      </c>
      <c r="AV121" s="150" t="str">
        <f>IFERROR(IF(M121="Exit Signs",1,IF(INDEX('Fixture Codes'!$C$8:$C$976,MATCH($AD121,'Fixture Codes'!$B$8:$B$976,0))="Exit Sign",1,INDEX(Lookups!L$2:L$428,MATCH(_xlfn.CONCAT($B121,$H121),Lookups!$H$2:$H$428,0)))),"")</f>
        <v/>
      </c>
      <c r="AW121" s="150" t="str">
        <f>IF(ISBLANK(K121),"",IF(K121="Gas",INDEX(Lookups!$AG$2:$AG$63,MATCH(O121,Lookups!$AD$2:$AD$63,0),0),0))</f>
        <v/>
      </c>
      <c r="AX121" s="150" t="str">
        <f>IF(ISBLANK(K121),"",IF(K121="Gas",INDEX(Lookups!$AF$2:$AF$63,MATCH(O121,Lookups!$AD$2:$AD$63,0),0),0))</f>
        <v/>
      </c>
      <c r="AY121" s="150" t="str">
        <f>IF(ISBLANK(K121),"",IF(K121="Gas",INDEX(Lookups!$AH$2:$AH$63,MATCH(O121,Lookups!$AD$2:$AD$63,0),0),0))</f>
        <v/>
      </c>
      <c r="AZ121" s="150" t="str">
        <f>IF(ISBLANK(K121),"",IF(K121="Gas",INDEX(Lookups!$AI$2:$AI$63,MATCH(O121,Lookups!$AD$2:$AD$63,0),0),0))</f>
        <v/>
      </c>
      <c r="BA121" s="150" t="str">
        <f t="shared" si="40"/>
        <v/>
      </c>
      <c r="BB121" s="156" t="str">
        <f>IF(ISBLANK(AH121),"",IF(AH121="None",0,IF(K121="Gas",INDEX(Lookups!$AF$51:$AF$69,MATCH(AH121,Lookups!$AD$51:$AD$69,0),0),0)))</f>
        <v/>
      </c>
      <c r="BC121" s="156" t="str">
        <f>IF(ISBLANK(AH121),"",IF(AH121="None",0,IF(K121="Gas",INDEX(Lookups!$AH$51:$AH$69,MATCH(AH121,Lookups!$AD$51:$AD$69,0),0),0)))</f>
        <v/>
      </c>
      <c r="BD121" s="156" t="str">
        <f>IF(ISBLANK(AH121),"",IF(AH121="None",0,IF(K121="Gas",INDEX(Lookups!$AI$51:$AI$69,MATCH(AH121,Lookups!$AD$51:$AD$69,0),0),0)))</f>
        <v/>
      </c>
      <c r="BE121" s="157"/>
      <c r="BF121" s="157"/>
      <c r="BG121" s="147" t="str">
        <f t="shared" si="56"/>
        <v/>
      </c>
      <c r="BH121" s="147" t="str">
        <f t="shared" si="57"/>
        <v/>
      </c>
      <c r="BI121" s="147" t="str">
        <f t="shared" si="41"/>
        <v/>
      </c>
      <c r="BJ121" s="147" t="str">
        <f t="shared" si="42"/>
        <v/>
      </c>
      <c r="BK121" s="148" t="str">
        <f t="shared" si="58"/>
        <v/>
      </c>
      <c r="BL121" s="147" t="str">
        <f t="shared" si="43"/>
        <v/>
      </c>
      <c r="BM121" s="148" t="str">
        <f t="shared" si="59"/>
        <v/>
      </c>
      <c r="BN121" s="147" t="str">
        <f t="shared" si="60"/>
        <v/>
      </c>
      <c r="BO121" s="147" t="str">
        <f t="shared" si="60"/>
        <v/>
      </c>
      <c r="BP121" s="147" t="str">
        <f t="shared" si="61"/>
        <v/>
      </c>
      <c r="BQ121" s="148" t="str">
        <f t="shared" si="62"/>
        <v/>
      </c>
      <c r="BR121" s="148" t="str">
        <f t="shared" si="63"/>
        <v/>
      </c>
      <c r="BS121" s="148" t="str">
        <f t="shared" si="64"/>
        <v/>
      </c>
      <c r="BT121" s="148" t="str">
        <f t="shared" si="44"/>
        <v/>
      </c>
      <c r="BU121" s="148" t="str">
        <f t="shared" si="45"/>
        <v/>
      </c>
      <c r="BV121" s="148" t="str">
        <f t="shared" si="46"/>
        <v/>
      </c>
      <c r="BW121" s="148" t="str">
        <f t="shared" si="47"/>
        <v/>
      </c>
      <c r="BX121" s="148" t="str">
        <f t="shared" si="48"/>
        <v/>
      </c>
      <c r="BY121" s="148" t="str">
        <f t="shared" si="49"/>
        <v/>
      </c>
      <c r="BZ121" s="149" t="str">
        <f>IFERROR(INDEX('Prescriptive Rebate Table'!$B$2:$E$64,MATCH(O121,'Prescriptive Rebate Table'!$C$2:$C$64,0),3),"")</f>
        <v/>
      </c>
      <c r="CA121" s="145" t="str">
        <f>IFERROR(INDEX('Prescriptive Rebate Table'!$B$2:$E$64,MATCH(O121,'Prescriptive Rebate Table'!$C$2:$C$64,0),4),"")</f>
        <v/>
      </c>
      <c r="CB121" s="149" t="str">
        <f t="shared" si="65"/>
        <v/>
      </c>
      <c r="CC121" s="145" t="str">
        <f t="shared" si="66"/>
        <v/>
      </c>
      <c r="CD121" s="149" t="str">
        <f t="shared" si="50"/>
        <v/>
      </c>
      <c r="CE121" s="149" t="str">
        <f t="shared" si="51"/>
        <v/>
      </c>
      <c r="CF121" s="149" t="str">
        <f>IF(BK121&lt;=0,0,IFERROR(IF(OR(ISBLANK(AC121),ISBLANK(CD121))=TRUE,"",IF(CA121="Per Foot",INDEX('Fixture Codes'!$I$8:$I$976,MATCH(AD121,'Fixture Codes'!$B$8:$B$976,0))/12*AF121*BZ121,IF(CA121="Lamp",INDEX('Fixture Codes'!$J$8:$J$976,MATCH(AD121,'Fixture Codes'!$B$8:$B$976,0))*AF121*BZ121,IF(CA121="Fixture",AF121*BZ121,IF(CA121="kWh",BK121*BZ121,0))))),""))</f>
        <v/>
      </c>
      <c r="CG121" s="149" t="str">
        <f t="shared" si="67"/>
        <v/>
      </c>
      <c r="CH121" s="149" t="str">
        <f t="shared" si="68"/>
        <v/>
      </c>
      <c r="CI121" s="152"/>
      <c r="CJ121" s="146"/>
      <c r="CK121" s="241">
        <f>IFERROR(IF(CL121="Yes",'Prescriptive Rebate Table'!$D$69,IF(ISBLANK(AI121),0,IF(AND(AH121=Lookups!$A$62,BK121&gt;0),'Prescriptive Rebate Table'!$D$68,IF(AND(BK121&gt;0,CJ121=AF121),'Prescriptive Rebate Table'!$D$67,IF(AND(BK121&gt;0,CJ121&lt;&gt;AF121),'Prescriptive Rebate Table'!D180,0))))),"")</f>
        <v>0</v>
      </c>
      <c r="CL121" s="240" t="s">
        <v>2712</v>
      </c>
      <c r="CM121" s="152"/>
      <c r="CN121" s="152"/>
      <c r="CO121" s="152"/>
      <c r="CP121" s="146">
        <f t="shared" si="52"/>
        <v>0</v>
      </c>
      <c r="CQ121" s="153">
        <f>IF(D121="Interior",ROUND(($AG121*AF121)/1000*$AM121*(Lookups!$B$54-$AA121)*$AN121*$AO121,3),0)</f>
        <v>0</v>
      </c>
      <c r="CR121" s="153">
        <f>IFERROR(IF(D121="Interior",ROUND(($AG121*$AF121)/1000*(Lookups!$C$54-$AB121)*$AN121*AQ121*AT121,6),0),"")</f>
        <v>0</v>
      </c>
      <c r="CS121" s="165">
        <f t="shared" si="69"/>
        <v>0</v>
      </c>
      <c r="CT121" s="165">
        <f t="shared" si="70"/>
        <v>0</v>
      </c>
      <c r="CV121" s="153"/>
      <c r="CW121" s="153"/>
      <c r="CX121" s="165"/>
      <c r="CY121" s="165"/>
      <c r="DA121" s="153">
        <f>IF(D121="Interior",ROUND(($AG121*AF121*(1-0.15))/1000*$AM121*(Lookups!$B$43+0.097-$AA121)*$AN121*$AO121+((W121*V121)/1000*AN121*AM121*AO121*0.15),3),0)</f>
        <v>0</v>
      </c>
      <c r="DB121" s="153">
        <f>IFERROR(IF(D121="Interior",ROUND(($AG121*$AF121)/1000*(Lookups!$C$43+0.097-$AB121)*$AN121*AQ121*AT121+(($AG121*$AF121)/1000*$AN121*AQ121*AT121*0.15),6),0),"")</f>
        <v>0</v>
      </c>
      <c r="DC121" s="165">
        <f t="shared" si="71"/>
        <v>0</v>
      </c>
      <c r="DD121" s="165">
        <f t="shared" si="72"/>
        <v>0</v>
      </c>
    </row>
    <row r="122" spans="1:108" s="164" customFormat="1">
      <c r="A122" s="150">
        <v>118</v>
      </c>
      <c r="B122" s="153" t="str">
        <f>IFERROR(INDEX(Lookups!$B$2:$B$38,MATCH('Project Info &amp; Summary'!$C$19,Lookups!$A$2:$A$38,0)),"")</f>
        <v/>
      </c>
      <c r="C122" s="153" t="str">
        <f>IFERROR(INDEX(Lookups!$C$2:$C$38,MATCH('Project Info &amp; Summary'!$C$19,Lookups!$A$2:$A$38,0)),"")</f>
        <v/>
      </c>
      <c r="D122" s="163"/>
      <c r="E122" s="160"/>
      <c r="F122" s="158"/>
      <c r="G122" s="158"/>
      <c r="H122" s="158"/>
      <c r="I122" s="158"/>
      <c r="J122" s="154" t="str">
        <f>IFERROR(INDEX(Lookups!$W$21:$W$26,MATCH(I122,Lookups!$V$21:$V$26,0)),"")</f>
        <v/>
      </c>
      <c r="K122" s="158"/>
      <c r="L122" s="162" t="str">
        <f>IFERROR(INDEX(Lookups!$Y$2:$Y$19,MATCH(_xlfn.CONCAT(I122,K122),Lookups!$X$2:$X$19,0)),"")</f>
        <v/>
      </c>
      <c r="M122" s="158"/>
      <c r="N122" s="153" t="str">
        <f>IFERROR(INDEX('Prescriptive Rebate Table'!$M$3:$M$20,MATCH(M122,'Prescriptive Rebate Table'!$L$3:$L$20,0)),"")</f>
        <v/>
      </c>
      <c r="O122" s="158"/>
      <c r="P122" s="154" t="str">
        <f>IFERROR(INDEX('Prescriptive Rebate Table'!$B$2:$H$64, MATCH(O122,'Prescriptive Rebate Table'!$C$2:$C$64,0),7),"")</f>
        <v/>
      </c>
      <c r="Q122" s="155" t="str">
        <f>IFERROR(INDEX('Prescriptive Rebate Table'!$B$2:$I$64, MATCH(O122,'Prescriptive Rebate Table'!$C$2:$C$64,0),8),"")</f>
        <v/>
      </c>
      <c r="R122" s="155" t="str">
        <f>IFERROR(INDEX('Prescriptive Rebate Table'!$B$2:$J$64, MATCH(O122,'Prescriptive Rebate Table'!$C$2:$C$64,0),9),"")</f>
        <v/>
      </c>
      <c r="S122" s="160"/>
      <c r="T122" s="145" t="str">
        <f>IFERROR(INDEX('Fixture Codes'!$M$8:$M$976,MATCH(S122,'Fixture Codes'!$B$8:$B$976,0)),"")</f>
        <v/>
      </c>
      <c r="U122" s="145" t="str">
        <f>IFERROR(INDEX('Fixture Codes'!$B$7:$M$976,MATCH(T122,'Fixture Codes'!$B$7:$B$976,0),5),"")</f>
        <v/>
      </c>
      <c r="V122" s="160"/>
      <c r="W122" s="145" t="str">
        <f>IFERROR(INDEX('Fixture Codes'!$L$8:$L$976,MATCH(T122,'Fixture Codes'!$B$8:$B$976,0)),"")</f>
        <v/>
      </c>
      <c r="X122" s="158"/>
      <c r="Y122" s="159"/>
      <c r="Z122" s="155" t="str">
        <f>IFERROR(INDEX(Lookups!B$68:B$87,MATCH($X122,Lookups!$A$68:$A$87,0)),"")</f>
        <v/>
      </c>
      <c r="AA122" s="150" t="str">
        <f>IFERROR(INDEX(Lookups!B$42:B$62,MATCH($X122,Lookups!$A$42:$A$62,0)),"")</f>
        <v/>
      </c>
      <c r="AB122" s="150" t="str">
        <f>IFERROR(INDEX(Lookups!C$42:C$62,MATCH($X122,Lookups!$A$42:$A$62,0)),"")</f>
        <v/>
      </c>
      <c r="AC122" s="160"/>
      <c r="AD122" s="160"/>
      <c r="AE122" s="150" t="str">
        <f>IFERROR(INDEX('Fixture Codes'!$B$7:$M$976,MATCH(AD122,'Fixture Codes'!$B$7:$B$976,0),5),"")</f>
        <v/>
      </c>
      <c r="AF122" s="160"/>
      <c r="AG122" s="145" t="str">
        <f>IFERROR(INDEX('Fixture Codes'!$L$8:$L$976,MATCH(AD122,'Fixture Codes'!$B$8:$B$976,0)),"")</f>
        <v/>
      </c>
      <c r="AH122" s="158"/>
      <c r="AI122" s="160"/>
      <c r="AJ122" s="150" t="str">
        <f>IFERROR(INDEX(Lookups!B$68:B$87,MATCH($AH122,Lookups!$A$68:$A$87,0)),"")</f>
        <v/>
      </c>
      <c r="AK122" s="150" t="str">
        <f>IFERROR(INDEX(Lookups!B$42:B$62,MATCH($AH122,Lookups!$A$42:$A$62,0)),"")</f>
        <v/>
      </c>
      <c r="AL122" s="150" t="str">
        <f>IFERROR(INDEX(Lookups!C$42:C$62,MATCH($AH122,Lookups!$A$42:$A$62,0)),"")</f>
        <v/>
      </c>
      <c r="AM122" s="150" t="str">
        <f>IFERROR(IF(M122="Exit Signs",8760,IF(INDEX('Fixture Codes'!$C$8:$C$976,MATCH(AD122,'Fixture Codes'!$B$8:$B$976,0))="Exit Sign",8760,INDEX(Lookups!$I$2:$I$428,MATCH(_xlfn.CONCAT(B122,H122),Lookups!$H$2:$H$428,0)))),"")</f>
        <v/>
      </c>
      <c r="AN122" s="153">
        <v>1</v>
      </c>
      <c r="AO122" s="150" t="str">
        <f>IF($D122="Interior",INDEX(Lookups!Q$2:Q$86,MATCH(_xlfn.CONCAT($C122,$L122),Lookups!$P$2:$P$86,0)),IF($D122="Exterior",1,""))</f>
        <v/>
      </c>
      <c r="AP122" s="150">
        <f t="shared" si="55"/>
        <v>1</v>
      </c>
      <c r="AQ122" s="150" t="str">
        <f>IF($D122="Interior",INDEX(Lookups!R$2:R$86,MATCH(_xlfn.CONCAT($C122,$L122),Lookups!$P$2:$P$86,0)),IF($D122="Exterior",1,""))</f>
        <v/>
      </c>
      <c r="AR122" s="150" t="str">
        <f>IF($D122="Interior",INDEX(Lookups!S$2:S$86,MATCH(_xlfn.CONCAT($C122,$L122),Lookups!$P$2:$P$86,0)),IF($D122="Exterior",1,""))</f>
        <v/>
      </c>
      <c r="AS122" s="150" t="str">
        <f>IF($D122="Interior",INDEX(Lookups!T$2:T$86,MATCH(_xlfn.CONCAT($C122,$L122),Lookups!$P$2:$P$86,0)),IF($D122="Exterior",1,""))</f>
        <v/>
      </c>
      <c r="AT122" s="150" t="str">
        <f>IFERROR(IF(M122="Exit Signs",1,IF(INDEX('Fixture Codes'!$C$8:$C$976,MATCH($AD122,'Fixture Codes'!$B$8:$B$976,0))="Exit Sign",1,INDEX(Lookups!J$2:J$428,MATCH(_xlfn.CONCAT($B122,$H122),Lookups!$H$2:$H$428,0)))),"")</f>
        <v/>
      </c>
      <c r="AU122" s="150" t="str">
        <f>IFERROR(IF(M122="Exit Signs",1,IF(INDEX('Fixture Codes'!$C$8:$C$976,MATCH($AD122,'Fixture Codes'!$B$8:$B$976,0))="Exit Sign",1,INDEX(Lookups!K$2:K$428,MATCH(_xlfn.CONCAT($B122,$H122),Lookups!$H$2:$H$428,0)))),"")</f>
        <v/>
      </c>
      <c r="AV122" s="150" t="str">
        <f>IFERROR(IF(M122="Exit Signs",1,IF(INDEX('Fixture Codes'!$C$8:$C$976,MATCH($AD122,'Fixture Codes'!$B$8:$B$976,0))="Exit Sign",1,INDEX(Lookups!L$2:L$428,MATCH(_xlfn.CONCAT($B122,$H122),Lookups!$H$2:$H$428,0)))),"")</f>
        <v/>
      </c>
      <c r="AW122" s="150" t="str">
        <f>IF(ISBLANK(K122),"",IF(K122="Gas",INDEX(Lookups!$AG$2:$AG$63,MATCH(O122,Lookups!$AD$2:$AD$63,0),0),0))</f>
        <v/>
      </c>
      <c r="AX122" s="150" t="str">
        <f>IF(ISBLANK(K122),"",IF(K122="Gas",INDEX(Lookups!$AF$2:$AF$63,MATCH(O122,Lookups!$AD$2:$AD$63,0),0),0))</f>
        <v/>
      </c>
      <c r="AY122" s="150" t="str">
        <f>IF(ISBLANK(K122),"",IF(K122="Gas",INDEX(Lookups!$AH$2:$AH$63,MATCH(O122,Lookups!$AD$2:$AD$63,0),0),0))</f>
        <v/>
      </c>
      <c r="AZ122" s="150" t="str">
        <f>IF(ISBLANK(K122),"",IF(K122="Gas",INDEX(Lookups!$AI$2:$AI$63,MATCH(O122,Lookups!$AD$2:$AD$63,0),0),0))</f>
        <v/>
      </c>
      <c r="BA122" s="150" t="str">
        <f t="shared" si="40"/>
        <v/>
      </c>
      <c r="BB122" s="156" t="str">
        <f>IF(ISBLANK(AH122),"",IF(AH122="None",0,IF(K122="Gas",INDEX(Lookups!$AF$51:$AF$69,MATCH(AH122,Lookups!$AD$51:$AD$69,0),0),0)))</f>
        <v/>
      </c>
      <c r="BC122" s="156" t="str">
        <f>IF(ISBLANK(AH122),"",IF(AH122="None",0,IF(K122="Gas",INDEX(Lookups!$AH$51:$AH$69,MATCH(AH122,Lookups!$AD$51:$AD$69,0),0),0)))</f>
        <v/>
      </c>
      <c r="BD122" s="156" t="str">
        <f>IF(ISBLANK(AH122),"",IF(AH122="None",0,IF(K122="Gas",INDEX(Lookups!$AI$51:$AI$69,MATCH(AH122,Lookups!$AD$51:$AD$69,0),0),0)))</f>
        <v/>
      </c>
      <c r="BE122" s="157"/>
      <c r="BF122" s="157"/>
      <c r="BG122" s="147" t="str">
        <f t="shared" si="56"/>
        <v/>
      </c>
      <c r="BH122" s="147" t="str">
        <f t="shared" si="57"/>
        <v/>
      </c>
      <c r="BI122" s="147" t="str">
        <f t="shared" si="41"/>
        <v/>
      </c>
      <c r="BJ122" s="147" t="str">
        <f t="shared" si="42"/>
        <v/>
      </c>
      <c r="BK122" s="148" t="str">
        <f t="shared" si="58"/>
        <v/>
      </c>
      <c r="BL122" s="147" t="str">
        <f t="shared" si="43"/>
        <v/>
      </c>
      <c r="BM122" s="148" t="str">
        <f t="shared" si="59"/>
        <v/>
      </c>
      <c r="BN122" s="147" t="str">
        <f t="shared" si="60"/>
        <v/>
      </c>
      <c r="BO122" s="147" t="str">
        <f t="shared" si="60"/>
        <v/>
      </c>
      <c r="BP122" s="147" t="str">
        <f t="shared" si="61"/>
        <v/>
      </c>
      <c r="BQ122" s="148" t="str">
        <f t="shared" si="62"/>
        <v/>
      </c>
      <c r="BR122" s="148" t="str">
        <f t="shared" si="63"/>
        <v/>
      </c>
      <c r="BS122" s="148" t="str">
        <f t="shared" si="64"/>
        <v/>
      </c>
      <c r="BT122" s="148" t="str">
        <f t="shared" si="44"/>
        <v/>
      </c>
      <c r="BU122" s="148" t="str">
        <f t="shared" si="45"/>
        <v/>
      </c>
      <c r="BV122" s="148" t="str">
        <f t="shared" si="46"/>
        <v/>
      </c>
      <c r="BW122" s="148" t="str">
        <f t="shared" si="47"/>
        <v/>
      </c>
      <c r="BX122" s="148" t="str">
        <f t="shared" si="48"/>
        <v/>
      </c>
      <c r="BY122" s="148" t="str">
        <f t="shared" si="49"/>
        <v/>
      </c>
      <c r="BZ122" s="149" t="str">
        <f>IFERROR(INDEX('Prescriptive Rebate Table'!$B$2:$E$64,MATCH(O122,'Prescriptive Rebate Table'!$C$2:$C$64,0),3),"")</f>
        <v/>
      </c>
      <c r="CA122" s="145" t="str">
        <f>IFERROR(INDEX('Prescriptive Rebate Table'!$B$2:$E$64,MATCH(O122,'Prescriptive Rebate Table'!$C$2:$C$64,0),4),"")</f>
        <v/>
      </c>
      <c r="CB122" s="149" t="str">
        <f t="shared" si="65"/>
        <v/>
      </c>
      <c r="CC122" s="145" t="str">
        <f t="shared" si="66"/>
        <v/>
      </c>
      <c r="CD122" s="149" t="str">
        <f t="shared" si="50"/>
        <v/>
      </c>
      <c r="CE122" s="149" t="str">
        <f t="shared" si="51"/>
        <v/>
      </c>
      <c r="CF122" s="149" t="str">
        <f>IF(BK122&lt;=0,0,IFERROR(IF(OR(ISBLANK(AC122),ISBLANK(CD122))=TRUE,"",IF(CA122="Per Foot",INDEX('Fixture Codes'!$I$8:$I$976,MATCH(AD122,'Fixture Codes'!$B$8:$B$976,0))/12*AF122*BZ122,IF(CA122="Lamp",INDEX('Fixture Codes'!$J$8:$J$976,MATCH(AD122,'Fixture Codes'!$B$8:$B$976,0))*AF122*BZ122,IF(CA122="Fixture",AF122*BZ122,IF(CA122="kWh",BK122*BZ122,0))))),""))</f>
        <v/>
      </c>
      <c r="CG122" s="149" t="str">
        <f t="shared" si="67"/>
        <v/>
      </c>
      <c r="CH122" s="149" t="str">
        <f t="shared" si="68"/>
        <v/>
      </c>
      <c r="CI122" s="152"/>
      <c r="CJ122" s="146"/>
      <c r="CK122" s="241">
        <f>IFERROR(IF(CL122="Yes",'Prescriptive Rebate Table'!$D$69,IF(ISBLANK(AI122),0,IF(AND(AH122=Lookups!$A$62,BK122&gt;0),'Prescriptive Rebate Table'!$D$68,IF(AND(BK122&gt;0,CJ122=AF122),'Prescriptive Rebate Table'!$D$67,IF(AND(BK122&gt;0,CJ122&lt;&gt;AF122),'Prescriptive Rebate Table'!D181,0))))),"")</f>
        <v>0</v>
      </c>
      <c r="CL122" s="240" t="s">
        <v>2712</v>
      </c>
      <c r="CM122" s="152"/>
      <c r="CN122" s="152"/>
      <c r="CO122" s="152"/>
      <c r="CP122" s="146">
        <f t="shared" si="52"/>
        <v>0</v>
      </c>
      <c r="CQ122" s="153">
        <f>IF(D122="Interior",ROUND(($AG122*AF122)/1000*$AM122*(Lookups!$B$54-$AA122)*$AN122*$AO122,3),0)</f>
        <v>0</v>
      </c>
      <c r="CR122" s="153">
        <f>IFERROR(IF(D122="Interior",ROUND(($AG122*$AF122)/1000*(Lookups!$C$54-$AB122)*$AN122*AQ122*AT122,6),0),"")</f>
        <v>0</v>
      </c>
      <c r="CS122" s="165">
        <f t="shared" si="69"/>
        <v>0</v>
      </c>
      <c r="CT122" s="165">
        <f t="shared" si="70"/>
        <v>0</v>
      </c>
      <c r="CV122" s="153"/>
      <c r="CW122" s="153"/>
      <c r="CX122" s="165"/>
      <c r="CY122" s="165"/>
      <c r="DA122" s="153">
        <f>IF(D122="Interior",ROUND(($AG122*AF122*(1-0.15))/1000*$AM122*(Lookups!$B$43+0.097-$AA122)*$AN122*$AO122+((W122*V122)/1000*AN122*AM122*AO122*0.15),3),0)</f>
        <v>0</v>
      </c>
      <c r="DB122" s="153">
        <f>IFERROR(IF(D122="Interior",ROUND(($AG122*$AF122)/1000*(Lookups!$C$43+0.097-$AB122)*$AN122*AQ122*AT122+(($AG122*$AF122)/1000*$AN122*AQ122*AT122*0.15),6),0),"")</f>
        <v>0</v>
      </c>
      <c r="DC122" s="165">
        <f t="shared" si="71"/>
        <v>0</v>
      </c>
      <c r="DD122" s="165">
        <f t="shared" si="72"/>
        <v>0</v>
      </c>
    </row>
    <row r="123" spans="1:108" s="164" customFormat="1">
      <c r="A123" s="150">
        <v>119</v>
      </c>
      <c r="B123" s="153" t="str">
        <f>IFERROR(INDEX(Lookups!$B$2:$B$38,MATCH('Project Info &amp; Summary'!$C$19,Lookups!$A$2:$A$38,0)),"")</f>
        <v/>
      </c>
      <c r="C123" s="153" t="str">
        <f>IFERROR(INDEX(Lookups!$C$2:$C$38,MATCH('Project Info &amp; Summary'!$C$19,Lookups!$A$2:$A$38,0)),"")</f>
        <v/>
      </c>
      <c r="D123" s="163"/>
      <c r="E123" s="160"/>
      <c r="F123" s="158"/>
      <c r="G123" s="158"/>
      <c r="H123" s="158"/>
      <c r="I123" s="158"/>
      <c r="J123" s="154" t="str">
        <f>IFERROR(INDEX(Lookups!$W$21:$W$26,MATCH(I123,Lookups!$V$21:$V$26,0)),"")</f>
        <v/>
      </c>
      <c r="K123" s="158"/>
      <c r="L123" s="162" t="str">
        <f>IFERROR(INDEX(Lookups!$Y$2:$Y$19,MATCH(_xlfn.CONCAT(I123,K123),Lookups!$X$2:$X$19,0)),"")</f>
        <v/>
      </c>
      <c r="M123" s="158"/>
      <c r="N123" s="153" t="str">
        <f>IFERROR(INDEX('Prescriptive Rebate Table'!$M$3:$M$20,MATCH(M123,'Prescriptive Rebate Table'!$L$3:$L$20,0)),"")</f>
        <v/>
      </c>
      <c r="O123" s="158"/>
      <c r="P123" s="154" t="str">
        <f>IFERROR(INDEX('Prescriptive Rebate Table'!$B$2:$H$64, MATCH(O123,'Prescriptive Rebate Table'!$C$2:$C$64,0),7),"")</f>
        <v/>
      </c>
      <c r="Q123" s="155" t="str">
        <f>IFERROR(INDEX('Prescriptive Rebate Table'!$B$2:$I$64, MATCH(O123,'Prescriptive Rebate Table'!$C$2:$C$64,0),8),"")</f>
        <v/>
      </c>
      <c r="R123" s="155" t="str">
        <f>IFERROR(INDEX('Prescriptive Rebate Table'!$B$2:$J$64, MATCH(O123,'Prescriptive Rebate Table'!$C$2:$C$64,0),9),"")</f>
        <v/>
      </c>
      <c r="S123" s="160"/>
      <c r="T123" s="145" t="str">
        <f>IFERROR(INDEX('Fixture Codes'!$M$8:$M$976,MATCH(S123,'Fixture Codes'!$B$8:$B$976,0)),"")</f>
        <v/>
      </c>
      <c r="U123" s="145" t="str">
        <f>IFERROR(INDEX('Fixture Codes'!$B$7:$M$976,MATCH(T123,'Fixture Codes'!$B$7:$B$976,0),5),"")</f>
        <v/>
      </c>
      <c r="V123" s="160"/>
      <c r="W123" s="145" t="str">
        <f>IFERROR(INDEX('Fixture Codes'!$L$8:$L$976,MATCH(T123,'Fixture Codes'!$B$8:$B$976,0)),"")</f>
        <v/>
      </c>
      <c r="X123" s="158"/>
      <c r="Y123" s="159"/>
      <c r="Z123" s="155" t="str">
        <f>IFERROR(INDEX(Lookups!B$68:B$87,MATCH($X123,Lookups!$A$68:$A$87,0)),"")</f>
        <v/>
      </c>
      <c r="AA123" s="150" t="str">
        <f>IFERROR(INDEX(Lookups!B$42:B$62,MATCH($X123,Lookups!$A$42:$A$62,0)),"")</f>
        <v/>
      </c>
      <c r="AB123" s="150" t="str">
        <f>IFERROR(INDEX(Lookups!C$42:C$62,MATCH($X123,Lookups!$A$42:$A$62,0)),"")</f>
        <v/>
      </c>
      <c r="AC123" s="160"/>
      <c r="AD123" s="160"/>
      <c r="AE123" s="150" t="str">
        <f>IFERROR(INDEX('Fixture Codes'!$B$7:$M$976,MATCH(AD123,'Fixture Codes'!$B$7:$B$976,0),5),"")</f>
        <v/>
      </c>
      <c r="AF123" s="160"/>
      <c r="AG123" s="145" t="str">
        <f>IFERROR(INDEX('Fixture Codes'!$L$8:$L$976,MATCH(AD123,'Fixture Codes'!$B$8:$B$976,0)),"")</f>
        <v/>
      </c>
      <c r="AH123" s="158"/>
      <c r="AI123" s="160"/>
      <c r="AJ123" s="150" t="str">
        <f>IFERROR(INDEX(Lookups!B$68:B$87,MATCH($AH123,Lookups!$A$68:$A$87,0)),"")</f>
        <v/>
      </c>
      <c r="AK123" s="150" t="str">
        <f>IFERROR(INDEX(Lookups!B$42:B$62,MATCH($AH123,Lookups!$A$42:$A$62,0)),"")</f>
        <v/>
      </c>
      <c r="AL123" s="150" t="str">
        <f>IFERROR(INDEX(Lookups!C$42:C$62,MATCH($AH123,Lookups!$A$42:$A$62,0)),"")</f>
        <v/>
      </c>
      <c r="AM123" s="150" t="str">
        <f>IFERROR(IF(M123="Exit Signs",8760,IF(INDEX('Fixture Codes'!$C$8:$C$976,MATCH(AD123,'Fixture Codes'!$B$8:$B$976,0))="Exit Sign",8760,INDEX(Lookups!$I$2:$I$428,MATCH(_xlfn.CONCAT(B123,H123),Lookups!$H$2:$H$428,0)))),"")</f>
        <v/>
      </c>
      <c r="AN123" s="153">
        <v>1</v>
      </c>
      <c r="AO123" s="150" t="str">
        <f>IF($D123="Interior",INDEX(Lookups!Q$2:Q$86,MATCH(_xlfn.CONCAT($C123,$L123),Lookups!$P$2:$P$86,0)),IF($D123="Exterior",1,""))</f>
        <v/>
      </c>
      <c r="AP123" s="150">
        <f t="shared" si="55"/>
        <v>1</v>
      </c>
      <c r="AQ123" s="150" t="str">
        <f>IF($D123="Interior",INDEX(Lookups!R$2:R$86,MATCH(_xlfn.CONCAT($C123,$L123),Lookups!$P$2:$P$86,0)),IF($D123="Exterior",1,""))</f>
        <v/>
      </c>
      <c r="AR123" s="150" t="str">
        <f>IF($D123="Interior",INDEX(Lookups!S$2:S$86,MATCH(_xlfn.CONCAT($C123,$L123),Lookups!$P$2:$P$86,0)),IF($D123="Exterior",1,""))</f>
        <v/>
      </c>
      <c r="AS123" s="150" t="str">
        <f>IF($D123="Interior",INDEX(Lookups!T$2:T$86,MATCH(_xlfn.CONCAT($C123,$L123),Lookups!$P$2:$P$86,0)),IF($D123="Exterior",1,""))</f>
        <v/>
      </c>
      <c r="AT123" s="150" t="str">
        <f>IFERROR(IF(M123="Exit Signs",1,IF(INDEX('Fixture Codes'!$C$8:$C$976,MATCH($AD123,'Fixture Codes'!$B$8:$B$976,0))="Exit Sign",1,INDEX(Lookups!J$2:J$428,MATCH(_xlfn.CONCAT($B123,$H123),Lookups!$H$2:$H$428,0)))),"")</f>
        <v/>
      </c>
      <c r="AU123" s="150" t="str">
        <f>IFERROR(IF(M123="Exit Signs",1,IF(INDEX('Fixture Codes'!$C$8:$C$976,MATCH($AD123,'Fixture Codes'!$B$8:$B$976,0))="Exit Sign",1,INDEX(Lookups!K$2:K$428,MATCH(_xlfn.CONCAT($B123,$H123),Lookups!$H$2:$H$428,0)))),"")</f>
        <v/>
      </c>
      <c r="AV123" s="150" t="str">
        <f>IFERROR(IF(M123="Exit Signs",1,IF(INDEX('Fixture Codes'!$C$8:$C$976,MATCH($AD123,'Fixture Codes'!$B$8:$B$976,0))="Exit Sign",1,INDEX(Lookups!L$2:L$428,MATCH(_xlfn.CONCAT($B123,$H123),Lookups!$H$2:$H$428,0)))),"")</f>
        <v/>
      </c>
      <c r="AW123" s="150" t="str">
        <f>IF(ISBLANK(K123),"",IF(K123="Gas",INDEX(Lookups!$AG$2:$AG$63,MATCH(O123,Lookups!$AD$2:$AD$63,0),0),0))</f>
        <v/>
      </c>
      <c r="AX123" s="150" t="str">
        <f>IF(ISBLANK(K123),"",IF(K123="Gas",INDEX(Lookups!$AF$2:$AF$63,MATCH(O123,Lookups!$AD$2:$AD$63,0),0),0))</f>
        <v/>
      </c>
      <c r="AY123" s="150" t="str">
        <f>IF(ISBLANK(K123),"",IF(K123="Gas",INDEX(Lookups!$AH$2:$AH$63,MATCH(O123,Lookups!$AD$2:$AD$63,0),0),0))</f>
        <v/>
      </c>
      <c r="AZ123" s="150" t="str">
        <f>IF(ISBLANK(K123),"",IF(K123="Gas",INDEX(Lookups!$AI$2:$AI$63,MATCH(O123,Lookups!$AD$2:$AD$63,0),0),0))</f>
        <v/>
      </c>
      <c r="BA123" s="150" t="str">
        <f t="shared" si="40"/>
        <v/>
      </c>
      <c r="BB123" s="156" t="str">
        <f>IF(ISBLANK(AH123),"",IF(AH123="None",0,IF(K123="Gas",INDEX(Lookups!$AF$51:$AF$69,MATCH(AH123,Lookups!$AD$51:$AD$69,0),0),0)))</f>
        <v/>
      </c>
      <c r="BC123" s="156" t="str">
        <f>IF(ISBLANK(AH123),"",IF(AH123="None",0,IF(K123="Gas",INDEX(Lookups!$AH$51:$AH$69,MATCH(AH123,Lookups!$AD$51:$AD$69,0),0),0)))</f>
        <v/>
      </c>
      <c r="BD123" s="156" t="str">
        <f>IF(ISBLANK(AH123),"",IF(AH123="None",0,IF(K123="Gas",INDEX(Lookups!$AI$51:$AI$69,MATCH(AH123,Lookups!$AD$51:$AD$69,0),0),0)))</f>
        <v/>
      </c>
      <c r="BE123" s="157"/>
      <c r="BF123" s="157"/>
      <c r="BG123" s="147" t="str">
        <f t="shared" si="56"/>
        <v/>
      </c>
      <c r="BH123" s="147" t="str">
        <f t="shared" si="57"/>
        <v/>
      </c>
      <c r="BI123" s="147" t="str">
        <f t="shared" si="41"/>
        <v/>
      </c>
      <c r="BJ123" s="147" t="str">
        <f t="shared" si="42"/>
        <v/>
      </c>
      <c r="BK123" s="148" t="str">
        <f t="shared" si="58"/>
        <v/>
      </c>
      <c r="BL123" s="147" t="str">
        <f t="shared" si="43"/>
        <v/>
      </c>
      <c r="BM123" s="148" t="str">
        <f t="shared" si="59"/>
        <v/>
      </c>
      <c r="BN123" s="147" t="str">
        <f t="shared" si="60"/>
        <v/>
      </c>
      <c r="BO123" s="147" t="str">
        <f t="shared" si="60"/>
        <v/>
      </c>
      <c r="BP123" s="147" t="str">
        <f t="shared" si="61"/>
        <v/>
      </c>
      <c r="BQ123" s="148" t="str">
        <f t="shared" si="62"/>
        <v/>
      </c>
      <c r="BR123" s="148" t="str">
        <f t="shared" si="63"/>
        <v/>
      </c>
      <c r="BS123" s="148" t="str">
        <f t="shared" si="64"/>
        <v/>
      </c>
      <c r="BT123" s="148" t="str">
        <f t="shared" si="44"/>
        <v/>
      </c>
      <c r="BU123" s="148" t="str">
        <f t="shared" si="45"/>
        <v/>
      </c>
      <c r="BV123" s="148" t="str">
        <f t="shared" si="46"/>
        <v/>
      </c>
      <c r="BW123" s="148" t="str">
        <f t="shared" si="47"/>
        <v/>
      </c>
      <c r="BX123" s="148" t="str">
        <f t="shared" si="48"/>
        <v/>
      </c>
      <c r="BY123" s="148" t="str">
        <f t="shared" si="49"/>
        <v/>
      </c>
      <c r="BZ123" s="149" t="str">
        <f>IFERROR(INDEX('Prescriptive Rebate Table'!$B$2:$E$64,MATCH(O123,'Prescriptive Rebate Table'!$C$2:$C$64,0),3),"")</f>
        <v/>
      </c>
      <c r="CA123" s="145" t="str">
        <f>IFERROR(INDEX('Prescriptive Rebate Table'!$B$2:$E$64,MATCH(O123,'Prescriptive Rebate Table'!$C$2:$C$64,0),4),"")</f>
        <v/>
      </c>
      <c r="CB123" s="149" t="str">
        <f t="shared" si="65"/>
        <v/>
      </c>
      <c r="CC123" s="145" t="str">
        <f t="shared" si="66"/>
        <v/>
      </c>
      <c r="CD123" s="149" t="str">
        <f t="shared" si="50"/>
        <v/>
      </c>
      <c r="CE123" s="149" t="str">
        <f t="shared" si="51"/>
        <v/>
      </c>
      <c r="CF123" s="149" t="str">
        <f>IF(BK123&lt;=0,0,IFERROR(IF(OR(ISBLANK(AC123),ISBLANK(CD123))=TRUE,"",IF(CA123="Per Foot",INDEX('Fixture Codes'!$I$8:$I$976,MATCH(AD123,'Fixture Codes'!$B$8:$B$976,0))/12*AF123*BZ123,IF(CA123="Lamp",INDEX('Fixture Codes'!$J$8:$J$976,MATCH(AD123,'Fixture Codes'!$B$8:$B$976,0))*AF123*BZ123,IF(CA123="Fixture",AF123*BZ123,IF(CA123="kWh",BK123*BZ123,0))))),""))</f>
        <v/>
      </c>
      <c r="CG123" s="149" t="str">
        <f t="shared" si="67"/>
        <v/>
      </c>
      <c r="CH123" s="149" t="str">
        <f t="shared" si="68"/>
        <v/>
      </c>
      <c r="CI123" s="152"/>
      <c r="CJ123" s="146"/>
      <c r="CK123" s="241">
        <f>IFERROR(IF(CL123="Yes",'Prescriptive Rebate Table'!$D$69,IF(ISBLANK(AI123),0,IF(AND(AH123=Lookups!$A$62,BK123&gt;0),'Prescriptive Rebate Table'!$D$68,IF(AND(BK123&gt;0,CJ123=AF123),'Prescriptive Rebate Table'!$D$67,IF(AND(BK123&gt;0,CJ123&lt;&gt;AF123),'Prescriptive Rebate Table'!D182,0))))),"")</f>
        <v>0</v>
      </c>
      <c r="CL123" s="240" t="s">
        <v>2712</v>
      </c>
      <c r="CM123" s="152"/>
      <c r="CN123" s="152"/>
      <c r="CO123" s="152"/>
      <c r="CP123" s="146">
        <f t="shared" si="52"/>
        <v>0</v>
      </c>
      <c r="CQ123" s="153">
        <f>IF(D123="Interior",ROUND(($AG123*AF123)/1000*$AM123*(Lookups!$B$54-$AA123)*$AN123*$AO123,3),0)</f>
        <v>0</v>
      </c>
      <c r="CR123" s="153">
        <f>IFERROR(IF(D123="Interior",ROUND(($AG123*$AF123)/1000*(Lookups!$C$54-$AB123)*$AN123*AQ123*AT123,6),0),"")</f>
        <v>0</v>
      </c>
      <c r="CS123" s="165">
        <f t="shared" si="69"/>
        <v>0</v>
      </c>
      <c r="CT123" s="165">
        <f t="shared" si="70"/>
        <v>0</v>
      </c>
      <c r="CV123" s="153"/>
      <c r="CW123" s="153"/>
      <c r="CX123" s="165"/>
      <c r="CY123" s="165"/>
      <c r="DA123" s="153">
        <f>IF(D123="Interior",ROUND(($AG123*AF123*(1-0.15))/1000*$AM123*(Lookups!$B$43+0.097-$AA123)*$AN123*$AO123+((W123*V123)/1000*AN123*AM123*AO123*0.15),3),0)</f>
        <v>0</v>
      </c>
      <c r="DB123" s="153">
        <f>IFERROR(IF(D123="Interior",ROUND(($AG123*$AF123)/1000*(Lookups!$C$43+0.097-$AB123)*$AN123*AQ123*AT123+(($AG123*$AF123)/1000*$AN123*AQ123*AT123*0.15),6),0),"")</f>
        <v>0</v>
      </c>
      <c r="DC123" s="165">
        <f t="shared" si="71"/>
        <v>0</v>
      </c>
      <c r="DD123" s="165">
        <f t="shared" si="72"/>
        <v>0</v>
      </c>
    </row>
    <row r="124" spans="1:108" s="164" customFormat="1">
      <c r="A124" s="150">
        <v>120</v>
      </c>
      <c r="B124" s="153" t="str">
        <f>IFERROR(INDEX(Lookups!$B$2:$B$38,MATCH('Project Info &amp; Summary'!$C$19,Lookups!$A$2:$A$38,0)),"")</f>
        <v/>
      </c>
      <c r="C124" s="153" t="str">
        <f>IFERROR(INDEX(Lookups!$C$2:$C$38,MATCH('Project Info &amp; Summary'!$C$19,Lookups!$A$2:$A$38,0)),"")</f>
        <v/>
      </c>
      <c r="D124" s="163"/>
      <c r="E124" s="160"/>
      <c r="F124" s="158"/>
      <c r="G124" s="158"/>
      <c r="H124" s="158"/>
      <c r="I124" s="158"/>
      <c r="J124" s="154" t="str">
        <f>IFERROR(INDEX(Lookups!$W$21:$W$26,MATCH(I124,Lookups!$V$21:$V$26,0)),"")</f>
        <v/>
      </c>
      <c r="K124" s="158"/>
      <c r="L124" s="162" t="str">
        <f>IFERROR(INDEX(Lookups!$Y$2:$Y$19,MATCH(_xlfn.CONCAT(I124,K124),Lookups!$X$2:$X$19,0)),"")</f>
        <v/>
      </c>
      <c r="M124" s="158"/>
      <c r="N124" s="153" t="str">
        <f>IFERROR(INDEX('Prescriptive Rebate Table'!$M$3:$M$20,MATCH(M124,'Prescriptive Rebate Table'!$L$3:$L$20,0)),"")</f>
        <v/>
      </c>
      <c r="O124" s="158"/>
      <c r="P124" s="154" t="str">
        <f>IFERROR(INDEX('Prescriptive Rebate Table'!$B$2:$H$64, MATCH(O124,'Prescriptive Rebate Table'!$C$2:$C$64,0),7),"")</f>
        <v/>
      </c>
      <c r="Q124" s="155" t="str">
        <f>IFERROR(INDEX('Prescriptive Rebate Table'!$B$2:$I$64, MATCH(O124,'Prescriptive Rebate Table'!$C$2:$C$64,0),8),"")</f>
        <v/>
      </c>
      <c r="R124" s="155" t="str">
        <f>IFERROR(INDEX('Prescriptive Rebate Table'!$B$2:$J$64, MATCH(O124,'Prescriptive Rebate Table'!$C$2:$C$64,0),9),"")</f>
        <v/>
      </c>
      <c r="S124" s="160"/>
      <c r="T124" s="145" t="str">
        <f>IFERROR(INDEX('Fixture Codes'!$M$8:$M$976,MATCH(S124,'Fixture Codes'!$B$8:$B$976,0)),"")</f>
        <v/>
      </c>
      <c r="U124" s="145" t="str">
        <f>IFERROR(INDEX('Fixture Codes'!$B$7:$M$976,MATCH(T124,'Fixture Codes'!$B$7:$B$976,0),5),"")</f>
        <v/>
      </c>
      <c r="V124" s="160"/>
      <c r="W124" s="145" t="str">
        <f>IFERROR(INDEX('Fixture Codes'!$L$8:$L$976,MATCH(T124,'Fixture Codes'!$B$8:$B$976,0)),"")</f>
        <v/>
      </c>
      <c r="X124" s="158"/>
      <c r="Y124" s="159"/>
      <c r="Z124" s="155" t="str">
        <f>IFERROR(INDEX(Lookups!B$68:B$87,MATCH($X124,Lookups!$A$68:$A$87,0)),"")</f>
        <v/>
      </c>
      <c r="AA124" s="150" t="str">
        <f>IFERROR(INDEX(Lookups!B$42:B$62,MATCH($X124,Lookups!$A$42:$A$62,0)),"")</f>
        <v/>
      </c>
      <c r="AB124" s="150" t="str">
        <f>IFERROR(INDEX(Lookups!C$42:C$62,MATCH($X124,Lookups!$A$42:$A$62,0)),"")</f>
        <v/>
      </c>
      <c r="AC124" s="160"/>
      <c r="AD124" s="160"/>
      <c r="AE124" s="150" t="str">
        <f>IFERROR(INDEX('Fixture Codes'!$B$7:$M$976,MATCH(AD124,'Fixture Codes'!$B$7:$B$976,0),5),"")</f>
        <v/>
      </c>
      <c r="AF124" s="160"/>
      <c r="AG124" s="145" t="str">
        <f>IFERROR(INDEX('Fixture Codes'!$L$8:$L$976,MATCH(AD124,'Fixture Codes'!$B$8:$B$976,0)),"")</f>
        <v/>
      </c>
      <c r="AH124" s="158"/>
      <c r="AI124" s="160"/>
      <c r="AJ124" s="150" t="str">
        <f>IFERROR(INDEX(Lookups!B$68:B$87,MATCH($AH124,Lookups!$A$68:$A$87,0)),"")</f>
        <v/>
      </c>
      <c r="AK124" s="150" t="str">
        <f>IFERROR(INDEX(Lookups!B$42:B$62,MATCH($AH124,Lookups!$A$42:$A$62,0)),"")</f>
        <v/>
      </c>
      <c r="AL124" s="150" t="str">
        <f>IFERROR(INDEX(Lookups!C$42:C$62,MATCH($AH124,Lookups!$A$42:$A$62,0)),"")</f>
        <v/>
      </c>
      <c r="AM124" s="150" t="str">
        <f>IFERROR(IF(M124="Exit Signs",8760,IF(INDEX('Fixture Codes'!$C$8:$C$976,MATCH(AD124,'Fixture Codes'!$B$8:$B$976,0))="Exit Sign",8760,INDEX(Lookups!$I$2:$I$428,MATCH(_xlfn.CONCAT(B124,H124),Lookups!$H$2:$H$428,0)))),"")</f>
        <v/>
      </c>
      <c r="AN124" s="153">
        <v>1</v>
      </c>
      <c r="AO124" s="150" t="str">
        <f>IF($D124="Interior",INDEX(Lookups!Q$2:Q$86,MATCH(_xlfn.CONCAT($C124,$L124),Lookups!$P$2:$P$86,0)),IF($D124="Exterior",1,""))</f>
        <v/>
      </c>
      <c r="AP124" s="150">
        <f t="shared" si="55"/>
        <v>1</v>
      </c>
      <c r="AQ124" s="150" t="str">
        <f>IF($D124="Interior",INDEX(Lookups!R$2:R$86,MATCH(_xlfn.CONCAT($C124,$L124),Lookups!$P$2:$P$86,0)),IF($D124="Exterior",1,""))</f>
        <v/>
      </c>
      <c r="AR124" s="150" t="str">
        <f>IF($D124="Interior",INDEX(Lookups!S$2:S$86,MATCH(_xlfn.CONCAT($C124,$L124),Lookups!$P$2:$P$86,0)),IF($D124="Exterior",1,""))</f>
        <v/>
      </c>
      <c r="AS124" s="150" t="str">
        <f>IF($D124="Interior",INDEX(Lookups!T$2:T$86,MATCH(_xlfn.CONCAT($C124,$L124),Lookups!$P$2:$P$86,0)),IF($D124="Exterior",1,""))</f>
        <v/>
      </c>
      <c r="AT124" s="150" t="str">
        <f>IFERROR(IF(M124="Exit Signs",1,IF(INDEX('Fixture Codes'!$C$8:$C$976,MATCH($AD124,'Fixture Codes'!$B$8:$B$976,0))="Exit Sign",1,INDEX(Lookups!J$2:J$428,MATCH(_xlfn.CONCAT($B124,$H124),Lookups!$H$2:$H$428,0)))),"")</f>
        <v/>
      </c>
      <c r="AU124" s="150" t="str">
        <f>IFERROR(IF(M124="Exit Signs",1,IF(INDEX('Fixture Codes'!$C$8:$C$976,MATCH($AD124,'Fixture Codes'!$B$8:$B$976,0))="Exit Sign",1,INDEX(Lookups!K$2:K$428,MATCH(_xlfn.CONCAT($B124,$H124),Lookups!$H$2:$H$428,0)))),"")</f>
        <v/>
      </c>
      <c r="AV124" s="150" t="str">
        <f>IFERROR(IF(M124="Exit Signs",1,IF(INDEX('Fixture Codes'!$C$8:$C$976,MATCH($AD124,'Fixture Codes'!$B$8:$B$976,0))="Exit Sign",1,INDEX(Lookups!L$2:L$428,MATCH(_xlfn.CONCAT($B124,$H124),Lookups!$H$2:$H$428,0)))),"")</f>
        <v/>
      </c>
      <c r="AW124" s="150" t="str">
        <f>IF(ISBLANK(K124),"",IF(K124="Gas",INDEX(Lookups!$AG$2:$AG$63,MATCH(O124,Lookups!$AD$2:$AD$63,0),0),0))</f>
        <v/>
      </c>
      <c r="AX124" s="150" t="str">
        <f>IF(ISBLANK(K124),"",IF(K124="Gas",INDEX(Lookups!$AF$2:$AF$63,MATCH(O124,Lookups!$AD$2:$AD$63,0),0),0))</f>
        <v/>
      </c>
      <c r="AY124" s="150" t="str">
        <f>IF(ISBLANK(K124),"",IF(K124="Gas",INDEX(Lookups!$AH$2:$AH$63,MATCH(O124,Lookups!$AD$2:$AD$63,0),0),0))</f>
        <v/>
      </c>
      <c r="AZ124" s="150" t="str">
        <f>IF(ISBLANK(K124),"",IF(K124="Gas",INDEX(Lookups!$AI$2:$AI$63,MATCH(O124,Lookups!$AD$2:$AD$63,0),0),0))</f>
        <v/>
      </c>
      <c r="BA124" s="150" t="str">
        <f t="shared" si="40"/>
        <v/>
      </c>
      <c r="BB124" s="156" t="str">
        <f>IF(ISBLANK(AH124),"",IF(AH124="None",0,IF(K124="Gas",INDEX(Lookups!$AF$51:$AF$69,MATCH(AH124,Lookups!$AD$51:$AD$69,0),0),0)))</f>
        <v/>
      </c>
      <c r="BC124" s="156" t="str">
        <f>IF(ISBLANK(AH124),"",IF(AH124="None",0,IF(K124="Gas",INDEX(Lookups!$AH$51:$AH$69,MATCH(AH124,Lookups!$AD$51:$AD$69,0),0),0)))</f>
        <v/>
      </c>
      <c r="BD124" s="156" t="str">
        <f>IF(ISBLANK(AH124),"",IF(AH124="None",0,IF(K124="Gas",INDEX(Lookups!$AI$51:$AI$69,MATCH(AH124,Lookups!$AD$51:$AD$69,0),0),0)))</f>
        <v/>
      </c>
      <c r="BE124" s="157"/>
      <c r="BF124" s="157"/>
      <c r="BG124" s="147" t="str">
        <f t="shared" si="56"/>
        <v/>
      </c>
      <c r="BH124" s="147" t="str">
        <f t="shared" si="57"/>
        <v/>
      </c>
      <c r="BI124" s="147" t="str">
        <f t="shared" si="41"/>
        <v/>
      </c>
      <c r="BJ124" s="147" t="str">
        <f t="shared" si="42"/>
        <v/>
      </c>
      <c r="BK124" s="148" t="str">
        <f t="shared" si="58"/>
        <v/>
      </c>
      <c r="BL124" s="147" t="str">
        <f t="shared" si="43"/>
        <v/>
      </c>
      <c r="BM124" s="148" t="str">
        <f t="shared" si="59"/>
        <v/>
      </c>
      <c r="BN124" s="147" t="str">
        <f t="shared" si="60"/>
        <v/>
      </c>
      <c r="BO124" s="147" t="str">
        <f t="shared" si="60"/>
        <v/>
      </c>
      <c r="BP124" s="147" t="str">
        <f t="shared" si="61"/>
        <v/>
      </c>
      <c r="BQ124" s="148" t="str">
        <f t="shared" si="62"/>
        <v/>
      </c>
      <c r="BR124" s="148" t="str">
        <f t="shared" si="63"/>
        <v/>
      </c>
      <c r="BS124" s="148" t="str">
        <f t="shared" si="64"/>
        <v/>
      </c>
      <c r="BT124" s="148" t="str">
        <f t="shared" si="44"/>
        <v/>
      </c>
      <c r="BU124" s="148" t="str">
        <f t="shared" si="45"/>
        <v/>
      </c>
      <c r="BV124" s="148" t="str">
        <f t="shared" si="46"/>
        <v/>
      </c>
      <c r="BW124" s="148" t="str">
        <f t="shared" si="47"/>
        <v/>
      </c>
      <c r="BX124" s="148" t="str">
        <f t="shared" si="48"/>
        <v/>
      </c>
      <c r="BY124" s="148" t="str">
        <f t="shared" si="49"/>
        <v/>
      </c>
      <c r="BZ124" s="149" t="str">
        <f>IFERROR(INDEX('Prescriptive Rebate Table'!$B$2:$E$64,MATCH(O124,'Prescriptive Rebate Table'!$C$2:$C$64,0),3),"")</f>
        <v/>
      </c>
      <c r="CA124" s="145" t="str">
        <f>IFERROR(INDEX('Prescriptive Rebate Table'!$B$2:$E$64,MATCH(O124,'Prescriptive Rebate Table'!$C$2:$C$64,0),4),"")</f>
        <v/>
      </c>
      <c r="CB124" s="149" t="str">
        <f t="shared" si="65"/>
        <v/>
      </c>
      <c r="CC124" s="145" t="str">
        <f t="shared" si="66"/>
        <v/>
      </c>
      <c r="CD124" s="149" t="str">
        <f t="shared" si="50"/>
        <v/>
      </c>
      <c r="CE124" s="149" t="str">
        <f t="shared" si="51"/>
        <v/>
      </c>
      <c r="CF124" s="149" t="str">
        <f>IF(BK124&lt;=0,0,IFERROR(IF(OR(ISBLANK(AC124),ISBLANK(CD124))=TRUE,"",IF(CA124="Per Foot",INDEX('Fixture Codes'!$I$8:$I$976,MATCH(AD124,'Fixture Codes'!$B$8:$B$976,0))/12*AF124*BZ124,IF(CA124="Lamp",INDEX('Fixture Codes'!$J$8:$J$976,MATCH(AD124,'Fixture Codes'!$B$8:$B$976,0))*AF124*BZ124,IF(CA124="Fixture",AF124*BZ124,IF(CA124="kWh",BK124*BZ124,0))))),""))</f>
        <v/>
      </c>
      <c r="CG124" s="149" t="str">
        <f t="shared" si="67"/>
        <v/>
      </c>
      <c r="CH124" s="149" t="str">
        <f t="shared" si="68"/>
        <v/>
      </c>
      <c r="CI124" s="152"/>
      <c r="CJ124" s="146"/>
      <c r="CK124" s="241">
        <f>IFERROR(IF(CL124="Yes",'Prescriptive Rebate Table'!$D$69,IF(ISBLANK(AI124),0,IF(AND(AH124=Lookups!$A$62,BK124&gt;0),'Prescriptive Rebate Table'!$D$68,IF(AND(BK124&gt;0,CJ124=AF124),'Prescriptive Rebate Table'!$D$67,IF(AND(BK124&gt;0,CJ124&lt;&gt;AF124),'Prescriptive Rebate Table'!D183,0))))),"")</f>
        <v>0</v>
      </c>
      <c r="CL124" s="240" t="s">
        <v>2712</v>
      </c>
      <c r="CM124" s="152"/>
      <c r="CN124" s="152"/>
      <c r="CO124" s="152"/>
      <c r="CP124" s="146">
        <f t="shared" si="52"/>
        <v>0</v>
      </c>
      <c r="CQ124" s="153">
        <f>IF(D124="Interior",ROUND(($AG124*AF124)/1000*$AM124*(Lookups!$B$54-$AA124)*$AN124*$AO124,3),0)</f>
        <v>0</v>
      </c>
      <c r="CR124" s="153">
        <f>IFERROR(IF(D124="Interior",ROUND(($AG124*$AF124)/1000*(Lookups!$C$54-$AB124)*$AN124*AQ124*AT124,6),0),"")</f>
        <v>0</v>
      </c>
      <c r="CS124" s="165">
        <f t="shared" si="69"/>
        <v>0</v>
      </c>
      <c r="CT124" s="165">
        <f t="shared" si="70"/>
        <v>0</v>
      </c>
      <c r="CV124" s="153"/>
      <c r="CW124" s="153"/>
      <c r="CX124" s="165"/>
      <c r="CY124" s="165"/>
      <c r="DA124" s="153">
        <f>IF(D124="Interior",ROUND(($AG124*AF124*(1-0.15))/1000*$AM124*(Lookups!$B$43+0.097-$AA124)*$AN124*$AO124+((W124*V124)/1000*AN124*AM124*AO124*0.15),3),0)</f>
        <v>0</v>
      </c>
      <c r="DB124" s="153">
        <f>IFERROR(IF(D124="Interior",ROUND(($AG124*$AF124)/1000*(Lookups!$C$43+0.097-$AB124)*$AN124*AQ124*AT124+(($AG124*$AF124)/1000*$AN124*AQ124*AT124*0.15),6),0),"")</f>
        <v>0</v>
      </c>
      <c r="DC124" s="165">
        <f t="shared" si="71"/>
        <v>0</v>
      </c>
      <c r="DD124" s="165">
        <f t="shared" si="72"/>
        <v>0</v>
      </c>
    </row>
    <row r="125" spans="1:108" s="164" customFormat="1">
      <c r="A125" s="150">
        <v>121</v>
      </c>
      <c r="B125" s="153" t="str">
        <f>IFERROR(INDEX(Lookups!$B$2:$B$38,MATCH('Project Info &amp; Summary'!$C$19,Lookups!$A$2:$A$38,0)),"")</f>
        <v/>
      </c>
      <c r="C125" s="153" t="str">
        <f>IFERROR(INDEX(Lookups!$C$2:$C$38,MATCH('Project Info &amp; Summary'!$C$19,Lookups!$A$2:$A$38,0)),"")</f>
        <v/>
      </c>
      <c r="D125" s="163"/>
      <c r="E125" s="160"/>
      <c r="F125" s="158"/>
      <c r="G125" s="158"/>
      <c r="H125" s="158"/>
      <c r="I125" s="158"/>
      <c r="J125" s="154" t="str">
        <f>IFERROR(INDEX(Lookups!$W$21:$W$26,MATCH(I125,Lookups!$V$21:$V$26,0)),"")</f>
        <v/>
      </c>
      <c r="K125" s="158"/>
      <c r="L125" s="162" t="str">
        <f>IFERROR(INDEX(Lookups!$Y$2:$Y$19,MATCH(_xlfn.CONCAT(I125,K125),Lookups!$X$2:$X$19,0)),"")</f>
        <v/>
      </c>
      <c r="M125" s="158"/>
      <c r="N125" s="153" t="str">
        <f>IFERROR(INDEX('Prescriptive Rebate Table'!$M$3:$M$20,MATCH(M125,'Prescriptive Rebate Table'!$L$3:$L$20,0)),"")</f>
        <v/>
      </c>
      <c r="O125" s="158"/>
      <c r="P125" s="154" t="str">
        <f>IFERROR(INDEX('Prescriptive Rebate Table'!$B$2:$H$64, MATCH(O125,'Prescriptive Rebate Table'!$C$2:$C$64,0),7),"")</f>
        <v/>
      </c>
      <c r="Q125" s="155" t="str">
        <f>IFERROR(INDEX('Prescriptive Rebate Table'!$B$2:$I$64, MATCH(O125,'Prescriptive Rebate Table'!$C$2:$C$64,0),8),"")</f>
        <v/>
      </c>
      <c r="R125" s="155" t="str">
        <f>IFERROR(INDEX('Prescriptive Rebate Table'!$B$2:$J$64, MATCH(O125,'Prescriptive Rebate Table'!$C$2:$C$64,0),9),"")</f>
        <v/>
      </c>
      <c r="S125" s="160"/>
      <c r="T125" s="145" t="str">
        <f>IFERROR(INDEX('Fixture Codes'!$M$8:$M$976,MATCH(S125,'Fixture Codes'!$B$8:$B$976,0)),"")</f>
        <v/>
      </c>
      <c r="U125" s="145" t="str">
        <f>IFERROR(INDEX('Fixture Codes'!$B$7:$M$976,MATCH(T125,'Fixture Codes'!$B$7:$B$976,0),5),"")</f>
        <v/>
      </c>
      <c r="V125" s="160"/>
      <c r="W125" s="145" t="str">
        <f>IFERROR(INDEX('Fixture Codes'!$L$8:$L$976,MATCH(T125,'Fixture Codes'!$B$8:$B$976,0)),"")</f>
        <v/>
      </c>
      <c r="X125" s="158"/>
      <c r="Y125" s="159"/>
      <c r="Z125" s="155" t="str">
        <f>IFERROR(INDEX(Lookups!B$68:B$87,MATCH($X125,Lookups!$A$68:$A$87,0)),"")</f>
        <v/>
      </c>
      <c r="AA125" s="150" t="str">
        <f>IFERROR(INDEX(Lookups!B$42:B$62,MATCH($X125,Lookups!$A$42:$A$62,0)),"")</f>
        <v/>
      </c>
      <c r="AB125" s="150" t="str">
        <f>IFERROR(INDEX(Lookups!C$42:C$62,MATCH($X125,Lookups!$A$42:$A$62,0)),"")</f>
        <v/>
      </c>
      <c r="AC125" s="160"/>
      <c r="AD125" s="160"/>
      <c r="AE125" s="150" t="str">
        <f>IFERROR(INDEX('Fixture Codes'!$B$7:$M$976,MATCH(AD125,'Fixture Codes'!$B$7:$B$976,0),5),"")</f>
        <v/>
      </c>
      <c r="AF125" s="160"/>
      <c r="AG125" s="145" t="str">
        <f>IFERROR(INDEX('Fixture Codes'!$L$8:$L$976,MATCH(AD125,'Fixture Codes'!$B$8:$B$976,0)),"")</f>
        <v/>
      </c>
      <c r="AH125" s="158"/>
      <c r="AI125" s="160"/>
      <c r="AJ125" s="150" t="str">
        <f>IFERROR(INDEX(Lookups!B$68:B$87,MATCH($AH125,Lookups!$A$68:$A$87,0)),"")</f>
        <v/>
      </c>
      <c r="AK125" s="150" t="str">
        <f>IFERROR(INDEX(Lookups!B$42:B$62,MATCH($AH125,Lookups!$A$42:$A$62,0)),"")</f>
        <v/>
      </c>
      <c r="AL125" s="150" t="str">
        <f>IFERROR(INDEX(Lookups!C$42:C$62,MATCH($AH125,Lookups!$A$42:$A$62,0)),"")</f>
        <v/>
      </c>
      <c r="AM125" s="150" t="str">
        <f>IFERROR(IF(M125="Exit Signs",8760,IF(INDEX('Fixture Codes'!$C$8:$C$976,MATCH(AD125,'Fixture Codes'!$B$8:$B$976,0))="Exit Sign",8760,INDEX(Lookups!$I$2:$I$428,MATCH(_xlfn.CONCAT(B125,H125),Lookups!$H$2:$H$428,0)))),"")</f>
        <v/>
      </c>
      <c r="AN125" s="153">
        <v>1</v>
      </c>
      <c r="AO125" s="150" t="str">
        <f>IF($D125="Interior",INDEX(Lookups!Q$2:Q$86,MATCH(_xlfn.CONCAT($C125,$L125),Lookups!$P$2:$P$86,0)),IF($D125="Exterior",1,""))</f>
        <v/>
      </c>
      <c r="AP125" s="150">
        <f t="shared" si="55"/>
        <v>1</v>
      </c>
      <c r="AQ125" s="150" t="str">
        <f>IF($D125="Interior",INDEX(Lookups!R$2:R$86,MATCH(_xlfn.CONCAT($C125,$L125),Lookups!$P$2:$P$86,0)),IF($D125="Exterior",1,""))</f>
        <v/>
      </c>
      <c r="AR125" s="150" t="str">
        <f>IF($D125="Interior",INDEX(Lookups!S$2:S$86,MATCH(_xlfn.CONCAT($C125,$L125),Lookups!$P$2:$P$86,0)),IF($D125="Exterior",1,""))</f>
        <v/>
      </c>
      <c r="AS125" s="150" t="str">
        <f>IF($D125="Interior",INDEX(Lookups!T$2:T$86,MATCH(_xlfn.CONCAT($C125,$L125),Lookups!$P$2:$P$86,0)),IF($D125="Exterior",1,""))</f>
        <v/>
      </c>
      <c r="AT125" s="150" t="str">
        <f>IFERROR(IF(M125="Exit Signs",1,IF(INDEX('Fixture Codes'!$C$8:$C$976,MATCH($AD125,'Fixture Codes'!$B$8:$B$976,0))="Exit Sign",1,INDEX(Lookups!J$2:J$428,MATCH(_xlfn.CONCAT($B125,$H125),Lookups!$H$2:$H$428,0)))),"")</f>
        <v/>
      </c>
      <c r="AU125" s="150" t="str">
        <f>IFERROR(IF(M125="Exit Signs",1,IF(INDEX('Fixture Codes'!$C$8:$C$976,MATCH($AD125,'Fixture Codes'!$B$8:$B$976,0))="Exit Sign",1,INDEX(Lookups!K$2:K$428,MATCH(_xlfn.CONCAT($B125,$H125),Lookups!$H$2:$H$428,0)))),"")</f>
        <v/>
      </c>
      <c r="AV125" s="150" t="str">
        <f>IFERROR(IF(M125="Exit Signs",1,IF(INDEX('Fixture Codes'!$C$8:$C$976,MATCH($AD125,'Fixture Codes'!$B$8:$B$976,0))="Exit Sign",1,INDEX(Lookups!L$2:L$428,MATCH(_xlfn.CONCAT($B125,$H125),Lookups!$H$2:$H$428,0)))),"")</f>
        <v/>
      </c>
      <c r="AW125" s="150" t="str">
        <f>IF(ISBLANK(K125),"",IF(K125="Gas",INDEX(Lookups!$AG$2:$AG$63,MATCH(O125,Lookups!$AD$2:$AD$63,0),0),0))</f>
        <v/>
      </c>
      <c r="AX125" s="150" t="str">
        <f>IF(ISBLANK(K125),"",IF(K125="Gas",INDEX(Lookups!$AF$2:$AF$63,MATCH(O125,Lookups!$AD$2:$AD$63,0),0),0))</f>
        <v/>
      </c>
      <c r="AY125" s="150" t="str">
        <f>IF(ISBLANK(K125),"",IF(K125="Gas",INDEX(Lookups!$AH$2:$AH$63,MATCH(O125,Lookups!$AD$2:$AD$63,0),0),0))</f>
        <v/>
      </c>
      <c r="AZ125" s="150" t="str">
        <f>IF(ISBLANK(K125),"",IF(K125="Gas",INDEX(Lookups!$AI$2:$AI$63,MATCH(O125,Lookups!$AD$2:$AD$63,0),0),0))</f>
        <v/>
      </c>
      <c r="BA125" s="150" t="str">
        <f t="shared" si="40"/>
        <v/>
      </c>
      <c r="BB125" s="156" t="str">
        <f>IF(ISBLANK(AH125),"",IF(AH125="None",0,IF(K125="Gas",INDEX(Lookups!$AF$51:$AF$69,MATCH(AH125,Lookups!$AD$51:$AD$69,0),0),0)))</f>
        <v/>
      </c>
      <c r="BC125" s="156" t="str">
        <f>IF(ISBLANK(AH125),"",IF(AH125="None",0,IF(K125="Gas",INDEX(Lookups!$AH$51:$AH$69,MATCH(AH125,Lookups!$AD$51:$AD$69,0),0),0)))</f>
        <v/>
      </c>
      <c r="BD125" s="156" t="str">
        <f>IF(ISBLANK(AH125),"",IF(AH125="None",0,IF(K125="Gas",INDEX(Lookups!$AI$51:$AI$69,MATCH(AH125,Lookups!$AD$51:$AD$69,0),0),0)))</f>
        <v/>
      </c>
      <c r="BE125" s="157"/>
      <c r="BF125" s="157"/>
      <c r="BG125" s="147" t="str">
        <f t="shared" si="56"/>
        <v/>
      </c>
      <c r="BH125" s="147" t="str">
        <f t="shared" si="57"/>
        <v/>
      </c>
      <c r="BI125" s="147" t="str">
        <f t="shared" si="41"/>
        <v/>
      </c>
      <c r="BJ125" s="147" t="str">
        <f t="shared" si="42"/>
        <v/>
      </c>
      <c r="BK125" s="148" t="str">
        <f t="shared" si="58"/>
        <v/>
      </c>
      <c r="BL125" s="147" t="str">
        <f t="shared" si="43"/>
        <v/>
      </c>
      <c r="BM125" s="148" t="str">
        <f t="shared" si="59"/>
        <v/>
      </c>
      <c r="BN125" s="147" t="str">
        <f t="shared" si="60"/>
        <v/>
      </c>
      <c r="BO125" s="147" t="str">
        <f t="shared" si="60"/>
        <v/>
      </c>
      <c r="BP125" s="147" t="str">
        <f t="shared" si="61"/>
        <v/>
      </c>
      <c r="BQ125" s="148" t="str">
        <f t="shared" si="62"/>
        <v/>
      </c>
      <c r="BR125" s="148" t="str">
        <f t="shared" si="63"/>
        <v/>
      </c>
      <c r="BS125" s="148" t="str">
        <f t="shared" si="64"/>
        <v/>
      </c>
      <c r="BT125" s="148" t="str">
        <f t="shared" si="44"/>
        <v/>
      </c>
      <c r="BU125" s="148" t="str">
        <f t="shared" si="45"/>
        <v/>
      </c>
      <c r="BV125" s="148" t="str">
        <f t="shared" si="46"/>
        <v/>
      </c>
      <c r="BW125" s="148" t="str">
        <f t="shared" si="47"/>
        <v/>
      </c>
      <c r="BX125" s="148" t="str">
        <f t="shared" si="48"/>
        <v/>
      </c>
      <c r="BY125" s="148" t="str">
        <f t="shared" si="49"/>
        <v/>
      </c>
      <c r="BZ125" s="149" t="str">
        <f>IFERROR(INDEX('Prescriptive Rebate Table'!$B$2:$E$64,MATCH(O125,'Prescriptive Rebate Table'!$C$2:$C$64,0),3),"")</f>
        <v/>
      </c>
      <c r="CA125" s="145" t="str">
        <f>IFERROR(INDEX('Prescriptive Rebate Table'!$B$2:$E$64,MATCH(O125,'Prescriptive Rebate Table'!$C$2:$C$64,0),4),"")</f>
        <v/>
      </c>
      <c r="CB125" s="149" t="str">
        <f t="shared" si="65"/>
        <v/>
      </c>
      <c r="CC125" s="145" t="str">
        <f t="shared" si="66"/>
        <v/>
      </c>
      <c r="CD125" s="149" t="str">
        <f t="shared" si="50"/>
        <v/>
      </c>
      <c r="CE125" s="149" t="str">
        <f t="shared" si="51"/>
        <v/>
      </c>
      <c r="CF125" s="149" t="str">
        <f>IF(BK125&lt;=0,0,IFERROR(IF(OR(ISBLANK(AC125),ISBLANK(CD125))=TRUE,"",IF(CA125="Per Foot",INDEX('Fixture Codes'!$I$8:$I$976,MATCH(AD125,'Fixture Codes'!$B$8:$B$976,0))/12*AF125*BZ125,IF(CA125="Lamp",INDEX('Fixture Codes'!$J$8:$J$976,MATCH(AD125,'Fixture Codes'!$B$8:$B$976,0))*AF125*BZ125,IF(CA125="Fixture",AF125*BZ125,IF(CA125="kWh",BK125*BZ125,0))))),""))</f>
        <v/>
      </c>
      <c r="CG125" s="149" t="str">
        <f t="shared" si="67"/>
        <v/>
      </c>
      <c r="CH125" s="149" t="str">
        <f t="shared" si="68"/>
        <v/>
      </c>
      <c r="CI125" s="152"/>
      <c r="CJ125" s="146"/>
      <c r="CK125" s="241">
        <f>IFERROR(IF(CL125="Yes",'Prescriptive Rebate Table'!$D$69,IF(ISBLANK(AI125),0,IF(AND(AH125=Lookups!$A$62,BK125&gt;0),'Prescriptive Rebate Table'!$D$68,IF(AND(BK125&gt;0,CJ125=AF125),'Prescriptive Rebate Table'!$D$67,IF(AND(BK125&gt;0,CJ125&lt;&gt;AF125),'Prescriptive Rebate Table'!D184,0))))),"")</f>
        <v>0</v>
      </c>
      <c r="CL125" s="240" t="s">
        <v>2712</v>
      </c>
      <c r="CM125" s="152"/>
      <c r="CN125" s="152"/>
      <c r="CO125" s="152"/>
      <c r="CP125" s="146">
        <f t="shared" si="52"/>
        <v>0</v>
      </c>
      <c r="CQ125" s="153">
        <f>IF(D125="Interior",ROUND(($AG125*AF125)/1000*$AM125*(Lookups!$B$54-$AA125)*$AN125*$AO125,3),0)</f>
        <v>0</v>
      </c>
      <c r="CR125" s="153">
        <f>IFERROR(IF(D125="Interior",ROUND(($AG125*$AF125)/1000*(Lookups!$C$54-$AB125)*$AN125*AQ125*AT125,6),0),"")</f>
        <v>0</v>
      </c>
      <c r="CS125" s="165">
        <f t="shared" si="69"/>
        <v>0</v>
      </c>
      <c r="CT125" s="165">
        <f t="shared" si="70"/>
        <v>0</v>
      </c>
      <c r="CV125" s="153"/>
      <c r="CW125" s="153"/>
      <c r="CX125" s="165"/>
      <c r="CY125" s="165"/>
      <c r="DA125" s="153">
        <f>IF(D125="Interior",ROUND(($AG125*AF125*(1-0.15))/1000*$AM125*(Lookups!$B$43+0.097-$AA125)*$AN125*$AO125+((W125*V125)/1000*AN125*AM125*AO125*0.15),3),0)</f>
        <v>0</v>
      </c>
      <c r="DB125" s="153">
        <f>IFERROR(IF(D125="Interior",ROUND(($AG125*$AF125)/1000*(Lookups!$C$43+0.097-$AB125)*$AN125*AQ125*AT125+(($AG125*$AF125)/1000*$AN125*AQ125*AT125*0.15),6),0),"")</f>
        <v>0</v>
      </c>
      <c r="DC125" s="165">
        <f t="shared" si="71"/>
        <v>0</v>
      </c>
      <c r="DD125" s="165">
        <f t="shared" si="72"/>
        <v>0</v>
      </c>
    </row>
    <row r="126" spans="1:108" s="164" customFormat="1">
      <c r="A126" s="150">
        <v>122</v>
      </c>
      <c r="B126" s="153" t="str">
        <f>IFERROR(INDEX(Lookups!$B$2:$B$38,MATCH('Project Info &amp; Summary'!$C$19,Lookups!$A$2:$A$38,0)),"")</f>
        <v/>
      </c>
      <c r="C126" s="153" t="str">
        <f>IFERROR(INDEX(Lookups!$C$2:$C$38,MATCH('Project Info &amp; Summary'!$C$19,Lookups!$A$2:$A$38,0)),"")</f>
        <v/>
      </c>
      <c r="D126" s="163"/>
      <c r="E126" s="160"/>
      <c r="F126" s="158"/>
      <c r="G126" s="158"/>
      <c r="H126" s="158"/>
      <c r="I126" s="158"/>
      <c r="J126" s="154" t="str">
        <f>IFERROR(INDEX(Lookups!$W$21:$W$26,MATCH(I126,Lookups!$V$21:$V$26,0)),"")</f>
        <v/>
      </c>
      <c r="K126" s="158"/>
      <c r="L126" s="162" t="str">
        <f>IFERROR(INDEX(Lookups!$Y$2:$Y$19,MATCH(_xlfn.CONCAT(I126,K126),Lookups!$X$2:$X$19,0)),"")</f>
        <v/>
      </c>
      <c r="M126" s="158"/>
      <c r="N126" s="153" t="str">
        <f>IFERROR(INDEX('Prescriptive Rebate Table'!$M$3:$M$20,MATCH(M126,'Prescriptive Rebate Table'!$L$3:$L$20,0)),"")</f>
        <v/>
      </c>
      <c r="O126" s="158"/>
      <c r="P126" s="154" t="str">
        <f>IFERROR(INDEX('Prescriptive Rebate Table'!$B$2:$H$64, MATCH(O126,'Prescriptive Rebate Table'!$C$2:$C$64,0),7),"")</f>
        <v/>
      </c>
      <c r="Q126" s="155" t="str">
        <f>IFERROR(INDEX('Prescriptive Rebate Table'!$B$2:$I$64, MATCH(O126,'Prescriptive Rebate Table'!$C$2:$C$64,0),8),"")</f>
        <v/>
      </c>
      <c r="R126" s="155" t="str">
        <f>IFERROR(INDEX('Prescriptive Rebate Table'!$B$2:$J$64, MATCH(O126,'Prescriptive Rebate Table'!$C$2:$C$64,0),9),"")</f>
        <v/>
      </c>
      <c r="S126" s="160"/>
      <c r="T126" s="145" t="str">
        <f>IFERROR(INDEX('Fixture Codes'!$M$8:$M$976,MATCH(S126,'Fixture Codes'!$B$8:$B$976,0)),"")</f>
        <v/>
      </c>
      <c r="U126" s="145" t="str">
        <f>IFERROR(INDEX('Fixture Codes'!$B$7:$M$976,MATCH(T126,'Fixture Codes'!$B$7:$B$976,0),5),"")</f>
        <v/>
      </c>
      <c r="V126" s="160"/>
      <c r="W126" s="145" t="str">
        <f>IFERROR(INDEX('Fixture Codes'!$L$8:$L$976,MATCH(T126,'Fixture Codes'!$B$8:$B$976,0)),"")</f>
        <v/>
      </c>
      <c r="X126" s="158"/>
      <c r="Y126" s="159"/>
      <c r="Z126" s="155" t="str">
        <f>IFERROR(INDEX(Lookups!B$68:B$87,MATCH($X126,Lookups!$A$68:$A$87,0)),"")</f>
        <v/>
      </c>
      <c r="AA126" s="150" t="str">
        <f>IFERROR(INDEX(Lookups!B$42:B$62,MATCH($X126,Lookups!$A$42:$A$62,0)),"")</f>
        <v/>
      </c>
      <c r="AB126" s="150" t="str">
        <f>IFERROR(INDEX(Lookups!C$42:C$62,MATCH($X126,Lookups!$A$42:$A$62,0)),"")</f>
        <v/>
      </c>
      <c r="AC126" s="160"/>
      <c r="AD126" s="160"/>
      <c r="AE126" s="150" t="str">
        <f>IFERROR(INDEX('Fixture Codes'!$B$7:$M$976,MATCH(AD126,'Fixture Codes'!$B$7:$B$976,0),5),"")</f>
        <v/>
      </c>
      <c r="AF126" s="160"/>
      <c r="AG126" s="145" t="str">
        <f>IFERROR(INDEX('Fixture Codes'!$L$8:$L$976,MATCH(AD126,'Fixture Codes'!$B$8:$B$976,0)),"")</f>
        <v/>
      </c>
      <c r="AH126" s="158"/>
      <c r="AI126" s="160"/>
      <c r="AJ126" s="150" t="str">
        <f>IFERROR(INDEX(Lookups!B$68:B$87,MATCH($AH126,Lookups!$A$68:$A$87,0)),"")</f>
        <v/>
      </c>
      <c r="AK126" s="150" t="str">
        <f>IFERROR(INDEX(Lookups!B$42:B$62,MATCH($AH126,Lookups!$A$42:$A$62,0)),"")</f>
        <v/>
      </c>
      <c r="AL126" s="150" t="str">
        <f>IFERROR(INDEX(Lookups!C$42:C$62,MATCH($AH126,Lookups!$A$42:$A$62,0)),"")</f>
        <v/>
      </c>
      <c r="AM126" s="150" t="str">
        <f>IFERROR(IF(M126="Exit Signs",8760,IF(INDEX('Fixture Codes'!$C$8:$C$976,MATCH(AD126,'Fixture Codes'!$B$8:$B$976,0))="Exit Sign",8760,INDEX(Lookups!$I$2:$I$428,MATCH(_xlfn.CONCAT(B126,H126),Lookups!$H$2:$H$428,0)))),"")</f>
        <v/>
      </c>
      <c r="AN126" s="153">
        <v>1</v>
      </c>
      <c r="AO126" s="150" t="str">
        <f>IF($D126="Interior",INDEX(Lookups!Q$2:Q$86,MATCH(_xlfn.CONCAT($C126,$L126),Lookups!$P$2:$P$86,0)),IF($D126="Exterior",1,""))</f>
        <v/>
      </c>
      <c r="AP126" s="150">
        <f t="shared" si="55"/>
        <v>1</v>
      </c>
      <c r="AQ126" s="150" t="str">
        <f>IF($D126="Interior",INDEX(Lookups!R$2:R$86,MATCH(_xlfn.CONCAT($C126,$L126),Lookups!$P$2:$P$86,0)),IF($D126="Exterior",1,""))</f>
        <v/>
      </c>
      <c r="AR126" s="150" t="str">
        <f>IF($D126="Interior",INDEX(Lookups!S$2:S$86,MATCH(_xlfn.CONCAT($C126,$L126),Lookups!$P$2:$P$86,0)),IF($D126="Exterior",1,""))</f>
        <v/>
      </c>
      <c r="AS126" s="150" t="str">
        <f>IF($D126="Interior",INDEX(Lookups!T$2:T$86,MATCH(_xlfn.CONCAT($C126,$L126),Lookups!$P$2:$P$86,0)),IF($D126="Exterior",1,""))</f>
        <v/>
      </c>
      <c r="AT126" s="150" t="str">
        <f>IFERROR(IF(M126="Exit Signs",1,IF(INDEX('Fixture Codes'!$C$8:$C$976,MATCH($AD126,'Fixture Codes'!$B$8:$B$976,0))="Exit Sign",1,INDEX(Lookups!J$2:J$428,MATCH(_xlfn.CONCAT($B126,$H126),Lookups!$H$2:$H$428,0)))),"")</f>
        <v/>
      </c>
      <c r="AU126" s="150" t="str">
        <f>IFERROR(IF(M126="Exit Signs",1,IF(INDEX('Fixture Codes'!$C$8:$C$976,MATCH($AD126,'Fixture Codes'!$B$8:$B$976,0))="Exit Sign",1,INDEX(Lookups!K$2:K$428,MATCH(_xlfn.CONCAT($B126,$H126),Lookups!$H$2:$H$428,0)))),"")</f>
        <v/>
      </c>
      <c r="AV126" s="150" t="str">
        <f>IFERROR(IF(M126="Exit Signs",1,IF(INDEX('Fixture Codes'!$C$8:$C$976,MATCH($AD126,'Fixture Codes'!$B$8:$B$976,0))="Exit Sign",1,INDEX(Lookups!L$2:L$428,MATCH(_xlfn.CONCAT($B126,$H126),Lookups!$H$2:$H$428,0)))),"")</f>
        <v/>
      </c>
      <c r="AW126" s="150" t="str">
        <f>IF(ISBLANK(K126),"",IF(K126="Gas",INDEX(Lookups!$AG$2:$AG$63,MATCH(O126,Lookups!$AD$2:$AD$63,0),0),0))</f>
        <v/>
      </c>
      <c r="AX126" s="150" t="str">
        <f>IF(ISBLANK(K126),"",IF(K126="Gas",INDEX(Lookups!$AF$2:$AF$63,MATCH(O126,Lookups!$AD$2:$AD$63,0),0),0))</f>
        <v/>
      </c>
      <c r="AY126" s="150" t="str">
        <f>IF(ISBLANK(K126),"",IF(K126="Gas",INDEX(Lookups!$AH$2:$AH$63,MATCH(O126,Lookups!$AD$2:$AD$63,0),0),0))</f>
        <v/>
      </c>
      <c r="AZ126" s="150" t="str">
        <f>IF(ISBLANK(K126),"",IF(K126="Gas",INDEX(Lookups!$AI$2:$AI$63,MATCH(O126,Lookups!$AD$2:$AD$63,0),0),0))</f>
        <v/>
      </c>
      <c r="BA126" s="150" t="str">
        <f t="shared" si="40"/>
        <v/>
      </c>
      <c r="BB126" s="156" t="str">
        <f>IF(ISBLANK(AH126),"",IF(AH126="None",0,IF(K126="Gas",INDEX(Lookups!$AF$51:$AF$69,MATCH(AH126,Lookups!$AD$51:$AD$69,0),0),0)))</f>
        <v/>
      </c>
      <c r="BC126" s="156" t="str">
        <f>IF(ISBLANK(AH126),"",IF(AH126="None",0,IF(K126="Gas",INDEX(Lookups!$AH$51:$AH$69,MATCH(AH126,Lookups!$AD$51:$AD$69,0),0),0)))</f>
        <v/>
      </c>
      <c r="BD126" s="156" t="str">
        <f>IF(ISBLANK(AH126),"",IF(AH126="None",0,IF(K126="Gas",INDEX(Lookups!$AI$51:$AI$69,MATCH(AH126,Lookups!$AD$51:$AD$69,0),0),0)))</f>
        <v/>
      </c>
      <c r="BE126" s="157"/>
      <c r="BF126" s="157"/>
      <c r="BG126" s="147" t="str">
        <f t="shared" si="56"/>
        <v/>
      </c>
      <c r="BH126" s="147" t="str">
        <f t="shared" si="57"/>
        <v/>
      </c>
      <c r="BI126" s="147" t="str">
        <f t="shared" si="41"/>
        <v/>
      </c>
      <c r="BJ126" s="147" t="str">
        <f t="shared" si="42"/>
        <v/>
      </c>
      <c r="BK126" s="148" t="str">
        <f t="shared" si="58"/>
        <v/>
      </c>
      <c r="BL126" s="147" t="str">
        <f t="shared" si="43"/>
        <v/>
      </c>
      <c r="BM126" s="148" t="str">
        <f t="shared" si="59"/>
        <v/>
      </c>
      <c r="BN126" s="147" t="str">
        <f t="shared" si="60"/>
        <v/>
      </c>
      <c r="BO126" s="147" t="str">
        <f t="shared" si="60"/>
        <v/>
      </c>
      <c r="BP126" s="147" t="str">
        <f t="shared" si="61"/>
        <v/>
      </c>
      <c r="BQ126" s="148" t="str">
        <f t="shared" si="62"/>
        <v/>
      </c>
      <c r="BR126" s="148" t="str">
        <f t="shared" si="63"/>
        <v/>
      </c>
      <c r="BS126" s="148" t="str">
        <f t="shared" si="64"/>
        <v/>
      </c>
      <c r="BT126" s="148" t="str">
        <f t="shared" si="44"/>
        <v/>
      </c>
      <c r="BU126" s="148" t="str">
        <f t="shared" si="45"/>
        <v/>
      </c>
      <c r="BV126" s="148" t="str">
        <f t="shared" si="46"/>
        <v/>
      </c>
      <c r="BW126" s="148" t="str">
        <f t="shared" si="47"/>
        <v/>
      </c>
      <c r="BX126" s="148" t="str">
        <f t="shared" si="48"/>
        <v/>
      </c>
      <c r="BY126" s="148" t="str">
        <f t="shared" si="49"/>
        <v/>
      </c>
      <c r="BZ126" s="149" t="str">
        <f>IFERROR(INDEX('Prescriptive Rebate Table'!$B$2:$E$64,MATCH(O126,'Prescriptive Rebate Table'!$C$2:$C$64,0),3),"")</f>
        <v/>
      </c>
      <c r="CA126" s="145" t="str">
        <f>IFERROR(INDEX('Prescriptive Rebate Table'!$B$2:$E$64,MATCH(O126,'Prescriptive Rebate Table'!$C$2:$C$64,0),4),"")</f>
        <v/>
      </c>
      <c r="CB126" s="149" t="str">
        <f t="shared" si="65"/>
        <v/>
      </c>
      <c r="CC126" s="145" t="str">
        <f t="shared" si="66"/>
        <v/>
      </c>
      <c r="CD126" s="149" t="str">
        <f t="shared" si="50"/>
        <v/>
      </c>
      <c r="CE126" s="149" t="str">
        <f t="shared" si="51"/>
        <v/>
      </c>
      <c r="CF126" s="149" t="str">
        <f>IF(BK126&lt;=0,0,IFERROR(IF(OR(ISBLANK(AC126),ISBLANK(CD126))=TRUE,"",IF(CA126="Per Foot",INDEX('Fixture Codes'!$I$8:$I$976,MATCH(AD126,'Fixture Codes'!$B$8:$B$976,0))/12*AF126*BZ126,IF(CA126="Lamp",INDEX('Fixture Codes'!$J$8:$J$976,MATCH(AD126,'Fixture Codes'!$B$8:$B$976,0))*AF126*BZ126,IF(CA126="Fixture",AF126*BZ126,IF(CA126="kWh",BK126*BZ126,0))))),""))</f>
        <v/>
      </c>
      <c r="CG126" s="149" t="str">
        <f t="shared" si="67"/>
        <v/>
      </c>
      <c r="CH126" s="149" t="str">
        <f t="shared" si="68"/>
        <v/>
      </c>
      <c r="CI126" s="152"/>
      <c r="CJ126" s="146"/>
      <c r="CK126" s="241">
        <f>IFERROR(IF(CL126="Yes",'Prescriptive Rebate Table'!$D$69,IF(ISBLANK(AI126),0,IF(AND(AH126=Lookups!$A$62,BK126&gt;0),'Prescriptive Rebate Table'!$D$68,IF(AND(BK126&gt;0,CJ126=AF126),'Prescriptive Rebate Table'!$D$67,IF(AND(BK126&gt;0,CJ126&lt;&gt;AF126),'Prescriptive Rebate Table'!D185,0))))),"")</f>
        <v>0</v>
      </c>
      <c r="CL126" s="240" t="s">
        <v>2712</v>
      </c>
      <c r="CM126" s="152"/>
      <c r="CN126" s="152"/>
      <c r="CO126" s="152"/>
      <c r="CP126" s="146">
        <f t="shared" si="52"/>
        <v>0</v>
      </c>
      <c r="CQ126" s="153">
        <f>IF(D126="Interior",ROUND(($AG126*AF126)/1000*$AM126*(Lookups!$B$54-$AA126)*$AN126*$AO126,3),0)</f>
        <v>0</v>
      </c>
      <c r="CR126" s="153">
        <f>IFERROR(IF(D126="Interior",ROUND(($AG126*$AF126)/1000*(Lookups!$C$54-$AB126)*$AN126*AQ126*AT126,6),0),"")</f>
        <v>0</v>
      </c>
      <c r="CS126" s="165">
        <f t="shared" si="69"/>
        <v>0</v>
      </c>
      <c r="CT126" s="165">
        <f t="shared" si="70"/>
        <v>0</v>
      </c>
      <c r="CV126" s="153"/>
      <c r="CW126" s="153"/>
      <c r="CX126" s="165"/>
      <c r="CY126" s="165"/>
      <c r="DA126" s="153">
        <f>IF(D126="Interior",ROUND(($AG126*AF126*(1-0.15))/1000*$AM126*(Lookups!$B$43+0.097-$AA126)*$AN126*$AO126+((W126*V126)/1000*AN126*AM126*AO126*0.15),3),0)</f>
        <v>0</v>
      </c>
      <c r="DB126" s="153">
        <f>IFERROR(IF(D126="Interior",ROUND(($AG126*$AF126)/1000*(Lookups!$C$43+0.097-$AB126)*$AN126*AQ126*AT126+(($AG126*$AF126)/1000*$AN126*AQ126*AT126*0.15),6),0),"")</f>
        <v>0</v>
      </c>
      <c r="DC126" s="165">
        <f t="shared" si="71"/>
        <v>0</v>
      </c>
      <c r="DD126" s="165">
        <f t="shared" si="72"/>
        <v>0</v>
      </c>
    </row>
    <row r="127" spans="1:108" s="164" customFormat="1">
      <c r="A127" s="150">
        <v>123</v>
      </c>
      <c r="B127" s="153" t="str">
        <f>IFERROR(INDEX(Lookups!$B$2:$B$38,MATCH('Project Info &amp; Summary'!$C$19,Lookups!$A$2:$A$38,0)),"")</f>
        <v/>
      </c>
      <c r="C127" s="153" t="str">
        <f>IFERROR(INDEX(Lookups!$C$2:$C$38,MATCH('Project Info &amp; Summary'!$C$19,Lookups!$A$2:$A$38,0)),"")</f>
        <v/>
      </c>
      <c r="D127" s="163"/>
      <c r="E127" s="160"/>
      <c r="F127" s="158"/>
      <c r="G127" s="158"/>
      <c r="H127" s="158"/>
      <c r="I127" s="158"/>
      <c r="J127" s="154" t="str">
        <f>IFERROR(INDEX(Lookups!$W$21:$W$26,MATCH(I127,Lookups!$V$21:$V$26,0)),"")</f>
        <v/>
      </c>
      <c r="K127" s="158"/>
      <c r="L127" s="162" t="str">
        <f>IFERROR(INDEX(Lookups!$Y$2:$Y$19,MATCH(_xlfn.CONCAT(I127,K127),Lookups!$X$2:$X$19,0)),"")</f>
        <v/>
      </c>
      <c r="M127" s="158"/>
      <c r="N127" s="153" t="str">
        <f>IFERROR(INDEX('Prescriptive Rebate Table'!$M$3:$M$20,MATCH(M127,'Prescriptive Rebate Table'!$L$3:$L$20,0)),"")</f>
        <v/>
      </c>
      <c r="O127" s="158"/>
      <c r="P127" s="154" t="str">
        <f>IFERROR(INDEX('Prescriptive Rebate Table'!$B$2:$H$64, MATCH(O127,'Prescriptive Rebate Table'!$C$2:$C$64,0),7),"")</f>
        <v/>
      </c>
      <c r="Q127" s="155" t="str">
        <f>IFERROR(INDEX('Prescriptive Rebate Table'!$B$2:$I$64, MATCH(O127,'Prescriptive Rebate Table'!$C$2:$C$64,0),8),"")</f>
        <v/>
      </c>
      <c r="R127" s="155" t="str">
        <f>IFERROR(INDEX('Prescriptive Rebate Table'!$B$2:$J$64, MATCH(O127,'Prescriptive Rebate Table'!$C$2:$C$64,0),9),"")</f>
        <v/>
      </c>
      <c r="S127" s="160"/>
      <c r="T127" s="145" t="str">
        <f>IFERROR(INDEX('Fixture Codes'!$M$8:$M$976,MATCH(S127,'Fixture Codes'!$B$8:$B$976,0)),"")</f>
        <v/>
      </c>
      <c r="U127" s="145" t="str">
        <f>IFERROR(INDEX('Fixture Codes'!$B$7:$M$976,MATCH(T127,'Fixture Codes'!$B$7:$B$976,0),5),"")</f>
        <v/>
      </c>
      <c r="V127" s="160"/>
      <c r="W127" s="145" t="str">
        <f>IFERROR(INDEX('Fixture Codes'!$L$8:$L$976,MATCH(T127,'Fixture Codes'!$B$8:$B$976,0)),"")</f>
        <v/>
      </c>
      <c r="X127" s="158"/>
      <c r="Y127" s="159"/>
      <c r="Z127" s="155" t="str">
        <f>IFERROR(INDEX(Lookups!B$68:B$87,MATCH($X127,Lookups!$A$68:$A$87,0)),"")</f>
        <v/>
      </c>
      <c r="AA127" s="150" t="str">
        <f>IFERROR(INDEX(Lookups!B$42:B$62,MATCH($X127,Lookups!$A$42:$A$62,0)),"")</f>
        <v/>
      </c>
      <c r="AB127" s="150" t="str">
        <f>IFERROR(INDEX(Lookups!C$42:C$62,MATCH($X127,Lookups!$A$42:$A$62,0)),"")</f>
        <v/>
      </c>
      <c r="AC127" s="160"/>
      <c r="AD127" s="160"/>
      <c r="AE127" s="150" t="str">
        <f>IFERROR(INDEX('Fixture Codes'!$B$7:$M$976,MATCH(AD127,'Fixture Codes'!$B$7:$B$976,0),5),"")</f>
        <v/>
      </c>
      <c r="AF127" s="160"/>
      <c r="AG127" s="145" t="str">
        <f>IFERROR(INDEX('Fixture Codes'!$L$8:$L$976,MATCH(AD127,'Fixture Codes'!$B$8:$B$976,0)),"")</f>
        <v/>
      </c>
      <c r="AH127" s="158"/>
      <c r="AI127" s="160"/>
      <c r="AJ127" s="150" t="str">
        <f>IFERROR(INDEX(Lookups!B$68:B$87,MATCH($AH127,Lookups!$A$68:$A$87,0)),"")</f>
        <v/>
      </c>
      <c r="AK127" s="150" t="str">
        <f>IFERROR(INDEX(Lookups!B$42:B$62,MATCH($AH127,Lookups!$A$42:$A$62,0)),"")</f>
        <v/>
      </c>
      <c r="AL127" s="150" t="str">
        <f>IFERROR(INDEX(Lookups!C$42:C$62,MATCH($AH127,Lookups!$A$42:$A$62,0)),"")</f>
        <v/>
      </c>
      <c r="AM127" s="150" t="str">
        <f>IFERROR(IF(M127="Exit Signs",8760,IF(INDEX('Fixture Codes'!$C$8:$C$976,MATCH(AD127,'Fixture Codes'!$B$8:$B$976,0))="Exit Sign",8760,INDEX(Lookups!$I$2:$I$428,MATCH(_xlfn.CONCAT(B127,H127),Lookups!$H$2:$H$428,0)))),"")</f>
        <v/>
      </c>
      <c r="AN127" s="153">
        <v>1</v>
      </c>
      <c r="AO127" s="150" t="str">
        <f>IF($D127="Interior",INDEX(Lookups!Q$2:Q$86,MATCH(_xlfn.CONCAT($C127,$L127),Lookups!$P$2:$P$86,0)),IF($D127="Exterior",1,""))</f>
        <v/>
      </c>
      <c r="AP127" s="150">
        <f t="shared" si="55"/>
        <v>1</v>
      </c>
      <c r="AQ127" s="150" t="str">
        <f>IF($D127="Interior",INDEX(Lookups!R$2:R$86,MATCH(_xlfn.CONCAT($C127,$L127),Lookups!$P$2:$P$86,0)),IF($D127="Exterior",1,""))</f>
        <v/>
      </c>
      <c r="AR127" s="150" t="str">
        <f>IF($D127="Interior",INDEX(Lookups!S$2:S$86,MATCH(_xlfn.CONCAT($C127,$L127),Lookups!$P$2:$P$86,0)),IF($D127="Exterior",1,""))</f>
        <v/>
      </c>
      <c r="AS127" s="150" t="str">
        <f>IF($D127="Interior",INDEX(Lookups!T$2:T$86,MATCH(_xlfn.CONCAT($C127,$L127),Lookups!$P$2:$P$86,0)),IF($D127="Exterior",1,""))</f>
        <v/>
      </c>
      <c r="AT127" s="150" t="str">
        <f>IFERROR(IF(M127="Exit Signs",1,IF(INDEX('Fixture Codes'!$C$8:$C$976,MATCH($AD127,'Fixture Codes'!$B$8:$B$976,0))="Exit Sign",1,INDEX(Lookups!J$2:J$428,MATCH(_xlfn.CONCAT($B127,$H127),Lookups!$H$2:$H$428,0)))),"")</f>
        <v/>
      </c>
      <c r="AU127" s="150" t="str">
        <f>IFERROR(IF(M127="Exit Signs",1,IF(INDEX('Fixture Codes'!$C$8:$C$976,MATCH($AD127,'Fixture Codes'!$B$8:$B$976,0))="Exit Sign",1,INDEX(Lookups!K$2:K$428,MATCH(_xlfn.CONCAT($B127,$H127),Lookups!$H$2:$H$428,0)))),"")</f>
        <v/>
      </c>
      <c r="AV127" s="150" t="str">
        <f>IFERROR(IF(M127="Exit Signs",1,IF(INDEX('Fixture Codes'!$C$8:$C$976,MATCH($AD127,'Fixture Codes'!$B$8:$B$976,0))="Exit Sign",1,INDEX(Lookups!L$2:L$428,MATCH(_xlfn.CONCAT($B127,$H127),Lookups!$H$2:$H$428,0)))),"")</f>
        <v/>
      </c>
      <c r="AW127" s="150" t="str">
        <f>IF(ISBLANK(K127),"",IF(K127="Gas",INDEX(Lookups!$AG$2:$AG$63,MATCH(O127,Lookups!$AD$2:$AD$63,0),0),0))</f>
        <v/>
      </c>
      <c r="AX127" s="150" t="str">
        <f>IF(ISBLANK(K127),"",IF(K127="Gas",INDEX(Lookups!$AF$2:$AF$63,MATCH(O127,Lookups!$AD$2:$AD$63,0),0),0))</f>
        <v/>
      </c>
      <c r="AY127" s="150" t="str">
        <f>IF(ISBLANK(K127),"",IF(K127="Gas",INDEX(Lookups!$AH$2:$AH$63,MATCH(O127,Lookups!$AD$2:$AD$63,0),0),0))</f>
        <v/>
      </c>
      <c r="AZ127" s="150" t="str">
        <f>IF(ISBLANK(K127),"",IF(K127="Gas",INDEX(Lookups!$AI$2:$AI$63,MATCH(O127,Lookups!$AD$2:$AD$63,0),0),0))</f>
        <v/>
      </c>
      <c r="BA127" s="150" t="str">
        <f t="shared" si="40"/>
        <v/>
      </c>
      <c r="BB127" s="156" t="str">
        <f>IF(ISBLANK(AH127),"",IF(AH127="None",0,IF(K127="Gas",INDEX(Lookups!$AF$51:$AF$69,MATCH(AH127,Lookups!$AD$51:$AD$69,0),0),0)))</f>
        <v/>
      </c>
      <c r="BC127" s="156" t="str">
        <f>IF(ISBLANK(AH127),"",IF(AH127="None",0,IF(K127="Gas",INDEX(Lookups!$AH$51:$AH$69,MATCH(AH127,Lookups!$AD$51:$AD$69,0),0),0)))</f>
        <v/>
      </c>
      <c r="BD127" s="156" t="str">
        <f>IF(ISBLANK(AH127),"",IF(AH127="None",0,IF(K127="Gas",INDEX(Lookups!$AI$51:$AI$69,MATCH(AH127,Lookups!$AD$51:$AD$69,0),0),0)))</f>
        <v/>
      </c>
      <c r="BE127" s="157"/>
      <c r="BF127" s="157"/>
      <c r="BG127" s="147" t="str">
        <f t="shared" si="56"/>
        <v/>
      </c>
      <c r="BH127" s="147" t="str">
        <f t="shared" si="57"/>
        <v/>
      </c>
      <c r="BI127" s="147" t="str">
        <f t="shared" si="41"/>
        <v/>
      </c>
      <c r="BJ127" s="147" t="str">
        <f t="shared" si="42"/>
        <v/>
      </c>
      <c r="BK127" s="148" t="str">
        <f t="shared" si="58"/>
        <v/>
      </c>
      <c r="BL127" s="147" t="str">
        <f t="shared" si="43"/>
        <v/>
      </c>
      <c r="BM127" s="148" t="str">
        <f t="shared" si="59"/>
        <v/>
      </c>
      <c r="BN127" s="147" t="str">
        <f t="shared" si="60"/>
        <v/>
      </c>
      <c r="BO127" s="147" t="str">
        <f t="shared" si="60"/>
        <v/>
      </c>
      <c r="BP127" s="147" t="str">
        <f t="shared" si="61"/>
        <v/>
      </c>
      <c r="BQ127" s="148" t="str">
        <f t="shared" si="62"/>
        <v/>
      </c>
      <c r="BR127" s="148" t="str">
        <f t="shared" si="63"/>
        <v/>
      </c>
      <c r="BS127" s="148" t="str">
        <f t="shared" si="64"/>
        <v/>
      </c>
      <c r="BT127" s="148" t="str">
        <f t="shared" si="44"/>
        <v/>
      </c>
      <c r="BU127" s="148" t="str">
        <f t="shared" si="45"/>
        <v/>
      </c>
      <c r="BV127" s="148" t="str">
        <f t="shared" si="46"/>
        <v/>
      </c>
      <c r="BW127" s="148" t="str">
        <f t="shared" si="47"/>
        <v/>
      </c>
      <c r="BX127" s="148" t="str">
        <f t="shared" si="48"/>
        <v/>
      </c>
      <c r="BY127" s="148" t="str">
        <f t="shared" si="49"/>
        <v/>
      </c>
      <c r="BZ127" s="149" t="str">
        <f>IFERROR(INDEX('Prescriptive Rebate Table'!$B$2:$E$64,MATCH(O127,'Prescriptive Rebate Table'!$C$2:$C$64,0),3),"")</f>
        <v/>
      </c>
      <c r="CA127" s="145" t="str">
        <f>IFERROR(INDEX('Prescriptive Rebate Table'!$B$2:$E$64,MATCH(O127,'Prescriptive Rebate Table'!$C$2:$C$64,0),4),"")</f>
        <v/>
      </c>
      <c r="CB127" s="149" t="str">
        <f t="shared" si="65"/>
        <v/>
      </c>
      <c r="CC127" s="145" t="str">
        <f t="shared" si="66"/>
        <v/>
      </c>
      <c r="CD127" s="149" t="str">
        <f t="shared" si="50"/>
        <v/>
      </c>
      <c r="CE127" s="149" t="str">
        <f t="shared" si="51"/>
        <v/>
      </c>
      <c r="CF127" s="149" t="str">
        <f>IF(BK127&lt;=0,0,IFERROR(IF(OR(ISBLANK(AC127),ISBLANK(CD127))=TRUE,"",IF(CA127="Per Foot",INDEX('Fixture Codes'!$I$8:$I$976,MATCH(AD127,'Fixture Codes'!$B$8:$B$976,0))/12*AF127*BZ127,IF(CA127="Lamp",INDEX('Fixture Codes'!$J$8:$J$976,MATCH(AD127,'Fixture Codes'!$B$8:$B$976,0))*AF127*BZ127,IF(CA127="Fixture",AF127*BZ127,IF(CA127="kWh",BK127*BZ127,0))))),""))</f>
        <v/>
      </c>
      <c r="CG127" s="149" t="str">
        <f t="shared" si="67"/>
        <v/>
      </c>
      <c r="CH127" s="149" t="str">
        <f t="shared" si="68"/>
        <v/>
      </c>
      <c r="CI127" s="152"/>
      <c r="CJ127" s="146"/>
      <c r="CK127" s="241">
        <f>IFERROR(IF(CL127="Yes",'Prescriptive Rebate Table'!$D$69,IF(ISBLANK(AI127),0,IF(AND(AH127=Lookups!$A$62,BK127&gt;0),'Prescriptive Rebate Table'!$D$68,IF(AND(BK127&gt;0,CJ127=AF127),'Prescriptive Rebate Table'!$D$67,IF(AND(BK127&gt;0,CJ127&lt;&gt;AF127),'Prescriptive Rebate Table'!D186,0))))),"")</f>
        <v>0</v>
      </c>
      <c r="CL127" s="240" t="s">
        <v>2712</v>
      </c>
      <c r="CM127" s="152"/>
      <c r="CN127" s="152"/>
      <c r="CO127" s="152"/>
      <c r="CP127" s="146">
        <f t="shared" si="52"/>
        <v>0</v>
      </c>
      <c r="CQ127" s="153">
        <f>IF(D127="Interior",ROUND(($AG127*AF127)/1000*$AM127*(Lookups!$B$54-$AA127)*$AN127*$AO127,3),0)</f>
        <v>0</v>
      </c>
      <c r="CR127" s="153">
        <f>IFERROR(IF(D127="Interior",ROUND(($AG127*$AF127)/1000*(Lookups!$C$54-$AB127)*$AN127*AQ127*AT127,6),0),"")</f>
        <v>0</v>
      </c>
      <c r="CS127" s="165">
        <f t="shared" si="69"/>
        <v>0</v>
      </c>
      <c r="CT127" s="165">
        <f t="shared" si="70"/>
        <v>0</v>
      </c>
      <c r="CV127" s="153"/>
      <c r="CW127" s="153"/>
      <c r="CX127" s="165"/>
      <c r="CY127" s="165"/>
      <c r="DA127" s="153">
        <f>IF(D127="Interior",ROUND(($AG127*AF127*(1-0.15))/1000*$AM127*(Lookups!$B$43+0.097-$AA127)*$AN127*$AO127+((W127*V127)/1000*AN127*AM127*AO127*0.15),3),0)</f>
        <v>0</v>
      </c>
      <c r="DB127" s="153">
        <f>IFERROR(IF(D127="Interior",ROUND(($AG127*$AF127)/1000*(Lookups!$C$43+0.097-$AB127)*$AN127*AQ127*AT127+(($AG127*$AF127)/1000*$AN127*AQ127*AT127*0.15),6),0),"")</f>
        <v>0</v>
      </c>
      <c r="DC127" s="165">
        <f t="shared" si="71"/>
        <v>0</v>
      </c>
      <c r="DD127" s="165">
        <f t="shared" si="72"/>
        <v>0</v>
      </c>
    </row>
    <row r="128" spans="1:108" s="164" customFormat="1">
      <c r="A128" s="150">
        <v>124</v>
      </c>
      <c r="B128" s="153" t="str">
        <f>IFERROR(INDEX(Lookups!$B$2:$B$38,MATCH('Project Info &amp; Summary'!$C$19,Lookups!$A$2:$A$38,0)),"")</f>
        <v/>
      </c>
      <c r="C128" s="153" t="str">
        <f>IFERROR(INDEX(Lookups!$C$2:$C$38,MATCH('Project Info &amp; Summary'!$C$19,Lookups!$A$2:$A$38,0)),"")</f>
        <v/>
      </c>
      <c r="D128" s="163"/>
      <c r="E128" s="160"/>
      <c r="F128" s="158"/>
      <c r="G128" s="158"/>
      <c r="H128" s="158"/>
      <c r="I128" s="158"/>
      <c r="J128" s="154" t="str">
        <f>IFERROR(INDEX(Lookups!$W$21:$W$26,MATCH(I128,Lookups!$V$21:$V$26,0)),"")</f>
        <v/>
      </c>
      <c r="K128" s="158"/>
      <c r="L128" s="162" t="str">
        <f>IFERROR(INDEX(Lookups!$Y$2:$Y$19,MATCH(_xlfn.CONCAT(I128,K128),Lookups!$X$2:$X$19,0)),"")</f>
        <v/>
      </c>
      <c r="M128" s="158"/>
      <c r="N128" s="153" t="str">
        <f>IFERROR(INDEX('Prescriptive Rebate Table'!$M$3:$M$20,MATCH(M128,'Prescriptive Rebate Table'!$L$3:$L$20,0)),"")</f>
        <v/>
      </c>
      <c r="O128" s="158"/>
      <c r="P128" s="154" t="str">
        <f>IFERROR(INDEX('Prescriptive Rebate Table'!$B$2:$H$64, MATCH(O128,'Prescriptive Rebate Table'!$C$2:$C$64,0),7),"")</f>
        <v/>
      </c>
      <c r="Q128" s="155" t="str">
        <f>IFERROR(INDEX('Prescriptive Rebate Table'!$B$2:$I$64, MATCH(O128,'Prescriptive Rebate Table'!$C$2:$C$64,0),8),"")</f>
        <v/>
      </c>
      <c r="R128" s="155" t="str">
        <f>IFERROR(INDEX('Prescriptive Rebate Table'!$B$2:$J$64, MATCH(O128,'Prescriptive Rebate Table'!$C$2:$C$64,0),9),"")</f>
        <v/>
      </c>
      <c r="S128" s="160"/>
      <c r="T128" s="145" t="str">
        <f>IFERROR(INDEX('Fixture Codes'!$M$8:$M$976,MATCH(S128,'Fixture Codes'!$B$8:$B$976,0)),"")</f>
        <v/>
      </c>
      <c r="U128" s="145" t="str">
        <f>IFERROR(INDEX('Fixture Codes'!$B$7:$M$976,MATCH(T128,'Fixture Codes'!$B$7:$B$976,0),5),"")</f>
        <v/>
      </c>
      <c r="V128" s="160"/>
      <c r="W128" s="145" t="str">
        <f>IFERROR(INDEX('Fixture Codes'!$L$8:$L$976,MATCH(T128,'Fixture Codes'!$B$8:$B$976,0)),"")</f>
        <v/>
      </c>
      <c r="X128" s="158"/>
      <c r="Y128" s="159"/>
      <c r="Z128" s="155" t="str">
        <f>IFERROR(INDEX(Lookups!B$68:B$87,MATCH($X128,Lookups!$A$68:$A$87,0)),"")</f>
        <v/>
      </c>
      <c r="AA128" s="150" t="str">
        <f>IFERROR(INDEX(Lookups!B$42:B$62,MATCH($X128,Lookups!$A$42:$A$62,0)),"")</f>
        <v/>
      </c>
      <c r="AB128" s="150" t="str">
        <f>IFERROR(INDEX(Lookups!C$42:C$62,MATCH($X128,Lookups!$A$42:$A$62,0)),"")</f>
        <v/>
      </c>
      <c r="AC128" s="160"/>
      <c r="AD128" s="160"/>
      <c r="AE128" s="150" t="str">
        <f>IFERROR(INDEX('Fixture Codes'!$B$7:$M$976,MATCH(AD128,'Fixture Codes'!$B$7:$B$976,0),5),"")</f>
        <v/>
      </c>
      <c r="AF128" s="160"/>
      <c r="AG128" s="145" t="str">
        <f>IFERROR(INDEX('Fixture Codes'!$L$8:$L$976,MATCH(AD128,'Fixture Codes'!$B$8:$B$976,0)),"")</f>
        <v/>
      </c>
      <c r="AH128" s="158"/>
      <c r="AI128" s="160"/>
      <c r="AJ128" s="150" t="str">
        <f>IFERROR(INDEX(Lookups!B$68:B$87,MATCH($AH128,Lookups!$A$68:$A$87,0)),"")</f>
        <v/>
      </c>
      <c r="AK128" s="150" t="str">
        <f>IFERROR(INDEX(Lookups!B$42:B$62,MATCH($AH128,Lookups!$A$42:$A$62,0)),"")</f>
        <v/>
      </c>
      <c r="AL128" s="150" t="str">
        <f>IFERROR(INDEX(Lookups!C$42:C$62,MATCH($AH128,Lookups!$A$42:$A$62,0)),"")</f>
        <v/>
      </c>
      <c r="AM128" s="150" t="str">
        <f>IFERROR(IF(M128="Exit Signs",8760,IF(INDEX('Fixture Codes'!$C$8:$C$976,MATCH(AD128,'Fixture Codes'!$B$8:$B$976,0))="Exit Sign",8760,INDEX(Lookups!$I$2:$I$428,MATCH(_xlfn.CONCAT(B128,H128),Lookups!$H$2:$H$428,0)))),"")</f>
        <v/>
      </c>
      <c r="AN128" s="153">
        <v>1</v>
      </c>
      <c r="AO128" s="150" t="str">
        <f>IF($D128="Interior",INDEX(Lookups!Q$2:Q$86,MATCH(_xlfn.CONCAT($C128,$L128),Lookups!$P$2:$P$86,0)),IF($D128="Exterior",1,""))</f>
        <v/>
      </c>
      <c r="AP128" s="150">
        <f t="shared" si="55"/>
        <v>1</v>
      </c>
      <c r="AQ128" s="150" t="str">
        <f>IF($D128="Interior",INDEX(Lookups!R$2:R$86,MATCH(_xlfn.CONCAT($C128,$L128),Lookups!$P$2:$P$86,0)),IF($D128="Exterior",1,""))</f>
        <v/>
      </c>
      <c r="AR128" s="150" t="str">
        <f>IF($D128="Interior",INDEX(Lookups!S$2:S$86,MATCH(_xlfn.CONCAT($C128,$L128),Lookups!$P$2:$P$86,0)),IF($D128="Exterior",1,""))</f>
        <v/>
      </c>
      <c r="AS128" s="150" t="str">
        <f>IF($D128="Interior",INDEX(Lookups!T$2:T$86,MATCH(_xlfn.CONCAT($C128,$L128),Lookups!$P$2:$P$86,0)),IF($D128="Exterior",1,""))</f>
        <v/>
      </c>
      <c r="AT128" s="150" t="str">
        <f>IFERROR(IF(M128="Exit Signs",1,IF(INDEX('Fixture Codes'!$C$8:$C$976,MATCH($AD128,'Fixture Codes'!$B$8:$B$976,0))="Exit Sign",1,INDEX(Lookups!J$2:J$428,MATCH(_xlfn.CONCAT($B128,$H128),Lookups!$H$2:$H$428,0)))),"")</f>
        <v/>
      </c>
      <c r="AU128" s="150" t="str">
        <f>IFERROR(IF(M128="Exit Signs",1,IF(INDEX('Fixture Codes'!$C$8:$C$976,MATCH($AD128,'Fixture Codes'!$B$8:$B$976,0))="Exit Sign",1,INDEX(Lookups!K$2:K$428,MATCH(_xlfn.CONCAT($B128,$H128),Lookups!$H$2:$H$428,0)))),"")</f>
        <v/>
      </c>
      <c r="AV128" s="150" t="str">
        <f>IFERROR(IF(M128="Exit Signs",1,IF(INDEX('Fixture Codes'!$C$8:$C$976,MATCH($AD128,'Fixture Codes'!$B$8:$B$976,0))="Exit Sign",1,INDEX(Lookups!L$2:L$428,MATCH(_xlfn.CONCAT($B128,$H128),Lookups!$H$2:$H$428,0)))),"")</f>
        <v/>
      </c>
      <c r="AW128" s="150" t="str">
        <f>IF(ISBLANK(K128),"",IF(K128="Gas",INDEX(Lookups!$AG$2:$AG$63,MATCH(O128,Lookups!$AD$2:$AD$63,0),0),0))</f>
        <v/>
      </c>
      <c r="AX128" s="150" t="str">
        <f>IF(ISBLANK(K128),"",IF(K128="Gas",INDEX(Lookups!$AF$2:$AF$63,MATCH(O128,Lookups!$AD$2:$AD$63,0),0),0))</f>
        <v/>
      </c>
      <c r="AY128" s="150" t="str">
        <f>IF(ISBLANK(K128),"",IF(K128="Gas",INDEX(Lookups!$AH$2:$AH$63,MATCH(O128,Lookups!$AD$2:$AD$63,0),0),0))</f>
        <v/>
      </c>
      <c r="AZ128" s="150" t="str">
        <f>IF(ISBLANK(K128),"",IF(K128="Gas",INDEX(Lookups!$AI$2:$AI$63,MATCH(O128,Lookups!$AD$2:$AD$63,0),0),0))</f>
        <v/>
      </c>
      <c r="BA128" s="150" t="str">
        <f t="shared" si="40"/>
        <v/>
      </c>
      <c r="BB128" s="156" t="str">
        <f>IF(ISBLANK(AH128),"",IF(AH128="None",0,IF(K128="Gas",INDEX(Lookups!$AF$51:$AF$69,MATCH(AH128,Lookups!$AD$51:$AD$69,0),0),0)))</f>
        <v/>
      </c>
      <c r="BC128" s="156" t="str">
        <f>IF(ISBLANK(AH128),"",IF(AH128="None",0,IF(K128="Gas",INDEX(Lookups!$AH$51:$AH$69,MATCH(AH128,Lookups!$AD$51:$AD$69,0),0),0)))</f>
        <v/>
      </c>
      <c r="BD128" s="156" t="str">
        <f>IF(ISBLANK(AH128),"",IF(AH128="None",0,IF(K128="Gas",INDEX(Lookups!$AI$51:$AI$69,MATCH(AH128,Lookups!$AD$51:$AD$69,0),0),0)))</f>
        <v/>
      </c>
      <c r="BE128" s="157"/>
      <c r="BF128" s="157"/>
      <c r="BG128" s="147" t="str">
        <f t="shared" si="56"/>
        <v/>
      </c>
      <c r="BH128" s="147" t="str">
        <f t="shared" si="57"/>
        <v/>
      </c>
      <c r="BI128" s="147" t="str">
        <f t="shared" si="41"/>
        <v/>
      </c>
      <c r="BJ128" s="147" t="str">
        <f t="shared" si="42"/>
        <v/>
      </c>
      <c r="BK128" s="148" t="str">
        <f t="shared" si="58"/>
        <v/>
      </c>
      <c r="BL128" s="147" t="str">
        <f t="shared" si="43"/>
        <v/>
      </c>
      <c r="BM128" s="148" t="str">
        <f t="shared" si="59"/>
        <v/>
      </c>
      <c r="BN128" s="147" t="str">
        <f t="shared" si="60"/>
        <v/>
      </c>
      <c r="BO128" s="147" t="str">
        <f t="shared" si="60"/>
        <v/>
      </c>
      <c r="BP128" s="147" t="str">
        <f t="shared" si="61"/>
        <v/>
      </c>
      <c r="BQ128" s="148" t="str">
        <f t="shared" si="62"/>
        <v/>
      </c>
      <c r="BR128" s="148" t="str">
        <f t="shared" si="63"/>
        <v/>
      </c>
      <c r="BS128" s="148" t="str">
        <f t="shared" si="64"/>
        <v/>
      </c>
      <c r="BT128" s="148" t="str">
        <f t="shared" si="44"/>
        <v/>
      </c>
      <c r="BU128" s="148" t="str">
        <f t="shared" si="45"/>
        <v/>
      </c>
      <c r="BV128" s="148" t="str">
        <f t="shared" si="46"/>
        <v/>
      </c>
      <c r="BW128" s="148" t="str">
        <f t="shared" si="47"/>
        <v/>
      </c>
      <c r="BX128" s="148" t="str">
        <f t="shared" si="48"/>
        <v/>
      </c>
      <c r="BY128" s="148" t="str">
        <f t="shared" si="49"/>
        <v/>
      </c>
      <c r="BZ128" s="149" t="str">
        <f>IFERROR(INDEX('Prescriptive Rebate Table'!$B$2:$E$64,MATCH(O128,'Prescriptive Rebate Table'!$C$2:$C$64,0),3),"")</f>
        <v/>
      </c>
      <c r="CA128" s="145" t="str">
        <f>IFERROR(INDEX('Prescriptive Rebate Table'!$B$2:$E$64,MATCH(O128,'Prescriptive Rebate Table'!$C$2:$C$64,0),4),"")</f>
        <v/>
      </c>
      <c r="CB128" s="149" t="str">
        <f t="shared" si="65"/>
        <v/>
      </c>
      <c r="CC128" s="145" t="str">
        <f t="shared" si="66"/>
        <v/>
      </c>
      <c r="CD128" s="149" t="str">
        <f t="shared" si="50"/>
        <v/>
      </c>
      <c r="CE128" s="149" t="str">
        <f t="shared" si="51"/>
        <v/>
      </c>
      <c r="CF128" s="149" t="str">
        <f>IF(BK128&lt;=0,0,IFERROR(IF(OR(ISBLANK(AC128),ISBLANK(CD128))=TRUE,"",IF(CA128="Per Foot",INDEX('Fixture Codes'!$I$8:$I$976,MATCH(AD128,'Fixture Codes'!$B$8:$B$976,0))/12*AF128*BZ128,IF(CA128="Lamp",INDEX('Fixture Codes'!$J$8:$J$976,MATCH(AD128,'Fixture Codes'!$B$8:$B$976,0))*AF128*BZ128,IF(CA128="Fixture",AF128*BZ128,IF(CA128="kWh",BK128*BZ128,0))))),""))</f>
        <v/>
      </c>
      <c r="CG128" s="149" t="str">
        <f t="shared" si="67"/>
        <v/>
      </c>
      <c r="CH128" s="149" t="str">
        <f t="shared" si="68"/>
        <v/>
      </c>
      <c r="CI128" s="152"/>
      <c r="CJ128" s="146"/>
      <c r="CK128" s="241">
        <f>IFERROR(IF(CL128="Yes",'Prescriptive Rebate Table'!$D$69,IF(ISBLANK(AI128),0,IF(AND(AH128=Lookups!$A$62,BK128&gt;0),'Prescriptive Rebate Table'!$D$68,IF(AND(BK128&gt;0,CJ128=AF128),'Prescriptive Rebate Table'!$D$67,IF(AND(BK128&gt;0,CJ128&lt;&gt;AF128),'Prescriptive Rebate Table'!D187,0))))),"")</f>
        <v>0</v>
      </c>
      <c r="CL128" s="240" t="s">
        <v>2712</v>
      </c>
      <c r="CM128" s="152"/>
      <c r="CN128" s="152"/>
      <c r="CO128" s="152"/>
      <c r="CP128" s="146">
        <f t="shared" si="52"/>
        <v>0</v>
      </c>
      <c r="CQ128" s="153">
        <f>IF(D128="Interior",ROUND(($AG128*AF128)/1000*$AM128*(Lookups!$B$54-$AA128)*$AN128*$AO128,3),0)</f>
        <v>0</v>
      </c>
      <c r="CR128" s="153">
        <f>IFERROR(IF(D128="Interior",ROUND(($AG128*$AF128)/1000*(Lookups!$C$54-$AB128)*$AN128*AQ128*AT128,6),0),"")</f>
        <v>0</v>
      </c>
      <c r="CS128" s="165">
        <f t="shared" si="69"/>
        <v>0</v>
      </c>
      <c r="CT128" s="165">
        <f t="shared" si="70"/>
        <v>0</v>
      </c>
      <c r="CV128" s="153"/>
      <c r="CW128" s="153"/>
      <c r="CX128" s="165"/>
      <c r="CY128" s="165"/>
      <c r="DA128" s="153">
        <f>IF(D128="Interior",ROUND(($AG128*AF128*(1-0.15))/1000*$AM128*(Lookups!$B$43+0.097-$AA128)*$AN128*$AO128+((W128*V128)/1000*AN128*AM128*AO128*0.15),3),0)</f>
        <v>0</v>
      </c>
      <c r="DB128" s="153">
        <f>IFERROR(IF(D128="Interior",ROUND(($AG128*$AF128)/1000*(Lookups!$C$43+0.097-$AB128)*$AN128*AQ128*AT128+(($AG128*$AF128)/1000*$AN128*AQ128*AT128*0.15),6),0),"")</f>
        <v>0</v>
      </c>
      <c r="DC128" s="165">
        <f t="shared" si="71"/>
        <v>0</v>
      </c>
      <c r="DD128" s="165">
        <f t="shared" si="72"/>
        <v>0</v>
      </c>
    </row>
    <row r="129" spans="1:108" s="164" customFormat="1">
      <c r="A129" s="150">
        <v>125</v>
      </c>
      <c r="B129" s="153" t="str">
        <f>IFERROR(INDEX(Lookups!$B$2:$B$38,MATCH('Project Info &amp; Summary'!$C$19,Lookups!$A$2:$A$38,0)),"")</f>
        <v/>
      </c>
      <c r="C129" s="153" t="str">
        <f>IFERROR(INDEX(Lookups!$C$2:$C$38,MATCH('Project Info &amp; Summary'!$C$19,Lookups!$A$2:$A$38,0)),"")</f>
        <v/>
      </c>
      <c r="D129" s="163"/>
      <c r="E129" s="160"/>
      <c r="F129" s="158"/>
      <c r="G129" s="158"/>
      <c r="H129" s="158"/>
      <c r="I129" s="158"/>
      <c r="J129" s="154" t="str">
        <f>IFERROR(INDEX(Lookups!$W$21:$W$26,MATCH(I129,Lookups!$V$21:$V$26,0)),"")</f>
        <v/>
      </c>
      <c r="K129" s="158"/>
      <c r="L129" s="162" t="str">
        <f>IFERROR(INDEX(Lookups!$Y$2:$Y$19,MATCH(_xlfn.CONCAT(I129,K129),Lookups!$X$2:$X$19,0)),"")</f>
        <v/>
      </c>
      <c r="M129" s="158"/>
      <c r="N129" s="153" t="str">
        <f>IFERROR(INDEX('Prescriptive Rebate Table'!$M$3:$M$20,MATCH(M129,'Prescriptive Rebate Table'!$L$3:$L$20,0)),"")</f>
        <v/>
      </c>
      <c r="O129" s="158"/>
      <c r="P129" s="154" t="str">
        <f>IFERROR(INDEX('Prescriptive Rebate Table'!$B$2:$H$64, MATCH(O129,'Prescriptive Rebate Table'!$C$2:$C$64,0),7),"")</f>
        <v/>
      </c>
      <c r="Q129" s="155" t="str">
        <f>IFERROR(INDEX('Prescriptive Rebate Table'!$B$2:$I$64, MATCH(O129,'Prescriptive Rebate Table'!$C$2:$C$64,0),8),"")</f>
        <v/>
      </c>
      <c r="R129" s="155" t="str">
        <f>IFERROR(INDEX('Prescriptive Rebate Table'!$B$2:$J$64, MATCH(O129,'Prescriptive Rebate Table'!$C$2:$C$64,0),9),"")</f>
        <v/>
      </c>
      <c r="S129" s="160"/>
      <c r="T129" s="145" t="str">
        <f>IFERROR(INDEX('Fixture Codes'!$M$8:$M$976,MATCH(S129,'Fixture Codes'!$B$8:$B$976,0)),"")</f>
        <v/>
      </c>
      <c r="U129" s="145" t="str">
        <f>IFERROR(INDEX('Fixture Codes'!$B$7:$M$976,MATCH(T129,'Fixture Codes'!$B$7:$B$976,0),5),"")</f>
        <v/>
      </c>
      <c r="V129" s="160"/>
      <c r="W129" s="145" t="str">
        <f>IFERROR(INDEX('Fixture Codes'!$L$8:$L$976,MATCH(T129,'Fixture Codes'!$B$8:$B$976,0)),"")</f>
        <v/>
      </c>
      <c r="X129" s="158"/>
      <c r="Y129" s="159"/>
      <c r="Z129" s="155" t="str">
        <f>IFERROR(INDEX(Lookups!B$68:B$87,MATCH($X129,Lookups!$A$68:$A$87,0)),"")</f>
        <v/>
      </c>
      <c r="AA129" s="150" t="str">
        <f>IFERROR(INDEX(Lookups!B$42:B$62,MATCH($X129,Lookups!$A$42:$A$62,0)),"")</f>
        <v/>
      </c>
      <c r="AB129" s="150" t="str">
        <f>IFERROR(INDEX(Lookups!C$42:C$62,MATCH($X129,Lookups!$A$42:$A$62,0)),"")</f>
        <v/>
      </c>
      <c r="AC129" s="160"/>
      <c r="AD129" s="160"/>
      <c r="AE129" s="150" t="str">
        <f>IFERROR(INDEX('Fixture Codes'!$B$7:$M$976,MATCH(AD129,'Fixture Codes'!$B$7:$B$976,0),5),"")</f>
        <v/>
      </c>
      <c r="AF129" s="160"/>
      <c r="AG129" s="145" t="str">
        <f>IFERROR(INDEX('Fixture Codes'!$L$8:$L$976,MATCH(AD129,'Fixture Codes'!$B$8:$B$976,0)),"")</f>
        <v/>
      </c>
      <c r="AH129" s="158"/>
      <c r="AI129" s="160"/>
      <c r="AJ129" s="150" t="str">
        <f>IFERROR(INDEX(Lookups!B$68:B$87,MATCH($AH129,Lookups!$A$68:$A$87,0)),"")</f>
        <v/>
      </c>
      <c r="AK129" s="150" t="str">
        <f>IFERROR(INDEX(Lookups!B$42:B$62,MATCH($AH129,Lookups!$A$42:$A$62,0)),"")</f>
        <v/>
      </c>
      <c r="AL129" s="150" t="str">
        <f>IFERROR(INDEX(Lookups!C$42:C$62,MATCH($AH129,Lookups!$A$42:$A$62,0)),"")</f>
        <v/>
      </c>
      <c r="AM129" s="150" t="str">
        <f>IFERROR(IF(M129="Exit Signs",8760,IF(INDEX('Fixture Codes'!$C$8:$C$976,MATCH(AD129,'Fixture Codes'!$B$8:$B$976,0))="Exit Sign",8760,INDEX(Lookups!$I$2:$I$428,MATCH(_xlfn.CONCAT(B129,H129),Lookups!$H$2:$H$428,0)))),"")</f>
        <v/>
      </c>
      <c r="AN129" s="153">
        <v>1</v>
      </c>
      <c r="AO129" s="150" t="str">
        <f>IF($D129="Interior",INDEX(Lookups!Q$2:Q$86,MATCH(_xlfn.CONCAT($C129,$L129),Lookups!$P$2:$P$86,0)),IF($D129="Exterior",1,""))</f>
        <v/>
      </c>
      <c r="AP129" s="150">
        <f t="shared" si="55"/>
        <v>1</v>
      </c>
      <c r="AQ129" s="150" t="str">
        <f>IF($D129="Interior",INDEX(Lookups!R$2:R$86,MATCH(_xlfn.CONCAT($C129,$L129),Lookups!$P$2:$P$86,0)),IF($D129="Exterior",1,""))</f>
        <v/>
      </c>
      <c r="AR129" s="150" t="str">
        <f>IF($D129="Interior",INDEX(Lookups!S$2:S$86,MATCH(_xlfn.CONCAT($C129,$L129),Lookups!$P$2:$P$86,0)),IF($D129="Exterior",1,""))</f>
        <v/>
      </c>
      <c r="AS129" s="150" t="str">
        <f>IF($D129="Interior",INDEX(Lookups!T$2:T$86,MATCH(_xlfn.CONCAT($C129,$L129),Lookups!$P$2:$P$86,0)),IF($D129="Exterior",1,""))</f>
        <v/>
      </c>
      <c r="AT129" s="150" t="str">
        <f>IFERROR(IF(M129="Exit Signs",1,IF(INDEX('Fixture Codes'!$C$8:$C$976,MATCH($AD129,'Fixture Codes'!$B$8:$B$976,0))="Exit Sign",1,INDEX(Lookups!J$2:J$428,MATCH(_xlfn.CONCAT($B129,$H129),Lookups!$H$2:$H$428,0)))),"")</f>
        <v/>
      </c>
      <c r="AU129" s="150" t="str">
        <f>IFERROR(IF(M129="Exit Signs",1,IF(INDEX('Fixture Codes'!$C$8:$C$976,MATCH($AD129,'Fixture Codes'!$B$8:$B$976,0))="Exit Sign",1,INDEX(Lookups!K$2:K$428,MATCH(_xlfn.CONCAT($B129,$H129),Lookups!$H$2:$H$428,0)))),"")</f>
        <v/>
      </c>
      <c r="AV129" s="150" t="str">
        <f>IFERROR(IF(M129="Exit Signs",1,IF(INDEX('Fixture Codes'!$C$8:$C$976,MATCH($AD129,'Fixture Codes'!$B$8:$B$976,0))="Exit Sign",1,INDEX(Lookups!L$2:L$428,MATCH(_xlfn.CONCAT($B129,$H129),Lookups!$H$2:$H$428,0)))),"")</f>
        <v/>
      </c>
      <c r="AW129" s="150" t="str">
        <f>IF(ISBLANK(K129),"",IF(K129="Gas",INDEX(Lookups!$AG$2:$AG$63,MATCH(O129,Lookups!$AD$2:$AD$63,0),0),0))</f>
        <v/>
      </c>
      <c r="AX129" s="150" t="str">
        <f>IF(ISBLANK(K129),"",IF(K129="Gas",INDEX(Lookups!$AF$2:$AF$63,MATCH(O129,Lookups!$AD$2:$AD$63,0),0),0))</f>
        <v/>
      </c>
      <c r="AY129" s="150" t="str">
        <f>IF(ISBLANK(K129),"",IF(K129="Gas",INDEX(Lookups!$AH$2:$AH$63,MATCH(O129,Lookups!$AD$2:$AD$63,0),0),0))</f>
        <v/>
      </c>
      <c r="AZ129" s="150" t="str">
        <f>IF(ISBLANK(K129),"",IF(K129="Gas",INDEX(Lookups!$AI$2:$AI$63,MATCH(O129,Lookups!$AD$2:$AD$63,0),0),0))</f>
        <v/>
      </c>
      <c r="BA129" s="150" t="str">
        <f t="shared" si="40"/>
        <v/>
      </c>
      <c r="BB129" s="156" t="str">
        <f>IF(ISBLANK(AH129),"",IF(AH129="None",0,IF(K129="Gas",INDEX(Lookups!$AF$51:$AF$69,MATCH(AH129,Lookups!$AD$51:$AD$69,0),0),0)))</f>
        <v/>
      </c>
      <c r="BC129" s="156" t="str">
        <f>IF(ISBLANK(AH129),"",IF(AH129="None",0,IF(K129="Gas",INDEX(Lookups!$AH$51:$AH$69,MATCH(AH129,Lookups!$AD$51:$AD$69,0),0),0)))</f>
        <v/>
      </c>
      <c r="BD129" s="156" t="str">
        <f>IF(ISBLANK(AH129),"",IF(AH129="None",0,IF(K129="Gas",INDEX(Lookups!$AI$51:$AI$69,MATCH(AH129,Lookups!$AD$51:$AD$69,0),0),0)))</f>
        <v/>
      </c>
      <c r="BE129" s="157"/>
      <c r="BF129" s="157"/>
      <c r="BG129" s="147" t="str">
        <f t="shared" si="56"/>
        <v/>
      </c>
      <c r="BH129" s="147" t="str">
        <f t="shared" si="57"/>
        <v/>
      </c>
      <c r="BI129" s="147" t="str">
        <f t="shared" si="41"/>
        <v/>
      </c>
      <c r="BJ129" s="147" t="str">
        <f t="shared" si="42"/>
        <v/>
      </c>
      <c r="BK129" s="148" t="str">
        <f t="shared" si="58"/>
        <v/>
      </c>
      <c r="BL129" s="147" t="str">
        <f t="shared" si="43"/>
        <v/>
      </c>
      <c r="BM129" s="148" t="str">
        <f t="shared" si="59"/>
        <v/>
      </c>
      <c r="BN129" s="147" t="str">
        <f t="shared" si="60"/>
        <v/>
      </c>
      <c r="BO129" s="147" t="str">
        <f t="shared" si="60"/>
        <v/>
      </c>
      <c r="BP129" s="147" t="str">
        <f t="shared" si="61"/>
        <v/>
      </c>
      <c r="BQ129" s="148" t="str">
        <f t="shared" si="62"/>
        <v/>
      </c>
      <c r="BR129" s="148" t="str">
        <f t="shared" si="63"/>
        <v/>
      </c>
      <c r="BS129" s="148" t="str">
        <f t="shared" si="64"/>
        <v/>
      </c>
      <c r="BT129" s="148" t="str">
        <f t="shared" si="44"/>
        <v/>
      </c>
      <c r="BU129" s="148" t="str">
        <f t="shared" si="45"/>
        <v/>
      </c>
      <c r="BV129" s="148" t="str">
        <f t="shared" si="46"/>
        <v/>
      </c>
      <c r="BW129" s="148" t="str">
        <f t="shared" si="47"/>
        <v/>
      </c>
      <c r="BX129" s="148" t="str">
        <f t="shared" si="48"/>
        <v/>
      </c>
      <c r="BY129" s="148" t="str">
        <f t="shared" si="49"/>
        <v/>
      </c>
      <c r="BZ129" s="149" t="str">
        <f>IFERROR(INDEX('Prescriptive Rebate Table'!$B$2:$E$64,MATCH(O129,'Prescriptive Rebate Table'!$C$2:$C$64,0),3),"")</f>
        <v/>
      </c>
      <c r="CA129" s="145" t="str">
        <f>IFERROR(INDEX('Prescriptive Rebate Table'!$B$2:$E$64,MATCH(O129,'Prescriptive Rebate Table'!$C$2:$C$64,0),4),"")</f>
        <v/>
      </c>
      <c r="CB129" s="149" t="str">
        <f t="shared" si="65"/>
        <v/>
      </c>
      <c r="CC129" s="145" t="str">
        <f t="shared" si="66"/>
        <v/>
      </c>
      <c r="CD129" s="149" t="str">
        <f t="shared" si="50"/>
        <v/>
      </c>
      <c r="CE129" s="149" t="str">
        <f t="shared" si="51"/>
        <v/>
      </c>
      <c r="CF129" s="149" t="str">
        <f>IF(BK129&lt;=0,0,IFERROR(IF(OR(ISBLANK(AC129),ISBLANK(CD129))=TRUE,"",IF(CA129="Per Foot",INDEX('Fixture Codes'!$I$8:$I$976,MATCH(AD129,'Fixture Codes'!$B$8:$B$976,0))/12*AF129*BZ129,IF(CA129="Lamp",INDEX('Fixture Codes'!$J$8:$J$976,MATCH(AD129,'Fixture Codes'!$B$8:$B$976,0))*AF129*BZ129,IF(CA129="Fixture",AF129*BZ129,IF(CA129="kWh",BK129*BZ129,0))))),""))</f>
        <v/>
      </c>
      <c r="CG129" s="149" t="str">
        <f t="shared" si="67"/>
        <v/>
      </c>
      <c r="CH129" s="149" t="str">
        <f t="shared" si="68"/>
        <v/>
      </c>
      <c r="CI129" s="152"/>
      <c r="CJ129" s="146"/>
      <c r="CK129" s="241">
        <f>IFERROR(IF(CL129="Yes",'Prescriptive Rebate Table'!$D$69,IF(ISBLANK(AI129),0,IF(AND(AH129=Lookups!$A$62,BK129&gt;0),'Prescriptive Rebate Table'!$D$68,IF(AND(BK129&gt;0,CJ129=AF129),'Prescriptive Rebate Table'!$D$67,IF(AND(BK129&gt;0,CJ129&lt;&gt;AF129),'Prescriptive Rebate Table'!D188,0))))),"")</f>
        <v>0</v>
      </c>
      <c r="CL129" s="240" t="s">
        <v>2712</v>
      </c>
      <c r="CM129" s="152"/>
      <c r="CN129" s="152"/>
      <c r="CO129" s="152"/>
      <c r="CP129" s="146">
        <f t="shared" si="52"/>
        <v>0</v>
      </c>
      <c r="CQ129" s="153">
        <f>IF(D129="Interior",ROUND(($AG129*AF129)/1000*$AM129*(Lookups!$B$54-$AA129)*$AN129*$AO129,3),0)</f>
        <v>0</v>
      </c>
      <c r="CR129" s="153">
        <f>IFERROR(IF(D129="Interior",ROUND(($AG129*$AF129)/1000*(Lookups!$C$54-$AB129)*$AN129*AQ129*AT129,6),0),"")</f>
        <v>0</v>
      </c>
      <c r="CS129" s="165">
        <f t="shared" si="69"/>
        <v>0</v>
      </c>
      <c r="CT129" s="165">
        <f t="shared" si="70"/>
        <v>0</v>
      </c>
      <c r="CV129" s="153"/>
      <c r="CW129" s="153"/>
      <c r="CX129" s="165"/>
      <c r="CY129" s="165"/>
      <c r="DA129" s="153">
        <f>IF(D129="Interior",ROUND(($AG129*AF129*(1-0.15))/1000*$AM129*(Lookups!$B$43+0.097-$AA129)*$AN129*$AO129+((W129*V129)/1000*AN129*AM129*AO129*0.15),3),0)</f>
        <v>0</v>
      </c>
      <c r="DB129" s="153">
        <f>IFERROR(IF(D129="Interior",ROUND(($AG129*$AF129)/1000*(Lookups!$C$43+0.097-$AB129)*$AN129*AQ129*AT129+(($AG129*$AF129)/1000*$AN129*AQ129*AT129*0.15),6),0),"")</f>
        <v>0</v>
      </c>
      <c r="DC129" s="165">
        <f t="shared" si="71"/>
        <v>0</v>
      </c>
      <c r="DD129" s="165">
        <f t="shared" si="72"/>
        <v>0</v>
      </c>
    </row>
    <row r="130" spans="1:108" s="164" customFormat="1">
      <c r="A130" s="150">
        <v>126</v>
      </c>
      <c r="B130" s="153" t="str">
        <f>IFERROR(INDEX(Lookups!$B$2:$B$38,MATCH('Project Info &amp; Summary'!$C$19,Lookups!$A$2:$A$38,0)),"")</f>
        <v/>
      </c>
      <c r="C130" s="153" t="str">
        <f>IFERROR(INDEX(Lookups!$C$2:$C$38,MATCH('Project Info &amp; Summary'!$C$19,Lookups!$A$2:$A$38,0)),"")</f>
        <v/>
      </c>
      <c r="D130" s="163"/>
      <c r="E130" s="160"/>
      <c r="F130" s="158"/>
      <c r="G130" s="158"/>
      <c r="H130" s="158"/>
      <c r="I130" s="158"/>
      <c r="J130" s="154" t="str">
        <f>IFERROR(INDEX(Lookups!$W$21:$W$26,MATCH(I130,Lookups!$V$21:$V$26,0)),"")</f>
        <v/>
      </c>
      <c r="K130" s="158"/>
      <c r="L130" s="162" t="str">
        <f>IFERROR(INDEX(Lookups!$Y$2:$Y$19,MATCH(_xlfn.CONCAT(I130,K130),Lookups!$X$2:$X$19,0)),"")</f>
        <v/>
      </c>
      <c r="M130" s="158"/>
      <c r="N130" s="153" t="str">
        <f>IFERROR(INDEX('Prescriptive Rebate Table'!$M$3:$M$20,MATCH(M130,'Prescriptive Rebate Table'!$L$3:$L$20,0)),"")</f>
        <v/>
      </c>
      <c r="O130" s="158"/>
      <c r="P130" s="154" t="str">
        <f>IFERROR(INDEX('Prescriptive Rebate Table'!$B$2:$H$64, MATCH(O130,'Prescriptive Rebate Table'!$C$2:$C$64,0),7),"")</f>
        <v/>
      </c>
      <c r="Q130" s="155" t="str">
        <f>IFERROR(INDEX('Prescriptive Rebate Table'!$B$2:$I$64, MATCH(O130,'Prescriptive Rebate Table'!$C$2:$C$64,0),8),"")</f>
        <v/>
      </c>
      <c r="R130" s="155" t="str">
        <f>IFERROR(INDEX('Prescriptive Rebate Table'!$B$2:$J$64, MATCH(O130,'Prescriptive Rebate Table'!$C$2:$C$64,0),9),"")</f>
        <v/>
      </c>
      <c r="S130" s="160"/>
      <c r="T130" s="145" t="str">
        <f>IFERROR(INDEX('Fixture Codes'!$M$8:$M$976,MATCH(S130,'Fixture Codes'!$B$8:$B$976,0)),"")</f>
        <v/>
      </c>
      <c r="U130" s="145" t="str">
        <f>IFERROR(INDEX('Fixture Codes'!$B$7:$M$976,MATCH(T130,'Fixture Codes'!$B$7:$B$976,0),5),"")</f>
        <v/>
      </c>
      <c r="V130" s="160"/>
      <c r="W130" s="145" t="str">
        <f>IFERROR(INDEX('Fixture Codes'!$L$8:$L$976,MATCH(T130,'Fixture Codes'!$B$8:$B$976,0)),"")</f>
        <v/>
      </c>
      <c r="X130" s="158"/>
      <c r="Y130" s="159"/>
      <c r="Z130" s="155" t="str">
        <f>IFERROR(INDEX(Lookups!B$68:B$87,MATCH($X130,Lookups!$A$68:$A$87,0)),"")</f>
        <v/>
      </c>
      <c r="AA130" s="150" t="str">
        <f>IFERROR(INDEX(Lookups!B$42:B$62,MATCH($X130,Lookups!$A$42:$A$62,0)),"")</f>
        <v/>
      </c>
      <c r="AB130" s="150" t="str">
        <f>IFERROR(INDEX(Lookups!C$42:C$62,MATCH($X130,Lookups!$A$42:$A$62,0)),"")</f>
        <v/>
      </c>
      <c r="AC130" s="160"/>
      <c r="AD130" s="160"/>
      <c r="AE130" s="150" t="str">
        <f>IFERROR(INDEX('Fixture Codes'!$B$7:$M$976,MATCH(AD130,'Fixture Codes'!$B$7:$B$976,0),5),"")</f>
        <v/>
      </c>
      <c r="AF130" s="160"/>
      <c r="AG130" s="145" t="str">
        <f>IFERROR(INDEX('Fixture Codes'!$L$8:$L$976,MATCH(AD130,'Fixture Codes'!$B$8:$B$976,0)),"")</f>
        <v/>
      </c>
      <c r="AH130" s="158"/>
      <c r="AI130" s="160"/>
      <c r="AJ130" s="150" t="str">
        <f>IFERROR(INDEX(Lookups!B$68:B$87,MATCH($AH130,Lookups!$A$68:$A$87,0)),"")</f>
        <v/>
      </c>
      <c r="AK130" s="150" t="str">
        <f>IFERROR(INDEX(Lookups!B$42:B$62,MATCH($AH130,Lookups!$A$42:$A$62,0)),"")</f>
        <v/>
      </c>
      <c r="AL130" s="150" t="str">
        <f>IFERROR(INDEX(Lookups!C$42:C$62,MATCH($AH130,Lookups!$A$42:$A$62,0)),"")</f>
        <v/>
      </c>
      <c r="AM130" s="150" t="str">
        <f>IFERROR(IF(M130="Exit Signs",8760,IF(INDEX('Fixture Codes'!$C$8:$C$976,MATCH(AD130,'Fixture Codes'!$B$8:$B$976,0))="Exit Sign",8760,INDEX(Lookups!$I$2:$I$428,MATCH(_xlfn.CONCAT(B130,H130),Lookups!$H$2:$H$428,0)))),"")</f>
        <v/>
      </c>
      <c r="AN130" s="153">
        <v>1</v>
      </c>
      <c r="AO130" s="150" t="str">
        <f>IF($D130="Interior",INDEX(Lookups!Q$2:Q$86,MATCH(_xlfn.CONCAT($C130,$L130),Lookups!$P$2:$P$86,0)),IF($D130="Exterior",1,""))</f>
        <v/>
      </c>
      <c r="AP130" s="150">
        <f t="shared" si="55"/>
        <v>1</v>
      </c>
      <c r="AQ130" s="150" t="str">
        <f>IF($D130="Interior",INDEX(Lookups!R$2:R$86,MATCH(_xlfn.CONCAT($C130,$L130),Lookups!$P$2:$P$86,0)),IF($D130="Exterior",1,""))</f>
        <v/>
      </c>
      <c r="AR130" s="150" t="str">
        <f>IF($D130="Interior",INDEX(Lookups!S$2:S$86,MATCH(_xlfn.CONCAT($C130,$L130),Lookups!$P$2:$P$86,0)),IF($D130="Exterior",1,""))</f>
        <v/>
      </c>
      <c r="AS130" s="150" t="str">
        <f>IF($D130="Interior",INDEX(Lookups!T$2:T$86,MATCH(_xlfn.CONCAT($C130,$L130),Lookups!$P$2:$P$86,0)),IF($D130="Exterior",1,""))</f>
        <v/>
      </c>
      <c r="AT130" s="150" t="str">
        <f>IFERROR(IF(M130="Exit Signs",1,IF(INDEX('Fixture Codes'!$C$8:$C$976,MATCH($AD130,'Fixture Codes'!$B$8:$B$976,0))="Exit Sign",1,INDEX(Lookups!J$2:J$428,MATCH(_xlfn.CONCAT($B130,$H130),Lookups!$H$2:$H$428,0)))),"")</f>
        <v/>
      </c>
      <c r="AU130" s="150" t="str">
        <f>IFERROR(IF(M130="Exit Signs",1,IF(INDEX('Fixture Codes'!$C$8:$C$976,MATCH($AD130,'Fixture Codes'!$B$8:$B$976,0))="Exit Sign",1,INDEX(Lookups!K$2:K$428,MATCH(_xlfn.CONCAT($B130,$H130),Lookups!$H$2:$H$428,0)))),"")</f>
        <v/>
      </c>
      <c r="AV130" s="150" t="str">
        <f>IFERROR(IF(M130="Exit Signs",1,IF(INDEX('Fixture Codes'!$C$8:$C$976,MATCH($AD130,'Fixture Codes'!$B$8:$B$976,0))="Exit Sign",1,INDEX(Lookups!L$2:L$428,MATCH(_xlfn.CONCAT($B130,$H130),Lookups!$H$2:$H$428,0)))),"")</f>
        <v/>
      </c>
      <c r="AW130" s="150" t="str">
        <f>IF(ISBLANK(K130),"",IF(K130="Gas",INDEX(Lookups!$AG$2:$AG$63,MATCH(O130,Lookups!$AD$2:$AD$63,0),0),0))</f>
        <v/>
      </c>
      <c r="AX130" s="150" t="str">
        <f>IF(ISBLANK(K130),"",IF(K130="Gas",INDEX(Lookups!$AF$2:$AF$63,MATCH(O130,Lookups!$AD$2:$AD$63,0),0),0))</f>
        <v/>
      </c>
      <c r="AY130" s="150" t="str">
        <f>IF(ISBLANK(K130),"",IF(K130="Gas",INDEX(Lookups!$AH$2:$AH$63,MATCH(O130,Lookups!$AD$2:$AD$63,0),0),0))</f>
        <v/>
      </c>
      <c r="AZ130" s="150" t="str">
        <f>IF(ISBLANK(K130),"",IF(K130="Gas",INDEX(Lookups!$AI$2:$AI$63,MATCH(O130,Lookups!$AD$2:$AD$63,0),0),0))</f>
        <v/>
      </c>
      <c r="BA130" s="150" t="str">
        <f t="shared" si="40"/>
        <v/>
      </c>
      <c r="BB130" s="156" t="str">
        <f>IF(ISBLANK(AH130),"",IF(AH130="None",0,IF(K130="Gas",INDEX(Lookups!$AF$51:$AF$69,MATCH(AH130,Lookups!$AD$51:$AD$69,0),0),0)))</f>
        <v/>
      </c>
      <c r="BC130" s="156" t="str">
        <f>IF(ISBLANK(AH130),"",IF(AH130="None",0,IF(K130="Gas",INDEX(Lookups!$AH$51:$AH$69,MATCH(AH130,Lookups!$AD$51:$AD$69,0),0),0)))</f>
        <v/>
      </c>
      <c r="BD130" s="156" t="str">
        <f>IF(ISBLANK(AH130),"",IF(AH130="None",0,IF(K130="Gas",INDEX(Lookups!$AI$51:$AI$69,MATCH(AH130,Lookups!$AD$51:$AD$69,0),0),0)))</f>
        <v/>
      </c>
      <c r="BE130" s="157"/>
      <c r="BF130" s="157"/>
      <c r="BG130" s="147" t="str">
        <f t="shared" si="56"/>
        <v/>
      </c>
      <c r="BH130" s="147" t="str">
        <f t="shared" si="57"/>
        <v/>
      </c>
      <c r="BI130" s="147" t="str">
        <f t="shared" si="41"/>
        <v/>
      </c>
      <c r="BJ130" s="147" t="str">
        <f t="shared" si="42"/>
        <v/>
      </c>
      <c r="BK130" s="148" t="str">
        <f t="shared" si="58"/>
        <v/>
      </c>
      <c r="BL130" s="147" t="str">
        <f t="shared" si="43"/>
        <v/>
      </c>
      <c r="BM130" s="148" t="str">
        <f t="shared" si="59"/>
        <v/>
      </c>
      <c r="BN130" s="147" t="str">
        <f t="shared" si="60"/>
        <v/>
      </c>
      <c r="BO130" s="147" t="str">
        <f t="shared" si="60"/>
        <v/>
      </c>
      <c r="BP130" s="147" t="str">
        <f t="shared" si="61"/>
        <v/>
      </c>
      <c r="BQ130" s="148" t="str">
        <f t="shared" si="62"/>
        <v/>
      </c>
      <c r="BR130" s="148" t="str">
        <f t="shared" si="63"/>
        <v/>
      </c>
      <c r="BS130" s="148" t="str">
        <f t="shared" si="64"/>
        <v/>
      </c>
      <c r="BT130" s="148" t="str">
        <f t="shared" si="44"/>
        <v/>
      </c>
      <c r="BU130" s="148" t="str">
        <f t="shared" si="45"/>
        <v/>
      </c>
      <c r="BV130" s="148" t="str">
        <f t="shared" si="46"/>
        <v/>
      </c>
      <c r="BW130" s="148" t="str">
        <f t="shared" si="47"/>
        <v/>
      </c>
      <c r="BX130" s="148" t="str">
        <f t="shared" si="48"/>
        <v/>
      </c>
      <c r="BY130" s="148" t="str">
        <f t="shared" si="49"/>
        <v/>
      </c>
      <c r="BZ130" s="149" t="str">
        <f>IFERROR(INDEX('Prescriptive Rebate Table'!$B$2:$E$64,MATCH(O130,'Prescriptive Rebate Table'!$C$2:$C$64,0),3),"")</f>
        <v/>
      </c>
      <c r="CA130" s="145" t="str">
        <f>IFERROR(INDEX('Prescriptive Rebate Table'!$B$2:$E$64,MATCH(O130,'Prescriptive Rebate Table'!$C$2:$C$64,0),4),"")</f>
        <v/>
      </c>
      <c r="CB130" s="149" t="str">
        <f t="shared" si="65"/>
        <v/>
      </c>
      <c r="CC130" s="145" t="str">
        <f t="shared" si="66"/>
        <v/>
      </c>
      <c r="CD130" s="149" t="str">
        <f t="shared" si="50"/>
        <v/>
      </c>
      <c r="CE130" s="149" t="str">
        <f t="shared" si="51"/>
        <v/>
      </c>
      <c r="CF130" s="149" t="str">
        <f>IF(BK130&lt;=0,0,IFERROR(IF(OR(ISBLANK(AC130),ISBLANK(CD130))=TRUE,"",IF(CA130="Per Foot",INDEX('Fixture Codes'!$I$8:$I$976,MATCH(AD130,'Fixture Codes'!$B$8:$B$976,0))/12*AF130*BZ130,IF(CA130="Lamp",INDEX('Fixture Codes'!$J$8:$J$976,MATCH(AD130,'Fixture Codes'!$B$8:$B$976,0))*AF130*BZ130,IF(CA130="Fixture",AF130*BZ130,IF(CA130="kWh",BK130*BZ130,0))))),""))</f>
        <v/>
      </c>
      <c r="CG130" s="149" t="str">
        <f t="shared" si="67"/>
        <v/>
      </c>
      <c r="CH130" s="149" t="str">
        <f t="shared" si="68"/>
        <v/>
      </c>
      <c r="CI130" s="152"/>
      <c r="CJ130" s="146"/>
      <c r="CK130" s="241">
        <f>IFERROR(IF(CL130="Yes",'Prescriptive Rebate Table'!$D$69,IF(ISBLANK(AI130),0,IF(AND(AH130=Lookups!$A$62,BK130&gt;0),'Prescriptive Rebate Table'!$D$68,IF(AND(BK130&gt;0,CJ130=AF130),'Prescriptive Rebate Table'!$D$67,IF(AND(BK130&gt;0,CJ130&lt;&gt;AF130),'Prescriptive Rebate Table'!D189,0))))),"")</f>
        <v>0</v>
      </c>
      <c r="CL130" s="240" t="s">
        <v>2712</v>
      </c>
      <c r="CM130" s="152"/>
      <c r="CN130" s="152"/>
      <c r="CO130" s="152"/>
      <c r="CP130" s="146">
        <f t="shared" si="52"/>
        <v>0</v>
      </c>
      <c r="CQ130" s="153">
        <f>IF(D130="Interior",ROUND(($AG130*AF130)/1000*$AM130*(Lookups!$B$54-$AA130)*$AN130*$AO130,3),0)</f>
        <v>0</v>
      </c>
      <c r="CR130" s="153">
        <f>IFERROR(IF(D130="Interior",ROUND(($AG130*$AF130)/1000*(Lookups!$C$54-$AB130)*$AN130*AQ130*AT130,6),0),"")</f>
        <v>0</v>
      </c>
      <c r="CS130" s="165">
        <f t="shared" si="69"/>
        <v>0</v>
      </c>
      <c r="CT130" s="165">
        <f t="shared" si="70"/>
        <v>0</v>
      </c>
      <c r="CV130" s="153"/>
      <c r="CW130" s="153"/>
      <c r="CX130" s="165"/>
      <c r="CY130" s="165"/>
      <c r="DA130" s="153">
        <f>IF(D130="Interior",ROUND(($AG130*AF130*(1-0.15))/1000*$AM130*(Lookups!$B$43+0.097-$AA130)*$AN130*$AO130+((W130*V130)/1000*AN130*AM130*AO130*0.15),3),0)</f>
        <v>0</v>
      </c>
      <c r="DB130" s="153">
        <f>IFERROR(IF(D130="Interior",ROUND(($AG130*$AF130)/1000*(Lookups!$C$43+0.097-$AB130)*$AN130*AQ130*AT130+(($AG130*$AF130)/1000*$AN130*AQ130*AT130*0.15),6),0),"")</f>
        <v>0</v>
      </c>
      <c r="DC130" s="165">
        <f t="shared" si="71"/>
        <v>0</v>
      </c>
      <c r="DD130" s="165">
        <f t="shared" si="72"/>
        <v>0</v>
      </c>
    </row>
    <row r="131" spans="1:108" s="164" customFormat="1">
      <c r="A131" s="150">
        <v>127</v>
      </c>
      <c r="B131" s="153" t="str">
        <f>IFERROR(INDEX(Lookups!$B$2:$B$38,MATCH('Project Info &amp; Summary'!$C$19,Lookups!$A$2:$A$38,0)),"")</f>
        <v/>
      </c>
      <c r="C131" s="153" t="str">
        <f>IFERROR(INDEX(Lookups!$C$2:$C$38,MATCH('Project Info &amp; Summary'!$C$19,Lookups!$A$2:$A$38,0)),"")</f>
        <v/>
      </c>
      <c r="D131" s="163"/>
      <c r="E131" s="160"/>
      <c r="F131" s="158"/>
      <c r="G131" s="158"/>
      <c r="H131" s="158"/>
      <c r="I131" s="158"/>
      <c r="J131" s="154" t="str">
        <f>IFERROR(INDEX(Lookups!$W$21:$W$26,MATCH(I131,Lookups!$V$21:$V$26,0)),"")</f>
        <v/>
      </c>
      <c r="K131" s="158"/>
      <c r="L131" s="162" t="str">
        <f>IFERROR(INDEX(Lookups!$Y$2:$Y$19,MATCH(_xlfn.CONCAT(I131,K131),Lookups!$X$2:$X$19,0)),"")</f>
        <v/>
      </c>
      <c r="M131" s="158"/>
      <c r="N131" s="153" t="str">
        <f>IFERROR(INDEX('Prescriptive Rebate Table'!$M$3:$M$20,MATCH(M131,'Prescriptive Rebate Table'!$L$3:$L$20,0)),"")</f>
        <v/>
      </c>
      <c r="O131" s="158"/>
      <c r="P131" s="154" t="str">
        <f>IFERROR(INDEX('Prescriptive Rebate Table'!$B$2:$H$64, MATCH(O131,'Prescriptive Rebate Table'!$C$2:$C$64,0),7),"")</f>
        <v/>
      </c>
      <c r="Q131" s="155" t="str">
        <f>IFERROR(INDEX('Prescriptive Rebate Table'!$B$2:$I$64, MATCH(O131,'Prescriptive Rebate Table'!$C$2:$C$64,0),8),"")</f>
        <v/>
      </c>
      <c r="R131" s="155" t="str">
        <f>IFERROR(INDEX('Prescriptive Rebate Table'!$B$2:$J$64, MATCH(O131,'Prescriptive Rebate Table'!$C$2:$C$64,0),9),"")</f>
        <v/>
      </c>
      <c r="S131" s="160"/>
      <c r="T131" s="145" t="str">
        <f>IFERROR(INDEX('Fixture Codes'!$M$8:$M$976,MATCH(S131,'Fixture Codes'!$B$8:$B$976,0)),"")</f>
        <v/>
      </c>
      <c r="U131" s="145" t="str">
        <f>IFERROR(INDEX('Fixture Codes'!$B$7:$M$976,MATCH(T131,'Fixture Codes'!$B$7:$B$976,0),5),"")</f>
        <v/>
      </c>
      <c r="V131" s="160"/>
      <c r="W131" s="145" t="str">
        <f>IFERROR(INDEX('Fixture Codes'!$L$8:$L$976,MATCH(T131,'Fixture Codes'!$B$8:$B$976,0)),"")</f>
        <v/>
      </c>
      <c r="X131" s="158"/>
      <c r="Y131" s="159"/>
      <c r="Z131" s="155" t="str">
        <f>IFERROR(INDEX(Lookups!B$68:B$87,MATCH($X131,Lookups!$A$68:$A$87,0)),"")</f>
        <v/>
      </c>
      <c r="AA131" s="150" t="str">
        <f>IFERROR(INDEX(Lookups!B$42:B$62,MATCH($X131,Lookups!$A$42:$A$62,0)),"")</f>
        <v/>
      </c>
      <c r="AB131" s="150" t="str">
        <f>IFERROR(INDEX(Lookups!C$42:C$62,MATCH($X131,Lookups!$A$42:$A$62,0)),"")</f>
        <v/>
      </c>
      <c r="AC131" s="160"/>
      <c r="AD131" s="160"/>
      <c r="AE131" s="150" t="str">
        <f>IFERROR(INDEX('Fixture Codes'!$B$7:$M$976,MATCH(AD131,'Fixture Codes'!$B$7:$B$976,0),5),"")</f>
        <v/>
      </c>
      <c r="AF131" s="160"/>
      <c r="AG131" s="145" t="str">
        <f>IFERROR(INDEX('Fixture Codes'!$L$8:$L$976,MATCH(AD131,'Fixture Codes'!$B$8:$B$976,0)),"")</f>
        <v/>
      </c>
      <c r="AH131" s="158"/>
      <c r="AI131" s="160"/>
      <c r="AJ131" s="150" t="str">
        <f>IFERROR(INDEX(Lookups!B$68:B$87,MATCH($AH131,Lookups!$A$68:$A$87,0)),"")</f>
        <v/>
      </c>
      <c r="AK131" s="150" t="str">
        <f>IFERROR(INDEX(Lookups!B$42:B$62,MATCH($AH131,Lookups!$A$42:$A$62,0)),"")</f>
        <v/>
      </c>
      <c r="AL131" s="150" t="str">
        <f>IFERROR(INDEX(Lookups!C$42:C$62,MATCH($AH131,Lookups!$A$42:$A$62,0)),"")</f>
        <v/>
      </c>
      <c r="AM131" s="150" t="str">
        <f>IFERROR(IF(M131="Exit Signs",8760,IF(INDEX('Fixture Codes'!$C$8:$C$976,MATCH(AD131,'Fixture Codes'!$B$8:$B$976,0))="Exit Sign",8760,INDEX(Lookups!$I$2:$I$428,MATCH(_xlfn.CONCAT(B131,H131),Lookups!$H$2:$H$428,0)))),"")</f>
        <v/>
      </c>
      <c r="AN131" s="153">
        <v>1</v>
      </c>
      <c r="AO131" s="150" t="str">
        <f>IF($D131="Interior",INDEX(Lookups!Q$2:Q$86,MATCH(_xlfn.CONCAT($C131,$L131),Lookups!$P$2:$P$86,0)),IF($D131="Exterior",1,""))</f>
        <v/>
      </c>
      <c r="AP131" s="150">
        <f t="shared" si="55"/>
        <v>1</v>
      </c>
      <c r="AQ131" s="150" t="str">
        <f>IF($D131="Interior",INDEX(Lookups!R$2:R$86,MATCH(_xlfn.CONCAT($C131,$L131),Lookups!$P$2:$P$86,0)),IF($D131="Exterior",1,""))</f>
        <v/>
      </c>
      <c r="AR131" s="150" t="str">
        <f>IF($D131="Interior",INDEX(Lookups!S$2:S$86,MATCH(_xlfn.CONCAT($C131,$L131),Lookups!$P$2:$P$86,0)),IF($D131="Exterior",1,""))</f>
        <v/>
      </c>
      <c r="AS131" s="150" t="str">
        <f>IF($D131="Interior",INDEX(Lookups!T$2:T$86,MATCH(_xlfn.CONCAT($C131,$L131),Lookups!$P$2:$P$86,0)),IF($D131="Exterior",1,""))</f>
        <v/>
      </c>
      <c r="AT131" s="150" t="str">
        <f>IFERROR(IF(M131="Exit Signs",1,IF(INDEX('Fixture Codes'!$C$8:$C$976,MATCH($AD131,'Fixture Codes'!$B$8:$B$976,0))="Exit Sign",1,INDEX(Lookups!J$2:J$428,MATCH(_xlfn.CONCAT($B131,$H131),Lookups!$H$2:$H$428,0)))),"")</f>
        <v/>
      </c>
      <c r="AU131" s="150" t="str">
        <f>IFERROR(IF(M131="Exit Signs",1,IF(INDEX('Fixture Codes'!$C$8:$C$976,MATCH($AD131,'Fixture Codes'!$B$8:$B$976,0))="Exit Sign",1,INDEX(Lookups!K$2:K$428,MATCH(_xlfn.CONCAT($B131,$H131),Lookups!$H$2:$H$428,0)))),"")</f>
        <v/>
      </c>
      <c r="AV131" s="150" t="str">
        <f>IFERROR(IF(M131="Exit Signs",1,IF(INDEX('Fixture Codes'!$C$8:$C$976,MATCH($AD131,'Fixture Codes'!$B$8:$B$976,0))="Exit Sign",1,INDEX(Lookups!L$2:L$428,MATCH(_xlfn.CONCAT($B131,$H131),Lookups!$H$2:$H$428,0)))),"")</f>
        <v/>
      </c>
      <c r="AW131" s="150" t="str">
        <f>IF(ISBLANK(K131),"",IF(K131="Gas",INDEX(Lookups!$AG$2:$AG$63,MATCH(O131,Lookups!$AD$2:$AD$63,0),0),0))</f>
        <v/>
      </c>
      <c r="AX131" s="150" t="str">
        <f>IF(ISBLANK(K131),"",IF(K131="Gas",INDEX(Lookups!$AF$2:$AF$63,MATCH(O131,Lookups!$AD$2:$AD$63,0),0),0))</f>
        <v/>
      </c>
      <c r="AY131" s="150" t="str">
        <f>IF(ISBLANK(K131),"",IF(K131="Gas",INDEX(Lookups!$AH$2:$AH$63,MATCH(O131,Lookups!$AD$2:$AD$63,0),0),0))</f>
        <v/>
      </c>
      <c r="AZ131" s="150" t="str">
        <f>IF(ISBLANK(K131),"",IF(K131="Gas",INDEX(Lookups!$AI$2:$AI$63,MATCH(O131,Lookups!$AD$2:$AD$63,0),0),0))</f>
        <v/>
      </c>
      <c r="BA131" s="150" t="str">
        <f t="shared" si="40"/>
        <v/>
      </c>
      <c r="BB131" s="156" t="str">
        <f>IF(ISBLANK(AH131),"",IF(AH131="None",0,IF(K131="Gas",INDEX(Lookups!$AF$51:$AF$69,MATCH(AH131,Lookups!$AD$51:$AD$69,0),0),0)))</f>
        <v/>
      </c>
      <c r="BC131" s="156" t="str">
        <f>IF(ISBLANK(AH131),"",IF(AH131="None",0,IF(K131="Gas",INDEX(Lookups!$AH$51:$AH$69,MATCH(AH131,Lookups!$AD$51:$AD$69,0),0),0)))</f>
        <v/>
      </c>
      <c r="BD131" s="156" t="str">
        <f>IF(ISBLANK(AH131),"",IF(AH131="None",0,IF(K131="Gas",INDEX(Lookups!$AI$51:$AI$69,MATCH(AH131,Lookups!$AD$51:$AD$69,0),0),0)))</f>
        <v/>
      </c>
      <c r="BE131" s="157"/>
      <c r="BF131" s="157"/>
      <c r="BG131" s="147" t="str">
        <f t="shared" si="56"/>
        <v/>
      </c>
      <c r="BH131" s="147" t="str">
        <f t="shared" si="57"/>
        <v/>
      </c>
      <c r="BI131" s="147" t="str">
        <f t="shared" si="41"/>
        <v/>
      </c>
      <c r="BJ131" s="147" t="str">
        <f t="shared" si="42"/>
        <v/>
      </c>
      <c r="BK131" s="148" t="str">
        <f t="shared" si="58"/>
        <v/>
      </c>
      <c r="BL131" s="147" t="str">
        <f t="shared" si="43"/>
        <v/>
      </c>
      <c r="BM131" s="148" t="str">
        <f t="shared" si="59"/>
        <v/>
      </c>
      <c r="BN131" s="147" t="str">
        <f t="shared" si="60"/>
        <v/>
      </c>
      <c r="BO131" s="147" t="str">
        <f t="shared" si="60"/>
        <v/>
      </c>
      <c r="BP131" s="147" t="str">
        <f t="shared" si="61"/>
        <v/>
      </c>
      <c r="BQ131" s="148" t="str">
        <f t="shared" si="62"/>
        <v/>
      </c>
      <c r="BR131" s="148" t="str">
        <f t="shared" si="63"/>
        <v/>
      </c>
      <c r="BS131" s="148" t="str">
        <f t="shared" si="64"/>
        <v/>
      </c>
      <c r="BT131" s="148" t="str">
        <f t="shared" si="44"/>
        <v/>
      </c>
      <c r="BU131" s="148" t="str">
        <f t="shared" si="45"/>
        <v/>
      </c>
      <c r="BV131" s="148" t="str">
        <f t="shared" si="46"/>
        <v/>
      </c>
      <c r="BW131" s="148" t="str">
        <f t="shared" si="47"/>
        <v/>
      </c>
      <c r="BX131" s="148" t="str">
        <f t="shared" si="48"/>
        <v/>
      </c>
      <c r="BY131" s="148" t="str">
        <f t="shared" si="49"/>
        <v/>
      </c>
      <c r="BZ131" s="149" t="str">
        <f>IFERROR(INDEX('Prescriptive Rebate Table'!$B$2:$E$64,MATCH(O131,'Prescriptive Rebate Table'!$C$2:$C$64,0),3),"")</f>
        <v/>
      </c>
      <c r="CA131" s="145" t="str">
        <f>IFERROR(INDEX('Prescriptive Rebate Table'!$B$2:$E$64,MATCH(O131,'Prescriptive Rebate Table'!$C$2:$C$64,0),4),"")</f>
        <v/>
      </c>
      <c r="CB131" s="149" t="str">
        <f t="shared" si="65"/>
        <v/>
      </c>
      <c r="CC131" s="145" t="str">
        <f t="shared" si="66"/>
        <v/>
      </c>
      <c r="CD131" s="149" t="str">
        <f t="shared" si="50"/>
        <v/>
      </c>
      <c r="CE131" s="149" t="str">
        <f t="shared" si="51"/>
        <v/>
      </c>
      <c r="CF131" s="149" t="str">
        <f>IF(BK131&lt;=0,0,IFERROR(IF(OR(ISBLANK(AC131),ISBLANK(CD131))=TRUE,"",IF(CA131="Per Foot",INDEX('Fixture Codes'!$I$8:$I$976,MATCH(AD131,'Fixture Codes'!$B$8:$B$976,0))/12*AF131*BZ131,IF(CA131="Lamp",INDEX('Fixture Codes'!$J$8:$J$976,MATCH(AD131,'Fixture Codes'!$B$8:$B$976,0))*AF131*BZ131,IF(CA131="Fixture",AF131*BZ131,IF(CA131="kWh",BK131*BZ131,0))))),""))</f>
        <v/>
      </c>
      <c r="CG131" s="149" t="str">
        <f t="shared" si="67"/>
        <v/>
      </c>
      <c r="CH131" s="149" t="str">
        <f t="shared" si="68"/>
        <v/>
      </c>
      <c r="CI131" s="152"/>
      <c r="CJ131" s="146"/>
      <c r="CK131" s="241">
        <f>IFERROR(IF(CL131="Yes",'Prescriptive Rebate Table'!$D$69,IF(ISBLANK(AI131),0,IF(AND(AH131=Lookups!$A$62,BK131&gt;0),'Prescriptive Rebate Table'!$D$68,IF(AND(BK131&gt;0,CJ131=AF131),'Prescriptive Rebate Table'!$D$67,IF(AND(BK131&gt;0,CJ131&lt;&gt;AF131),'Prescriptive Rebate Table'!D190,0))))),"")</f>
        <v>0</v>
      </c>
      <c r="CL131" s="240" t="s">
        <v>2712</v>
      </c>
      <c r="CM131" s="152"/>
      <c r="CN131" s="152"/>
      <c r="CO131" s="152"/>
      <c r="CP131" s="146">
        <f t="shared" si="52"/>
        <v>0</v>
      </c>
      <c r="CQ131" s="153">
        <f>IF(D131="Interior",ROUND(($AG131*AF131)/1000*$AM131*(Lookups!$B$54-$AA131)*$AN131*$AO131,3),0)</f>
        <v>0</v>
      </c>
      <c r="CR131" s="153">
        <f>IFERROR(IF(D131="Interior",ROUND(($AG131*$AF131)/1000*(Lookups!$C$54-$AB131)*$AN131*AQ131*AT131,6),0),"")</f>
        <v>0</v>
      </c>
      <c r="CS131" s="165">
        <f t="shared" si="69"/>
        <v>0</v>
      </c>
      <c r="CT131" s="165">
        <f t="shared" si="70"/>
        <v>0</v>
      </c>
      <c r="CV131" s="153"/>
      <c r="CW131" s="153"/>
      <c r="CX131" s="165"/>
      <c r="CY131" s="165"/>
      <c r="DA131" s="153">
        <f>IF(D131="Interior",ROUND(($AG131*AF131*(1-0.15))/1000*$AM131*(Lookups!$B$43+0.097-$AA131)*$AN131*$AO131+((W131*V131)/1000*AN131*AM131*AO131*0.15),3),0)</f>
        <v>0</v>
      </c>
      <c r="DB131" s="153">
        <f>IFERROR(IF(D131="Interior",ROUND(($AG131*$AF131)/1000*(Lookups!$C$43+0.097-$AB131)*$AN131*AQ131*AT131+(($AG131*$AF131)/1000*$AN131*AQ131*AT131*0.15),6),0),"")</f>
        <v>0</v>
      </c>
      <c r="DC131" s="165">
        <f t="shared" si="71"/>
        <v>0</v>
      </c>
      <c r="DD131" s="165">
        <f t="shared" si="72"/>
        <v>0</v>
      </c>
    </row>
    <row r="132" spans="1:108" s="164" customFormat="1">
      <c r="A132" s="150">
        <v>128</v>
      </c>
      <c r="B132" s="153" t="str">
        <f>IFERROR(INDEX(Lookups!$B$2:$B$38,MATCH('Project Info &amp; Summary'!$C$19,Lookups!$A$2:$A$38,0)),"")</f>
        <v/>
      </c>
      <c r="C132" s="153" t="str">
        <f>IFERROR(INDEX(Lookups!$C$2:$C$38,MATCH('Project Info &amp; Summary'!$C$19,Lookups!$A$2:$A$38,0)),"")</f>
        <v/>
      </c>
      <c r="D132" s="163"/>
      <c r="E132" s="160"/>
      <c r="F132" s="158"/>
      <c r="G132" s="158"/>
      <c r="H132" s="158"/>
      <c r="I132" s="158"/>
      <c r="J132" s="154" t="str">
        <f>IFERROR(INDEX(Lookups!$W$21:$W$26,MATCH(I132,Lookups!$V$21:$V$26,0)),"")</f>
        <v/>
      </c>
      <c r="K132" s="158"/>
      <c r="L132" s="162" t="str">
        <f>IFERROR(INDEX(Lookups!$Y$2:$Y$19,MATCH(_xlfn.CONCAT(I132,K132),Lookups!$X$2:$X$19,0)),"")</f>
        <v/>
      </c>
      <c r="M132" s="158"/>
      <c r="N132" s="153" t="str">
        <f>IFERROR(INDEX('Prescriptive Rebate Table'!$M$3:$M$20,MATCH(M132,'Prescriptive Rebate Table'!$L$3:$L$20,0)),"")</f>
        <v/>
      </c>
      <c r="O132" s="158"/>
      <c r="P132" s="154" t="str">
        <f>IFERROR(INDEX('Prescriptive Rebate Table'!$B$2:$H$64, MATCH(O132,'Prescriptive Rebate Table'!$C$2:$C$64,0),7),"")</f>
        <v/>
      </c>
      <c r="Q132" s="155" t="str">
        <f>IFERROR(INDEX('Prescriptive Rebate Table'!$B$2:$I$64, MATCH(O132,'Prescriptive Rebate Table'!$C$2:$C$64,0),8),"")</f>
        <v/>
      </c>
      <c r="R132" s="155" t="str">
        <f>IFERROR(INDEX('Prescriptive Rebate Table'!$B$2:$J$64, MATCH(O132,'Prescriptive Rebate Table'!$C$2:$C$64,0),9),"")</f>
        <v/>
      </c>
      <c r="S132" s="160"/>
      <c r="T132" s="145" t="str">
        <f>IFERROR(INDEX('Fixture Codes'!$M$8:$M$976,MATCH(S132,'Fixture Codes'!$B$8:$B$976,0)),"")</f>
        <v/>
      </c>
      <c r="U132" s="145" t="str">
        <f>IFERROR(INDEX('Fixture Codes'!$B$7:$M$976,MATCH(T132,'Fixture Codes'!$B$7:$B$976,0),5),"")</f>
        <v/>
      </c>
      <c r="V132" s="160"/>
      <c r="W132" s="145" t="str">
        <f>IFERROR(INDEX('Fixture Codes'!$L$8:$L$976,MATCH(T132,'Fixture Codes'!$B$8:$B$976,0)),"")</f>
        <v/>
      </c>
      <c r="X132" s="158"/>
      <c r="Y132" s="159"/>
      <c r="Z132" s="155" t="str">
        <f>IFERROR(INDEX(Lookups!B$68:B$87,MATCH($X132,Lookups!$A$68:$A$87,0)),"")</f>
        <v/>
      </c>
      <c r="AA132" s="150" t="str">
        <f>IFERROR(INDEX(Lookups!B$42:B$62,MATCH($X132,Lookups!$A$42:$A$62,0)),"")</f>
        <v/>
      </c>
      <c r="AB132" s="150" t="str">
        <f>IFERROR(INDEX(Lookups!C$42:C$62,MATCH($X132,Lookups!$A$42:$A$62,0)),"")</f>
        <v/>
      </c>
      <c r="AC132" s="160"/>
      <c r="AD132" s="160"/>
      <c r="AE132" s="150" t="str">
        <f>IFERROR(INDEX('Fixture Codes'!$B$7:$M$976,MATCH(AD132,'Fixture Codes'!$B$7:$B$976,0),5),"")</f>
        <v/>
      </c>
      <c r="AF132" s="160"/>
      <c r="AG132" s="145" t="str">
        <f>IFERROR(INDEX('Fixture Codes'!$L$8:$L$976,MATCH(AD132,'Fixture Codes'!$B$8:$B$976,0)),"")</f>
        <v/>
      </c>
      <c r="AH132" s="158"/>
      <c r="AI132" s="160"/>
      <c r="AJ132" s="150" t="str">
        <f>IFERROR(INDEX(Lookups!B$68:B$87,MATCH($AH132,Lookups!$A$68:$A$87,0)),"")</f>
        <v/>
      </c>
      <c r="AK132" s="150" t="str">
        <f>IFERROR(INDEX(Lookups!B$42:B$62,MATCH($AH132,Lookups!$A$42:$A$62,0)),"")</f>
        <v/>
      </c>
      <c r="AL132" s="150" t="str">
        <f>IFERROR(INDEX(Lookups!C$42:C$62,MATCH($AH132,Lookups!$A$42:$A$62,0)),"")</f>
        <v/>
      </c>
      <c r="AM132" s="150" t="str">
        <f>IFERROR(IF(M132="Exit Signs",8760,IF(INDEX('Fixture Codes'!$C$8:$C$976,MATCH(AD132,'Fixture Codes'!$B$8:$B$976,0))="Exit Sign",8760,INDEX(Lookups!$I$2:$I$428,MATCH(_xlfn.CONCAT(B132,H132),Lookups!$H$2:$H$428,0)))),"")</f>
        <v/>
      </c>
      <c r="AN132" s="153">
        <v>1</v>
      </c>
      <c r="AO132" s="150" t="str">
        <f>IF($D132="Interior",INDEX(Lookups!Q$2:Q$86,MATCH(_xlfn.CONCAT($C132,$L132),Lookups!$P$2:$P$86,0)),IF($D132="Exterior",1,""))</f>
        <v/>
      </c>
      <c r="AP132" s="150">
        <f t="shared" si="55"/>
        <v>1</v>
      </c>
      <c r="AQ132" s="150" t="str">
        <f>IF($D132="Interior",INDEX(Lookups!R$2:R$86,MATCH(_xlfn.CONCAT($C132,$L132),Lookups!$P$2:$P$86,0)),IF($D132="Exterior",1,""))</f>
        <v/>
      </c>
      <c r="AR132" s="150" t="str">
        <f>IF($D132="Interior",INDEX(Lookups!S$2:S$86,MATCH(_xlfn.CONCAT($C132,$L132),Lookups!$P$2:$P$86,0)),IF($D132="Exterior",1,""))</f>
        <v/>
      </c>
      <c r="AS132" s="150" t="str">
        <f>IF($D132="Interior",INDEX(Lookups!T$2:T$86,MATCH(_xlfn.CONCAT($C132,$L132),Lookups!$P$2:$P$86,0)),IF($D132="Exterior",1,""))</f>
        <v/>
      </c>
      <c r="AT132" s="150" t="str">
        <f>IFERROR(IF(M132="Exit Signs",1,IF(INDEX('Fixture Codes'!$C$8:$C$976,MATCH($AD132,'Fixture Codes'!$B$8:$B$976,0))="Exit Sign",1,INDEX(Lookups!J$2:J$428,MATCH(_xlfn.CONCAT($B132,$H132),Lookups!$H$2:$H$428,0)))),"")</f>
        <v/>
      </c>
      <c r="AU132" s="150" t="str">
        <f>IFERROR(IF(M132="Exit Signs",1,IF(INDEX('Fixture Codes'!$C$8:$C$976,MATCH($AD132,'Fixture Codes'!$B$8:$B$976,0))="Exit Sign",1,INDEX(Lookups!K$2:K$428,MATCH(_xlfn.CONCAT($B132,$H132),Lookups!$H$2:$H$428,0)))),"")</f>
        <v/>
      </c>
      <c r="AV132" s="150" t="str">
        <f>IFERROR(IF(M132="Exit Signs",1,IF(INDEX('Fixture Codes'!$C$8:$C$976,MATCH($AD132,'Fixture Codes'!$B$8:$B$976,0))="Exit Sign",1,INDEX(Lookups!L$2:L$428,MATCH(_xlfn.CONCAT($B132,$H132),Lookups!$H$2:$H$428,0)))),"")</f>
        <v/>
      </c>
      <c r="AW132" s="150" t="str">
        <f>IF(ISBLANK(K132),"",IF(K132="Gas",INDEX(Lookups!$AG$2:$AG$63,MATCH(O132,Lookups!$AD$2:$AD$63,0),0),0))</f>
        <v/>
      </c>
      <c r="AX132" s="150" t="str">
        <f>IF(ISBLANK(K132),"",IF(K132="Gas",INDEX(Lookups!$AF$2:$AF$63,MATCH(O132,Lookups!$AD$2:$AD$63,0),0),0))</f>
        <v/>
      </c>
      <c r="AY132" s="150" t="str">
        <f>IF(ISBLANK(K132),"",IF(K132="Gas",INDEX(Lookups!$AH$2:$AH$63,MATCH(O132,Lookups!$AD$2:$AD$63,0),0),0))</f>
        <v/>
      </c>
      <c r="AZ132" s="150" t="str">
        <f>IF(ISBLANK(K132),"",IF(K132="Gas",INDEX(Lookups!$AI$2:$AI$63,MATCH(O132,Lookups!$AD$2:$AD$63,0),0),0))</f>
        <v/>
      </c>
      <c r="BA132" s="150" t="str">
        <f t="shared" si="40"/>
        <v/>
      </c>
      <c r="BB132" s="156" t="str">
        <f>IF(ISBLANK(AH132),"",IF(AH132="None",0,IF(K132="Gas",INDEX(Lookups!$AF$51:$AF$69,MATCH(AH132,Lookups!$AD$51:$AD$69,0),0),0)))</f>
        <v/>
      </c>
      <c r="BC132" s="156" t="str">
        <f>IF(ISBLANK(AH132),"",IF(AH132="None",0,IF(K132="Gas",INDEX(Lookups!$AH$51:$AH$69,MATCH(AH132,Lookups!$AD$51:$AD$69,0),0),0)))</f>
        <v/>
      </c>
      <c r="BD132" s="156" t="str">
        <f>IF(ISBLANK(AH132),"",IF(AH132="None",0,IF(K132="Gas",INDEX(Lookups!$AI$51:$AI$69,MATCH(AH132,Lookups!$AD$51:$AD$69,0),0),0)))</f>
        <v/>
      </c>
      <c r="BE132" s="157"/>
      <c r="BF132" s="157"/>
      <c r="BG132" s="147" t="str">
        <f t="shared" si="56"/>
        <v/>
      </c>
      <c r="BH132" s="147" t="str">
        <f t="shared" si="57"/>
        <v/>
      </c>
      <c r="BI132" s="147" t="str">
        <f t="shared" si="41"/>
        <v/>
      </c>
      <c r="BJ132" s="147" t="str">
        <f t="shared" si="42"/>
        <v/>
      </c>
      <c r="BK132" s="148" t="str">
        <f t="shared" si="58"/>
        <v/>
      </c>
      <c r="BL132" s="147" t="str">
        <f t="shared" si="43"/>
        <v/>
      </c>
      <c r="BM132" s="148" t="str">
        <f t="shared" si="59"/>
        <v/>
      </c>
      <c r="BN132" s="147" t="str">
        <f t="shared" si="60"/>
        <v/>
      </c>
      <c r="BO132" s="147" t="str">
        <f t="shared" si="60"/>
        <v/>
      </c>
      <c r="BP132" s="147" t="str">
        <f t="shared" si="61"/>
        <v/>
      </c>
      <c r="BQ132" s="148" t="str">
        <f t="shared" si="62"/>
        <v/>
      </c>
      <c r="BR132" s="148" t="str">
        <f t="shared" si="63"/>
        <v/>
      </c>
      <c r="BS132" s="148" t="str">
        <f t="shared" si="64"/>
        <v/>
      </c>
      <c r="BT132" s="148" t="str">
        <f t="shared" si="44"/>
        <v/>
      </c>
      <c r="BU132" s="148" t="str">
        <f t="shared" si="45"/>
        <v/>
      </c>
      <c r="BV132" s="148" t="str">
        <f t="shared" si="46"/>
        <v/>
      </c>
      <c r="BW132" s="148" t="str">
        <f t="shared" si="47"/>
        <v/>
      </c>
      <c r="BX132" s="148" t="str">
        <f t="shared" si="48"/>
        <v/>
      </c>
      <c r="BY132" s="148" t="str">
        <f t="shared" si="49"/>
        <v/>
      </c>
      <c r="BZ132" s="149" t="str">
        <f>IFERROR(INDEX('Prescriptive Rebate Table'!$B$2:$E$64,MATCH(O132,'Prescriptive Rebate Table'!$C$2:$C$64,0),3),"")</f>
        <v/>
      </c>
      <c r="CA132" s="145" t="str">
        <f>IFERROR(INDEX('Prescriptive Rebate Table'!$B$2:$E$64,MATCH(O132,'Prescriptive Rebate Table'!$C$2:$C$64,0),4),"")</f>
        <v/>
      </c>
      <c r="CB132" s="149" t="str">
        <f t="shared" si="65"/>
        <v/>
      </c>
      <c r="CC132" s="145" t="str">
        <f t="shared" si="66"/>
        <v/>
      </c>
      <c r="CD132" s="149" t="str">
        <f t="shared" si="50"/>
        <v/>
      </c>
      <c r="CE132" s="149" t="str">
        <f t="shared" si="51"/>
        <v/>
      </c>
      <c r="CF132" s="149" t="str">
        <f>IF(BK132&lt;=0,0,IFERROR(IF(OR(ISBLANK(AC132),ISBLANK(CD132))=TRUE,"",IF(CA132="Per Foot",INDEX('Fixture Codes'!$I$8:$I$976,MATCH(AD132,'Fixture Codes'!$B$8:$B$976,0))/12*AF132*BZ132,IF(CA132="Lamp",INDEX('Fixture Codes'!$J$8:$J$976,MATCH(AD132,'Fixture Codes'!$B$8:$B$976,0))*AF132*BZ132,IF(CA132="Fixture",AF132*BZ132,IF(CA132="kWh",BK132*BZ132,0))))),""))</f>
        <v/>
      </c>
      <c r="CG132" s="149" t="str">
        <f t="shared" si="67"/>
        <v/>
      </c>
      <c r="CH132" s="149" t="str">
        <f t="shared" si="68"/>
        <v/>
      </c>
      <c r="CI132" s="152"/>
      <c r="CJ132" s="146"/>
      <c r="CK132" s="241">
        <f>IFERROR(IF(CL132="Yes",'Prescriptive Rebate Table'!$D$69,IF(ISBLANK(AI132),0,IF(AND(AH132=Lookups!$A$62,BK132&gt;0),'Prescriptive Rebate Table'!$D$68,IF(AND(BK132&gt;0,CJ132=AF132),'Prescriptive Rebate Table'!$D$67,IF(AND(BK132&gt;0,CJ132&lt;&gt;AF132),'Prescriptive Rebate Table'!D191,0))))),"")</f>
        <v>0</v>
      </c>
      <c r="CL132" s="240" t="s">
        <v>2712</v>
      </c>
      <c r="CM132" s="152"/>
      <c r="CN132" s="152"/>
      <c r="CO132" s="152"/>
      <c r="CP132" s="146">
        <f t="shared" si="52"/>
        <v>0</v>
      </c>
      <c r="CQ132" s="153">
        <f>IF(D132="Interior",ROUND(($AG132*AF132)/1000*$AM132*(Lookups!$B$54-$AA132)*$AN132*$AO132,3),0)</f>
        <v>0</v>
      </c>
      <c r="CR132" s="153">
        <f>IFERROR(IF(D132="Interior",ROUND(($AG132*$AF132)/1000*(Lookups!$C$54-$AB132)*$AN132*AQ132*AT132,6),0),"")</f>
        <v>0</v>
      </c>
      <c r="CS132" s="165">
        <f t="shared" si="69"/>
        <v>0</v>
      </c>
      <c r="CT132" s="165">
        <f t="shared" si="70"/>
        <v>0</v>
      </c>
      <c r="CV132" s="153"/>
      <c r="CW132" s="153"/>
      <c r="CX132" s="165"/>
      <c r="CY132" s="165"/>
      <c r="DA132" s="153">
        <f>IF(D132="Interior",ROUND(($AG132*AF132*(1-0.15))/1000*$AM132*(Lookups!$B$43+0.097-$AA132)*$AN132*$AO132+((W132*V132)/1000*AN132*AM132*AO132*0.15),3),0)</f>
        <v>0</v>
      </c>
      <c r="DB132" s="153">
        <f>IFERROR(IF(D132="Interior",ROUND(($AG132*$AF132)/1000*(Lookups!$C$43+0.097-$AB132)*$AN132*AQ132*AT132+(($AG132*$AF132)/1000*$AN132*AQ132*AT132*0.15),6),0),"")</f>
        <v>0</v>
      </c>
      <c r="DC132" s="165">
        <f t="shared" si="71"/>
        <v>0</v>
      </c>
      <c r="DD132" s="165">
        <f t="shared" si="72"/>
        <v>0</v>
      </c>
    </row>
    <row r="133" spans="1:108" s="164" customFormat="1">
      <c r="A133" s="150">
        <v>129</v>
      </c>
      <c r="B133" s="153" t="str">
        <f>IFERROR(INDEX(Lookups!$B$2:$B$38,MATCH('Project Info &amp; Summary'!$C$19,Lookups!$A$2:$A$38,0)),"")</f>
        <v/>
      </c>
      <c r="C133" s="153" t="str">
        <f>IFERROR(INDEX(Lookups!$C$2:$C$38,MATCH('Project Info &amp; Summary'!$C$19,Lookups!$A$2:$A$38,0)),"")</f>
        <v/>
      </c>
      <c r="D133" s="163"/>
      <c r="E133" s="160"/>
      <c r="F133" s="158"/>
      <c r="G133" s="158"/>
      <c r="H133" s="158"/>
      <c r="I133" s="158"/>
      <c r="J133" s="154" t="str">
        <f>IFERROR(INDEX(Lookups!$W$21:$W$26,MATCH(I133,Lookups!$V$21:$V$26,0)),"")</f>
        <v/>
      </c>
      <c r="K133" s="158"/>
      <c r="L133" s="162" t="str">
        <f>IFERROR(INDEX(Lookups!$Y$2:$Y$19,MATCH(_xlfn.CONCAT(I133,K133),Lookups!$X$2:$X$19,0)),"")</f>
        <v/>
      </c>
      <c r="M133" s="158"/>
      <c r="N133" s="153" t="str">
        <f>IFERROR(INDEX('Prescriptive Rebate Table'!$M$3:$M$20,MATCH(M133,'Prescriptive Rebate Table'!$L$3:$L$20,0)),"")</f>
        <v/>
      </c>
      <c r="O133" s="158"/>
      <c r="P133" s="154" t="str">
        <f>IFERROR(INDEX('Prescriptive Rebate Table'!$B$2:$H$64, MATCH(O133,'Prescriptive Rebate Table'!$C$2:$C$64,0),7),"")</f>
        <v/>
      </c>
      <c r="Q133" s="155" t="str">
        <f>IFERROR(INDEX('Prescriptive Rebate Table'!$B$2:$I$64, MATCH(O133,'Prescriptive Rebate Table'!$C$2:$C$64,0),8),"")</f>
        <v/>
      </c>
      <c r="R133" s="155" t="str">
        <f>IFERROR(INDEX('Prescriptive Rebate Table'!$B$2:$J$64, MATCH(O133,'Prescriptive Rebate Table'!$C$2:$C$64,0),9),"")</f>
        <v/>
      </c>
      <c r="S133" s="160"/>
      <c r="T133" s="145" t="str">
        <f>IFERROR(INDEX('Fixture Codes'!$M$8:$M$976,MATCH(S133,'Fixture Codes'!$B$8:$B$976,0)),"")</f>
        <v/>
      </c>
      <c r="U133" s="145" t="str">
        <f>IFERROR(INDEX('Fixture Codes'!$B$7:$M$976,MATCH(T133,'Fixture Codes'!$B$7:$B$976,0),5),"")</f>
        <v/>
      </c>
      <c r="V133" s="160"/>
      <c r="W133" s="145" t="str">
        <f>IFERROR(INDEX('Fixture Codes'!$L$8:$L$976,MATCH(T133,'Fixture Codes'!$B$8:$B$976,0)),"")</f>
        <v/>
      </c>
      <c r="X133" s="158"/>
      <c r="Y133" s="159"/>
      <c r="Z133" s="155" t="str">
        <f>IFERROR(INDEX(Lookups!B$68:B$87,MATCH($X133,Lookups!$A$68:$A$87,0)),"")</f>
        <v/>
      </c>
      <c r="AA133" s="150" t="str">
        <f>IFERROR(INDEX(Lookups!B$42:B$62,MATCH($X133,Lookups!$A$42:$A$62,0)),"")</f>
        <v/>
      </c>
      <c r="AB133" s="150" t="str">
        <f>IFERROR(INDEX(Lookups!C$42:C$62,MATCH($X133,Lookups!$A$42:$A$62,0)),"")</f>
        <v/>
      </c>
      <c r="AC133" s="160"/>
      <c r="AD133" s="160"/>
      <c r="AE133" s="150" t="str">
        <f>IFERROR(INDEX('Fixture Codes'!$B$7:$M$976,MATCH(AD133,'Fixture Codes'!$B$7:$B$976,0),5),"")</f>
        <v/>
      </c>
      <c r="AF133" s="160"/>
      <c r="AG133" s="145" t="str">
        <f>IFERROR(INDEX('Fixture Codes'!$L$8:$L$976,MATCH(AD133,'Fixture Codes'!$B$8:$B$976,0)),"")</f>
        <v/>
      </c>
      <c r="AH133" s="158"/>
      <c r="AI133" s="160"/>
      <c r="AJ133" s="150" t="str">
        <f>IFERROR(INDEX(Lookups!B$68:B$87,MATCH($AH133,Lookups!$A$68:$A$87,0)),"")</f>
        <v/>
      </c>
      <c r="AK133" s="150" t="str">
        <f>IFERROR(INDEX(Lookups!B$42:B$62,MATCH($AH133,Lookups!$A$42:$A$62,0)),"")</f>
        <v/>
      </c>
      <c r="AL133" s="150" t="str">
        <f>IFERROR(INDEX(Lookups!C$42:C$62,MATCH($AH133,Lookups!$A$42:$A$62,0)),"")</f>
        <v/>
      </c>
      <c r="AM133" s="150" t="str">
        <f>IFERROR(IF(M133="Exit Signs",8760,IF(INDEX('Fixture Codes'!$C$8:$C$976,MATCH(AD133,'Fixture Codes'!$B$8:$B$976,0))="Exit Sign",8760,INDEX(Lookups!$I$2:$I$428,MATCH(_xlfn.CONCAT(B133,H133),Lookups!$H$2:$H$428,0)))),"")</f>
        <v/>
      </c>
      <c r="AN133" s="153">
        <v>1</v>
      </c>
      <c r="AO133" s="150" t="str">
        <f>IF($D133="Interior",INDEX(Lookups!Q$2:Q$86,MATCH(_xlfn.CONCAT($C133,$L133),Lookups!$P$2:$P$86,0)),IF($D133="Exterior",1,""))</f>
        <v/>
      </c>
      <c r="AP133" s="150">
        <f t="shared" si="55"/>
        <v>1</v>
      </c>
      <c r="AQ133" s="150" t="str">
        <f>IF($D133="Interior",INDEX(Lookups!R$2:R$86,MATCH(_xlfn.CONCAT($C133,$L133),Lookups!$P$2:$P$86,0)),IF($D133="Exterior",1,""))</f>
        <v/>
      </c>
      <c r="AR133" s="150" t="str">
        <f>IF($D133="Interior",INDEX(Lookups!S$2:S$86,MATCH(_xlfn.CONCAT($C133,$L133),Lookups!$P$2:$P$86,0)),IF($D133="Exterior",1,""))</f>
        <v/>
      </c>
      <c r="AS133" s="150" t="str">
        <f>IF($D133="Interior",INDEX(Lookups!T$2:T$86,MATCH(_xlfn.CONCAT($C133,$L133),Lookups!$P$2:$P$86,0)),IF($D133="Exterior",1,""))</f>
        <v/>
      </c>
      <c r="AT133" s="150" t="str">
        <f>IFERROR(IF(M133="Exit Signs",1,IF(INDEX('Fixture Codes'!$C$8:$C$976,MATCH($AD133,'Fixture Codes'!$B$8:$B$976,0))="Exit Sign",1,INDEX(Lookups!J$2:J$428,MATCH(_xlfn.CONCAT($B133,$H133),Lookups!$H$2:$H$428,0)))),"")</f>
        <v/>
      </c>
      <c r="AU133" s="150" t="str">
        <f>IFERROR(IF(M133="Exit Signs",1,IF(INDEX('Fixture Codes'!$C$8:$C$976,MATCH($AD133,'Fixture Codes'!$B$8:$B$976,0))="Exit Sign",1,INDEX(Lookups!K$2:K$428,MATCH(_xlfn.CONCAT($B133,$H133),Lookups!$H$2:$H$428,0)))),"")</f>
        <v/>
      </c>
      <c r="AV133" s="150" t="str">
        <f>IFERROR(IF(M133="Exit Signs",1,IF(INDEX('Fixture Codes'!$C$8:$C$976,MATCH($AD133,'Fixture Codes'!$B$8:$B$976,0))="Exit Sign",1,INDEX(Lookups!L$2:L$428,MATCH(_xlfn.CONCAT($B133,$H133),Lookups!$H$2:$H$428,0)))),"")</f>
        <v/>
      </c>
      <c r="AW133" s="150" t="str">
        <f>IF(ISBLANK(K133),"",IF(K133="Gas",INDEX(Lookups!$AG$2:$AG$63,MATCH(O133,Lookups!$AD$2:$AD$63,0),0),0))</f>
        <v/>
      </c>
      <c r="AX133" s="150" t="str">
        <f>IF(ISBLANK(K133),"",IF(K133="Gas",INDEX(Lookups!$AF$2:$AF$63,MATCH(O133,Lookups!$AD$2:$AD$63,0),0),0))</f>
        <v/>
      </c>
      <c r="AY133" s="150" t="str">
        <f>IF(ISBLANK(K133),"",IF(K133="Gas",INDEX(Lookups!$AH$2:$AH$63,MATCH(O133,Lookups!$AD$2:$AD$63,0),0),0))</f>
        <v/>
      </c>
      <c r="AZ133" s="150" t="str">
        <f>IF(ISBLANK(K133),"",IF(K133="Gas",INDEX(Lookups!$AI$2:$AI$63,MATCH(O133,Lookups!$AD$2:$AD$63,0),0),0))</f>
        <v/>
      </c>
      <c r="BA133" s="150" t="str">
        <f t="shared" ref="BA133:BA196" si="73">(IF(ISBLANK(M133),"",IF(D133="Interior",IF(K133="Gas",IF(M133="Linear Fluorescents",0.224,1),0))))</f>
        <v/>
      </c>
      <c r="BB133" s="156" t="str">
        <f>IF(ISBLANK(AH133),"",IF(AH133="None",0,IF(K133="Gas",INDEX(Lookups!$AF$51:$AF$69,MATCH(AH133,Lookups!$AD$51:$AD$69,0),0),0)))</f>
        <v/>
      </c>
      <c r="BC133" s="156" t="str">
        <f>IF(ISBLANK(AH133),"",IF(AH133="None",0,IF(K133="Gas",INDEX(Lookups!$AH$51:$AH$69,MATCH(AH133,Lookups!$AD$51:$AD$69,0),0),0)))</f>
        <v/>
      </c>
      <c r="BD133" s="156" t="str">
        <f>IF(ISBLANK(AH133),"",IF(AH133="None",0,IF(K133="Gas",INDEX(Lookups!$AI$51:$AI$69,MATCH(AH133,Lookups!$AD$51:$AD$69,0),0),0)))</f>
        <v/>
      </c>
      <c r="BE133" s="157"/>
      <c r="BF133" s="157"/>
      <c r="BG133" s="147" t="str">
        <f t="shared" si="56"/>
        <v/>
      </c>
      <c r="BH133" s="147" t="str">
        <f t="shared" si="57"/>
        <v/>
      </c>
      <c r="BI133" s="147" t="str">
        <f t="shared" ref="BI133:BI196" si="74">IFERROR(ROUND(($W133*$V133-$AG133*$AF133)/1000*$AN133*AR133*AU133,6),"")</f>
        <v/>
      </c>
      <c r="BJ133" s="147" t="str">
        <f t="shared" ref="BJ133:BJ196" si="75">IFERROR(ROUND(($W133*$V133-$AG133*$AF133)/1000*$AN133*AS133*AV133,6),"")</f>
        <v/>
      </c>
      <c r="BK133" s="148" t="str">
        <f t="shared" si="58"/>
        <v/>
      </c>
      <c r="BL133" s="147" t="str">
        <f t="shared" ref="BL133:BL196" si="76">IF(BK133="","",IFERROR(IF(K133="Gas",(-BK133/AO133)*AX133*AW133*BA133*AY133/AZ133,0),0))</f>
        <v/>
      </c>
      <c r="BM133" s="148" t="str">
        <f t="shared" si="59"/>
        <v/>
      </c>
      <c r="BN133" s="147" t="str">
        <f t="shared" si="60"/>
        <v/>
      </c>
      <c r="BO133" s="147" t="str">
        <f t="shared" si="60"/>
        <v/>
      </c>
      <c r="BP133" s="147" t="str">
        <f t="shared" si="61"/>
        <v/>
      </c>
      <c r="BQ133" s="148" t="str">
        <f t="shared" si="62"/>
        <v/>
      </c>
      <c r="BR133" s="148" t="str">
        <f t="shared" si="63"/>
        <v/>
      </c>
      <c r="BS133" s="148" t="str">
        <f t="shared" si="64"/>
        <v/>
      </c>
      <c r="BT133" s="148" t="str">
        <f t="shared" ref="BT133:BT196" si="77">IF(SUM(BH133,BN133)=0,"",SUM(BH133,BN133))</f>
        <v/>
      </c>
      <c r="BU133" s="148" t="str">
        <f t="shared" ref="BU133:BU196" si="78">IF(SUM(BI133,BO133)=0,"",SUM(BI133,BO133))</f>
        <v/>
      </c>
      <c r="BV133" s="148" t="str">
        <f t="shared" ref="BV133:BV196" si="79">IF(SUM(BJ133,BP133)=0,"",SUM(BJ133,BP133))</f>
        <v/>
      </c>
      <c r="BW133" s="148" t="str">
        <f t="shared" ref="BW133:BW196" si="80">IF(SUM(BK133,BQ133)=0,"",SUM(BK133,BQ133))</f>
        <v/>
      </c>
      <c r="BX133" s="148" t="str">
        <f t="shared" ref="BX133:BX196" si="81">IF(ISBLANK(D133),"",IF(SUM(BL133,BR133)=0,0,SUM(BL133,BR133)))</f>
        <v/>
      </c>
      <c r="BY133" s="148" t="str">
        <f t="shared" ref="BY133:BY196" si="82">IF(ISBLANK(D133),"",IF(SUM(BM133,BS133)=0,0,SUM(BM133,BS133)))</f>
        <v/>
      </c>
      <c r="BZ133" s="149" t="str">
        <f>IFERROR(INDEX('Prescriptive Rebate Table'!$B$2:$E$64,MATCH(O133,'Prescriptive Rebate Table'!$C$2:$C$64,0),3),"")</f>
        <v/>
      </c>
      <c r="CA133" s="145" t="str">
        <f>IFERROR(INDEX('Prescriptive Rebate Table'!$B$2:$E$64,MATCH(O133,'Prescriptive Rebate Table'!$C$2:$C$64,0),4),"")</f>
        <v/>
      </c>
      <c r="CB133" s="149" t="str">
        <f t="shared" si="65"/>
        <v/>
      </c>
      <c r="CC133" s="145" t="str">
        <f t="shared" si="66"/>
        <v/>
      </c>
      <c r="CD133" s="149" t="str">
        <f t="shared" ref="CD133:CD196" si="83">IFERROR(IF(AF133="","",AF133*BE133),"")</f>
        <v/>
      </c>
      <c r="CE133" s="149" t="str">
        <f t="shared" ref="CE133:CE196" si="84">IFERROR(IF(AI133="","",AI133*BF133),"")</f>
        <v/>
      </c>
      <c r="CF133" s="149" t="str">
        <f>IF(BK133&lt;=0,0,IFERROR(IF(OR(ISBLANK(AC133),ISBLANK(CD133))=TRUE,"",IF(CA133="Per Foot",INDEX('Fixture Codes'!$I$8:$I$976,MATCH(AD133,'Fixture Codes'!$B$8:$B$976,0))/12*AF133*BZ133,IF(CA133="Lamp",INDEX('Fixture Codes'!$J$8:$J$976,MATCH(AD133,'Fixture Codes'!$B$8:$B$976,0))*AF133*BZ133,IF(CA133="Fixture",AF133*BZ133,IF(CA133="kWh",BK133*BZ133,0))))),""))</f>
        <v/>
      </c>
      <c r="CG133" s="149" t="str">
        <f t="shared" si="67"/>
        <v/>
      </c>
      <c r="CH133" s="149" t="str">
        <f t="shared" si="68"/>
        <v/>
      </c>
      <c r="CI133" s="152"/>
      <c r="CJ133" s="146"/>
      <c r="CK133" s="241">
        <f>IFERROR(IF(CL133="Yes",'Prescriptive Rebate Table'!$D$69,IF(ISBLANK(AI133),0,IF(AND(AH133=Lookups!$A$62,BK133&gt;0),'Prescriptive Rebate Table'!$D$68,IF(AND(BK133&gt;0,CJ133=AF133),'Prescriptive Rebate Table'!$D$67,IF(AND(BK133&gt;0,CJ133&lt;&gt;AF133),'Prescriptive Rebate Table'!D192,0))))),"")</f>
        <v>0</v>
      </c>
      <c r="CL133" s="240" t="s">
        <v>2712</v>
      </c>
      <c r="CM133" s="152"/>
      <c r="CN133" s="152"/>
      <c r="CO133" s="152"/>
      <c r="CP133" s="146">
        <f t="shared" ref="CP133:CP196" si="85">IF(D133="Interior",ROUNDUP($AF133/2,0),0)</f>
        <v>0</v>
      </c>
      <c r="CQ133" s="153">
        <f>IF(D133="Interior",ROUND(($AG133*AF133)/1000*$AM133*(Lookups!$B$54-$AA133)*$AN133*$AO133,3),0)</f>
        <v>0</v>
      </c>
      <c r="CR133" s="153">
        <f>IFERROR(IF(D133="Interior",ROUND(($AG133*$AF133)/1000*(Lookups!$C$54-$AB133)*$AN133*AQ133*AT133,6),0),"")</f>
        <v>0</v>
      </c>
      <c r="CS133" s="165">
        <f t="shared" si="69"/>
        <v>0</v>
      </c>
      <c r="CT133" s="165">
        <f t="shared" si="70"/>
        <v>0</v>
      </c>
      <c r="CV133" s="153"/>
      <c r="CW133" s="153"/>
      <c r="CX133" s="165"/>
      <c r="CY133" s="165"/>
      <c r="DA133" s="153">
        <f>IF(D133="Interior",ROUND(($AG133*AF133*(1-0.15))/1000*$AM133*(Lookups!$B$43+0.097-$AA133)*$AN133*$AO133+((W133*V133)/1000*AN133*AM133*AO133*0.15),3),0)</f>
        <v>0</v>
      </c>
      <c r="DB133" s="153">
        <f>IFERROR(IF(D133="Interior",ROUND(($AG133*$AF133)/1000*(Lookups!$C$43+0.097-$AB133)*$AN133*AQ133*AT133+(($AG133*$AF133)/1000*$AN133*AQ133*AT133*0.15),6),0),"")</f>
        <v>0</v>
      </c>
      <c r="DC133" s="165">
        <f t="shared" ref="DC133:DC164" si="86">IFERROR(IF(D133="Interior",IF(AF133*AG133&gt;200,AF133*AG133*0.6,AF133*50),0),0)</f>
        <v>0</v>
      </c>
      <c r="DD133" s="165">
        <f t="shared" ref="DD133:DD164" si="87">IF(D133="Interior",AF133*49,0)</f>
        <v>0</v>
      </c>
    </row>
    <row r="134" spans="1:108" s="164" customFormat="1">
      <c r="A134" s="150">
        <v>130</v>
      </c>
      <c r="B134" s="153" t="str">
        <f>IFERROR(INDEX(Lookups!$B$2:$B$38,MATCH('Project Info &amp; Summary'!$C$19,Lookups!$A$2:$A$38,0)),"")</f>
        <v/>
      </c>
      <c r="C134" s="153" t="str">
        <f>IFERROR(INDEX(Lookups!$C$2:$C$38,MATCH('Project Info &amp; Summary'!$C$19,Lookups!$A$2:$A$38,0)),"")</f>
        <v/>
      </c>
      <c r="D134" s="163"/>
      <c r="E134" s="160"/>
      <c r="F134" s="158"/>
      <c r="G134" s="158"/>
      <c r="H134" s="158"/>
      <c r="I134" s="158"/>
      <c r="J134" s="154" t="str">
        <f>IFERROR(INDEX(Lookups!$W$21:$W$26,MATCH(I134,Lookups!$V$21:$V$26,0)),"")</f>
        <v/>
      </c>
      <c r="K134" s="158"/>
      <c r="L134" s="162" t="str">
        <f>IFERROR(INDEX(Lookups!$Y$2:$Y$19,MATCH(_xlfn.CONCAT(I134,K134),Lookups!$X$2:$X$19,0)),"")</f>
        <v/>
      </c>
      <c r="M134" s="158"/>
      <c r="N134" s="153" t="str">
        <f>IFERROR(INDEX('Prescriptive Rebate Table'!$M$3:$M$20,MATCH(M134,'Prescriptive Rebate Table'!$L$3:$L$20,0)),"")</f>
        <v/>
      </c>
      <c r="O134" s="158"/>
      <c r="P134" s="154" t="str">
        <f>IFERROR(INDEX('Prescriptive Rebate Table'!$B$2:$H$64, MATCH(O134,'Prescriptive Rebate Table'!$C$2:$C$64,0),7),"")</f>
        <v/>
      </c>
      <c r="Q134" s="155" t="str">
        <f>IFERROR(INDEX('Prescriptive Rebate Table'!$B$2:$I$64, MATCH(O134,'Prescriptive Rebate Table'!$C$2:$C$64,0),8),"")</f>
        <v/>
      </c>
      <c r="R134" s="155" t="str">
        <f>IFERROR(INDEX('Prescriptive Rebate Table'!$B$2:$J$64, MATCH(O134,'Prescriptive Rebate Table'!$C$2:$C$64,0),9),"")</f>
        <v/>
      </c>
      <c r="S134" s="160"/>
      <c r="T134" s="145" t="str">
        <f>IFERROR(INDEX('Fixture Codes'!$M$8:$M$976,MATCH(S134,'Fixture Codes'!$B$8:$B$976,0)),"")</f>
        <v/>
      </c>
      <c r="U134" s="145" t="str">
        <f>IFERROR(INDEX('Fixture Codes'!$B$7:$M$976,MATCH(T134,'Fixture Codes'!$B$7:$B$976,0),5),"")</f>
        <v/>
      </c>
      <c r="V134" s="160"/>
      <c r="W134" s="145" t="str">
        <f>IFERROR(INDEX('Fixture Codes'!$L$8:$L$976,MATCH(T134,'Fixture Codes'!$B$8:$B$976,0)),"")</f>
        <v/>
      </c>
      <c r="X134" s="158"/>
      <c r="Y134" s="159"/>
      <c r="Z134" s="155" t="str">
        <f>IFERROR(INDEX(Lookups!B$68:B$87,MATCH($X134,Lookups!$A$68:$A$87,0)),"")</f>
        <v/>
      </c>
      <c r="AA134" s="150" t="str">
        <f>IFERROR(INDEX(Lookups!B$42:B$62,MATCH($X134,Lookups!$A$42:$A$62,0)),"")</f>
        <v/>
      </c>
      <c r="AB134" s="150" t="str">
        <f>IFERROR(INDEX(Lookups!C$42:C$62,MATCH($X134,Lookups!$A$42:$A$62,0)),"")</f>
        <v/>
      </c>
      <c r="AC134" s="160"/>
      <c r="AD134" s="160"/>
      <c r="AE134" s="150" t="str">
        <f>IFERROR(INDEX('Fixture Codes'!$B$7:$M$976,MATCH(AD134,'Fixture Codes'!$B$7:$B$976,0),5),"")</f>
        <v/>
      </c>
      <c r="AF134" s="160"/>
      <c r="AG134" s="145" t="str">
        <f>IFERROR(INDEX('Fixture Codes'!$L$8:$L$976,MATCH(AD134,'Fixture Codes'!$B$8:$B$976,0)),"")</f>
        <v/>
      </c>
      <c r="AH134" s="158"/>
      <c r="AI134" s="160"/>
      <c r="AJ134" s="150" t="str">
        <f>IFERROR(INDEX(Lookups!B$68:B$87,MATCH($AH134,Lookups!$A$68:$A$87,0)),"")</f>
        <v/>
      </c>
      <c r="AK134" s="150" t="str">
        <f>IFERROR(INDEX(Lookups!B$42:B$62,MATCH($AH134,Lookups!$A$42:$A$62,0)),"")</f>
        <v/>
      </c>
      <c r="AL134" s="150" t="str">
        <f>IFERROR(INDEX(Lookups!C$42:C$62,MATCH($AH134,Lookups!$A$42:$A$62,0)),"")</f>
        <v/>
      </c>
      <c r="AM134" s="150" t="str">
        <f>IFERROR(IF(M134="Exit Signs",8760,IF(INDEX('Fixture Codes'!$C$8:$C$976,MATCH(AD134,'Fixture Codes'!$B$8:$B$976,0))="Exit Sign",8760,INDEX(Lookups!$I$2:$I$428,MATCH(_xlfn.CONCAT(B134,H134),Lookups!$H$2:$H$428,0)))),"")</f>
        <v/>
      </c>
      <c r="AN134" s="153">
        <v>1</v>
      </c>
      <c r="AO134" s="150" t="str">
        <f>IF($D134="Interior",INDEX(Lookups!Q$2:Q$86,MATCH(_xlfn.CONCAT($C134,$L134),Lookups!$P$2:$P$86,0)),IF($D134="Exterior",1,""))</f>
        <v/>
      </c>
      <c r="AP134" s="150">
        <f t="shared" ref="AP134:AP197" si="88">IF(OR(O134="LED A lamp",O134="LED BR/R lamp",O134= "LED MR lamp",O134= "LED PAR lamp - PAR20",O134= "LED PAR lamp - PAR30 &amp; PAR38"),0.2,IF(O134="LED Decorative or Globe lamp",0.1,1))</f>
        <v>1</v>
      </c>
      <c r="AQ134" s="150" t="str">
        <f>IF($D134="Interior",INDEX(Lookups!R$2:R$86,MATCH(_xlfn.CONCAT($C134,$L134),Lookups!$P$2:$P$86,0)),IF($D134="Exterior",1,""))</f>
        <v/>
      </c>
      <c r="AR134" s="150" t="str">
        <f>IF($D134="Interior",INDEX(Lookups!S$2:S$86,MATCH(_xlfn.CONCAT($C134,$L134),Lookups!$P$2:$P$86,0)),IF($D134="Exterior",1,""))</f>
        <v/>
      </c>
      <c r="AS134" s="150" t="str">
        <f>IF($D134="Interior",INDEX(Lookups!T$2:T$86,MATCH(_xlfn.CONCAT($C134,$L134),Lookups!$P$2:$P$86,0)),IF($D134="Exterior",1,""))</f>
        <v/>
      </c>
      <c r="AT134" s="150" t="str">
        <f>IFERROR(IF(M134="Exit Signs",1,IF(INDEX('Fixture Codes'!$C$8:$C$976,MATCH($AD134,'Fixture Codes'!$B$8:$B$976,0))="Exit Sign",1,INDEX(Lookups!J$2:J$428,MATCH(_xlfn.CONCAT($B134,$H134),Lookups!$H$2:$H$428,0)))),"")</f>
        <v/>
      </c>
      <c r="AU134" s="150" t="str">
        <f>IFERROR(IF(M134="Exit Signs",1,IF(INDEX('Fixture Codes'!$C$8:$C$976,MATCH($AD134,'Fixture Codes'!$B$8:$B$976,0))="Exit Sign",1,INDEX(Lookups!K$2:K$428,MATCH(_xlfn.CONCAT($B134,$H134),Lookups!$H$2:$H$428,0)))),"")</f>
        <v/>
      </c>
      <c r="AV134" s="150" t="str">
        <f>IFERROR(IF(M134="Exit Signs",1,IF(INDEX('Fixture Codes'!$C$8:$C$976,MATCH($AD134,'Fixture Codes'!$B$8:$B$976,0))="Exit Sign",1,INDEX(Lookups!L$2:L$428,MATCH(_xlfn.CONCAT($B134,$H134),Lookups!$H$2:$H$428,0)))),"")</f>
        <v/>
      </c>
      <c r="AW134" s="150" t="str">
        <f>IF(ISBLANK(K134),"",IF(K134="Gas",INDEX(Lookups!$AG$2:$AG$63,MATCH(O134,Lookups!$AD$2:$AD$63,0),0),0))</f>
        <v/>
      </c>
      <c r="AX134" s="150" t="str">
        <f>IF(ISBLANK(K134),"",IF(K134="Gas",INDEX(Lookups!$AF$2:$AF$63,MATCH(O134,Lookups!$AD$2:$AD$63,0),0),0))</f>
        <v/>
      </c>
      <c r="AY134" s="150" t="str">
        <f>IF(ISBLANK(K134),"",IF(K134="Gas",INDEX(Lookups!$AH$2:$AH$63,MATCH(O134,Lookups!$AD$2:$AD$63,0),0),0))</f>
        <v/>
      </c>
      <c r="AZ134" s="150" t="str">
        <f>IF(ISBLANK(K134),"",IF(K134="Gas",INDEX(Lookups!$AI$2:$AI$63,MATCH(O134,Lookups!$AD$2:$AD$63,0),0),0))</f>
        <v/>
      </c>
      <c r="BA134" s="150" t="str">
        <f t="shared" si="73"/>
        <v/>
      </c>
      <c r="BB134" s="156" t="str">
        <f>IF(ISBLANK(AH134),"",IF(AH134="None",0,IF(K134="Gas",INDEX(Lookups!$AF$51:$AF$69,MATCH(AH134,Lookups!$AD$51:$AD$69,0),0),0)))</f>
        <v/>
      </c>
      <c r="BC134" s="156" t="str">
        <f>IF(ISBLANK(AH134),"",IF(AH134="None",0,IF(K134="Gas",INDEX(Lookups!$AH$51:$AH$69,MATCH(AH134,Lookups!$AD$51:$AD$69,0),0),0)))</f>
        <v/>
      </c>
      <c r="BD134" s="156" t="str">
        <f>IF(ISBLANK(AH134),"",IF(AH134="None",0,IF(K134="Gas",INDEX(Lookups!$AI$51:$AI$69,MATCH(AH134,Lookups!$AD$51:$AD$69,0),0),0)))</f>
        <v/>
      </c>
      <c r="BE134" s="157"/>
      <c r="BF134" s="157"/>
      <c r="BG134" s="147" t="str">
        <f t="shared" ref="BG134:BG197" si="89">IFERROR(-(AF134*AG134-V134*W134)/1000,"")</f>
        <v/>
      </c>
      <c r="BH134" s="147" t="str">
        <f t="shared" ref="BH134:BH197" si="90">IFERROR(AP134*($W134*$V134-$AG134*$AF134)/1000*$AN134*AQ134*AT134,"")</f>
        <v/>
      </c>
      <c r="BI134" s="147" t="str">
        <f t="shared" si="74"/>
        <v/>
      </c>
      <c r="BJ134" s="147" t="str">
        <f t="shared" si="75"/>
        <v/>
      </c>
      <c r="BK134" s="148" t="str">
        <f t="shared" ref="BK134:BK197" si="91">IFERROR(ROUND(AP134*(W134*V134-AG134*AF134)/1000*AN134*AM134*AO134,3),"")</f>
        <v/>
      </c>
      <c r="BL134" s="147" t="str">
        <f t="shared" si="76"/>
        <v/>
      </c>
      <c r="BM134" s="148" t="str">
        <f t="shared" ref="BM134:BM197" si="92">IF(BL134="","",BL134*10)</f>
        <v/>
      </c>
      <c r="BN134" s="147" t="str">
        <f t="shared" ref="BN134:BO197" si="93">IFERROR(IF($AA134=$AK134,"",ROUND(($AG134*$AF134)/1000*($AL134-$AB134)*$AN134*AQ134*AT134,6)),"")</f>
        <v/>
      </c>
      <c r="BO134" s="147" t="str">
        <f t="shared" si="93"/>
        <v/>
      </c>
      <c r="BP134" s="147" t="str">
        <f t="shared" ref="BP134:BP197" si="94">IFERROR(IF($AA134=$AK134,"",ROUND(($AG134*$AF134)/1000*($AL134-$AB134)*$AN134*AS134*AV134,6)),"")</f>
        <v/>
      </c>
      <c r="BQ134" s="148" t="str">
        <f t="shared" ref="BQ134:BQ197" si="95">IFERROR(IF(AA134=AK134,"",ROUND((AG134*AF134)/1000*AM134*(AK134-AA134)*AN134*AO134,3)),"")</f>
        <v/>
      </c>
      <c r="BR134" s="148" t="str">
        <f t="shared" ref="BR134:BR197" si="96">IF(BQ134="","",IF(K134="Gas",(-BQ134/AO134)*BB134*AW134*BC134/BD134,0))</f>
        <v/>
      </c>
      <c r="BS134" s="148" t="str">
        <f t="shared" ref="BS134:BS197" si="97">IF(BR134="","",BR134*10)</f>
        <v/>
      </c>
      <c r="BT134" s="148" t="str">
        <f t="shared" si="77"/>
        <v/>
      </c>
      <c r="BU134" s="148" t="str">
        <f t="shared" si="78"/>
        <v/>
      </c>
      <c r="BV134" s="148" t="str">
        <f t="shared" si="79"/>
        <v/>
      </c>
      <c r="BW134" s="148" t="str">
        <f t="shared" si="80"/>
        <v/>
      </c>
      <c r="BX134" s="148" t="str">
        <f t="shared" si="81"/>
        <v/>
      </c>
      <c r="BY134" s="148" t="str">
        <f t="shared" si="82"/>
        <v/>
      </c>
      <c r="BZ134" s="149" t="str">
        <f>IFERROR(INDEX('Prescriptive Rebate Table'!$B$2:$E$64,MATCH(O134,'Prescriptive Rebate Table'!$C$2:$C$64,0),3),"")</f>
        <v/>
      </c>
      <c r="CA134" s="145" t="str">
        <f>IFERROR(INDEX('Prescriptive Rebate Table'!$B$2:$E$64,MATCH(O134,'Prescriptive Rebate Table'!$C$2:$C$64,0),4),"")</f>
        <v/>
      </c>
      <c r="CB134" s="149" t="str">
        <f t="shared" ref="CB134:CB197" si="98">IFERROR(IF(OR(AI134="",AH134=X134),"",CK134),"")</f>
        <v/>
      </c>
      <c r="CC134" s="145" t="str">
        <f t="shared" ref="CC134:CC197" si="99">IF(CB134="","","/kWh")</f>
        <v/>
      </c>
      <c r="CD134" s="149" t="str">
        <f t="shared" si="83"/>
        <v/>
      </c>
      <c r="CE134" s="149" t="str">
        <f t="shared" si="84"/>
        <v/>
      </c>
      <c r="CF134" s="149" t="str">
        <f>IF(BK134&lt;=0,0,IFERROR(IF(OR(ISBLANK(AC134),ISBLANK(CD134))=TRUE,"",IF(CA134="Per Foot",INDEX('Fixture Codes'!$I$8:$I$976,MATCH(AD134,'Fixture Codes'!$B$8:$B$976,0))/12*AF134*BZ134,IF(CA134="Lamp",INDEX('Fixture Codes'!$J$8:$J$976,MATCH(AD134,'Fixture Codes'!$B$8:$B$976,0))*AF134*BZ134,IF(CA134="Fixture",AF134*BZ134,IF(CA134="kWh",BK134*BZ134,0))))),""))</f>
        <v/>
      </c>
      <c r="CG134" s="149" t="str">
        <f t="shared" ref="CG134:CG197" si="100">IF(BQ134&lt;=0,0,IFERROR(IF(OR(ISBLANK(AC134),ISBLANK(CE134))=TRUE,"",IF(CC134="Control",AI134*CB134,IF(CC134="/kWh",CB134*BQ134,IF(CC134="Fixture",AF134*CB134,IF(CC134="Per Watt",AG134*AF134*CB134,0))))),""))</f>
        <v/>
      </c>
      <c r="CH134" s="149" t="str">
        <f t="shared" ref="CH134:CH197" si="101">IF(SUM(CF134,CG134)=0,"",SUM(CF134,CG134))</f>
        <v/>
      </c>
      <c r="CI134" s="152"/>
      <c r="CJ134" s="146"/>
      <c r="CK134" s="241">
        <f>IFERROR(IF(CL134="Yes",'Prescriptive Rebate Table'!$D$69,IF(ISBLANK(AI134),0,IF(AND(AH134=Lookups!$A$62,BK134&gt;0),'Prescriptive Rebate Table'!$D$68,IF(AND(BK134&gt;0,CJ134=AF134),'Prescriptive Rebate Table'!$D$67,IF(AND(BK134&gt;0,CJ134&lt;&gt;AF134),'Prescriptive Rebate Table'!D193,0))))),"")</f>
        <v>0</v>
      </c>
      <c r="CL134" s="240" t="s">
        <v>2712</v>
      </c>
      <c r="CM134" s="152"/>
      <c r="CN134" s="152"/>
      <c r="CO134" s="152"/>
      <c r="CP134" s="146">
        <f t="shared" si="85"/>
        <v>0</v>
      </c>
      <c r="CQ134" s="153">
        <f>IF(D134="Interior",ROUND(($AG134*AF134)/1000*$AM134*(Lookups!$B$54-$AA134)*$AN134*$AO134,3),0)</f>
        <v>0</v>
      </c>
      <c r="CR134" s="153">
        <f>IFERROR(IF(D134="Interior",ROUND(($AG134*$AF134)/1000*(Lookups!$C$54-$AB134)*$AN134*AQ134*AT134,6),0),"")</f>
        <v>0</v>
      </c>
      <c r="CS134" s="165">
        <f t="shared" ref="CS134:CS197" si="102">$CP134*30</f>
        <v>0</v>
      </c>
      <c r="CT134" s="165">
        <f t="shared" ref="CT134:CT197" si="103">$CP134*36</f>
        <v>0</v>
      </c>
      <c r="CV134" s="153"/>
      <c r="CW134" s="153"/>
      <c r="CX134" s="165"/>
      <c r="CY134" s="165"/>
      <c r="DA134" s="153">
        <f>IF(D134="Interior",ROUND(($AG134*AF134*(1-0.15))/1000*$AM134*(Lookups!$B$43+0.097-$AA134)*$AN134*$AO134+((W134*V134)/1000*AN134*AM134*AO134*0.15),3),0)</f>
        <v>0</v>
      </c>
      <c r="DB134" s="153">
        <f>IFERROR(IF(D134="Interior",ROUND(($AG134*$AF134)/1000*(Lookups!$C$43+0.097-$AB134)*$AN134*AQ134*AT134+(($AG134*$AF134)/1000*$AN134*AQ134*AT134*0.15),6),0),"")</f>
        <v>0</v>
      </c>
      <c r="DC134" s="165">
        <f t="shared" si="86"/>
        <v>0</v>
      </c>
      <c r="DD134" s="165">
        <f t="shared" si="87"/>
        <v>0</v>
      </c>
    </row>
    <row r="135" spans="1:108" s="164" customFormat="1">
      <c r="A135" s="150">
        <v>131</v>
      </c>
      <c r="B135" s="153" t="str">
        <f>IFERROR(INDEX(Lookups!$B$2:$B$38,MATCH('Project Info &amp; Summary'!$C$19,Lookups!$A$2:$A$38,0)),"")</f>
        <v/>
      </c>
      <c r="C135" s="153" t="str">
        <f>IFERROR(INDEX(Lookups!$C$2:$C$38,MATCH('Project Info &amp; Summary'!$C$19,Lookups!$A$2:$A$38,0)),"")</f>
        <v/>
      </c>
      <c r="D135" s="163"/>
      <c r="E135" s="160"/>
      <c r="F135" s="158"/>
      <c r="G135" s="158"/>
      <c r="H135" s="158"/>
      <c r="I135" s="158"/>
      <c r="J135" s="154" t="str">
        <f>IFERROR(INDEX(Lookups!$W$21:$W$26,MATCH(I135,Lookups!$V$21:$V$26,0)),"")</f>
        <v/>
      </c>
      <c r="K135" s="158"/>
      <c r="L135" s="162" t="str">
        <f>IFERROR(INDEX(Lookups!$Y$2:$Y$19,MATCH(_xlfn.CONCAT(I135,K135),Lookups!$X$2:$X$19,0)),"")</f>
        <v/>
      </c>
      <c r="M135" s="158"/>
      <c r="N135" s="153" t="str">
        <f>IFERROR(INDEX('Prescriptive Rebate Table'!$M$3:$M$20,MATCH(M135,'Prescriptive Rebate Table'!$L$3:$L$20,0)),"")</f>
        <v/>
      </c>
      <c r="O135" s="158"/>
      <c r="P135" s="154" t="str">
        <f>IFERROR(INDEX('Prescriptive Rebate Table'!$B$2:$H$64, MATCH(O135,'Prescriptive Rebate Table'!$C$2:$C$64,0),7),"")</f>
        <v/>
      </c>
      <c r="Q135" s="155" t="str">
        <f>IFERROR(INDEX('Prescriptive Rebate Table'!$B$2:$I$64, MATCH(O135,'Prescriptive Rebate Table'!$C$2:$C$64,0),8),"")</f>
        <v/>
      </c>
      <c r="R135" s="155" t="str">
        <f>IFERROR(INDEX('Prescriptive Rebate Table'!$B$2:$J$64, MATCH(O135,'Prescriptive Rebate Table'!$C$2:$C$64,0),9),"")</f>
        <v/>
      </c>
      <c r="S135" s="160"/>
      <c r="T135" s="145" t="str">
        <f>IFERROR(INDEX('Fixture Codes'!$M$8:$M$976,MATCH(S135,'Fixture Codes'!$B$8:$B$976,0)),"")</f>
        <v/>
      </c>
      <c r="U135" s="145" t="str">
        <f>IFERROR(INDEX('Fixture Codes'!$B$7:$M$976,MATCH(T135,'Fixture Codes'!$B$7:$B$976,0),5),"")</f>
        <v/>
      </c>
      <c r="V135" s="160"/>
      <c r="W135" s="145" t="str">
        <f>IFERROR(INDEX('Fixture Codes'!$L$8:$L$976,MATCH(T135,'Fixture Codes'!$B$8:$B$976,0)),"")</f>
        <v/>
      </c>
      <c r="X135" s="158"/>
      <c r="Y135" s="159"/>
      <c r="Z135" s="155" t="str">
        <f>IFERROR(INDEX(Lookups!B$68:B$87,MATCH($X135,Lookups!$A$68:$A$87,0)),"")</f>
        <v/>
      </c>
      <c r="AA135" s="150" t="str">
        <f>IFERROR(INDEX(Lookups!B$42:B$62,MATCH($X135,Lookups!$A$42:$A$62,0)),"")</f>
        <v/>
      </c>
      <c r="AB135" s="150" t="str">
        <f>IFERROR(INDEX(Lookups!C$42:C$62,MATCH($X135,Lookups!$A$42:$A$62,0)),"")</f>
        <v/>
      </c>
      <c r="AC135" s="160"/>
      <c r="AD135" s="160"/>
      <c r="AE135" s="150" t="str">
        <f>IFERROR(INDEX('Fixture Codes'!$B$7:$M$976,MATCH(AD135,'Fixture Codes'!$B$7:$B$976,0),5),"")</f>
        <v/>
      </c>
      <c r="AF135" s="160"/>
      <c r="AG135" s="145" t="str">
        <f>IFERROR(INDEX('Fixture Codes'!$L$8:$L$976,MATCH(AD135,'Fixture Codes'!$B$8:$B$976,0)),"")</f>
        <v/>
      </c>
      <c r="AH135" s="158"/>
      <c r="AI135" s="160"/>
      <c r="AJ135" s="150" t="str">
        <f>IFERROR(INDEX(Lookups!B$68:B$87,MATCH($AH135,Lookups!$A$68:$A$87,0)),"")</f>
        <v/>
      </c>
      <c r="AK135" s="150" t="str">
        <f>IFERROR(INDEX(Lookups!B$42:B$62,MATCH($AH135,Lookups!$A$42:$A$62,0)),"")</f>
        <v/>
      </c>
      <c r="AL135" s="150" t="str">
        <f>IFERROR(INDEX(Lookups!C$42:C$62,MATCH($AH135,Lookups!$A$42:$A$62,0)),"")</f>
        <v/>
      </c>
      <c r="AM135" s="150" t="str">
        <f>IFERROR(IF(M135="Exit Signs",8760,IF(INDEX('Fixture Codes'!$C$8:$C$976,MATCH(AD135,'Fixture Codes'!$B$8:$B$976,0))="Exit Sign",8760,INDEX(Lookups!$I$2:$I$428,MATCH(_xlfn.CONCAT(B135,H135),Lookups!$H$2:$H$428,0)))),"")</f>
        <v/>
      </c>
      <c r="AN135" s="153">
        <v>1</v>
      </c>
      <c r="AO135" s="150" t="str">
        <f>IF($D135="Interior",INDEX(Lookups!Q$2:Q$86,MATCH(_xlfn.CONCAT($C135,$L135),Lookups!$P$2:$P$86,0)),IF($D135="Exterior",1,""))</f>
        <v/>
      </c>
      <c r="AP135" s="150">
        <f t="shared" si="88"/>
        <v>1</v>
      </c>
      <c r="AQ135" s="150" t="str">
        <f>IF($D135="Interior",INDEX(Lookups!R$2:R$86,MATCH(_xlfn.CONCAT($C135,$L135),Lookups!$P$2:$P$86,0)),IF($D135="Exterior",1,""))</f>
        <v/>
      </c>
      <c r="AR135" s="150" t="str">
        <f>IF($D135="Interior",INDEX(Lookups!S$2:S$86,MATCH(_xlfn.CONCAT($C135,$L135),Lookups!$P$2:$P$86,0)),IF($D135="Exterior",1,""))</f>
        <v/>
      </c>
      <c r="AS135" s="150" t="str">
        <f>IF($D135="Interior",INDEX(Lookups!T$2:T$86,MATCH(_xlfn.CONCAT($C135,$L135),Lookups!$P$2:$P$86,0)),IF($D135="Exterior",1,""))</f>
        <v/>
      </c>
      <c r="AT135" s="150" t="str">
        <f>IFERROR(IF(M135="Exit Signs",1,IF(INDEX('Fixture Codes'!$C$8:$C$976,MATCH($AD135,'Fixture Codes'!$B$8:$B$976,0))="Exit Sign",1,INDEX(Lookups!J$2:J$428,MATCH(_xlfn.CONCAT($B135,$H135),Lookups!$H$2:$H$428,0)))),"")</f>
        <v/>
      </c>
      <c r="AU135" s="150" t="str">
        <f>IFERROR(IF(M135="Exit Signs",1,IF(INDEX('Fixture Codes'!$C$8:$C$976,MATCH($AD135,'Fixture Codes'!$B$8:$B$976,0))="Exit Sign",1,INDEX(Lookups!K$2:K$428,MATCH(_xlfn.CONCAT($B135,$H135),Lookups!$H$2:$H$428,0)))),"")</f>
        <v/>
      </c>
      <c r="AV135" s="150" t="str">
        <f>IFERROR(IF(M135="Exit Signs",1,IF(INDEX('Fixture Codes'!$C$8:$C$976,MATCH($AD135,'Fixture Codes'!$B$8:$B$976,0))="Exit Sign",1,INDEX(Lookups!L$2:L$428,MATCH(_xlfn.CONCAT($B135,$H135),Lookups!$H$2:$H$428,0)))),"")</f>
        <v/>
      </c>
      <c r="AW135" s="150" t="str">
        <f>IF(ISBLANK(K135),"",IF(K135="Gas",INDEX(Lookups!$AG$2:$AG$63,MATCH(O135,Lookups!$AD$2:$AD$63,0),0),0))</f>
        <v/>
      </c>
      <c r="AX135" s="150" t="str">
        <f>IF(ISBLANK(K135),"",IF(K135="Gas",INDEX(Lookups!$AF$2:$AF$63,MATCH(O135,Lookups!$AD$2:$AD$63,0),0),0))</f>
        <v/>
      </c>
      <c r="AY135" s="150" t="str">
        <f>IF(ISBLANK(K135),"",IF(K135="Gas",INDEX(Lookups!$AH$2:$AH$63,MATCH(O135,Lookups!$AD$2:$AD$63,0),0),0))</f>
        <v/>
      </c>
      <c r="AZ135" s="150" t="str">
        <f>IF(ISBLANK(K135),"",IF(K135="Gas",INDEX(Lookups!$AI$2:$AI$63,MATCH(O135,Lookups!$AD$2:$AD$63,0),0),0))</f>
        <v/>
      </c>
      <c r="BA135" s="150" t="str">
        <f t="shared" si="73"/>
        <v/>
      </c>
      <c r="BB135" s="156" t="str">
        <f>IF(ISBLANK(AH135),"",IF(AH135="None",0,IF(K135="Gas",INDEX(Lookups!$AF$51:$AF$69,MATCH(AH135,Lookups!$AD$51:$AD$69,0),0),0)))</f>
        <v/>
      </c>
      <c r="BC135" s="156" t="str">
        <f>IF(ISBLANK(AH135),"",IF(AH135="None",0,IF(K135="Gas",INDEX(Lookups!$AH$51:$AH$69,MATCH(AH135,Lookups!$AD$51:$AD$69,0),0),0)))</f>
        <v/>
      </c>
      <c r="BD135" s="156" t="str">
        <f>IF(ISBLANK(AH135),"",IF(AH135="None",0,IF(K135="Gas",INDEX(Lookups!$AI$51:$AI$69,MATCH(AH135,Lookups!$AD$51:$AD$69,0),0),0)))</f>
        <v/>
      </c>
      <c r="BE135" s="157"/>
      <c r="BF135" s="157"/>
      <c r="BG135" s="147" t="str">
        <f t="shared" si="89"/>
        <v/>
      </c>
      <c r="BH135" s="147" t="str">
        <f t="shared" si="90"/>
        <v/>
      </c>
      <c r="BI135" s="147" t="str">
        <f t="shared" si="74"/>
        <v/>
      </c>
      <c r="BJ135" s="147" t="str">
        <f t="shared" si="75"/>
        <v/>
      </c>
      <c r="BK135" s="148" t="str">
        <f t="shared" si="91"/>
        <v/>
      </c>
      <c r="BL135" s="147" t="str">
        <f t="shared" si="76"/>
        <v/>
      </c>
      <c r="BM135" s="148" t="str">
        <f t="shared" si="92"/>
        <v/>
      </c>
      <c r="BN135" s="147" t="str">
        <f t="shared" si="93"/>
        <v/>
      </c>
      <c r="BO135" s="147" t="str">
        <f t="shared" si="93"/>
        <v/>
      </c>
      <c r="BP135" s="147" t="str">
        <f t="shared" si="94"/>
        <v/>
      </c>
      <c r="BQ135" s="148" t="str">
        <f t="shared" si="95"/>
        <v/>
      </c>
      <c r="BR135" s="148" t="str">
        <f t="shared" si="96"/>
        <v/>
      </c>
      <c r="BS135" s="148" t="str">
        <f t="shared" si="97"/>
        <v/>
      </c>
      <c r="BT135" s="148" t="str">
        <f t="shared" si="77"/>
        <v/>
      </c>
      <c r="BU135" s="148" t="str">
        <f t="shared" si="78"/>
        <v/>
      </c>
      <c r="BV135" s="148" t="str">
        <f t="shared" si="79"/>
        <v/>
      </c>
      <c r="BW135" s="148" t="str">
        <f t="shared" si="80"/>
        <v/>
      </c>
      <c r="BX135" s="148" t="str">
        <f t="shared" si="81"/>
        <v/>
      </c>
      <c r="BY135" s="148" t="str">
        <f t="shared" si="82"/>
        <v/>
      </c>
      <c r="BZ135" s="149" t="str">
        <f>IFERROR(INDEX('Prescriptive Rebate Table'!$B$2:$E$64,MATCH(O135,'Prescriptive Rebate Table'!$C$2:$C$64,0),3),"")</f>
        <v/>
      </c>
      <c r="CA135" s="145" t="str">
        <f>IFERROR(INDEX('Prescriptive Rebate Table'!$B$2:$E$64,MATCH(O135,'Prescriptive Rebate Table'!$C$2:$C$64,0),4),"")</f>
        <v/>
      </c>
      <c r="CB135" s="149" t="str">
        <f t="shared" si="98"/>
        <v/>
      </c>
      <c r="CC135" s="145" t="str">
        <f t="shared" si="99"/>
        <v/>
      </c>
      <c r="CD135" s="149" t="str">
        <f t="shared" si="83"/>
        <v/>
      </c>
      <c r="CE135" s="149" t="str">
        <f t="shared" si="84"/>
        <v/>
      </c>
      <c r="CF135" s="149" t="str">
        <f>IF(BK135&lt;=0,0,IFERROR(IF(OR(ISBLANK(AC135),ISBLANK(CD135))=TRUE,"",IF(CA135="Per Foot",INDEX('Fixture Codes'!$I$8:$I$976,MATCH(AD135,'Fixture Codes'!$B$8:$B$976,0))/12*AF135*BZ135,IF(CA135="Lamp",INDEX('Fixture Codes'!$J$8:$J$976,MATCH(AD135,'Fixture Codes'!$B$8:$B$976,0))*AF135*BZ135,IF(CA135="Fixture",AF135*BZ135,IF(CA135="kWh",BK135*BZ135,0))))),""))</f>
        <v/>
      </c>
      <c r="CG135" s="149" t="str">
        <f t="shared" si="100"/>
        <v/>
      </c>
      <c r="CH135" s="149" t="str">
        <f t="shared" si="101"/>
        <v/>
      </c>
      <c r="CI135" s="152"/>
      <c r="CJ135" s="146"/>
      <c r="CK135" s="241">
        <f>IFERROR(IF(CL135="Yes",'Prescriptive Rebate Table'!$D$69,IF(ISBLANK(AI135),0,IF(AND(AH135=Lookups!$A$62,BK135&gt;0),'Prescriptive Rebate Table'!$D$68,IF(AND(BK135&gt;0,CJ135=AF135),'Prescriptive Rebate Table'!$D$67,IF(AND(BK135&gt;0,CJ135&lt;&gt;AF135),'Prescriptive Rebate Table'!D194,0))))),"")</f>
        <v>0</v>
      </c>
      <c r="CL135" s="240" t="s">
        <v>2712</v>
      </c>
      <c r="CM135" s="152"/>
      <c r="CN135" s="152"/>
      <c r="CO135" s="152"/>
      <c r="CP135" s="146">
        <f t="shared" si="85"/>
        <v>0</v>
      </c>
      <c r="CQ135" s="153">
        <f>IF(D135="Interior",ROUND(($AG135*AF135)/1000*$AM135*(Lookups!$B$54-$AA135)*$AN135*$AO135,3),0)</f>
        <v>0</v>
      </c>
      <c r="CR135" s="153">
        <f>IFERROR(IF(D135="Interior",ROUND(($AG135*$AF135)/1000*(Lookups!$C$54-$AB135)*$AN135*AQ135*AT135,6),0),"")</f>
        <v>0</v>
      </c>
      <c r="CS135" s="165">
        <f t="shared" si="102"/>
        <v>0</v>
      </c>
      <c r="CT135" s="165">
        <f t="shared" si="103"/>
        <v>0</v>
      </c>
      <c r="CV135" s="153"/>
      <c r="CW135" s="153"/>
      <c r="CX135" s="165"/>
      <c r="CY135" s="165"/>
      <c r="DA135" s="153">
        <f>IF(D135="Interior",ROUND(($AG135*AF135*(1-0.15))/1000*$AM135*(Lookups!$B$43+0.097-$AA135)*$AN135*$AO135+((W135*V135)/1000*AN135*AM135*AO135*0.15),3),0)</f>
        <v>0</v>
      </c>
      <c r="DB135" s="153">
        <f>IFERROR(IF(D135="Interior",ROUND(($AG135*$AF135)/1000*(Lookups!$C$43+0.097-$AB135)*$AN135*AQ135*AT135+(($AG135*$AF135)/1000*$AN135*AQ135*AT135*0.15),6),0),"")</f>
        <v>0</v>
      </c>
      <c r="DC135" s="165">
        <f t="shared" si="86"/>
        <v>0</v>
      </c>
      <c r="DD135" s="165">
        <f t="shared" si="87"/>
        <v>0</v>
      </c>
    </row>
    <row r="136" spans="1:108" s="164" customFormat="1">
      <c r="A136" s="150">
        <v>132</v>
      </c>
      <c r="B136" s="153" t="str">
        <f>IFERROR(INDEX(Lookups!$B$2:$B$38,MATCH('Project Info &amp; Summary'!$C$19,Lookups!$A$2:$A$38,0)),"")</f>
        <v/>
      </c>
      <c r="C136" s="153" t="str">
        <f>IFERROR(INDEX(Lookups!$C$2:$C$38,MATCH('Project Info &amp; Summary'!$C$19,Lookups!$A$2:$A$38,0)),"")</f>
        <v/>
      </c>
      <c r="D136" s="163"/>
      <c r="E136" s="160"/>
      <c r="F136" s="158"/>
      <c r="G136" s="158"/>
      <c r="H136" s="158"/>
      <c r="I136" s="158"/>
      <c r="J136" s="154" t="str">
        <f>IFERROR(INDEX(Lookups!$W$21:$W$26,MATCH(I136,Lookups!$V$21:$V$26,0)),"")</f>
        <v/>
      </c>
      <c r="K136" s="158"/>
      <c r="L136" s="162" t="str">
        <f>IFERROR(INDEX(Lookups!$Y$2:$Y$19,MATCH(_xlfn.CONCAT(I136,K136),Lookups!$X$2:$X$19,0)),"")</f>
        <v/>
      </c>
      <c r="M136" s="158"/>
      <c r="N136" s="153" t="str">
        <f>IFERROR(INDEX('Prescriptive Rebate Table'!$M$3:$M$20,MATCH(M136,'Prescriptive Rebate Table'!$L$3:$L$20,0)),"")</f>
        <v/>
      </c>
      <c r="O136" s="158"/>
      <c r="P136" s="154" t="str">
        <f>IFERROR(INDEX('Prescriptive Rebate Table'!$B$2:$H$64, MATCH(O136,'Prescriptive Rebate Table'!$C$2:$C$64,0),7),"")</f>
        <v/>
      </c>
      <c r="Q136" s="155" t="str">
        <f>IFERROR(INDEX('Prescriptive Rebate Table'!$B$2:$I$64, MATCH(O136,'Prescriptive Rebate Table'!$C$2:$C$64,0),8),"")</f>
        <v/>
      </c>
      <c r="R136" s="155" t="str">
        <f>IFERROR(INDEX('Prescriptive Rebate Table'!$B$2:$J$64, MATCH(O136,'Prescriptive Rebate Table'!$C$2:$C$64,0),9),"")</f>
        <v/>
      </c>
      <c r="S136" s="160"/>
      <c r="T136" s="145" t="str">
        <f>IFERROR(INDEX('Fixture Codes'!$M$8:$M$976,MATCH(S136,'Fixture Codes'!$B$8:$B$976,0)),"")</f>
        <v/>
      </c>
      <c r="U136" s="145" t="str">
        <f>IFERROR(INDEX('Fixture Codes'!$B$7:$M$976,MATCH(T136,'Fixture Codes'!$B$7:$B$976,0),5),"")</f>
        <v/>
      </c>
      <c r="V136" s="160"/>
      <c r="W136" s="145" t="str">
        <f>IFERROR(INDEX('Fixture Codes'!$L$8:$L$976,MATCH(T136,'Fixture Codes'!$B$8:$B$976,0)),"")</f>
        <v/>
      </c>
      <c r="X136" s="158"/>
      <c r="Y136" s="159"/>
      <c r="Z136" s="155" t="str">
        <f>IFERROR(INDEX(Lookups!B$68:B$87,MATCH($X136,Lookups!$A$68:$A$87,0)),"")</f>
        <v/>
      </c>
      <c r="AA136" s="150" t="str">
        <f>IFERROR(INDEX(Lookups!B$42:B$62,MATCH($X136,Lookups!$A$42:$A$62,0)),"")</f>
        <v/>
      </c>
      <c r="AB136" s="150" t="str">
        <f>IFERROR(INDEX(Lookups!C$42:C$62,MATCH($X136,Lookups!$A$42:$A$62,0)),"")</f>
        <v/>
      </c>
      <c r="AC136" s="160"/>
      <c r="AD136" s="160"/>
      <c r="AE136" s="150" t="str">
        <f>IFERROR(INDEX('Fixture Codes'!$B$7:$M$976,MATCH(AD136,'Fixture Codes'!$B$7:$B$976,0),5),"")</f>
        <v/>
      </c>
      <c r="AF136" s="160"/>
      <c r="AG136" s="145" t="str">
        <f>IFERROR(INDEX('Fixture Codes'!$L$8:$L$976,MATCH(AD136,'Fixture Codes'!$B$8:$B$976,0)),"")</f>
        <v/>
      </c>
      <c r="AH136" s="158"/>
      <c r="AI136" s="160"/>
      <c r="AJ136" s="150" t="str">
        <f>IFERROR(INDEX(Lookups!B$68:B$87,MATCH($AH136,Lookups!$A$68:$A$87,0)),"")</f>
        <v/>
      </c>
      <c r="AK136" s="150" t="str">
        <f>IFERROR(INDEX(Lookups!B$42:B$62,MATCH($AH136,Lookups!$A$42:$A$62,0)),"")</f>
        <v/>
      </c>
      <c r="AL136" s="150" t="str">
        <f>IFERROR(INDEX(Lookups!C$42:C$62,MATCH($AH136,Lookups!$A$42:$A$62,0)),"")</f>
        <v/>
      </c>
      <c r="AM136" s="150" t="str">
        <f>IFERROR(IF(M136="Exit Signs",8760,IF(INDEX('Fixture Codes'!$C$8:$C$976,MATCH(AD136,'Fixture Codes'!$B$8:$B$976,0))="Exit Sign",8760,INDEX(Lookups!$I$2:$I$428,MATCH(_xlfn.CONCAT(B136,H136),Lookups!$H$2:$H$428,0)))),"")</f>
        <v/>
      </c>
      <c r="AN136" s="153">
        <v>1</v>
      </c>
      <c r="AO136" s="150" t="str">
        <f>IF($D136="Interior",INDEX(Lookups!Q$2:Q$86,MATCH(_xlfn.CONCAT($C136,$L136),Lookups!$P$2:$P$86,0)),IF($D136="Exterior",1,""))</f>
        <v/>
      </c>
      <c r="AP136" s="150">
        <f t="shared" si="88"/>
        <v>1</v>
      </c>
      <c r="AQ136" s="150" t="str">
        <f>IF($D136="Interior",INDEX(Lookups!R$2:R$86,MATCH(_xlfn.CONCAT($C136,$L136),Lookups!$P$2:$P$86,0)),IF($D136="Exterior",1,""))</f>
        <v/>
      </c>
      <c r="AR136" s="150" t="str">
        <f>IF($D136="Interior",INDEX(Lookups!S$2:S$86,MATCH(_xlfn.CONCAT($C136,$L136),Lookups!$P$2:$P$86,0)),IF($D136="Exterior",1,""))</f>
        <v/>
      </c>
      <c r="AS136" s="150" t="str">
        <f>IF($D136="Interior",INDEX(Lookups!T$2:T$86,MATCH(_xlfn.CONCAT($C136,$L136),Lookups!$P$2:$P$86,0)),IF($D136="Exterior",1,""))</f>
        <v/>
      </c>
      <c r="AT136" s="150" t="str">
        <f>IFERROR(IF(M136="Exit Signs",1,IF(INDEX('Fixture Codes'!$C$8:$C$976,MATCH($AD136,'Fixture Codes'!$B$8:$B$976,0))="Exit Sign",1,INDEX(Lookups!J$2:J$428,MATCH(_xlfn.CONCAT($B136,$H136),Lookups!$H$2:$H$428,0)))),"")</f>
        <v/>
      </c>
      <c r="AU136" s="150" t="str">
        <f>IFERROR(IF(M136="Exit Signs",1,IF(INDEX('Fixture Codes'!$C$8:$C$976,MATCH($AD136,'Fixture Codes'!$B$8:$B$976,0))="Exit Sign",1,INDEX(Lookups!K$2:K$428,MATCH(_xlfn.CONCAT($B136,$H136),Lookups!$H$2:$H$428,0)))),"")</f>
        <v/>
      </c>
      <c r="AV136" s="150" t="str">
        <f>IFERROR(IF(M136="Exit Signs",1,IF(INDEX('Fixture Codes'!$C$8:$C$976,MATCH($AD136,'Fixture Codes'!$B$8:$B$976,0))="Exit Sign",1,INDEX(Lookups!L$2:L$428,MATCH(_xlfn.CONCAT($B136,$H136),Lookups!$H$2:$H$428,0)))),"")</f>
        <v/>
      </c>
      <c r="AW136" s="150" t="str">
        <f>IF(ISBLANK(K136),"",IF(K136="Gas",INDEX(Lookups!$AG$2:$AG$63,MATCH(O136,Lookups!$AD$2:$AD$63,0),0),0))</f>
        <v/>
      </c>
      <c r="AX136" s="150" t="str">
        <f>IF(ISBLANK(K136),"",IF(K136="Gas",INDEX(Lookups!$AF$2:$AF$63,MATCH(O136,Lookups!$AD$2:$AD$63,0),0),0))</f>
        <v/>
      </c>
      <c r="AY136" s="150" t="str">
        <f>IF(ISBLANK(K136),"",IF(K136="Gas",INDEX(Lookups!$AH$2:$AH$63,MATCH(O136,Lookups!$AD$2:$AD$63,0),0),0))</f>
        <v/>
      </c>
      <c r="AZ136" s="150" t="str">
        <f>IF(ISBLANK(K136),"",IF(K136="Gas",INDEX(Lookups!$AI$2:$AI$63,MATCH(O136,Lookups!$AD$2:$AD$63,0),0),0))</f>
        <v/>
      </c>
      <c r="BA136" s="150" t="str">
        <f t="shared" si="73"/>
        <v/>
      </c>
      <c r="BB136" s="156" t="str">
        <f>IF(ISBLANK(AH136),"",IF(AH136="None",0,IF(K136="Gas",INDEX(Lookups!$AF$51:$AF$69,MATCH(AH136,Lookups!$AD$51:$AD$69,0),0),0)))</f>
        <v/>
      </c>
      <c r="BC136" s="156" t="str">
        <f>IF(ISBLANK(AH136),"",IF(AH136="None",0,IF(K136="Gas",INDEX(Lookups!$AH$51:$AH$69,MATCH(AH136,Lookups!$AD$51:$AD$69,0),0),0)))</f>
        <v/>
      </c>
      <c r="BD136" s="156" t="str">
        <f>IF(ISBLANK(AH136),"",IF(AH136="None",0,IF(K136="Gas",INDEX(Lookups!$AI$51:$AI$69,MATCH(AH136,Lookups!$AD$51:$AD$69,0),0),0)))</f>
        <v/>
      </c>
      <c r="BE136" s="157"/>
      <c r="BF136" s="157"/>
      <c r="BG136" s="147" t="str">
        <f t="shared" si="89"/>
        <v/>
      </c>
      <c r="BH136" s="147" t="str">
        <f t="shared" si="90"/>
        <v/>
      </c>
      <c r="BI136" s="147" t="str">
        <f t="shared" si="74"/>
        <v/>
      </c>
      <c r="BJ136" s="147" t="str">
        <f t="shared" si="75"/>
        <v/>
      </c>
      <c r="BK136" s="148" t="str">
        <f t="shared" si="91"/>
        <v/>
      </c>
      <c r="BL136" s="147" t="str">
        <f t="shared" si="76"/>
        <v/>
      </c>
      <c r="BM136" s="148" t="str">
        <f t="shared" si="92"/>
        <v/>
      </c>
      <c r="BN136" s="147" t="str">
        <f t="shared" si="93"/>
        <v/>
      </c>
      <c r="BO136" s="147" t="str">
        <f t="shared" si="93"/>
        <v/>
      </c>
      <c r="BP136" s="147" t="str">
        <f t="shared" si="94"/>
        <v/>
      </c>
      <c r="BQ136" s="148" t="str">
        <f t="shared" si="95"/>
        <v/>
      </c>
      <c r="BR136" s="148" t="str">
        <f t="shared" si="96"/>
        <v/>
      </c>
      <c r="BS136" s="148" t="str">
        <f t="shared" si="97"/>
        <v/>
      </c>
      <c r="BT136" s="148" t="str">
        <f t="shared" si="77"/>
        <v/>
      </c>
      <c r="BU136" s="148" t="str">
        <f t="shared" si="78"/>
        <v/>
      </c>
      <c r="BV136" s="148" t="str">
        <f t="shared" si="79"/>
        <v/>
      </c>
      <c r="BW136" s="148" t="str">
        <f t="shared" si="80"/>
        <v/>
      </c>
      <c r="BX136" s="148" t="str">
        <f t="shared" si="81"/>
        <v/>
      </c>
      <c r="BY136" s="148" t="str">
        <f t="shared" si="82"/>
        <v/>
      </c>
      <c r="BZ136" s="149" t="str">
        <f>IFERROR(INDEX('Prescriptive Rebate Table'!$B$2:$E$64,MATCH(O136,'Prescriptive Rebate Table'!$C$2:$C$64,0),3),"")</f>
        <v/>
      </c>
      <c r="CA136" s="145" t="str">
        <f>IFERROR(INDEX('Prescriptive Rebate Table'!$B$2:$E$64,MATCH(O136,'Prescriptive Rebate Table'!$C$2:$C$64,0),4),"")</f>
        <v/>
      </c>
      <c r="CB136" s="149" t="str">
        <f t="shared" si="98"/>
        <v/>
      </c>
      <c r="CC136" s="145" t="str">
        <f t="shared" si="99"/>
        <v/>
      </c>
      <c r="CD136" s="149" t="str">
        <f t="shared" si="83"/>
        <v/>
      </c>
      <c r="CE136" s="149" t="str">
        <f t="shared" si="84"/>
        <v/>
      </c>
      <c r="CF136" s="149" t="str">
        <f>IF(BK136&lt;=0,0,IFERROR(IF(OR(ISBLANK(AC136),ISBLANK(CD136))=TRUE,"",IF(CA136="Per Foot",INDEX('Fixture Codes'!$I$8:$I$976,MATCH(AD136,'Fixture Codes'!$B$8:$B$976,0))/12*AF136*BZ136,IF(CA136="Lamp",INDEX('Fixture Codes'!$J$8:$J$976,MATCH(AD136,'Fixture Codes'!$B$8:$B$976,0))*AF136*BZ136,IF(CA136="Fixture",AF136*BZ136,IF(CA136="kWh",BK136*BZ136,0))))),""))</f>
        <v/>
      </c>
      <c r="CG136" s="149" t="str">
        <f t="shared" si="100"/>
        <v/>
      </c>
      <c r="CH136" s="149" t="str">
        <f t="shared" si="101"/>
        <v/>
      </c>
      <c r="CI136" s="152"/>
      <c r="CJ136" s="146"/>
      <c r="CK136" s="241">
        <f>IFERROR(IF(CL136="Yes",'Prescriptive Rebate Table'!$D$69,IF(ISBLANK(AI136),0,IF(AND(AH136=Lookups!$A$62,BK136&gt;0),'Prescriptive Rebate Table'!$D$68,IF(AND(BK136&gt;0,CJ136=AF136),'Prescriptive Rebate Table'!$D$67,IF(AND(BK136&gt;0,CJ136&lt;&gt;AF136),'Prescriptive Rebate Table'!D195,0))))),"")</f>
        <v>0</v>
      </c>
      <c r="CL136" s="240" t="s">
        <v>2712</v>
      </c>
      <c r="CM136" s="152"/>
      <c r="CN136" s="152"/>
      <c r="CO136" s="152"/>
      <c r="CP136" s="146">
        <f t="shared" si="85"/>
        <v>0</v>
      </c>
      <c r="CQ136" s="153">
        <f>IF(D136="Interior",ROUND(($AG136*AF136)/1000*$AM136*(Lookups!$B$54-$AA136)*$AN136*$AO136,3),0)</f>
        <v>0</v>
      </c>
      <c r="CR136" s="153">
        <f>IFERROR(IF(D136="Interior",ROUND(($AG136*$AF136)/1000*(Lookups!$C$54-$AB136)*$AN136*AQ136*AT136,6),0),"")</f>
        <v>0</v>
      </c>
      <c r="CS136" s="165">
        <f t="shared" si="102"/>
        <v>0</v>
      </c>
      <c r="CT136" s="165">
        <f t="shared" si="103"/>
        <v>0</v>
      </c>
      <c r="CV136" s="153"/>
      <c r="CW136" s="153"/>
      <c r="CX136" s="165"/>
      <c r="CY136" s="165"/>
      <c r="DA136" s="153">
        <f>IF(D136="Interior",ROUND(($AG136*AF136*(1-0.15))/1000*$AM136*(Lookups!$B$43+0.097-$AA136)*$AN136*$AO136+((W136*V136)/1000*AN136*AM136*AO136*0.15),3),0)</f>
        <v>0</v>
      </c>
      <c r="DB136" s="153">
        <f>IFERROR(IF(D136="Interior",ROUND(($AG136*$AF136)/1000*(Lookups!$C$43+0.097-$AB136)*$AN136*AQ136*AT136+(($AG136*$AF136)/1000*$AN136*AQ136*AT136*0.15),6),0),"")</f>
        <v>0</v>
      </c>
      <c r="DC136" s="165">
        <f t="shared" si="86"/>
        <v>0</v>
      </c>
      <c r="DD136" s="165">
        <f t="shared" si="87"/>
        <v>0</v>
      </c>
    </row>
    <row r="137" spans="1:108" s="164" customFormat="1">
      <c r="A137" s="150">
        <v>133</v>
      </c>
      <c r="B137" s="153" t="str">
        <f>IFERROR(INDEX(Lookups!$B$2:$B$38,MATCH('Project Info &amp; Summary'!$C$19,Lookups!$A$2:$A$38,0)),"")</f>
        <v/>
      </c>
      <c r="C137" s="153" t="str">
        <f>IFERROR(INDEX(Lookups!$C$2:$C$38,MATCH('Project Info &amp; Summary'!$C$19,Lookups!$A$2:$A$38,0)),"")</f>
        <v/>
      </c>
      <c r="D137" s="163"/>
      <c r="E137" s="160"/>
      <c r="F137" s="158"/>
      <c r="G137" s="158"/>
      <c r="H137" s="158"/>
      <c r="I137" s="158"/>
      <c r="J137" s="154" t="str">
        <f>IFERROR(INDEX(Lookups!$W$21:$W$26,MATCH(I137,Lookups!$V$21:$V$26,0)),"")</f>
        <v/>
      </c>
      <c r="K137" s="158"/>
      <c r="L137" s="162" t="str">
        <f>IFERROR(INDEX(Lookups!$Y$2:$Y$19,MATCH(_xlfn.CONCAT(I137,K137),Lookups!$X$2:$X$19,0)),"")</f>
        <v/>
      </c>
      <c r="M137" s="158"/>
      <c r="N137" s="153" t="str">
        <f>IFERROR(INDEX('Prescriptive Rebate Table'!$M$3:$M$20,MATCH(M137,'Prescriptive Rebate Table'!$L$3:$L$20,0)),"")</f>
        <v/>
      </c>
      <c r="O137" s="158"/>
      <c r="P137" s="154" t="str">
        <f>IFERROR(INDEX('Prescriptive Rebate Table'!$B$2:$H$64, MATCH(O137,'Prescriptive Rebate Table'!$C$2:$C$64,0),7),"")</f>
        <v/>
      </c>
      <c r="Q137" s="155" t="str">
        <f>IFERROR(INDEX('Prescriptive Rebate Table'!$B$2:$I$64, MATCH(O137,'Prescriptive Rebate Table'!$C$2:$C$64,0),8),"")</f>
        <v/>
      </c>
      <c r="R137" s="155" t="str">
        <f>IFERROR(INDEX('Prescriptive Rebate Table'!$B$2:$J$64, MATCH(O137,'Prescriptive Rebate Table'!$C$2:$C$64,0),9),"")</f>
        <v/>
      </c>
      <c r="S137" s="160"/>
      <c r="T137" s="145" t="str">
        <f>IFERROR(INDEX('Fixture Codes'!$M$8:$M$976,MATCH(S137,'Fixture Codes'!$B$8:$B$976,0)),"")</f>
        <v/>
      </c>
      <c r="U137" s="145" t="str">
        <f>IFERROR(INDEX('Fixture Codes'!$B$7:$M$976,MATCH(T137,'Fixture Codes'!$B$7:$B$976,0),5),"")</f>
        <v/>
      </c>
      <c r="V137" s="160"/>
      <c r="W137" s="145" t="str">
        <f>IFERROR(INDEX('Fixture Codes'!$L$8:$L$976,MATCH(T137,'Fixture Codes'!$B$8:$B$976,0)),"")</f>
        <v/>
      </c>
      <c r="X137" s="158"/>
      <c r="Y137" s="159"/>
      <c r="Z137" s="155" t="str">
        <f>IFERROR(INDEX(Lookups!B$68:B$87,MATCH($X137,Lookups!$A$68:$A$87,0)),"")</f>
        <v/>
      </c>
      <c r="AA137" s="150" t="str">
        <f>IFERROR(INDEX(Lookups!B$42:B$62,MATCH($X137,Lookups!$A$42:$A$62,0)),"")</f>
        <v/>
      </c>
      <c r="AB137" s="150" t="str">
        <f>IFERROR(INDEX(Lookups!C$42:C$62,MATCH($X137,Lookups!$A$42:$A$62,0)),"")</f>
        <v/>
      </c>
      <c r="AC137" s="160"/>
      <c r="AD137" s="160"/>
      <c r="AE137" s="150" t="str">
        <f>IFERROR(INDEX('Fixture Codes'!$B$7:$M$976,MATCH(AD137,'Fixture Codes'!$B$7:$B$976,0),5),"")</f>
        <v/>
      </c>
      <c r="AF137" s="160"/>
      <c r="AG137" s="145" t="str">
        <f>IFERROR(INDEX('Fixture Codes'!$L$8:$L$976,MATCH(AD137,'Fixture Codes'!$B$8:$B$976,0)),"")</f>
        <v/>
      </c>
      <c r="AH137" s="158"/>
      <c r="AI137" s="160"/>
      <c r="AJ137" s="150" t="str">
        <f>IFERROR(INDEX(Lookups!B$68:B$87,MATCH($AH137,Lookups!$A$68:$A$87,0)),"")</f>
        <v/>
      </c>
      <c r="AK137" s="150" t="str">
        <f>IFERROR(INDEX(Lookups!B$42:B$62,MATCH($AH137,Lookups!$A$42:$A$62,0)),"")</f>
        <v/>
      </c>
      <c r="AL137" s="150" t="str">
        <f>IFERROR(INDEX(Lookups!C$42:C$62,MATCH($AH137,Lookups!$A$42:$A$62,0)),"")</f>
        <v/>
      </c>
      <c r="AM137" s="150" t="str">
        <f>IFERROR(IF(M137="Exit Signs",8760,IF(INDEX('Fixture Codes'!$C$8:$C$976,MATCH(AD137,'Fixture Codes'!$B$8:$B$976,0))="Exit Sign",8760,INDEX(Lookups!$I$2:$I$428,MATCH(_xlfn.CONCAT(B137,H137),Lookups!$H$2:$H$428,0)))),"")</f>
        <v/>
      </c>
      <c r="AN137" s="153">
        <v>1</v>
      </c>
      <c r="AO137" s="150" t="str">
        <f>IF($D137="Interior",INDEX(Lookups!Q$2:Q$86,MATCH(_xlfn.CONCAT($C137,$L137),Lookups!$P$2:$P$86,0)),IF($D137="Exterior",1,""))</f>
        <v/>
      </c>
      <c r="AP137" s="150">
        <f t="shared" si="88"/>
        <v>1</v>
      </c>
      <c r="AQ137" s="150" t="str">
        <f>IF($D137="Interior",INDEX(Lookups!R$2:R$86,MATCH(_xlfn.CONCAT($C137,$L137),Lookups!$P$2:$P$86,0)),IF($D137="Exterior",1,""))</f>
        <v/>
      </c>
      <c r="AR137" s="150" t="str">
        <f>IF($D137="Interior",INDEX(Lookups!S$2:S$86,MATCH(_xlfn.CONCAT($C137,$L137),Lookups!$P$2:$P$86,0)),IF($D137="Exterior",1,""))</f>
        <v/>
      </c>
      <c r="AS137" s="150" t="str">
        <f>IF($D137="Interior",INDEX(Lookups!T$2:T$86,MATCH(_xlfn.CONCAT($C137,$L137),Lookups!$P$2:$P$86,0)),IF($D137="Exterior",1,""))</f>
        <v/>
      </c>
      <c r="AT137" s="150" t="str">
        <f>IFERROR(IF(M137="Exit Signs",1,IF(INDEX('Fixture Codes'!$C$8:$C$976,MATCH($AD137,'Fixture Codes'!$B$8:$B$976,0))="Exit Sign",1,INDEX(Lookups!J$2:J$428,MATCH(_xlfn.CONCAT($B137,$H137),Lookups!$H$2:$H$428,0)))),"")</f>
        <v/>
      </c>
      <c r="AU137" s="150" t="str">
        <f>IFERROR(IF(M137="Exit Signs",1,IF(INDEX('Fixture Codes'!$C$8:$C$976,MATCH($AD137,'Fixture Codes'!$B$8:$B$976,0))="Exit Sign",1,INDEX(Lookups!K$2:K$428,MATCH(_xlfn.CONCAT($B137,$H137),Lookups!$H$2:$H$428,0)))),"")</f>
        <v/>
      </c>
      <c r="AV137" s="150" t="str">
        <f>IFERROR(IF(M137="Exit Signs",1,IF(INDEX('Fixture Codes'!$C$8:$C$976,MATCH($AD137,'Fixture Codes'!$B$8:$B$976,0))="Exit Sign",1,INDEX(Lookups!L$2:L$428,MATCH(_xlfn.CONCAT($B137,$H137),Lookups!$H$2:$H$428,0)))),"")</f>
        <v/>
      </c>
      <c r="AW137" s="150" t="str">
        <f>IF(ISBLANK(K137),"",IF(K137="Gas",INDEX(Lookups!$AG$2:$AG$63,MATCH(O137,Lookups!$AD$2:$AD$63,0),0),0))</f>
        <v/>
      </c>
      <c r="AX137" s="150" t="str">
        <f>IF(ISBLANK(K137),"",IF(K137="Gas",INDEX(Lookups!$AF$2:$AF$63,MATCH(O137,Lookups!$AD$2:$AD$63,0),0),0))</f>
        <v/>
      </c>
      <c r="AY137" s="150" t="str">
        <f>IF(ISBLANK(K137),"",IF(K137="Gas",INDEX(Lookups!$AH$2:$AH$63,MATCH(O137,Lookups!$AD$2:$AD$63,0),0),0))</f>
        <v/>
      </c>
      <c r="AZ137" s="150" t="str">
        <f>IF(ISBLANK(K137),"",IF(K137="Gas",INDEX(Lookups!$AI$2:$AI$63,MATCH(O137,Lookups!$AD$2:$AD$63,0),0),0))</f>
        <v/>
      </c>
      <c r="BA137" s="150" t="str">
        <f t="shared" si="73"/>
        <v/>
      </c>
      <c r="BB137" s="156" t="str">
        <f>IF(ISBLANK(AH137),"",IF(AH137="None",0,IF(K137="Gas",INDEX(Lookups!$AF$51:$AF$69,MATCH(AH137,Lookups!$AD$51:$AD$69,0),0),0)))</f>
        <v/>
      </c>
      <c r="BC137" s="156" t="str">
        <f>IF(ISBLANK(AH137),"",IF(AH137="None",0,IF(K137="Gas",INDEX(Lookups!$AH$51:$AH$69,MATCH(AH137,Lookups!$AD$51:$AD$69,0),0),0)))</f>
        <v/>
      </c>
      <c r="BD137" s="156" t="str">
        <f>IF(ISBLANK(AH137),"",IF(AH137="None",0,IF(K137="Gas",INDEX(Lookups!$AI$51:$AI$69,MATCH(AH137,Lookups!$AD$51:$AD$69,0),0),0)))</f>
        <v/>
      </c>
      <c r="BE137" s="157"/>
      <c r="BF137" s="157"/>
      <c r="BG137" s="147" t="str">
        <f t="shared" si="89"/>
        <v/>
      </c>
      <c r="BH137" s="147" t="str">
        <f t="shared" si="90"/>
        <v/>
      </c>
      <c r="BI137" s="147" t="str">
        <f t="shared" si="74"/>
        <v/>
      </c>
      <c r="BJ137" s="147" t="str">
        <f t="shared" si="75"/>
        <v/>
      </c>
      <c r="BK137" s="148" t="str">
        <f t="shared" si="91"/>
        <v/>
      </c>
      <c r="BL137" s="147" t="str">
        <f t="shared" si="76"/>
        <v/>
      </c>
      <c r="BM137" s="148" t="str">
        <f t="shared" si="92"/>
        <v/>
      </c>
      <c r="BN137" s="147" t="str">
        <f t="shared" si="93"/>
        <v/>
      </c>
      <c r="BO137" s="147" t="str">
        <f t="shared" si="93"/>
        <v/>
      </c>
      <c r="BP137" s="147" t="str">
        <f t="shared" si="94"/>
        <v/>
      </c>
      <c r="BQ137" s="148" t="str">
        <f t="shared" si="95"/>
        <v/>
      </c>
      <c r="BR137" s="148" t="str">
        <f t="shared" si="96"/>
        <v/>
      </c>
      <c r="BS137" s="148" t="str">
        <f t="shared" si="97"/>
        <v/>
      </c>
      <c r="BT137" s="148" t="str">
        <f t="shared" si="77"/>
        <v/>
      </c>
      <c r="BU137" s="148" t="str">
        <f t="shared" si="78"/>
        <v/>
      </c>
      <c r="BV137" s="148" t="str">
        <f t="shared" si="79"/>
        <v/>
      </c>
      <c r="BW137" s="148" t="str">
        <f t="shared" si="80"/>
        <v/>
      </c>
      <c r="BX137" s="148" t="str">
        <f t="shared" si="81"/>
        <v/>
      </c>
      <c r="BY137" s="148" t="str">
        <f t="shared" si="82"/>
        <v/>
      </c>
      <c r="BZ137" s="149" t="str">
        <f>IFERROR(INDEX('Prescriptive Rebate Table'!$B$2:$E$64,MATCH(O137,'Prescriptive Rebate Table'!$C$2:$C$64,0),3),"")</f>
        <v/>
      </c>
      <c r="CA137" s="145" t="str">
        <f>IFERROR(INDEX('Prescriptive Rebate Table'!$B$2:$E$64,MATCH(O137,'Prescriptive Rebate Table'!$C$2:$C$64,0),4),"")</f>
        <v/>
      </c>
      <c r="CB137" s="149" t="str">
        <f t="shared" si="98"/>
        <v/>
      </c>
      <c r="CC137" s="145" t="str">
        <f t="shared" si="99"/>
        <v/>
      </c>
      <c r="CD137" s="149" t="str">
        <f t="shared" si="83"/>
        <v/>
      </c>
      <c r="CE137" s="149" t="str">
        <f t="shared" si="84"/>
        <v/>
      </c>
      <c r="CF137" s="149" t="str">
        <f>IF(BK137&lt;=0,0,IFERROR(IF(OR(ISBLANK(AC137),ISBLANK(CD137))=TRUE,"",IF(CA137="Per Foot",INDEX('Fixture Codes'!$I$8:$I$976,MATCH(AD137,'Fixture Codes'!$B$8:$B$976,0))/12*AF137*BZ137,IF(CA137="Lamp",INDEX('Fixture Codes'!$J$8:$J$976,MATCH(AD137,'Fixture Codes'!$B$8:$B$976,0))*AF137*BZ137,IF(CA137="Fixture",AF137*BZ137,IF(CA137="kWh",BK137*BZ137,0))))),""))</f>
        <v/>
      </c>
      <c r="CG137" s="149" t="str">
        <f t="shared" si="100"/>
        <v/>
      </c>
      <c r="CH137" s="149" t="str">
        <f t="shared" si="101"/>
        <v/>
      </c>
      <c r="CI137" s="152"/>
      <c r="CJ137" s="146"/>
      <c r="CK137" s="241">
        <f>IFERROR(IF(CL137="Yes",'Prescriptive Rebate Table'!$D$69,IF(ISBLANK(AI137),0,IF(AND(AH137=Lookups!$A$62,BK137&gt;0),'Prescriptive Rebate Table'!$D$68,IF(AND(BK137&gt;0,CJ137=AF137),'Prescriptive Rebate Table'!$D$67,IF(AND(BK137&gt;0,CJ137&lt;&gt;AF137),'Prescriptive Rebate Table'!D196,0))))),"")</f>
        <v>0</v>
      </c>
      <c r="CL137" s="240" t="s">
        <v>2712</v>
      </c>
      <c r="CM137" s="152"/>
      <c r="CN137" s="152"/>
      <c r="CO137" s="152"/>
      <c r="CP137" s="146">
        <f t="shared" si="85"/>
        <v>0</v>
      </c>
      <c r="CQ137" s="153">
        <f>IF(D137="Interior",ROUND(($AG137*AF137)/1000*$AM137*(Lookups!$B$54-$AA137)*$AN137*$AO137,3),0)</f>
        <v>0</v>
      </c>
      <c r="CR137" s="153">
        <f>IFERROR(IF(D137="Interior",ROUND(($AG137*$AF137)/1000*(Lookups!$C$54-$AB137)*$AN137*AQ137*AT137,6),0),"")</f>
        <v>0</v>
      </c>
      <c r="CS137" s="165">
        <f t="shared" si="102"/>
        <v>0</v>
      </c>
      <c r="CT137" s="165">
        <f t="shared" si="103"/>
        <v>0</v>
      </c>
      <c r="CV137" s="153"/>
      <c r="CW137" s="153"/>
      <c r="CX137" s="165"/>
      <c r="CY137" s="165"/>
      <c r="DA137" s="153">
        <f>IF(D137="Interior",ROUND(($AG137*AF137*(1-0.15))/1000*$AM137*(Lookups!$B$43+0.097-$AA137)*$AN137*$AO137+((W137*V137)/1000*AN137*AM137*AO137*0.15),3),0)</f>
        <v>0</v>
      </c>
      <c r="DB137" s="153">
        <f>IFERROR(IF(D137="Interior",ROUND(($AG137*$AF137)/1000*(Lookups!$C$43+0.097-$AB137)*$AN137*AQ137*AT137+(($AG137*$AF137)/1000*$AN137*AQ137*AT137*0.15),6),0),"")</f>
        <v>0</v>
      </c>
      <c r="DC137" s="165">
        <f t="shared" si="86"/>
        <v>0</v>
      </c>
      <c r="DD137" s="165">
        <f t="shared" si="87"/>
        <v>0</v>
      </c>
    </row>
    <row r="138" spans="1:108" s="164" customFormat="1">
      <c r="A138" s="150">
        <v>134</v>
      </c>
      <c r="B138" s="153" t="str">
        <f>IFERROR(INDEX(Lookups!$B$2:$B$38,MATCH('Project Info &amp; Summary'!$C$19,Lookups!$A$2:$A$38,0)),"")</f>
        <v/>
      </c>
      <c r="C138" s="153" t="str">
        <f>IFERROR(INDEX(Lookups!$C$2:$C$38,MATCH('Project Info &amp; Summary'!$C$19,Lookups!$A$2:$A$38,0)),"")</f>
        <v/>
      </c>
      <c r="D138" s="163"/>
      <c r="E138" s="160"/>
      <c r="F138" s="158"/>
      <c r="G138" s="158"/>
      <c r="H138" s="158"/>
      <c r="I138" s="158"/>
      <c r="J138" s="154" t="str">
        <f>IFERROR(INDEX(Lookups!$W$21:$W$26,MATCH(I138,Lookups!$V$21:$V$26,0)),"")</f>
        <v/>
      </c>
      <c r="K138" s="158"/>
      <c r="L138" s="162" t="str">
        <f>IFERROR(INDEX(Lookups!$Y$2:$Y$19,MATCH(_xlfn.CONCAT(I138,K138),Lookups!$X$2:$X$19,0)),"")</f>
        <v/>
      </c>
      <c r="M138" s="158"/>
      <c r="N138" s="153" t="str">
        <f>IFERROR(INDEX('Prescriptive Rebate Table'!$M$3:$M$20,MATCH(M138,'Prescriptive Rebate Table'!$L$3:$L$20,0)),"")</f>
        <v/>
      </c>
      <c r="O138" s="158"/>
      <c r="P138" s="154" t="str">
        <f>IFERROR(INDEX('Prescriptive Rebate Table'!$B$2:$H$64, MATCH(O138,'Prescriptive Rebate Table'!$C$2:$C$64,0),7),"")</f>
        <v/>
      </c>
      <c r="Q138" s="155" t="str">
        <f>IFERROR(INDEX('Prescriptive Rebate Table'!$B$2:$I$64, MATCH(O138,'Prescriptive Rebate Table'!$C$2:$C$64,0),8),"")</f>
        <v/>
      </c>
      <c r="R138" s="155" t="str">
        <f>IFERROR(INDEX('Prescriptive Rebate Table'!$B$2:$J$64, MATCH(O138,'Prescriptive Rebate Table'!$C$2:$C$64,0),9),"")</f>
        <v/>
      </c>
      <c r="S138" s="160"/>
      <c r="T138" s="145" t="str">
        <f>IFERROR(INDEX('Fixture Codes'!$M$8:$M$976,MATCH(S138,'Fixture Codes'!$B$8:$B$976,0)),"")</f>
        <v/>
      </c>
      <c r="U138" s="145" t="str">
        <f>IFERROR(INDEX('Fixture Codes'!$B$7:$M$976,MATCH(T138,'Fixture Codes'!$B$7:$B$976,0),5),"")</f>
        <v/>
      </c>
      <c r="V138" s="160"/>
      <c r="W138" s="145" t="str">
        <f>IFERROR(INDEX('Fixture Codes'!$L$8:$L$976,MATCH(T138,'Fixture Codes'!$B$8:$B$976,0)),"")</f>
        <v/>
      </c>
      <c r="X138" s="158"/>
      <c r="Y138" s="159"/>
      <c r="Z138" s="155" t="str">
        <f>IFERROR(INDEX(Lookups!B$68:B$87,MATCH($X138,Lookups!$A$68:$A$87,0)),"")</f>
        <v/>
      </c>
      <c r="AA138" s="150" t="str">
        <f>IFERROR(INDEX(Lookups!B$42:B$62,MATCH($X138,Lookups!$A$42:$A$62,0)),"")</f>
        <v/>
      </c>
      <c r="AB138" s="150" t="str">
        <f>IFERROR(INDEX(Lookups!C$42:C$62,MATCH($X138,Lookups!$A$42:$A$62,0)),"")</f>
        <v/>
      </c>
      <c r="AC138" s="160"/>
      <c r="AD138" s="160"/>
      <c r="AE138" s="150" t="str">
        <f>IFERROR(INDEX('Fixture Codes'!$B$7:$M$976,MATCH(AD138,'Fixture Codes'!$B$7:$B$976,0),5),"")</f>
        <v/>
      </c>
      <c r="AF138" s="160"/>
      <c r="AG138" s="145" t="str">
        <f>IFERROR(INDEX('Fixture Codes'!$L$8:$L$976,MATCH(AD138,'Fixture Codes'!$B$8:$B$976,0)),"")</f>
        <v/>
      </c>
      <c r="AH138" s="158"/>
      <c r="AI138" s="160"/>
      <c r="AJ138" s="150" t="str">
        <f>IFERROR(INDEX(Lookups!B$68:B$87,MATCH($AH138,Lookups!$A$68:$A$87,0)),"")</f>
        <v/>
      </c>
      <c r="AK138" s="150" t="str">
        <f>IFERROR(INDEX(Lookups!B$42:B$62,MATCH($AH138,Lookups!$A$42:$A$62,0)),"")</f>
        <v/>
      </c>
      <c r="AL138" s="150" t="str">
        <f>IFERROR(INDEX(Lookups!C$42:C$62,MATCH($AH138,Lookups!$A$42:$A$62,0)),"")</f>
        <v/>
      </c>
      <c r="AM138" s="150" t="str">
        <f>IFERROR(IF(M138="Exit Signs",8760,IF(INDEX('Fixture Codes'!$C$8:$C$976,MATCH(AD138,'Fixture Codes'!$B$8:$B$976,0))="Exit Sign",8760,INDEX(Lookups!$I$2:$I$428,MATCH(_xlfn.CONCAT(B138,H138),Lookups!$H$2:$H$428,0)))),"")</f>
        <v/>
      </c>
      <c r="AN138" s="153">
        <v>1</v>
      </c>
      <c r="AO138" s="150" t="str">
        <f>IF($D138="Interior",INDEX(Lookups!Q$2:Q$86,MATCH(_xlfn.CONCAT($C138,$L138),Lookups!$P$2:$P$86,0)),IF($D138="Exterior",1,""))</f>
        <v/>
      </c>
      <c r="AP138" s="150">
        <f t="shared" si="88"/>
        <v>1</v>
      </c>
      <c r="AQ138" s="150" t="str">
        <f>IF($D138="Interior",INDEX(Lookups!R$2:R$86,MATCH(_xlfn.CONCAT($C138,$L138),Lookups!$P$2:$P$86,0)),IF($D138="Exterior",1,""))</f>
        <v/>
      </c>
      <c r="AR138" s="150" t="str">
        <f>IF($D138="Interior",INDEX(Lookups!S$2:S$86,MATCH(_xlfn.CONCAT($C138,$L138),Lookups!$P$2:$P$86,0)),IF($D138="Exterior",1,""))</f>
        <v/>
      </c>
      <c r="AS138" s="150" t="str">
        <f>IF($D138="Interior",INDEX(Lookups!T$2:T$86,MATCH(_xlfn.CONCAT($C138,$L138),Lookups!$P$2:$P$86,0)),IF($D138="Exterior",1,""))</f>
        <v/>
      </c>
      <c r="AT138" s="150" t="str">
        <f>IFERROR(IF(M138="Exit Signs",1,IF(INDEX('Fixture Codes'!$C$8:$C$976,MATCH($AD138,'Fixture Codes'!$B$8:$B$976,0))="Exit Sign",1,INDEX(Lookups!J$2:J$428,MATCH(_xlfn.CONCAT($B138,$H138),Lookups!$H$2:$H$428,0)))),"")</f>
        <v/>
      </c>
      <c r="AU138" s="150" t="str">
        <f>IFERROR(IF(M138="Exit Signs",1,IF(INDEX('Fixture Codes'!$C$8:$C$976,MATCH($AD138,'Fixture Codes'!$B$8:$B$976,0))="Exit Sign",1,INDEX(Lookups!K$2:K$428,MATCH(_xlfn.CONCAT($B138,$H138),Lookups!$H$2:$H$428,0)))),"")</f>
        <v/>
      </c>
      <c r="AV138" s="150" t="str">
        <f>IFERROR(IF(M138="Exit Signs",1,IF(INDEX('Fixture Codes'!$C$8:$C$976,MATCH($AD138,'Fixture Codes'!$B$8:$B$976,0))="Exit Sign",1,INDEX(Lookups!L$2:L$428,MATCH(_xlfn.CONCAT($B138,$H138),Lookups!$H$2:$H$428,0)))),"")</f>
        <v/>
      </c>
      <c r="AW138" s="150" t="str">
        <f>IF(ISBLANK(K138),"",IF(K138="Gas",INDEX(Lookups!$AG$2:$AG$63,MATCH(O138,Lookups!$AD$2:$AD$63,0),0),0))</f>
        <v/>
      </c>
      <c r="AX138" s="150" t="str">
        <f>IF(ISBLANK(K138),"",IF(K138="Gas",INDEX(Lookups!$AF$2:$AF$63,MATCH(O138,Lookups!$AD$2:$AD$63,0),0),0))</f>
        <v/>
      </c>
      <c r="AY138" s="150" t="str">
        <f>IF(ISBLANK(K138),"",IF(K138="Gas",INDEX(Lookups!$AH$2:$AH$63,MATCH(O138,Lookups!$AD$2:$AD$63,0),0),0))</f>
        <v/>
      </c>
      <c r="AZ138" s="150" t="str">
        <f>IF(ISBLANK(K138),"",IF(K138="Gas",INDEX(Lookups!$AI$2:$AI$63,MATCH(O138,Lookups!$AD$2:$AD$63,0),0),0))</f>
        <v/>
      </c>
      <c r="BA138" s="150" t="str">
        <f t="shared" si="73"/>
        <v/>
      </c>
      <c r="BB138" s="156" t="str">
        <f>IF(ISBLANK(AH138),"",IF(AH138="None",0,IF(K138="Gas",INDEX(Lookups!$AF$51:$AF$69,MATCH(AH138,Lookups!$AD$51:$AD$69,0),0),0)))</f>
        <v/>
      </c>
      <c r="BC138" s="156" t="str">
        <f>IF(ISBLANK(AH138),"",IF(AH138="None",0,IF(K138="Gas",INDEX(Lookups!$AH$51:$AH$69,MATCH(AH138,Lookups!$AD$51:$AD$69,0),0),0)))</f>
        <v/>
      </c>
      <c r="BD138" s="156" t="str">
        <f>IF(ISBLANK(AH138),"",IF(AH138="None",0,IF(K138="Gas",INDEX(Lookups!$AI$51:$AI$69,MATCH(AH138,Lookups!$AD$51:$AD$69,0),0),0)))</f>
        <v/>
      </c>
      <c r="BE138" s="157"/>
      <c r="BF138" s="157"/>
      <c r="BG138" s="147" t="str">
        <f t="shared" si="89"/>
        <v/>
      </c>
      <c r="BH138" s="147" t="str">
        <f t="shared" si="90"/>
        <v/>
      </c>
      <c r="BI138" s="147" t="str">
        <f t="shared" si="74"/>
        <v/>
      </c>
      <c r="BJ138" s="147" t="str">
        <f t="shared" si="75"/>
        <v/>
      </c>
      <c r="BK138" s="148" t="str">
        <f t="shared" si="91"/>
        <v/>
      </c>
      <c r="BL138" s="147" t="str">
        <f t="shared" si="76"/>
        <v/>
      </c>
      <c r="BM138" s="148" t="str">
        <f t="shared" si="92"/>
        <v/>
      </c>
      <c r="BN138" s="147" t="str">
        <f t="shared" si="93"/>
        <v/>
      </c>
      <c r="BO138" s="147" t="str">
        <f t="shared" si="93"/>
        <v/>
      </c>
      <c r="BP138" s="147" t="str">
        <f t="shared" si="94"/>
        <v/>
      </c>
      <c r="BQ138" s="148" t="str">
        <f t="shared" si="95"/>
        <v/>
      </c>
      <c r="BR138" s="148" t="str">
        <f t="shared" si="96"/>
        <v/>
      </c>
      <c r="BS138" s="148" t="str">
        <f t="shared" si="97"/>
        <v/>
      </c>
      <c r="BT138" s="148" t="str">
        <f t="shared" si="77"/>
        <v/>
      </c>
      <c r="BU138" s="148" t="str">
        <f t="shared" si="78"/>
        <v/>
      </c>
      <c r="BV138" s="148" t="str">
        <f t="shared" si="79"/>
        <v/>
      </c>
      <c r="BW138" s="148" t="str">
        <f t="shared" si="80"/>
        <v/>
      </c>
      <c r="BX138" s="148" t="str">
        <f t="shared" si="81"/>
        <v/>
      </c>
      <c r="BY138" s="148" t="str">
        <f t="shared" si="82"/>
        <v/>
      </c>
      <c r="BZ138" s="149" t="str">
        <f>IFERROR(INDEX('Prescriptive Rebate Table'!$B$2:$E$64,MATCH(O138,'Prescriptive Rebate Table'!$C$2:$C$64,0),3),"")</f>
        <v/>
      </c>
      <c r="CA138" s="145" t="str">
        <f>IFERROR(INDEX('Prescriptive Rebate Table'!$B$2:$E$64,MATCH(O138,'Prescriptive Rebate Table'!$C$2:$C$64,0),4),"")</f>
        <v/>
      </c>
      <c r="CB138" s="149" t="str">
        <f t="shared" si="98"/>
        <v/>
      </c>
      <c r="CC138" s="145" t="str">
        <f t="shared" si="99"/>
        <v/>
      </c>
      <c r="CD138" s="149" t="str">
        <f t="shared" si="83"/>
        <v/>
      </c>
      <c r="CE138" s="149" t="str">
        <f t="shared" si="84"/>
        <v/>
      </c>
      <c r="CF138" s="149" t="str">
        <f>IF(BK138&lt;=0,0,IFERROR(IF(OR(ISBLANK(AC138),ISBLANK(CD138))=TRUE,"",IF(CA138="Per Foot",INDEX('Fixture Codes'!$I$8:$I$976,MATCH(AD138,'Fixture Codes'!$B$8:$B$976,0))/12*AF138*BZ138,IF(CA138="Lamp",INDEX('Fixture Codes'!$J$8:$J$976,MATCH(AD138,'Fixture Codes'!$B$8:$B$976,0))*AF138*BZ138,IF(CA138="Fixture",AF138*BZ138,IF(CA138="kWh",BK138*BZ138,0))))),""))</f>
        <v/>
      </c>
      <c r="CG138" s="149" t="str">
        <f t="shared" si="100"/>
        <v/>
      </c>
      <c r="CH138" s="149" t="str">
        <f t="shared" si="101"/>
        <v/>
      </c>
      <c r="CI138" s="152"/>
      <c r="CJ138" s="146"/>
      <c r="CK138" s="241">
        <f>IFERROR(IF(CL138="Yes",'Prescriptive Rebate Table'!$D$69,IF(ISBLANK(AI138),0,IF(AND(AH138=Lookups!$A$62,BK138&gt;0),'Prescriptive Rebate Table'!$D$68,IF(AND(BK138&gt;0,CJ138=AF138),'Prescriptive Rebate Table'!$D$67,IF(AND(BK138&gt;0,CJ138&lt;&gt;AF138),'Prescriptive Rebate Table'!D197,0))))),"")</f>
        <v>0</v>
      </c>
      <c r="CL138" s="240" t="s">
        <v>2712</v>
      </c>
      <c r="CM138" s="152"/>
      <c r="CN138" s="152"/>
      <c r="CO138" s="152"/>
      <c r="CP138" s="146">
        <f t="shared" si="85"/>
        <v>0</v>
      </c>
      <c r="CQ138" s="153">
        <f>IF(D138="Interior",ROUND(($AG138*AF138)/1000*$AM138*(Lookups!$B$54-$AA138)*$AN138*$AO138,3),0)</f>
        <v>0</v>
      </c>
      <c r="CR138" s="153">
        <f>IFERROR(IF(D138="Interior",ROUND(($AG138*$AF138)/1000*(Lookups!$C$54-$AB138)*$AN138*AQ138*AT138,6),0),"")</f>
        <v>0</v>
      </c>
      <c r="CS138" s="165">
        <f t="shared" si="102"/>
        <v>0</v>
      </c>
      <c r="CT138" s="165">
        <f t="shared" si="103"/>
        <v>0</v>
      </c>
      <c r="CV138" s="153"/>
      <c r="CW138" s="153"/>
      <c r="CX138" s="165"/>
      <c r="CY138" s="165"/>
      <c r="DA138" s="153">
        <f>IF(D138="Interior",ROUND(($AG138*AF138*(1-0.15))/1000*$AM138*(Lookups!$B$43+0.097-$AA138)*$AN138*$AO138+((W138*V138)/1000*AN138*AM138*AO138*0.15),3),0)</f>
        <v>0</v>
      </c>
      <c r="DB138" s="153">
        <f>IFERROR(IF(D138="Interior",ROUND(($AG138*$AF138)/1000*(Lookups!$C$43+0.097-$AB138)*$AN138*AQ138*AT138+(($AG138*$AF138)/1000*$AN138*AQ138*AT138*0.15),6),0),"")</f>
        <v>0</v>
      </c>
      <c r="DC138" s="165">
        <f t="shared" si="86"/>
        <v>0</v>
      </c>
      <c r="DD138" s="165">
        <f t="shared" si="87"/>
        <v>0</v>
      </c>
    </row>
    <row r="139" spans="1:108" s="164" customFormat="1">
      <c r="A139" s="150">
        <v>135</v>
      </c>
      <c r="B139" s="153" t="str">
        <f>IFERROR(INDEX(Lookups!$B$2:$B$38,MATCH('Project Info &amp; Summary'!$C$19,Lookups!$A$2:$A$38,0)),"")</f>
        <v/>
      </c>
      <c r="C139" s="153" t="str">
        <f>IFERROR(INDEX(Lookups!$C$2:$C$38,MATCH('Project Info &amp; Summary'!$C$19,Lookups!$A$2:$A$38,0)),"")</f>
        <v/>
      </c>
      <c r="D139" s="163"/>
      <c r="E139" s="160"/>
      <c r="F139" s="158"/>
      <c r="G139" s="158"/>
      <c r="H139" s="158"/>
      <c r="I139" s="158"/>
      <c r="J139" s="154" t="str">
        <f>IFERROR(INDEX(Lookups!$W$21:$W$26,MATCH(I139,Lookups!$V$21:$V$26,0)),"")</f>
        <v/>
      </c>
      <c r="K139" s="158"/>
      <c r="L139" s="162" t="str">
        <f>IFERROR(INDEX(Lookups!$Y$2:$Y$19,MATCH(_xlfn.CONCAT(I139,K139),Lookups!$X$2:$X$19,0)),"")</f>
        <v/>
      </c>
      <c r="M139" s="158"/>
      <c r="N139" s="153" t="str">
        <f>IFERROR(INDEX('Prescriptive Rebate Table'!$M$3:$M$20,MATCH(M139,'Prescriptive Rebate Table'!$L$3:$L$20,0)),"")</f>
        <v/>
      </c>
      <c r="O139" s="158"/>
      <c r="P139" s="154" t="str">
        <f>IFERROR(INDEX('Prescriptive Rebate Table'!$B$2:$H$64, MATCH(O139,'Prescriptive Rebate Table'!$C$2:$C$64,0),7),"")</f>
        <v/>
      </c>
      <c r="Q139" s="155" t="str">
        <f>IFERROR(INDEX('Prescriptive Rebate Table'!$B$2:$I$64, MATCH(O139,'Prescriptive Rebate Table'!$C$2:$C$64,0),8),"")</f>
        <v/>
      </c>
      <c r="R139" s="155" t="str">
        <f>IFERROR(INDEX('Prescriptive Rebate Table'!$B$2:$J$64, MATCH(O139,'Prescriptive Rebate Table'!$C$2:$C$64,0),9),"")</f>
        <v/>
      </c>
      <c r="S139" s="160"/>
      <c r="T139" s="145" t="str">
        <f>IFERROR(INDEX('Fixture Codes'!$M$8:$M$976,MATCH(S139,'Fixture Codes'!$B$8:$B$976,0)),"")</f>
        <v/>
      </c>
      <c r="U139" s="145" t="str">
        <f>IFERROR(INDEX('Fixture Codes'!$B$7:$M$976,MATCH(T139,'Fixture Codes'!$B$7:$B$976,0),5),"")</f>
        <v/>
      </c>
      <c r="V139" s="160"/>
      <c r="W139" s="145" t="str">
        <f>IFERROR(INDEX('Fixture Codes'!$L$8:$L$976,MATCH(T139,'Fixture Codes'!$B$8:$B$976,0)),"")</f>
        <v/>
      </c>
      <c r="X139" s="158"/>
      <c r="Y139" s="159"/>
      <c r="Z139" s="155" t="str">
        <f>IFERROR(INDEX(Lookups!B$68:B$87,MATCH($X139,Lookups!$A$68:$A$87,0)),"")</f>
        <v/>
      </c>
      <c r="AA139" s="150" t="str">
        <f>IFERROR(INDEX(Lookups!B$42:B$62,MATCH($X139,Lookups!$A$42:$A$62,0)),"")</f>
        <v/>
      </c>
      <c r="AB139" s="150" t="str">
        <f>IFERROR(INDEX(Lookups!C$42:C$62,MATCH($X139,Lookups!$A$42:$A$62,0)),"")</f>
        <v/>
      </c>
      <c r="AC139" s="160"/>
      <c r="AD139" s="160"/>
      <c r="AE139" s="150" t="str">
        <f>IFERROR(INDEX('Fixture Codes'!$B$7:$M$976,MATCH(AD139,'Fixture Codes'!$B$7:$B$976,0),5),"")</f>
        <v/>
      </c>
      <c r="AF139" s="160"/>
      <c r="AG139" s="145" t="str">
        <f>IFERROR(INDEX('Fixture Codes'!$L$8:$L$976,MATCH(AD139,'Fixture Codes'!$B$8:$B$976,0)),"")</f>
        <v/>
      </c>
      <c r="AH139" s="158"/>
      <c r="AI139" s="160"/>
      <c r="AJ139" s="150" t="str">
        <f>IFERROR(INDEX(Lookups!B$68:B$87,MATCH($AH139,Lookups!$A$68:$A$87,0)),"")</f>
        <v/>
      </c>
      <c r="AK139" s="150" t="str">
        <f>IFERROR(INDEX(Lookups!B$42:B$62,MATCH($AH139,Lookups!$A$42:$A$62,0)),"")</f>
        <v/>
      </c>
      <c r="AL139" s="150" t="str">
        <f>IFERROR(INDEX(Lookups!C$42:C$62,MATCH($AH139,Lookups!$A$42:$A$62,0)),"")</f>
        <v/>
      </c>
      <c r="AM139" s="150" t="str">
        <f>IFERROR(IF(M139="Exit Signs",8760,IF(INDEX('Fixture Codes'!$C$8:$C$976,MATCH(AD139,'Fixture Codes'!$B$8:$B$976,0))="Exit Sign",8760,INDEX(Lookups!$I$2:$I$428,MATCH(_xlfn.CONCAT(B139,H139),Lookups!$H$2:$H$428,0)))),"")</f>
        <v/>
      </c>
      <c r="AN139" s="153">
        <v>1</v>
      </c>
      <c r="AO139" s="150" t="str">
        <f>IF($D139="Interior",INDEX(Lookups!Q$2:Q$86,MATCH(_xlfn.CONCAT($C139,$L139),Lookups!$P$2:$P$86,0)),IF($D139="Exterior",1,""))</f>
        <v/>
      </c>
      <c r="AP139" s="150">
        <f t="shared" si="88"/>
        <v>1</v>
      </c>
      <c r="AQ139" s="150" t="str">
        <f>IF($D139="Interior",INDEX(Lookups!R$2:R$86,MATCH(_xlfn.CONCAT($C139,$L139),Lookups!$P$2:$P$86,0)),IF($D139="Exterior",1,""))</f>
        <v/>
      </c>
      <c r="AR139" s="150" t="str">
        <f>IF($D139="Interior",INDEX(Lookups!S$2:S$86,MATCH(_xlfn.CONCAT($C139,$L139),Lookups!$P$2:$P$86,0)),IF($D139="Exterior",1,""))</f>
        <v/>
      </c>
      <c r="AS139" s="150" t="str">
        <f>IF($D139="Interior",INDEX(Lookups!T$2:T$86,MATCH(_xlfn.CONCAT($C139,$L139),Lookups!$P$2:$P$86,0)),IF($D139="Exterior",1,""))</f>
        <v/>
      </c>
      <c r="AT139" s="150" t="str">
        <f>IFERROR(IF(M139="Exit Signs",1,IF(INDEX('Fixture Codes'!$C$8:$C$976,MATCH($AD139,'Fixture Codes'!$B$8:$B$976,0))="Exit Sign",1,INDEX(Lookups!J$2:J$428,MATCH(_xlfn.CONCAT($B139,$H139),Lookups!$H$2:$H$428,0)))),"")</f>
        <v/>
      </c>
      <c r="AU139" s="150" t="str">
        <f>IFERROR(IF(M139="Exit Signs",1,IF(INDEX('Fixture Codes'!$C$8:$C$976,MATCH($AD139,'Fixture Codes'!$B$8:$B$976,0))="Exit Sign",1,INDEX(Lookups!K$2:K$428,MATCH(_xlfn.CONCAT($B139,$H139),Lookups!$H$2:$H$428,0)))),"")</f>
        <v/>
      </c>
      <c r="AV139" s="150" t="str">
        <f>IFERROR(IF(M139="Exit Signs",1,IF(INDEX('Fixture Codes'!$C$8:$C$976,MATCH($AD139,'Fixture Codes'!$B$8:$B$976,0))="Exit Sign",1,INDEX(Lookups!L$2:L$428,MATCH(_xlfn.CONCAT($B139,$H139),Lookups!$H$2:$H$428,0)))),"")</f>
        <v/>
      </c>
      <c r="AW139" s="150" t="str">
        <f>IF(ISBLANK(K139),"",IF(K139="Gas",INDEX(Lookups!$AG$2:$AG$63,MATCH(O139,Lookups!$AD$2:$AD$63,0),0),0))</f>
        <v/>
      </c>
      <c r="AX139" s="150" t="str">
        <f>IF(ISBLANK(K139),"",IF(K139="Gas",INDEX(Lookups!$AF$2:$AF$63,MATCH(O139,Lookups!$AD$2:$AD$63,0),0),0))</f>
        <v/>
      </c>
      <c r="AY139" s="150" t="str">
        <f>IF(ISBLANK(K139),"",IF(K139="Gas",INDEX(Lookups!$AH$2:$AH$63,MATCH(O139,Lookups!$AD$2:$AD$63,0),0),0))</f>
        <v/>
      </c>
      <c r="AZ139" s="150" t="str">
        <f>IF(ISBLANK(K139),"",IF(K139="Gas",INDEX(Lookups!$AI$2:$AI$63,MATCH(O139,Lookups!$AD$2:$AD$63,0),0),0))</f>
        <v/>
      </c>
      <c r="BA139" s="150" t="str">
        <f t="shared" si="73"/>
        <v/>
      </c>
      <c r="BB139" s="156" t="str">
        <f>IF(ISBLANK(AH139),"",IF(AH139="None",0,IF(K139="Gas",INDEX(Lookups!$AF$51:$AF$69,MATCH(AH139,Lookups!$AD$51:$AD$69,0),0),0)))</f>
        <v/>
      </c>
      <c r="BC139" s="156" t="str">
        <f>IF(ISBLANK(AH139),"",IF(AH139="None",0,IF(K139="Gas",INDEX(Lookups!$AH$51:$AH$69,MATCH(AH139,Lookups!$AD$51:$AD$69,0),0),0)))</f>
        <v/>
      </c>
      <c r="BD139" s="156" t="str">
        <f>IF(ISBLANK(AH139),"",IF(AH139="None",0,IF(K139="Gas",INDEX(Lookups!$AI$51:$AI$69,MATCH(AH139,Lookups!$AD$51:$AD$69,0),0),0)))</f>
        <v/>
      </c>
      <c r="BE139" s="157"/>
      <c r="BF139" s="157"/>
      <c r="BG139" s="147" t="str">
        <f t="shared" si="89"/>
        <v/>
      </c>
      <c r="BH139" s="147" t="str">
        <f t="shared" si="90"/>
        <v/>
      </c>
      <c r="BI139" s="147" t="str">
        <f t="shared" si="74"/>
        <v/>
      </c>
      <c r="BJ139" s="147" t="str">
        <f t="shared" si="75"/>
        <v/>
      </c>
      <c r="BK139" s="148" t="str">
        <f t="shared" si="91"/>
        <v/>
      </c>
      <c r="BL139" s="147" t="str">
        <f t="shared" si="76"/>
        <v/>
      </c>
      <c r="BM139" s="148" t="str">
        <f t="shared" si="92"/>
        <v/>
      </c>
      <c r="BN139" s="147" t="str">
        <f t="shared" si="93"/>
        <v/>
      </c>
      <c r="BO139" s="147" t="str">
        <f t="shared" si="93"/>
        <v/>
      </c>
      <c r="BP139" s="147" t="str">
        <f t="shared" si="94"/>
        <v/>
      </c>
      <c r="BQ139" s="148" t="str">
        <f t="shared" si="95"/>
        <v/>
      </c>
      <c r="BR139" s="148" t="str">
        <f t="shared" si="96"/>
        <v/>
      </c>
      <c r="BS139" s="148" t="str">
        <f t="shared" si="97"/>
        <v/>
      </c>
      <c r="BT139" s="148" t="str">
        <f t="shared" si="77"/>
        <v/>
      </c>
      <c r="BU139" s="148" t="str">
        <f t="shared" si="78"/>
        <v/>
      </c>
      <c r="BV139" s="148" t="str">
        <f t="shared" si="79"/>
        <v/>
      </c>
      <c r="BW139" s="148" t="str">
        <f t="shared" si="80"/>
        <v/>
      </c>
      <c r="BX139" s="148" t="str">
        <f t="shared" si="81"/>
        <v/>
      </c>
      <c r="BY139" s="148" t="str">
        <f t="shared" si="82"/>
        <v/>
      </c>
      <c r="BZ139" s="149" t="str">
        <f>IFERROR(INDEX('Prescriptive Rebate Table'!$B$2:$E$64,MATCH(O139,'Prescriptive Rebate Table'!$C$2:$C$64,0),3),"")</f>
        <v/>
      </c>
      <c r="CA139" s="145" t="str">
        <f>IFERROR(INDEX('Prescriptive Rebate Table'!$B$2:$E$64,MATCH(O139,'Prescriptive Rebate Table'!$C$2:$C$64,0),4),"")</f>
        <v/>
      </c>
      <c r="CB139" s="149" t="str">
        <f t="shared" si="98"/>
        <v/>
      </c>
      <c r="CC139" s="145" t="str">
        <f t="shared" si="99"/>
        <v/>
      </c>
      <c r="CD139" s="149" t="str">
        <f t="shared" si="83"/>
        <v/>
      </c>
      <c r="CE139" s="149" t="str">
        <f t="shared" si="84"/>
        <v/>
      </c>
      <c r="CF139" s="149" t="str">
        <f>IF(BK139&lt;=0,0,IFERROR(IF(OR(ISBLANK(AC139),ISBLANK(CD139))=TRUE,"",IF(CA139="Per Foot",INDEX('Fixture Codes'!$I$8:$I$976,MATCH(AD139,'Fixture Codes'!$B$8:$B$976,0))/12*AF139*BZ139,IF(CA139="Lamp",INDEX('Fixture Codes'!$J$8:$J$976,MATCH(AD139,'Fixture Codes'!$B$8:$B$976,0))*AF139*BZ139,IF(CA139="Fixture",AF139*BZ139,IF(CA139="kWh",BK139*BZ139,0))))),""))</f>
        <v/>
      </c>
      <c r="CG139" s="149" t="str">
        <f t="shared" si="100"/>
        <v/>
      </c>
      <c r="CH139" s="149" t="str">
        <f t="shared" si="101"/>
        <v/>
      </c>
      <c r="CI139" s="152"/>
      <c r="CJ139" s="146"/>
      <c r="CK139" s="241">
        <f>IFERROR(IF(CL139="Yes",'Prescriptive Rebate Table'!$D$69,IF(ISBLANK(AI139),0,IF(AND(AH139=Lookups!$A$62,BK139&gt;0),'Prescriptive Rebate Table'!$D$68,IF(AND(BK139&gt;0,CJ139=AF139),'Prescriptive Rebate Table'!$D$67,IF(AND(BK139&gt;0,CJ139&lt;&gt;AF139),'Prescriptive Rebate Table'!D198,0))))),"")</f>
        <v>0</v>
      </c>
      <c r="CL139" s="240" t="s">
        <v>2712</v>
      </c>
      <c r="CM139" s="152"/>
      <c r="CN139" s="152"/>
      <c r="CO139" s="152"/>
      <c r="CP139" s="146">
        <f t="shared" si="85"/>
        <v>0</v>
      </c>
      <c r="CQ139" s="153">
        <f>IF(D139="Interior",ROUND(($AG139*AF139)/1000*$AM139*(Lookups!$B$54-$AA139)*$AN139*$AO139,3),0)</f>
        <v>0</v>
      </c>
      <c r="CR139" s="153">
        <f>IFERROR(IF(D139="Interior",ROUND(($AG139*$AF139)/1000*(Lookups!$C$54-$AB139)*$AN139*AQ139*AT139,6),0),"")</f>
        <v>0</v>
      </c>
      <c r="CS139" s="165">
        <f t="shared" si="102"/>
        <v>0</v>
      </c>
      <c r="CT139" s="165">
        <f t="shared" si="103"/>
        <v>0</v>
      </c>
      <c r="CV139" s="153"/>
      <c r="CW139" s="153"/>
      <c r="CX139" s="165"/>
      <c r="CY139" s="165"/>
      <c r="DA139" s="153">
        <f>IF(D139="Interior",ROUND(($AG139*AF139*(1-0.15))/1000*$AM139*(Lookups!$B$43+0.097-$AA139)*$AN139*$AO139+((W139*V139)/1000*AN139*AM139*AO139*0.15),3),0)</f>
        <v>0</v>
      </c>
      <c r="DB139" s="153">
        <f>IFERROR(IF(D139="Interior",ROUND(($AG139*$AF139)/1000*(Lookups!$C$43+0.097-$AB139)*$AN139*AQ139*AT139+(($AG139*$AF139)/1000*$AN139*AQ139*AT139*0.15),6),0),"")</f>
        <v>0</v>
      </c>
      <c r="DC139" s="165">
        <f t="shared" si="86"/>
        <v>0</v>
      </c>
      <c r="DD139" s="165">
        <f t="shared" si="87"/>
        <v>0</v>
      </c>
    </row>
    <row r="140" spans="1:108" s="164" customFormat="1">
      <c r="A140" s="150">
        <v>136</v>
      </c>
      <c r="B140" s="153" t="str">
        <f>IFERROR(INDEX(Lookups!$B$2:$B$38,MATCH('Project Info &amp; Summary'!$C$19,Lookups!$A$2:$A$38,0)),"")</f>
        <v/>
      </c>
      <c r="C140" s="153" t="str">
        <f>IFERROR(INDEX(Lookups!$C$2:$C$38,MATCH('Project Info &amp; Summary'!$C$19,Lookups!$A$2:$A$38,0)),"")</f>
        <v/>
      </c>
      <c r="D140" s="163"/>
      <c r="E140" s="160"/>
      <c r="F140" s="158"/>
      <c r="G140" s="158"/>
      <c r="H140" s="158"/>
      <c r="I140" s="158"/>
      <c r="J140" s="154" t="str">
        <f>IFERROR(INDEX(Lookups!$W$21:$W$26,MATCH(I140,Lookups!$V$21:$V$26,0)),"")</f>
        <v/>
      </c>
      <c r="K140" s="158"/>
      <c r="L140" s="162" t="str">
        <f>IFERROR(INDEX(Lookups!$Y$2:$Y$19,MATCH(_xlfn.CONCAT(I140,K140),Lookups!$X$2:$X$19,0)),"")</f>
        <v/>
      </c>
      <c r="M140" s="158"/>
      <c r="N140" s="153" t="str">
        <f>IFERROR(INDEX('Prescriptive Rebate Table'!$M$3:$M$20,MATCH(M140,'Prescriptive Rebate Table'!$L$3:$L$20,0)),"")</f>
        <v/>
      </c>
      <c r="O140" s="158"/>
      <c r="P140" s="154" t="str">
        <f>IFERROR(INDEX('Prescriptive Rebate Table'!$B$2:$H$64, MATCH(O140,'Prescriptive Rebate Table'!$C$2:$C$64,0),7),"")</f>
        <v/>
      </c>
      <c r="Q140" s="155" t="str">
        <f>IFERROR(INDEX('Prescriptive Rebate Table'!$B$2:$I$64, MATCH(O140,'Prescriptive Rebate Table'!$C$2:$C$64,0),8),"")</f>
        <v/>
      </c>
      <c r="R140" s="155" t="str">
        <f>IFERROR(INDEX('Prescriptive Rebate Table'!$B$2:$J$64, MATCH(O140,'Prescriptive Rebate Table'!$C$2:$C$64,0),9),"")</f>
        <v/>
      </c>
      <c r="S140" s="160"/>
      <c r="T140" s="145" t="str">
        <f>IFERROR(INDEX('Fixture Codes'!$M$8:$M$976,MATCH(S140,'Fixture Codes'!$B$8:$B$976,0)),"")</f>
        <v/>
      </c>
      <c r="U140" s="145" t="str">
        <f>IFERROR(INDEX('Fixture Codes'!$B$7:$M$976,MATCH(T140,'Fixture Codes'!$B$7:$B$976,0),5),"")</f>
        <v/>
      </c>
      <c r="V140" s="160"/>
      <c r="W140" s="145" t="str">
        <f>IFERROR(INDEX('Fixture Codes'!$L$8:$L$976,MATCH(T140,'Fixture Codes'!$B$8:$B$976,0)),"")</f>
        <v/>
      </c>
      <c r="X140" s="158"/>
      <c r="Y140" s="159"/>
      <c r="Z140" s="155" t="str">
        <f>IFERROR(INDEX(Lookups!B$68:B$87,MATCH($X140,Lookups!$A$68:$A$87,0)),"")</f>
        <v/>
      </c>
      <c r="AA140" s="150" t="str">
        <f>IFERROR(INDEX(Lookups!B$42:B$62,MATCH($X140,Lookups!$A$42:$A$62,0)),"")</f>
        <v/>
      </c>
      <c r="AB140" s="150" t="str">
        <f>IFERROR(INDEX(Lookups!C$42:C$62,MATCH($X140,Lookups!$A$42:$A$62,0)),"")</f>
        <v/>
      </c>
      <c r="AC140" s="160"/>
      <c r="AD140" s="160"/>
      <c r="AE140" s="150" t="str">
        <f>IFERROR(INDEX('Fixture Codes'!$B$7:$M$976,MATCH(AD140,'Fixture Codes'!$B$7:$B$976,0),5),"")</f>
        <v/>
      </c>
      <c r="AF140" s="160"/>
      <c r="AG140" s="145" t="str">
        <f>IFERROR(INDEX('Fixture Codes'!$L$8:$L$976,MATCH(AD140,'Fixture Codes'!$B$8:$B$976,0)),"")</f>
        <v/>
      </c>
      <c r="AH140" s="158"/>
      <c r="AI140" s="160"/>
      <c r="AJ140" s="150" t="str">
        <f>IFERROR(INDEX(Lookups!B$68:B$87,MATCH($AH140,Lookups!$A$68:$A$87,0)),"")</f>
        <v/>
      </c>
      <c r="AK140" s="150" t="str">
        <f>IFERROR(INDEX(Lookups!B$42:B$62,MATCH($AH140,Lookups!$A$42:$A$62,0)),"")</f>
        <v/>
      </c>
      <c r="AL140" s="150" t="str">
        <f>IFERROR(INDEX(Lookups!C$42:C$62,MATCH($AH140,Lookups!$A$42:$A$62,0)),"")</f>
        <v/>
      </c>
      <c r="AM140" s="150" t="str">
        <f>IFERROR(IF(M140="Exit Signs",8760,IF(INDEX('Fixture Codes'!$C$8:$C$976,MATCH(AD140,'Fixture Codes'!$B$8:$B$976,0))="Exit Sign",8760,INDEX(Lookups!$I$2:$I$428,MATCH(_xlfn.CONCAT(B140,H140),Lookups!$H$2:$H$428,0)))),"")</f>
        <v/>
      </c>
      <c r="AN140" s="153">
        <v>1</v>
      </c>
      <c r="AO140" s="150" t="str">
        <f>IF($D140="Interior",INDEX(Lookups!Q$2:Q$86,MATCH(_xlfn.CONCAT($C140,$L140),Lookups!$P$2:$P$86,0)),IF($D140="Exterior",1,""))</f>
        <v/>
      </c>
      <c r="AP140" s="150">
        <f t="shared" si="88"/>
        <v>1</v>
      </c>
      <c r="AQ140" s="150" t="str">
        <f>IF($D140="Interior",INDEX(Lookups!R$2:R$86,MATCH(_xlfn.CONCAT($C140,$L140),Lookups!$P$2:$P$86,0)),IF($D140="Exterior",1,""))</f>
        <v/>
      </c>
      <c r="AR140" s="150" t="str">
        <f>IF($D140="Interior",INDEX(Lookups!S$2:S$86,MATCH(_xlfn.CONCAT($C140,$L140),Lookups!$P$2:$P$86,0)),IF($D140="Exterior",1,""))</f>
        <v/>
      </c>
      <c r="AS140" s="150" t="str">
        <f>IF($D140="Interior",INDEX(Lookups!T$2:T$86,MATCH(_xlfn.CONCAT($C140,$L140),Lookups!$P$2:$P$86,0)),IF($D140="Exterior",1,""))</f>
        <v/>
      </c>
      <c r="AT140" s="150" t="str">
        <f>IFERROR(IF(M140="Exit Signs",1,IF(INDEX('Fixture Codes'!$C$8:$C$976,MATCH($AD140,'Fixture Codes'!$B$8:$B$976,0))="Exit Sign",1,INDEX(Lookups!J$2:J$428,MATCH(_xlfn.CONCAT($B140,$H140),Lookups!$H$2:$H$428,0)))),"")</f>
        <v/>
      </c>
      <c r="AU140" s="150" t="str">
        <f>IFERROR(IF(M140="Exit Signs",1,IF(INDEX('Fixture Codes'!$C$8:$C$976,MATCH($AD140,'Fixture Codes'!$B$8:$B$976,0))="Exit Sign",1,INDEX(Lookups!K$2:K$428,MATCH(_xlfn.CONCAT($B140,$H140),Lookups!$H$2:$H$428,0)))),"")</f>
        <v/>
      </c>
      <c r="AV140" s="150" t="str">
        <f>IFERROR(IF(M140="Exit Signs",1,IF(INDEX('Fixture Codes'!$C$8:$C$976,MATCH($AD140,'Fixture Codes'!$B$8:$B$976,0))="Exit Sign",1,INDEX(Lookups!L$2:L$428,MATCH(_xlfn.CONCAT($B140,$H140),Lookups!$H$2:$H$428,0)))),"")</f>
        <v/>
      </c>
      <c r="AW140" s="150" t="str">
        <f>IF(ISBLANK(K140),"",IF(K140="Gas",INDEX(Lookups!$AG$2:$AG$63,MATCH(O140,Lookups!$AD$2:$AD$63,0),0),0))</f>
        <v/>
      </c>
      <c r="AX140" s="150" t="str">
        <f>IF(ISBLANK(K140),"",IF(K140="Gas",INDEX(Lookups!$AF$2:$AF$63,MATCH(O140,Lookups!$AD$2:$AD$63,0),0),0))</f>
        <v/>
      </c>
      <c r="AY140" s="150" t="str">
        <f>IF(ISBLANK(K140),"",IF(K140="Gas",INDEX(Lookups!$AH$2:$AH$63,MATCH(O140,Lookups!$AD$2:$AD$63,0),0),0))</f>
        <v/>
      </c>
      <c r="AZ140" s="150" t="str">
        <f>IF(ISBLANK(K140),"",IF(K140="Gas",INDEX(Lookups!$AI$2:$AI$63,MATCH(O140,Lookups!$AD$2:$AD$63,0),0),0))</f>
        <v/>
      </c>
      <c r="BA140" s="150" t="str">
        <f t="shared" si="73"/>
        <v/>
      </c>
      <c r="BB140" s="156" t="str">
        <f>IF(ISBLANK(AH140),"",IF(AH140="None",0,IF(K140="Gas",INDEX(Lookups!$AF$51:$AF$69,MATCH(AH140,Lookups!$AD$51:$AD$69,0),0),0)))</f>
        <v/>
      </c>
      <c r="BC140" s="156" t="str">
        <f>IF(ISBLANK(AH140),"",IF(AH140="None",0,IF(K140="Gas",INDEX(Lookups!$AH$51:$AH$69,MATCH(AH140,Lookups!$AD$51:$AD$69,0),0),0)))</f>
        <v/>
      </c>
      <c r="BD140" s="156" t="str">
        <f>IF(ISBLANK(AH140),"",IF(AH140="None",0,IF(K140="Gas",INDEX(Lookups!$AI$51:$AI$69,MATCH(AH140,Lookups!$AD$51:$AD$69,0),0),0)))</f>
        <v/>
      </c>
      <c r="BE140" s="157"/>
      <c r="BF140" s="157"/>
      <c r="BG140" s="147" t="str">
        <f t="shared" si="89"/>
        <v/>
      </c>
      <c r="BH140" s="147" t="str">
        <f t="shared" si="90"/>
        <v/>
      </c>
      <c r="BI140" s="147" t="str">
        <f t="shared" si="74"/>
        <v/>
      </c>
      <c r="BJ140" s="147" t="str">
        <f t="shared" si="75"/>
        <v/>
      </c>
      <c r="BK140" s="148" t="str">
        <f t="shared" si="91"/>
        <v/>
      </c>
      <c r="BL140" s="147" t="str">
        <f t="shared" si="76"/>
        <v/>
      </c>
      <c r="BM140" s="148" t="str">
        <f t="shared" si="92"/>
        <v/>
      </c>
      <c r="BN140" s="147" t="str">
        <f t="shared" si="93"/>
        <v/>
      </c>
      <c r="BO140" s="147" t="str">
        <f t="shared" si="93"/>
        <v/>
      </c>
      <c r="BP140" s="147" t="str">
        <f t="shared" si="94"/>
        <v/>
      </c>
      <c r="BQ140" s="148" t="str">
        <f t="shared" si="95"/>
        <v/>
      </c>
      <c r="BR140" s="148" t="str">
        <f t="shared" si="96"/>
        <v/>
      </c>
      <c r="BS140" s="148" t="str">
        <f t="shared" si="97"/>
        <v/>
      </c>
      <c r="BT140" s="148" t="str">
        <f t="shared" si="77"/>
        <v/>
      </c>
      <c r="BU140" s="148" t="str">
        <f t="shared" si="78"/>
        <v/>
      </c>
      <c r="BV140" s="148" t="str">
        <f t="shared" si="79"/>
        <v/>
      </c>
      <c r="BW140" s="148" t="str">
        <f t="shared" si="80"/>
        <v/>
      </c>
      <c r="BX140" s="148" t="str">
        <f t="shared" si="81"/>
        <v/>
      </c>
      <c r="BY140" s="148" t="str">
        <f t="shared" si="82"/>
        <v/>
      </c>
      <c r="BZ140" s="149" t="str">
        <f>IFERROR(INDEX('Prescriptive Rebate Table'!$B$2:$E$64,MATCH(O140,'Prescriptive Rebate Table'!$C$2:$C$64,0),3),"")</f>
        <v/>
      </c>
      <c r="CA140" s="145" t="str">
        <f>IFERROR(INDEX('Prescriptive Rebate Table'!$B$2:$E$64,MATCH(O140,'Prescriptive Rebate Table'!$C$2:$C$64,0),4),"")</f>
        <v/>
      </c>
      <c r="CB140" s="149" t="str">
        <f t="shared" si="98"/>
        <v/>
      </c>
      <c r="CC140" s="145" t="str">
        <f t="shared" si="99"/>
        <v/>
      </c>
      <c r="CD140" s="149" t="str">
        <f t="shared" si="83"/>
        <v/>
      </c>
      <c r="CE140" s="149" t="str">
        <f t="shared" si="84"/>
        <v/>
      </c>
      <c r="CF140" s="149" t="str">
        <f>IF(BK140&lt;=0,0,IFERROR(IF(OR(ISBLANK(AC140),ISBLANK(CD140))=TRUE,"",IF(CA140="Per Foot",INDEX('Fixture Codes'!$I$8:$I$976,MATCH(AD140,'Fixture Codes'!$B$8:$B$976,0))/12*AF140*BZ140,IF(CA140="Lamp",INDEX('Fixture Codes'!$J$8:$J$976,MATCH(AD140,'Fixture Codes'!$B$8:$B$976,0))*AF140*BZ140,IF(CA140="Fixture",AF140*BZ140,IF(CA140="kWh",BK140*BZ140,0))))),""))</f>
        <v/>
      </c>
      <c r="CG140" s="149" t="str">
        <f t="shared" si="100"/>
        <v/>
      </c>
      <c r="CH140" s="149" t="str">
        <f t="shared" si="101"/>
        <v/>
      </c>
      <c r="CI140" s="152"/>
      <c r="CJ140" s="146"/>
      <c r="CK140" s="241">
        <f>IFERROR(IF(CL140="Yes",'Prescriptive Rebate Table'!$D$69,IF(ISBLANK(AI140),0,IF(AND(AH140=Lookups!$A$62,BK140&gt;0),'Prescriptive Rebate Table'!$D$68,IF(AND(BK140&gt;0,CJ140=AF140),'Prescriptive Rebate Table'!$D$67,IF(AND(BK140&gt;0,CJ140&lt;&gt;AF140),'Prescriptive Rebate Table'!D199,0))))),"")</f>
        <v>0</v>
      </c>
      <c r="CL140" s="240" t="s">
        <v>2712</v>
      </c>
      <c r="CM140" s="152"/>
      <c r="CN140" s="152"/>
      <c r="CO140" s="152"/>
      <c r="CP140" s="146">
        <f t="shared" si="85"/>
        <v>0</v>
      </c>
      <c r="CQ140" s="153">
        <f>IF(D140="Interior",ROUND(($AG140*AF140)/1000*$AM140*(Lookups!$B$54-$AA140)*$AN140*$AO140,3),0)</f>
        <v>0</v>
      </c>
      <c r="CR140" s="153">
        <f>IFERROR(IF(D140="Interior",ROUND(($AG140*$AF140)/1000*(Lookups!$C$54-$AB140)*$AN140*AQ140*AT140,6),0),"")</f>
        <v>0</v>
      </c>
      <c r="CS140" s="165">
        <f t="shared" si="102"/>
        <v>0</v>
      </c>
      <c r="CT140" s="165">
        <f t="shared" si="103"/>
        <v>0</v>
      </c>
      <c r="CV140" s="153"/>
      <c r="CW140" s="153"/>
      <c r="CX140" s="165"/>
      <c r="CY140" s="165"/>
      <c r="DA140" s="153">
        <f>IF(D140="Interior",ROUND(($AG140*AF140*(1-0.15))/1000*$AM140*(Lookups!$B$43+0.097-$AA140)*$AN140*$AO140+((W140*V140)/1000*AN140*AM140*AO140*0.15),3),0)</f>
        <v>0</v>
      </c>
      <c r="DB140" s="153">
        <f>IFERROR(IF(D140="Interior",ROUND(($AG140*$AF140)/1000*(Lookups!$C$43+0.097-$AB140)*$AN140*AQ140*AT140+(($AG140*$AF140)/1000*$AN140*AQ140*AT140*0.15),6),0),"")</f>
        <v>0</v>
      </c>
      <c r="DC140" s="165">
        <f t="shared" si="86"/>
        <v>0</v>
      </c>
      <c r="DD140" s="165">
        <f t="shared" si="87"/>
        <v>0</v>
      </c>
    </row>
    <row r="141" spans="1:108" s="164" customFormat="1">
      <c r="A141" s="150">
        <v>137</v>
      </c>
      <c r="B141" s="153" t="str">
        <f>IFERROR(INDEX(Lookups!$B$2:$B$38,MATCH('Project Info &amp; Summary'!$C$19,Lookups!$A$2:$A$38,0)),"")</f>
        <v/>
      </c>
      <c r="C141" s="153" t="str">
        <f>IFERROR(INDEX(Lookups!$C$2:$C$38,MATCH('Project Info &amp; Summary'!$C$19,Lookups!$A$2:$A$38,0)),"")</f>
        <v/>
      </c>
      <c r="D141" s="163"/>
      <c r="E141" s="160"/>
      <c r="F141" s="158"/>
      <c r="G141" s="158"/>
      <c r="H141" s="158"/>
      <c r="I141" s="158"/>
      <c r="J141" s="154" t="str">
        <f>IFERROR(INDEX(Lookups!$W$21:$W$26,MATCH(I141,Lookups!$V$21:$V$26,0)),"")</f>
        <v/>
      </c>
      <c r="K141" s="158"/>
      <c r="L141" s="162" t="str">
        <f>IFERROR(INDEX(Lookups!$Y$2:$Y$19,MATCH(_xlfn.CONCAT(I141,K141),Lookups!$X$2:$X$19,0)),"")</f>
        <v/>
      </c>
      <c r="M141" s="158"/>
      <c r="N141" s="153" t="str">
        <f>IFERROR(INDEX('Prescriptive Rebate Table'!$M$3:$M$20,MATCH(M141,'Prescriptive Rebate Table'!$L$3:$L$20,0)),"")</f>
        <v/>
      </c>
      <c r="O141" s="158"/>
      <c r="P141" s="154" t="str">
        <f>IFERROR(INDEX('Prescriptive Rebate Table'!$B$2:$H$64, MATCH(O141,'Prescriptive Rebate Table'!$C$2:$C$64,0),7),"")</f>
        <v/>
      </c>
      <c r="Q141" s="155" t="str">
        <f>IFERROR(INDEX('Prescriptive Rebate Table'!$B$2:$I$64, MATCH(O141,'Prescriptive Rebate Table'!$C$2:$C$64,0),8),"")</f>
        <v/>
      </c>
      <c r="R141" s="155" t="str">
        <f>IFERROR(INDEX('Prescriptive Rebate Table'!$B$2:$J$64, MATCH(O141,'Prescriptive Rebate Table'!$C$2:$C$64,0),9),"")</f>
        <v/>
      </c>
      <c r="S141" s="160"/>
      <c r="T141" s="145" t="str">
        <f>IFERROR(INDEX('Fixture Codes'!$M$8:$M$976,MATCH(S141,'Fixture Codes'!$B$8:$B$976,0)),"")</f>
        <v/>
      </c>
      <c r="U141" s="145" t="str">
        <f>IFERROR(INDEX('Fixture Codes'!$B$7:$M$976,MATCH(T141,'Fixture Codes'!$B$7:$B$976,0),5),"")</f>
        <v/>
      </c>
      <c r="V141" s="160"/>
      <c r="W141" s="145" t="str">
        <f>IFERROR(INDEX('Fixture Codes'!$L$8:$L$976,MATCH(T141,'Fixture Codes'!$B$8:$B$976,0)),"")</f>
        <v/>
      </c>
      <c r="X141" s="158"/>
      <c r="Y141" s="159"/>
      <c r="Z141" s="155" t="str">
        <f>IFERROR(INDEX(Lookups!B$68:B$87,MATCH($X141,Lookups!$A$68:$A$87,0)),"")</f>
        <v/>
      </c>
      <c r="AA141" s="150" t="str">
        <f>IFERROR(INDEX(Lookups!B$42:B$62,MATCH($X141,Lookups!$A$42:$A$62,0)),"")</f>
        <v/>
      </c>
      <c r="AB141" s="150" t="str">
        <f>IFERROR(INDEX(Lookups!C$42:C$62,MATCH($X141,Lookups!$A$42:$A$62,0)),"")</f>
        <v/>
      </c>
      <c r="AC141" s="160"/>
      <c r="AD141" s="160"/>
      <c r="AE141" s="150" t="str">
        <f>IFERROR(INDEX('Fixture Codes'!$B$7:$M$976,MATCH(AD141,'Fixture Codes'!$B$7:$B$976,0),5),"")</f>
        <v/>
      </c>
      <c r="AF141" s="160"/>
      <c r="AG141" s="145" t="str">
        <f>IFERROR(INDEX('Fixture Codes'!$L$8:$L$976,MATCH(AD141,'Fixture Codes'!$B$8:$B$976,0)),"")</f>
        <v/>
      </c>
      <c r="AH141" s="158"/>
      <c r="AI141" s="160"/>
      <c r="AJ141" s="150" t="str">
        <f>IFERROR(INDEX(Lookups!B$68:B$87,MATCH($AH141,Lookups!$A$68:$A$87,0)),"")</f>
        <v/>
      </c>
      <c r="AK141" s="150" t="str">
        <f>IFERROR(INDEX(Lookups!B$42:B$62,MATCH($AH141,Lookups!$A$42:$A$62,0)),"")</f>
        <v/>
      </c>
      <c r="AL141" s="150" t="str">
        <f>IFERROR(INDEX(Lookups!C$42:C$62,MATCH($AH141,Lookups!$A$42:$A$62,0)),"")</f>
        <v/>
      </c>
      <c r="AM141" s="150" t="str">
        <f>IFERROR(IF(M141="Exit Signs",8760,IF(INDEX('Fixture Codes'!$C$8:$C$976,MATCH(AD141,'Fixture Codes'!$B$8:$B$976,0))="Exit Sign",8760,INDEX(Lookups!$I$2:$I$428,MATCH(_xlfn.CONCAT(B141,H141),Lookups!$H$2:$H$428,0)))),"")</f>
        <v/>
      </c>
      <c r="AN141" s="153">
        <v>1</v>
      </c>
      <c r="AO141" s="150" t="str">
        <f>IF($D141="Interior",INDEX(Lookups!Q$2:Q$86,MATCH(_xlfn.CONCAT($C141,$L141),Lookups!$P$2:$P$86,0)),IF($D141="Exterior",1,""))</f>
        <v/>
      </c>
      <c r="AP141" s="150">
        <f t="shared" si="88"/>
        <v>1</v>
      </c>
      <c r="AQ141" s="150" t="str">
        <f>IF($D141="Interior",INDEX(Lookups!R$2:R$86,MATCH(_xlfn.CONCAT($C141,$L141),Lookups!$P$2:$P$86,0)),IF($D141="Exterior",1,""))</f>
        <v/>
      </c>
      <c r="AR141" s="150" t="str">
        <f>IF($D141="Interior",INDEX(Lookups!S$2:S$86,MATCH(_xlfn.CONCAT($C141,$L141),Lookups!$P$2:$P$86,0)),IF($D141="Exterior",1,""))</f>
        <v/>
      </c>
      <c r="AS141" s="150" t="str">
        <f>IF($D141="Interior",INDEX(Lookups!T$2:T$86,MATCH(_xlfn.CONCAT($C141,$L141),Lookups!$P$2:$P$86,0)),IF($D141="Exterior",1,""))</f>
        <v/>
      </c>
      <c r="AT141" s="150" t="str">
        <f>IFERROR(IF(M141="Exit Signs",1,IF(INDEX('Fixture Codes'!$C$8:$C$976,MATCH($AD141,'Fixture Codes'!$B$8:$B$976,0))="Exit Sign",1,INDEX(Lookups!J$2:J$428,MATCH(_xlfn.CONCAT($B141,$H141),Lookups!$H$2:$H$428,0)))),"")</f>
        <v/>
      </c>
      <c r="AU141" s="150" t="str">
        <f>IFERROR(IF(M141="Exit Signs",1,IF(INDEX('Fixture Codes'!$C$8:$C$976,MATCH($AD141,'Fixture Codes'!$B$8:$B$976,0))="Exit Sign",1,INDEX(Lookups!K$2:K$428,MATCH(_xlfn.CONCAT($B141,$H141),Lookups!$H$2:$H$428,0)))),"")</f>
        <v/>
      </c>
      <c r="AV141" s="150" t="str">
        <f>IFERROR(IF(M141="Exit Signs",1,IF(INDEX('Fixture Codes'!$C$8:$C$976,MATCH($AD141,'Fixture Codes'!$B$8:$B$976,0))="Exit Sign",1,INDEX(Lookups!L$2:L$428,MATCH(_xlfn.CONCAT($B141,$H141),Lookups!$H$2:$H$428,0)))),"")</f>
        <v/>
      </c>
      <c r="AW141" s="150" t="str">
        <f>IF(ISBLANK(K141),"",IF(K141="Gas",INDEX(Lookups!$AG$2:$AG$63,MATCH(O141,Lookups!$AD$2:$AD$63,0),0),0))</f>
        <v/>
      </c>
      <c r="AX141" s="150" t="str">
        <f>IF(ISBLANK(K141),"",IF(K141="Gas",INDEX(Lookups!$AF$2:$AF$63,MATCH(O141,Lookups!$AD$2:$AD$63,0),0),0))</f>
        <v/>
      </c>
      <c r="AY141" s="150" t="str">
        <f>IF(ISBLANK(K141),"",IF(K141="Gas",INDEX(Lookups!$AH$2:$AH$63,MATCH(O141,Lookups!$AD$2:$AD$63,0),0),0))</f>
        <v/>
      </c>
      <c r="AZ141" s="150" t="str">
        <f>IF(ISBLANK(K141),"",IF(K141="Gas",INDEX(Lookups!$AI$2:$AI$63,MATCH(O141,Lookups!$AD$2:$AD$63,0),0),0))</f>
        <v/>
      </c>
      <c r="BA141" s="150" t="str">
        <f t="shared" si="73"/>
        <v/>
      </c>
      <c r="BB141" s="156" t="str">
        <f>IF(ISBLANK(AH141),"",IF(AH141="None",0,IF(K141="Gas",INDEX(Lookups!$AF$51:$AF$69,MATCH(AH141,Lookups!$AD$51:$AD$69,0),0),0)))</f>
        <v/>
      </c>
      <c r="BC141" s="156" t="str">
        <f>IF(ISBLANK(AH141),"",IF(AH141="None",0,IF(K141="Gas",INDEX(Lookups!$AH$51:$AH$69,MATCH(AH141,Lookups!$AD$51:$AD$69,0),0),0)))</f>
        <v/>
      </c>
      <c r="BD141" s="156" t="str">
        <f>IF(ISBLANK(AH141),"",IF(AH141="None",0,IF(K141="Gas",INDEX(Lookups!$AI$51:$AI$69,MATCH(AH141,Lookups!$AD$51:$AD$69,0),0),0)))</f>
        <v/>
      </c>
      <c r="BE141" s="157"/>
      <c r="BF141" s="157"/>
      <c r="BG141" s="147" t="str">
        <f t="shared" si="89"/>
        <v/>
      </c>
      <c r="BH141" s="147" t="str">
        <f t="shared" si="90"/>
        <v/>
      </c>
      <c r="BI141" s="147" t="str">
        <f t="shared" si="74"/>
        <v/>
      </c>
      <c r="BJ141" s="147" t="str">
        <f t="shared" si="75"/>
        <v/>
      </c>
      <c r="BK141" s="148" t="str">
        <f t="shared" si="91"/>
        <v/>
      </c>
      <c r="BL141" s="147" t="str">
        <f t="shared" si="76"/>
        <v/>
      </c>
      <c r="BM141" s="148" t="str">
        <f t="shared" si="92"/>
        <v/>
      </c>
      <c r="BN141" s="147" t="str">
        <f t="shared" si="93"/>
        <v/>
      </c>
      <c r="BO141" s="147" t="str">
        <f t="shared" si="93"/>
        <v/>
      </c>
      <c r="BP141" s="147" t="str">
        <f t="shared" si="94"/>
        <v/>
      </c>
      <c r="BQ141" s="148" t="str">
        <f t="shared" si="95"/>
        <v/>
      </c>
      <c r="BR141" s="148" t="str">
        <f t="shared" si="96"/>
        <v/>
      </c>
      <c r="BS141" s="148" t="str">
        <f t="shared" si="97"/>
        <v/>
      </c>
      <c r="BT141" s="148" t="str">
        <f t="shared" si="77"/>
        <v/>
      </c>
      <c r="BU141" s="148" t="str">
        <f t="shared" si="78"/>
        <v/>
      </c>
      <c r="BV141" s="148" t="str">
        <f t="shared" si="79"/>
        <v/>
      </c>
      <c r="BW141" s="148" t="str">
        <f t="shared" si="80"/>
        <v/>
      </c>
      <c r="BX141" s="148" t="str">
        <f t="shared" si="81"/>
        <v/>
      </c>
      <c r="BY141" s="148" t="str">
        <f t="shared" si="82"/>
        <v/>
      </c>
      <c r="BZ141" s="149" t="str">
        <f>IFERROR(INDEX('Prescriptive Rebate Table'!$B$2:$E$64,MATCH(O141,'Prescriptive Rebate Table'!$C$2:$C$64,0),3),"")</f>
        <v/>
      </c>
      <c r="CA141" s="145" t="str">
        <f>IFERROR(INDEX('Prescriptive Rebate Table'!$B$2:$E$64,MATCH(O141,'Prescriptive Rebate Table'!$C$2:$C$64,0),4),"")</f>
        <v/>
      </c>
      <c r="CB141" s="149" t="str">
        <f t="shared" si="98"/>
        <v/>
      </c>
      <c r="CC141" s="145" t="str">
        <f t="shared" si="99"/>
        <v/>
      </c>
      <c r="CD141" s="149" t="str">
        <f t="shared" si="83"/>
        <v/>
      </c>
      <c r="CE141" s="149" t="str">
        <f t="shared" si="84"/>
        <v/>
      </c>
      <c r="CF141" s="149" t="str">
        <f>IF(BK141&lt;=0,0,IFERROR(IF(OR(ISBLANK(AC141),ISBLANK(CD141))=TRUE,"",IF(CA141="Per Foot",INDEX('Fixture Codes'!$I$8:$I$976,MATCH(AD141,'Fixture Codes'!$B$8:$B$976,0))/12*AF141*BZ141,IF(CA141="Lamp",INDEX('Fixture Codes'!$J$8:$J$976,MATCH(AD141,'Fixture Codes'!$B$8:$B$976,0))*AF141*BZ141,IF(CA141="Fixture",AF141*BZ141,IF(CA141="kWh",BK141*BZ141,0))))),""))</f>
        <v/>
      </c>
      <c r="CG141" s="149" t="str">
        <f t="shared" si="100"/>
        <v/>
      </c>
      <c r="CH141" s="149" t="str">
        <f t="shared" si="101"/>
        <v/>
      </c>
      <c r="CI141" s="152"/>
      <c r="CJ141" s="146"/>
      <c r="CK141" s="241">
        <f>IFERROR(IF(CL141="Yes",'Prescriptive Rebate Table'!$D$69,IF(ISBLANK(AI141),0,IF(AND(AH141=Lookups!$A$62,BK141&gt;0),'Prescriptive Rebate Table'!$D$68,IF(AND(BK141&gt;0,CJ141=AF141),'Prescriptive Rebate Table'!$D$67,IF(AND(BK141&gt;0,CJ141&lt;&gt;AF141),'Prescriptive Rebate Table'!D200,0))))),"")</f>
        <v>0</v>
      </c>
      <c r="CL141" s="240" t="s">
        <v>2712</v>
      </c>
      <c r="CM141" s="152"/>
      <c r="CN141" s="152"/>
      <c r="CO141" s="152"/>
      <c r="CP141" s="146">
        <f t="shared" si="85"/>
        <v>0</v>
      </c>
      <c r="CQ141" s="153">
        <f>IF(D141="Interior",ROUND(($AG141*AF141)/1000*$AM141*(Lookups!$B$54-$AA141)*$AN141*$AO141,3),0)</f>
        <v>0</v>
      </c>
      <c r="CR141" s="153">
        <f>IFERROR(IF(D141="Interior",ROUND(($AG141*$AF141)/1000*(Lookups!$C$54-$AB141)*$AN141*AQ141*AT141,6),0),"")</f>
        <v>0</v>
      </c>
      <c r="CS141" s="165">
        <f t="shared" si="102"/>
        <v>0</v>
      </c>
      <c r="CT141" s="165">
        <f t="shared" si="103"/>
        <v>0</v>
      </c>
      <c r="CV141" s="153"/>
      <c r="CW141" s="153"/>
      <c r="CX141" s="165"/>
      <c r="CY141" s="165"/>
      <c r="DA141" s="153">
        <f>IF(D141="Interior",ROUND(($AG141*AF141*(1-0.15))/1000*$AM141*(Lookups!$B$43+0.097-$AA141)*$AN141*$AO141+((W141*V141)/1000*AN141*AM141*AO141*0.15),3),0)</f>
        <v>0</v>
      </c>
      <c r="DB141" s="153">
        <f>IFERROR(IF(D141="Interior",ROUND(($AG141*$AF141)/1000*(Lookups!$C$43+0.097-$AB141)*$AN141*AQ141*AT141+(($AG141*$AF141)/1000*$AN141*AQ141*AT141*0.15),6),0),"")</f>
        <v>0</v>
      </c>
      <c r="DC141" s="165">
        <f t="shared" si="86"/>
        <v>0</v>
      </c>
      <c r="DD141" s="165">
        <f t="shared" si="87"/>
        <v>0</v>
      </c>
    </row>
    <row r="142" spans="1:108" s="164" customFormat="1">
      <c r="A142" s="150">
        <v>138</v>
      </c>
      <c r="B142" s="153" t="str">
        <f>IFERROR(INDEX(Lookups!$B$2:$B$38,MATCH('Project Info &amp; Summary'!$C$19,Lookups!$A$2:$A$38,0)),"")</f>
        <v/>
      </c>
      <c r="C142" s="153" t="str">
        <f>IFERROR(INDEX(Lookups!$C$2:$C$38,MATCH('Project Info &amp; Summary'!$C$19,Lookups!$A$2:$A$38,0)),"")</f>
        <v/>
      </c>
      <c r="D142" s="163"/>
      <c r="E142" s="160"/>
      <c r="F142" s="158"/>
      <c r="G142" s="158"/>
      <c r="H142" s="158"/>
      <c r="I142" s="158"/>
      <c r="J142" s="154" t="str">
        <f>IFERROR(INDEX(Lookups!$W$21:$W$26,MATCH(I142,Lookups!$V$21:$V$26,0)),"")</f>
        <v/>
      </c>
      <c r="K142" s="158"/>
      <c r="L142" s="162" t="str">
        <f>IFERROR(INDEX(Lookups!$Y$2:$Y$19,MATCH(_xlfn.CONCAT(I142,K142),Lookups!$X$2:$X$19,0)),"")</f>
        <v/>
      </c>
      <c r="M142" s="158"/>
      <c r="N142" s="153" t="str">
        <f>IFERROR(INDEX('Prescriptive Rebate Table'!$M$3:$M$20,MATCH(M142,'Prescriptive Rebate Table'!$L$3:$L$20,0)),"")</f>
        <v/>
      </c>
      <c r="O142" s="158"/>
      <c r="P142" s="154" t="str">
        <f>IFERROR(INDEX('Prescriptive Rebate Table'!$B$2:$H$64, MATCH(O142,'Prescriptive Rebate Table'!$C$2:$C$64,0),7),"")</f>
        <v/>
      </c>
      <c r="Q142" s="155" t="str">
        <f>IFERROR(INDEX('Prescriptive Rebate Table'!$B$2:$I$64, MATCH(O142,'Prescriptive Rebate Table'!$C$2:$C$64,0),8),"")</f>
        <v/>
      </c>
      <c r="R142" s="155" t="str">
        <f>IFERROR(INDEX('Prescriptive Rebate Table'!$B$2:$J$64, MATCH(O142,'Prescriptive Rebate Table'!$C$2:$C$64,0),9),"")</f>
        <v/>
      </c>
      <c r="S142" s="160"/>
      <c r="T142" s="145" t="str">
        <f>IFERROR(INDEX('Fixture Codes'!$M$8:$M$976,MATCH(S142,'Fixture Codes'!$B$8:$B$976,0)),"")</f>
        <v/>
      </c>
      <c r="U142" s="145" t="str">
        <f>IFERROR(INDEX('Fixture Codes'!$B$7:$M$976,MATCH(T142,'Fixture Codes'!$B$7:$B$976,0),5),"")</f>
        <v/>
      </c>
      <c r="V142" s="160"/>
      <c r="W142" s="145" t="str">
        <f>IFERROR(INDEX('Fixture Codes'!$L$8:$L$976,MATCH(T142,'Fixture Codes'!$B$8:$B$976,0)),"")</f>
        <v/>
      </c>
      <c r="X142" s="158"/>
      <c r="Y142" s="159"/>
      <c r="Z142" s="155" t="str">
        <f>IFERROR(INDEX(Lookups!B$68:B$87,MATCH($X142,Lookups!$A$68:$A$87,0)),"")</f>
        <v/>
      </c>
      <c r="AA142" s="150" t="str">
        <f>IFERROR(INDEX(Lookups!B$42:B$62,MATCH($X142,Lookups!$A$42:$A$62,0)),"")</f>
        <v/>
      </c>
      <c r="AB142" s="150" t="str">
        <f>IFERROR(INDEX(Lookups!C$42:C$62,MATCH($X142,Lookups!$A$42:$A$62,0)),"")</f>
        <v/>
      </c>
      <c r="AC142" s="160"/>
      <c r="AD142" s="160"/>
      <c r="AE142" s="150" t="str">
        <f>IFERROR(INDEX('Fixture Codes'!$B$7:$M$976,MATCH(AD142,'Fixture Codes'!$B$7:$B$976,0),5),"")</f>
        <v/>
      </c>
      <c r="AF142" s="160"/>
      <c r="AG142" s="145" t="str">
        <f>IFERROR(INDEX('Fixture Codes'!$L$8:$L$976,MATCH(AD142,'Fixture Codes'!$B$8:$B$976,0)),"")</f>
        <v/>
      </c>
      <c r="AH142" s="158"/>
      <c r="AI142" s="160"/>
      <c r="AJ142" s="150" t="str">
        <f>IFERROR(INDEX(Lookups!B$68:B$87,MATCH($AH142,Lookups!$A$68:$A$87,0)),"")</f>
        <v/>
      </c>
      <c r="AK142" s="150" t="str">
        <f>IFERROR(INDEX(Lookups!B$42:B$62,MATCH($AH142,Lookups!$A$42:$A$62,0)),"")</f>
        <v/>
      </c>
      <c r="AL142" s="150" t="str">
        <f>IFERROR(INDEX(Lookups!C$42:C$62,MATCH($AH142,Lookups!$A$42:$A$62,0)),"")</f>
        <v/>
      </c>
      <c r="AM142" s="150" t="str">
        <f>IFERROR(IF(M142="Exit Signs",8760,IF(INDEX('Fixture Codes'!$C$8:$C$976,MATCH(AD142,'Fixture Codes'!$B$8:$B$976,0))="Exit Sign",8760,INDEX(Lookups!$I$2:$I$428,MATCH(_xlfn.CONCAT(B142,H142),Lookups!$H$2:$H$428,0)))),"")</f>
        <v/>
      </c>
      <c r="AN142" s="153">
        <v>1</v>
      </c>
      <c r="AO142" s="150" t="str">
        <f>IF($D142="Interior",INDEX(Lookups!Q$2:Q$86,MATCH(_xlfn.CONCAT($C142,$L142),Lookups!$P$2:$P$86,0)),IF($D142="Exterior",1,""))</f>
        <v/>
      </c>
      <c r="AP142" s="150">
        <f t="shared" si="88"/>
        <v>1</v>
      </c>
      <c r="AQ142" s="150" t="str">
        <f>IF($D142="Interior",INDEX(Lookups!R$2:R$86,MATCH(_xlfn.CONCAT($C142,$L142),Lookups!$P$2:$P$86,0)),IF($D142="Exterior",1,""))</f>
        <v/>
      </c>
      <c r="AR142" s="150" t="str">
        <f>IF($D142="Interior",INDEX(Lookups!S$2:S$86,MATCH(_xlfn.CONCAT($C142,$L142),Lookups!$P$2:$P$86,0)),IF($D142="Exterior",1,""))</f>
        <v/>
      </c>
      <c r="AS142" s="150" t="str">
        <f>IF($D142="Interior",INDEX(Lookups!T$2:T$86,MATCH(_xlfn.CONCAT($C142,$L142),Lookups!$P$2:$P$86,0)),IF($D142="Exterior",1,""))</f>
        <v/>
      </c>
      <c r="AT142" s="150" t="str">
        <f>IFERROR(IF(M142="Exit Signs",1,IF(INDEX('Fixture Codes'!$C$8:$C$976,MATCH($AD142,'Fixture Codes'!$B$8:$B$976,0))="Exit Sign",1,INDEX(Lookups!J$2:J$428,MATCH(_xlfn.CONCAT($B142,$H142),Lookups!$H$2:$H$428,0)))),"")</f>
        <v/>
      </c>
      <c r="AU142" s="150" t="str">
        <f>IFERROR(IF(M142="Exit Signs",1,IF(INDEX('Fixture Codes'!$C$8:$C$976,MATCH($AD142,'Fixture Codes'!$B$8:$B$976,0))="Exit Sign",1,INDEX(Lookups!K$2:K$428,MATCH(_xlfn.CONCAT($B142,$H142),Lookups!$H$2:$H$428,0)))),"")</f>
        <v/>
      </c>
      <c r="AV142" s="150" t="str">
        <f>IFERROR(IF(M142="Exit Signs",1,IF(INDEX('Fixture Codes'!$C$8:$C$976,MATCH($AD142,'Fixture Codes'!$B$8:$B$976,0))="Exit Sign",1,INDEX(Lookups!L$2:L$428,MATCH(_xlfn.CONCAT($B142,$H142),Lookups!$H$2:$H$428,0)))),"")</f>
        <v/>
      </c>
      <c r="AW142" s="150" t="str">
        <f>IF(ISBLANK(K142),"",IF(K142="Gas",INDEX(Lookups!$AG$2:$AG$63,MATCH(O142,Lookups!$AD$2:$AD$63,0),0),0))</f>
        <v/>
      </c>
      <c r="AX142" s="150" t="str">
        <f>IF(ISBLANK(K142),"",IF(K142="Gas",INDEX(Lookups!$AF$2:$AF$63,MATCH(O142,Lookups!$AD$2:$AD$63,0),0),0))</f>
        <v/>
      </c>
      <c r="AY142" s="150" t="str">
        <f>IF(ISBLANK(K142),"",IF(K142="Gas",INDEX(Lookups!$AH$2:$AH$63,MATCH(O142,Lookups!$AD$2:$AD$63,0),0),0))</f>
        <v/>
      </c>
      <c r="AZ142" s="150" t="str">
        <f>IF(ISBLANK(K142),"",IF(K142="Gas",INDEX(Lookups!$AI$2:$AI$63,MATCH(O142,Lookups!$AD$2:$AD$63,0),0),0))</f>
        <v/>
      </c>
      <c r="BA142" s="150" t="str">
        <f t="shared" si="73"/>
        <v/>
      </c>
      <c r="BB142" s="156" t="str">
        <f>IF(ISBLANK(AH142),"",IF(AH142="None",0,IF(K142="Gas",INDEX(Lookups!$AF$51:$AF$69,MATCH(AH142,Lookups!$AD$51:$AD$69,0),0),0)))</f>
        <v/>
      </c>
      <c r="BC142" s="156" t="str">
        <f>IF(ISBLANK(AH142),"",IF(AH142="None",0,IF(K142="Gas",INDEX(Lookups!$AH$51:$AH$69,MATCH(AH142,Lookups!$AD$51:$AD$69,0),0),0)))</f>
        <v/>
      </c>
      <c r="BD142" s="156" t="str">
        <f>IF(ISBLANK(AH142),"",IF(AH142="None",0,IF(K142="Gas",INDEX(Lookups!$AI$51:$AI$69,MATCH(AH142,Lookups!$AD$51:$AD$69,0),0),0)))</f>
        <v/>
      </c>
      <c r="BE142" s="157"/>
      <c r="BF142" s="157"/>
      <c r="BG142" s="147" t="str">
        <f t="shared" si="89"/>
        <v/>
      </c>
      <c r="BH142" s="147" t="str">
        <f t="shared" si="90"/>
        <v/>
      </c>
      <c r="BI142" s="147" t="str">
        <f t="shared" si="74"/>
        <v/>
      </c>
      <c r="BJ142" s="147" t="str">
        <f t="shared" si="75"/>
        <v/>
      </c>
      <c r="BK142" s="148" t="str">
        <f t="shared" si="91"/>
        <v/>
      </c>
      <c r="BL142" s="147" t="str">
        <f t="shared" si="76"/>
        <v/>
      </c>
      <c r="BM142" s="148" t="str">
        <f t="shared" si="92"/>
        <v/>
      </c>
      <c r="BN142" s="147" t="str">
        <f t="shared" si="93"/>
        <v/>
      </c>
      <c r="BO142" s="147" t="str">
        <f t="shared" si="93"/>
        <v/>
      </c>
      <c r="BP142" s="147" t="str">
        <f t="shared" si="94"/>
        <v/>
      </c>
      <c r="BQ142" s="148" t="str">
        <f t="shared" si="95"/>
        <v/>
      </c>
      <c r="BR142" s="148" t="str">
        <f t="shared" si="96"/>
        <v/>
      </c>
      <c r="BS142" s="148" t="str">
        <f t="shared" si="97"/>
        <v/>
      </c>
      <c r="BT142" s="148" t="str">
        <f t="shared" si="77"/>
        <v/>
      </c>
      <c r="BU142" s="148" t="str">
        <f t="shared" si="78"/>
        <v/>
      </c>
      <c r="BV142" s="148" t="str">
        <f t="shared" si="79"/>
        <v/>
      </c>
      <c r="BW142" s="148" t="str">
        <f t="shared" si="80"/>
        <v/>
      </c>
      <c r="BX142" s="148" t="str">
        <f t="shared" si="81"/>
        <v/>
      </c>
      <c r="BY142" s="148" t="str">
        <f t="shared" si="82"/>
        <v/>
      </c>
      <c r="BZ142" s="149" t="str">
        <f>IFERROR(INDEX('Prescriptive Rebate Table'!$B$2:$E$64,MATCH(O142,'Prescriptive Rebate Table'!$C$2:$C$64,0),3),"")</f>
        <v/>
      </c>
      <c r="CA142" s="145" t="str">
        <f>IFERROR(INDEX('Prescriptive Rebate Table'!$B$2:$E$64,MATCH(O142,'Prescriptive Rebate Table'!$C$2:$C$64,0),4),"")</f>
        <v/>
      </c>
      <c r="CB142" s="149" t="str">
        <f t="shared" si="98"/>
        <v/>
      </c>
      <c r="CC142" s="145" t="str">
        <f t="shared" si="99"/>
        <v/>
      </c>
      <c r="CD142" s="149" t="str">
        <f t="shared" si="83"/>
        <v/>
      </c>
      <c r="CE142" s="149" t="str">
        <f t="shared" si="84"/>
        <v/>
      </c>
      <c r="CF142" s="149" t="str">
        <f>IF(BK142&lt;=0,0,IFERROR(IF(OR(ISBLANK(AC142),ISBLANK(CD142))=TRUE,"",IF(CA142="Per Foot",INDEX('Fixture Codes'!$I$8:$I$976,MATCH(AD142,'Fixture Codes'!$B$8:$B$976,0))/12*AF142*BZ142,IF(CA142="Lamp",INDEX('Fixture Codes'!$J$8:$J$976,MATCH(AD142,'Fixture Codes'!$B$8:$B$976,0))*AF142*BZ142,IF(CA142="Fixture",AF142*BZ142,IF(CA142="kWh",BK142*BZ142,0))))),""))</f>
        <v/>
      </c>
      <c r="CG142" s="149" t="str">
        <f t="shared" si="100"/>
        <v/>
      </c>
      <c r="CH142" s="149" t="str">
        <f t="shared" si="101"/>
        <v/>
      </c>
      <c r="CI142" s="152"/>
      <c r="CJ142" s="146"/>
      <c r="CK142" s="241">
        <f>IFERROR(IF(CL142="Yes",'Prescriptive Rebate Table'!$D$69,IF(ISBLANK(AI142),0,IF(AND(AH142=Lookups!$A$62,BK142&gt;0),'Prescriptive Rebate Table'!$D$68,IF(AND(BK142&gt;0,CJ142=AF142),'Prescriptive Rebate Table'!$D$67,IF(AND(BK142&gt;0,CJ142&lt;&gt;AF142),'Prescriptive Rebate Table'!D201,0))))),"")</f>
        <v>0</v>
      </c>
      <c r="CL142" s="240" t="s">
        <v>2712</v>
      </c>
      <c r="CM142" s="152"/>
      <c r="CN142" s="152"/>
      <c r="CO142" s="152"/>
      <c r="CP142" s="146">
        <f t="shared" si="85"/>
        <v>0</v>
      </c>
      <c r="CQ142" s="153">
        <f>IF(D142="Interior",ROUND(($AG142*AF142)/1000*$AM142*(Lookups!$B$54-$AA142)*$AN142*$AO142,3),0)</f>
        <v>0</v>
      </c>
      <c r="CR142" s="153">
        <f>IFERROR(IF(D142="Interior",ROUND(($AG142*$AF142)/1000*(Lookups!$C$54-$AB142)*$AN142*AQ142*AT142,6),0),"")</f>
        <v>0</v>
      </c>
      <c r="CS142" s="165">
        <f t="shared" si="102"/>
        <v>0</v>
      </c>
      <c r="CT142" s="165">
        <f t="shared" si="103"/>
        <v>0</v>
      </c>
      <c r="CV142" s="153"/>
      <c r="CW142" s="153"/>
      <c r="CX142" s="165"/>
      <c r="CY142" s="165"/>
      <c r="DA142" s="153">
        <f>IF(D142="Interior",ROUND(($AG142*AF142*(1-0.15))/1000*$AM142*(Lookups!$B$43+0.097-$AA142)*$AN142*$AO142+((W142*V142)/1000*AN142*AM142*AO142*0.15),3),0)</f>
        <v>0</v>
      </c>
      <c r="DB142" s="153">
        <f>IFERROR(IF(D142="Interior",ROUND(($AG142*$AF142)/1000*(Lookups!$C$43+0.097-$AB142)*$AN142*AQ142*AT142+(($AG142*$AF142)/1000*$AN142*AQ142*AT142*0.15),6),0),"")</f>
        <v>0</v>
      </c>
      <c r="DC142" s="165">
        <f t="shared" si="86"/>
        <v>0</v>
      </c>
      <c r="DD142" s="165">
        <f t="shared" si="87"/>
        <v>0</v>
      </c>
    </row>
    <row r="143" spans="1:108" s="164" customFormat="1">
      <c r="A143" s="150">
        <v>139</v>
      </c>
      <c r="B143" s="153" t="str">
        <f>IFERROR(INDEX(Lookups!$B$2:$B$38,MATCH('Project Info &amp; Summary'!$C$19,Lookups!$A$2:$A$38,0)),"")</f>
        <v/>
      </c>
      <c r="C143" s="153" t="str">
        <f>IFERROR(INDEX(Lookups!$C$2:$C$38,MATCH('Project Info &amp; Summary'!$C$19,Lookups!$A$2:$A$38,0)),"")</f>
        <v/>
      </c>
      <c r="D143" s="163"/>
      <c r="E143" s="160"/>
      <c r="F143" s="158"/>
      <c r="G143" s="158"/>
      <c r="H143" s="158"/>
      <c r="I143" s="158"/>
      <c r="J143" s="154" t="str">
        <f>IFERROR(INDEX(Lookups!$W$21:$W$26,MATCH(I143,Lookups!$V$21:$V$26,0)),"")</f>
        <v/>
      </c>
      <c r="K143" s="158"/>
      <c r="L143" s="162" t="str">
        <f>IFERROR(INDEX(Lookups!$Y$2:$Y$19,MATCH(_xlfn.CONCAT(I143,K143),Lookups!$X$2:$X$19,0)),"")</f>
        <v/>
      </c>
      <c r="M143" s="158"/>
      <c r="N143" s="153" t="str">
        <f>IFERROR(INDEX('Prescriptive Rebate Table'!$M$3:$M$20,MATCH(M143,'Prescriptive Rebate Table'!$L$3:$L$20,0)),"")</f>
        <v/>
      </c>
      <c r="O143" s="158"/>
      <c r="P143" s="154" t="str">
        <f>IFERROR(INDEX('Prescriptive Rebate Table'!$B$2:$H$64, MATCH(O143,'Prescriptive Rebate Table'!$C$2:$C$64,0),7),"")</f>
        <v/>
      </c>
      <c r="Q143" s="155" t="str">
        <f>IFERROR(INDEX('Prescriptive Rebate Table'!$B$2:$I$64, MATCH(O143,'Prescriptive Rebate Table'!$C$2:$C$64,0),8),"")</f>
        <v/>
      </c>
      <c r="R143" s="155" t="str">
        <f>IFERROR(INDEX('Prescriptive Rebate Table'!$B$2:$J$64, MATCH(O143,'Prescriptive Rebate Table'!$C$2:$C$64,0),9),"")</f>
        <v/>
      </c>
      <c r="S143" s="160"/>
      <c r="T143" s="145" t="str">
        <f>IFERROR(INDEX('Fixture Codes'!$M$8:$M$976,MATCH(S143,'Fixture Codes'!$B$8:$B$976,0)),"")</f>
        <v/>
      </c>
      <c r="U143" s="145" t="str">
        <f>IFERROR(INDEX('Fixture Codes'!$B$7:$M$976,MATCH(T143,'Fixture Codes'!$B$7:$B$976,0),5),"")</f>
        <v/>
      </c>
      <c r="V143" s="160"/>
      <c r="W143" s="145" t="str">
        <f>IFERROR(INDEX('Fixture Codes'!$L$8:$L$976,MATCH(T143,'Fixture Codes'!$B$8:$B$976,0)),"")</f>
        <v/>
      </c>
      <c r="X143" s="158"/>
      <c r="Y143" s="159"/>
      <c r="Z143" s="155" t="str">
        <f>IFERROR(INDEX(Lookups!B$68:B$87,MATCH($X143,Lookups!$A$68:$A$87,0)),"")</f>
        <v/>
      </c>
      <c r="AA143" s="150" t="str">
        <f>IFERROR(INDEX(Lookups!B$42:B$62,MATCH($X143,Lookups!$A$42:$A$62,0)),"")</f>
        <v/>
      </c>
      <c r="AB143" s="150" t="str">
        <f>IFERROR(INDEX(Lookups!C$42:C$62,MATCH($X143,Lookups!$A$42:$A$62,0)),"")</f>
        <v/>
      </c>
      <c r="AC143" s="160"/>
      <c r="AD143" s="160"/>
      <c r="AE143" s="150" t="str">
        <f>IFERROR(INDEX('Fixture Codes'!$B$7:$M$976,MATCH(AD143,'Fixture Codes'!$B$7:$B$976,0),5),"")</f>
        <v/>
      </c>
      <c r="AF143" s="160"/>
      <c r="AG143" s="145" t="str">
        <f>IFERROR(INDEX('Fixture Codes'!$L$8:$L$976,MATCH(AD143,'Fixture Codes'!$B$8:$B$976,0)),"")</f>
        <v/>
      </c>
      <c r="AH143" s="158"/>
      <c r="AI143" s="160"/>
      <c r="AJ143" s="150" t="str">
        <f>IFERROR(INDEX(Lookups!B$68:B$87,MATCH($AH143,Lookups!$A$68:$A$87,0)),"")</f>
        <v/>
      </c>
      <c r="AK143" s="150" t="str">
        <f>IFERROR(INDEX(Lookups!B$42:B$62,MATCH($AH143,Lookups!$A$42:$A$62,0)),"")</f>
        <v/>
      </c>
      <c r="AL143" s="150" t="str">
        <f>IFERROR(INDEX(Lookups!C$42:C$62,MATCH($AH143,Lookups!$A$42:$A$62,0)),"")</f>
        <v/>
      </c>
      <c r="AM143" s="150" t="str">
        <f>IFERROR(IF(M143="Exit Signs",8760,IF(INDEX('Fixture Codes'!$C$8:$C$976,MATCH(AD143,'Fixture Codes'!$B$8:$B$976,0))="Exit Sign",8760,INDEX(Lookups!$I$2:$I$428,MATCH(_xlfn.CONCAT(B143,H143),Lookups!$H$2:$H$428,0)))),"")</f>
        <v/>
      </c>
      <c r="AN143" s="153">
        <v>1</v>
      </c>
      <c r="AO143" s="150" t="str">
        <f>IF($D143="Interior",INDEX(Lookups!Q$2:Q$86,MATCH(_xlfn.CONCAT($C143,$L143),Lookups!$P$2:$P$86,0)),IF($D143="Exterior",1,""))</f>
        <v/>
      </c>
      <c r="AP143" s="150">
        <f t="shared" si="88"/>
        <v>1</v>
      </c>
      <c r="AQ143" s="150" t="str">
        <f>IF($D143="Interior",INDEX(Lookups!R$2:R$86,MATCH(_xlfn.CONCAT($C143,$L143),Lookups!$P$2:$P$86,0)),IF($D143="Exterior",1,""))</f>
        <v/>
      </c>
      <c r="AR143" s="150" t="str">
        <f>IF($D143="Interior",INDEX(Lookups!S$2:S$86,MATCH(_xlfn.CONCAT($C143,$L143),Lookups!$P$2:$P$86,0)),IF($D143="Exterior",1,""))</f>
        <v/>
      </c>
      <c r="AS143" s="150" t="str">
        <f>IF($D143="Interior",INDEX(Lookups!T$2:T$86,MATCH(_xlfn.CONCAT($C143,$L143),Lookups!$P$2:$P$86,0)),IF($D143="Exterior",1,""))</f>
        <v/>
      </c>
      <c r="AT143" s="150" t="str">
        <f>IFERROR(IF(M143="Exit Signs",1,IF(INDEX('Fixture Codes'!$C$8:$C$976,MATCH($AD143,'Fixture Codes'!$B$8:$B$976,0))="Exit Sign",1,INDEX(Lookups!J$2:J$428,MATCH(_xlfn.CONCAT($B143,$H143),Lookups!$H$2:$H$428,0)))),"")</f>
        <v/>
      </c>
      <c r="AU143" s="150" t="str">
        <f>IFERROR(IF(M143="Exit Signs",1,IF(INDEX('Fixture Codes'!$C$8:$C$976,MATCH($AD143,'Fixture Codes'!$B$8:$B$976,0))="Exit Sign",1,INDEX(Lookups!K$2:K$428,MATCH(_xlfn.CONCAT($B143,$H143),Lookups!$H$2:$H$428,0)))),"")</f>
        <v/>
      </c>
      <c r="AV143" s="150" t="str">
        <f>IFERROR(IF(M143="Exit Signs",1,IF(INDEX('Fixture Codes'!$C$8:$C$976,MATCH($AD143,'Fixture Codes'!$B$8:$B$976,0))="Exit Sign",1,INDEX(Lookups!L$2:L$428,MATCH(_xlfn.CONCAT($B143,$H143),Lookups!$H$2:$H$428,0)))),"")</f>
        <v/>
      </c>
      <c r="AW143" s="150" t="str">
        <f>IF(ISBLANK(K143),"",IF(K143="Gas",INDEX(Lookups!$AG$2:$AG$63,MATCH(O143,Lookups!$AD$2:$AD$63,0),0),0))</f>
        <v/>
      </c>
      <c r="AX143" s="150" t="str">
        <f>IF(ISBLANK(K143),"",IF(K143="Gas",INDEX(Lookups!$AF$2:$AF$63,MATCH(O143,Lookups!$AD$2:$AD$63,0),0),0))</f>
        <v/>
      </c>
      <c r="AY143" s="150" t="str">
        <f>IF(ISBLANK(K143),"",IF(K143="Gas",INDEX(Lookups!$AH$2:$AH$63,MATCH(O143,Lookups!$AD$2:$AD$63,0),0),0))</f>
        <v/>
      </c>
      <c r="AZ143" s="150" t="str">
        <f>IF(ISBLANK(K143),"",IF(K143="Gas",INDEX(Lookups!$AI$2:$AI$63,MATCH(O143,Lookups!$AD$2:$AD$63,0),0),0))</f>
        <v/>
      </c>
      <c r="BA143" s="150" t="str">
        <f t="shared" si="73"/>
        <v/>
      </c>
      <c r="BB143" s="156" t="str">
        <f>IF(ISBLANK(AH143),"",IF(AH143="None",0,IF(K143="Gas",INDEX(Lookups!$AF$51:$AF$69,MATCH(AH143,Lookups!$AD$51:$AD$69,0),0),0)))</f>
        <v/>
      </c>
      <c r="BC143" s="156" t="str">
        <f>IF(ISBLANK(AH143),"",IF(AH143="None",0,IF(K143="Gas",INDEX(Lookups!$AH$51:$AH$69,MATCH(AH143,Lookups!$AD$51:$AD$69,0),0),0)))</f>
        <v/>
      </c>
      <c r="BD143" s="156" t="str">
        <f>IF(ISBLANK(AH143),"",IF(AH143="None",0,IF(K143="Gas",INDEX(Lookups!$AI$51:$AI$69,MATCH(AH143,Lookups!$AD$51:$AD$69,0),0),0)))</f>
        <v/>
      </c>
      <c r="BE143" s="157"/>
      <c r="BF143" s="157"/>
      <c r="BG143" s="147" t="str">
        <f t="shared" si="89"/>
        <v/>
      </c>
      <c r="BH143" s="147" t="str">
        <f t="shared" si="90"/>
        <v/>
      </c>
      <c r="BI143" s="147" t="str">
        <f t="shared" si="74"/>
        <v/>
      </c>
      <c r="BJ143" s="147" t="str">
        <f t="shared" si="75"/>
        <v/>
      </c>
      <c r="BK143" s="148" t="str">
        <f t="shared" si="91"/>
        <v/>
      </c>
      <c r="BL143" s="147" t="str">
        <f t="shared" si="76"/>
        <v/>
      </c>
      <c r="BM143" s="148" t="str">
        <f t="shared" si="92"/>
        <v/>
      </c>
      <c r="BN143" s="147" t="str">
        <f t="shared" si="93"/>
        <v/>
      </c>
      <c r="BO143" s="147" t="str">
        <f t="shared" si="93"/>
        <v/>
      </c>
      <c r="BP143" s="147" t="str">
        <f t="shared" si="94"/>
        <v/>
      </c>
      <c r="BQ143" s="148" t="str">
        <f t="shared" si="95"/>
        <v/>
      </c>
      <c r="BR143" s="148" t="str">
        <f t="shared" si="96"/>
        <v/>
      </c>
      <c r="BS143" s="148" t="str">
        <f t="shared" si="97"/>
        <v/>
      </c>
      <c r="BT143" s="148" t="str">
        <f t="shared" si="77"/>
        <v/>
      </c>
      <c r="BU143" s="148" t="str">
        <f t="shared" si="78"/>
        <v/>
      </c>
      <c r="BV143" s="148" t="str">
        <f t="shared" si="79"/>
        <v/>
      </c>
      <c r="BW143" s="148" t="str">
        <f t="shared" si="80"/>
        <v/>
      </c>
      <c r="BX143" s="148" t="str">
        <f t="shared" si="81"/>
        <v/>
      </c>
      <c r="BY143" s="148" t="str">
        <f t="shared" si="82"/>
        <v/>
      </c>
      <c r="BZ143" s="149" t="str">
        <f>IFERROR(INDEX('Prescriptive Rebate Table'!$B$2:$E$64,MATCH(O143,'Prescriptive Rebate Table'!$C$2:$C$64,0),3),"")</f>
        <v/>
      </c>
      <c r="CA143" s="145" t="str">
        <f>IFERROR(INDEX('Prescriptive Rebate Table'!$B$2:$E$64,MATCH(O143,'Prescriptive Rebate Table'!$C$2:$C$64,0),4),"")</f>
        <v/>
      </c>
      <c r="CB143" s="149" t="str">
        <f t="shared" si="98"/>
        <v/>
      </c>
      <c r="CC143" s="145" t="str">
        <f t="shared" si="99"/>
        <v/>
      </c>
      <c r="CD143" s="149" t="str">
        <f t="shared" si="83"/>
        <v/>
      </c>
      <c r="CE143" s="149" t="str">
        <f t="shared" si="84"/>
        <v/>
      </c>
      <c r="CF143" s="149" t="str">
        <f>IF(BK143&lt;=0,0,IFERROR(IF(OR(ISBLANK(AC143),ISBLANK(CD143))=TRUE,"",IF(CA143="Per Foot",INDEX('Fixture Codes'!$I$8:$I$976,MATCH(AD143,'Fixture Codes'!$B$8:$B$976,0))/12*AF143*BZ143,IF(CA143="Lamp",INDEX('Fixture Codes'!$J$8:$J$976,MATCH(AD143,'Fixture Codes'!$B$8:$B$976,0))*AF143*BZ143,IF(CA143="Fixture",AF143*BZ143,IF(CA143="kWh",BK143*BZ143,0))))),""))</f>
        <v/>
      </c>
      <c r="CG143" s="149" t="str">
        <f t="shared" si="100"/>
        <v/>
      </c>
      <c r="CH143" s="149" t="str">
        <f t="shared" si="101"/>
        <v/>
      </c>
      <c r="CI143" s="152"/>
      <c r="CJ143" s="146"/>
      <c r="CK143" s="241">
        <f>IFERROR(IF(CL143="Yes",'Prescriptive Rebate Table'!$D$69,IF(ISBLANK(AI143),0,IF(AND(AH143=Lookups!$A$62,BK143&gt;0),'Prescriptive Rebate Table'!$D$68,IF(AND(BK143&gt;0,CJ143=AF143),'Prescriptive Rebate Table'!$D$67,IF(AND(BK143&gt;0,CJ143&lt;&gt;AF143),'Prescriptive Rebate Table'!D202,0))))),"")</f>
        <v>0</v>
      </c>
      <c r="CL143" s="240" t="s">
        <v>2712</v>
      </c>
      <c r="CM143" s="152"/>
      <c r="CN143" s="152"/>
      <c r="CO143" s="152"/>
      <c r="CP143" s="146">
        <f t="shared" si="85"/>
        <v>0</v>
      </c>
      <c r="CQ143" s="153">
        <f>IF(D143="Interior",ROUND(($AG143*AF143)/1000*$AM143*(Lookups!$B$54-$AA143)*$AN143*$AO143,3),0)</f>
        <v>0</v>
      </c>
      <c r="CR143" s="153">
        <f>IFERROR(IF(D143="Interior",ROUND(($AG143*$AF143)/1000*(Lookups!$C$54-$AB143)*$AN143*AQ143*AT143,6),0),"")</f>
        <v>0</v>
      </c>
      <c r="CS143" s="165">
        <f t="shared" si="102"/>
        <v>0</v>
      </c>
      <c r="CT143" s="165">
        <f t="shared" si="103"/>
        <v>0</v>
      </c>
      <c r="CV143" s="153"/>
      <c r="CW143" s="153"/>
      <c r="CX143" s="165"/>
      <c r="CY143" s="165"/>
      <c r="DA143" s="153">
        <f>IF(D143="Interior",ROUND(($AG143*AF143*(1-0.15))/1000*$AM143*(Lookups!$B$43+0.097-$AA143)*$AN143*$AO143+((W143*V143)/1000*AN143*AM143*AO143*0.15),3),0)</f>
        <v>0</v>
      </c>
      <c r="DB143" s="153">
        <f>IFERROR(IF(D143="Interior",ROUND(($AG143*$AF143)/1000*(Lookups!$C$43+0.097-$AB143)*$AN143*AQ143*AT143+(($AG143*$AF143)/1000*$AN143*AQ143*AT143*0.15),6),0),"")</f>
        <v>0</v>
      </c>
      <c r="DC143" s="165">
        <f t="shared" si="86"/>
        <v>0</v>
      </c>
      <c r="DD143" s="165">
        <f t="shared" si="87"/>
        <v>0</v>
      </c>
    </row>
    <row r="144" spans="1:108" s="164" customFormat="1">
      <c r="A144" s="150">
        <v>140</v>
      </c>
      <c r="B144" s="153" t="str">
        <f>IFERROR(INDEX(Lookups!$B$2:$B$38,MATCH('Project Info &amp; Summary'!$C$19,Lookups!$A$2:$A$38,0)),"")</f>
        <v/>
      </c>
      <c r="C144" s="153" t="str">
        <f>IFERROR(INDEX(Lookups!$C$2:$C$38,MATCH('Project Info &amp; Summary'!$C$19,Lookups!$A$2:$A$38,0)),"")</f>
        <v/>
      </c>
      <c r="D144" s="163"/>
      <c r="E144" s="160"/>
      <c r="F144" s="158"/>
      <c r="G144" s="158"/>
      <c r="H144" s="158"/>
      <c r="I144" s="158"/>
      <c r="J144" s="154" t="str">
        <f>IFERROR(INDEX(Lookups!$W$21:$W$26,MATCH(I144,Lookups!$V$21:$V$26,0)),"")</f>
        <v/>
      </c>
      <c r="K144" s="158"/>
      <c r="L144" s="162" t="str">
        <f>IFERROR(INDEX(Lookups!$Y$2:$Y$19,MATCH(_xlfn.CONCAT(I144,K144),Lookups!$X$2:$X$19,0)),"")</f>
        <v/>
      </c>
      <c r="M144" s="158"/>
      <c r="N144" s="153" t="str">
        <f>IFERROR(INDEX('Prescriptive Rebate Table'!$M$3:$M$20,MATCH(M144,'Prescriptive Rebate Table'!$L$3:$L$20,0)),"")</f>
        <v/>
      </c>
      <c r="O144" s="158"/>
      <c r="P144" s="154" t="str">
        <f>IFERROR(INDEX('Prescriptive Rebate Table'!$B$2:$H$64, MATCH(O144,'Prescriptive Rebate Table'!$C$2:$C$64,0),7),"")</f>
        <v/>
      </c>
      <c r="Q144" s="155" t="str">
        <f>IFERROR(INDEX('Prescriptive Rebate Table'!$B$2:$I$64, MATCH(O144,'Prescriptive Rebate Table'!$C$2:$C$64,0),8),"")</f>
        <v/>
      </c>
      <c r="R144" s="155" t="str">
        <f>IFERROR(INDEX('Prescriptive Rebate Table'!$B$2:$J$64, MATCH(O144,'Prescriptive Rebate Table'!$C$2:$C$64,0),9),"")</f>
        <v/>
      </c>
      <c r="S144" s="160"/>
      <c r="T144" s="145" t="str">
        <f>IFERROR(INDEX('Fixture Codes'!$M$8:$M$976,MATCH(S144,'Fixture Codes'!$B$8:$B$976,0)),"")</f>
        <v/>
      </c>
      <c r="U144" s="145" t="str">
        <f>IFERROR(INDEX('Fixture Codes'!$B$7:$M$976,MATCH(T144,'Fixture Codes'!$B$7:$B$976,0),5),"")</f>
        <v/>
      </c>
      <c r="V144" s="160"/>
      <c r="W144" s="145" t="str">
        <f>IFERROR(INDEX('Fixture Codes'!$L$8:$L$976,MATCH(T144,'Fixture Codes'!$B$8:$B$976,0)),"")</f>
        <v/>
      </c>
      <c r="X144" s="158"/>
      <c r="Y144" s="159"/>
      <c r="Z144" s="155" t="str">
        <f>IFERROR(INDEX(Lookups!B$68:B$87,MATCH($X144,Lookups!$A$68:$A$87,0)),"")</f>
        <v/>
      </c>
      <c r="AA144" s="150" t="str">
        <f>IFERROR(INDEX(Lookups!B$42:B$62,MATCH($X144,Lookups!$A$42:$A$62,0)),"")</f>
        <v/>
      </c>
      <c r="AB144" s="150" t="str">
        <f>IFERROR(INDEX(Lookups!C$42:C$62,MATCH($X144,Lookups!$A$42:$A$62,0)),"")</f>
        <v/>
      </c>
      <c r="AC144" s="160"/>
      <c r="AD144" s="160"/>
      <c r="AE144" s="150" t="str">
        <f>IFERROR(INDEX('Fixture Codes'!$B$7:$M$976,MATCH(AD144,'Fixture Codes'!$B$7:$B$976,0),5),"")</f>
        <v/>
      </c>
      <c r="AF144" s="160"/>
      <c r="AG144" s="145" t="str">
        <f>IFERROR(INDEX('Fixture Codes'!$L$8:$L$976,MATCH(AD144,'Fixture Codes'!$B$8:$B$976,0)),"")</f>
        <v/>
      </c>
      <c r="AH144" s="158"/>
      <c r="AI144" s="160"/>
      <c r="AJ144" s="150" t="str">
        <f>IFERROR(INDEX(Lookups!B$68:B$87,MATCH($AH144,Lookups!$A$68:$A$87,0)),"")</f>
        <v/>
      </c>
      <c r="AK144" s="150" t="str">
        <f>IFERROR(INDEX(Lookups!B$42:B$62,MATCH($AH144,Lookups!$A$42:$A$62,0)),"")</f>
        <v/>
      </c>
      <c r="AL144" s="150" t="str">
        <f>IFERROR(INDEX(Lookups!C$42:C$62,MATCH($AH144,Lookups!$A$42:$A$62,0)),"")</f>
        <v/>
      </c>
      <c r="AM144" s="150" t="str">
        <f>IFERROR(IF(M144="Exit Signs",8760,IF(INDEX('Fixture Codes'!$C$8:$C$976,MATCH(AD144,'Fixture Codes'!$B$8:$B$976,0))="Exit Sign",8760,INDEX(Lookups!$I$2:$I$428,MATCH(_xlfn.CONCAT(B144,H144),Lookups!$H$2:$H$428,0)))),"")</f>
        <v/>
      </c>
      <c r="AN144" s="153">
        <v>1</v>
      </c>
      <c r="AO144" s="150" t="str">
        <f>IF($D144="Interior",INDEX(Lookups!Q$2:Q$86,MATCH(_xlfn.CONCAT($C144,$L144),Lookups!$P$2:$P$86,0)),IF($D144="Exterior",1,""))</f>
        <v/>
      </c>
      <c r="AP144" s="150">
        <f t="shared" si="88"/>
        <v>1</v>
      </c>
      <c r="AQ144" s="150" t="str">
        <f>IF($D144="Interior",INDEX(Lookups!R$2:R$86,MATCH(_xlfn.CONCAT($C144,$L144),Lookups!$P$2:$P$86,0)),IF($D144="Exterior",1,""))</f>
        <v/>
      </c>
      <c r="AR144" s="150" t="str">
        <f>IF($D144="Interior",INDEX(Lookups!S$2:S$86,MATCH(_xlfn.CONCAT($C144,$L144),Lookups!$P$2:$P$86,0)),IF($D144="Exterior",1,""))</f>
        <v/>
      </c>
      <c r="AS144" s="150" t="str">
        <f>IF($D144="Interior",INDEX(Lookups!T$2:T$86,MATCH(_xlfn.CONCAT($C144,$L144),Lookups!$P$2:$P$86,0)),IF($D144="Exterior",1,""))</f>
        <v/>
      </c>
      <c r="AT144" s="150" t="str">
        <f>IFERROR(IF(M144="Exit Signs",1,IF(INDEX('Fixture Codes'!$C$8:$C$976,MATCH($AD144,'Fixture Codes'!$B$8:$B$976,0))="Exit Sign",1,INDEX(Lookups!J$2:J$428,MATCH(_xlfn.CONCAT($B144,$H144),Lookups!$H$2:$H$428,0)))),"")</f>
        <v/>
      </c>
      <c r="AU144" s="150" t="str">
        <f>IFERROR(IF(M144="Exit Signs",1,IF(INDEX('Fixture Codes'!$C$8:$C$976,MATCH($AD144,'Fixture Codes'!$B$8:$B$976,0))="Exit Sign",1,INDEX(Lookups!K$2:K$428,MATCH(_xlfn.CONCAT($B144,$H144),Lookups!$H$2:$H$428,0)))),"")</f>
        <v/>
      </c>
      <c r="AV144" s="150" t="str">
        <f>IFERROR(IF(M144="Exit Signs",1,IF(INDEX('Fixture Codes'!$C$8:$C$976,MATCH($AD144,'Fixture Codes'!$B$8:$B$976,0))="Exit Sign",1,INDEX(Lookups!L$2:L$428,MATCH(_xlfn.CONCAT($B144,$H144),Lookups!$H$2:$H$428,0)))),"")</f>
        <v/>
      </c>
      <c r="AW144" s="150" t="str">
        <f>IF(ISBLANK(K144),"",IF(K144="Gas",INDEX(Lookups!$AG$2:$AG$63,MATCH(O144,Lookups!$AD$2:$AD$63,0),0),0))</f>
        <v/>
      </c>
      <c r="AX144" s="150" t="str">
        <f>IF(ISBLANK(K144),"",IF(K144="Gas",INDEX(Lookups!$AF$2:$AF$63,MATCH(O144,Lookups!$AD$2:$AD$63,0),0),0))</f>
        <v/>
      </c>
      <c r="AY144" s="150" t="str">
        <f>IF(ISBLANK(K144),"",IF(K144="Gas",INDEX(Lookups!$AH$2:$AH$63,MATCH(O144,Lookups!$AD$2:$AD$63,0),0),0))</f>
        <v/>
      </c>
      <c r="AZ144" s="150" t="str">
        <f>IF(ISBLANK(K144),"",IF(K144="Gas",INDEX(Lookups!$AI$2:$AI$63,MATCH(O144,Lookups!$AD$2:$AD$63,0),0),0))</f>
        <v/>
      </c>
      <c r="BA144" s="150" t="str">
        <f t="shared" si="73"/>
        <v/>
      </c>
      <c r="BB144" s="156" t="str">
        <f>IF(ISBLANK(AH144),"",IF(AH144="None",0,IF(K144="Gas",INDEX(Lookups!$AF$51:$AF$69,MATCH(AH144,Lookups!$AD$51:$AD$69,0),0),0)))</f>
        <v/>
      </c>
      <c r="BC144" s="156" t="str">
        <f>IF(ISBLANK(AH144),"",IF(AH144="None",0,IF(K144="Gas",INDEX(Lookups!$AH$51:$AH$69,MATCH(AH144,Lookups!$AD$51:$AD$69,0),0),0)))</f>
        <v/>
      </c>
      <c r="BD144" s="156" t="str">
        <f>IF(ISBLANK(AH144),"",IF(AH144="None",0,IF(K144="Gas",INDEX(Lookups!$AI$51:$AI$69,MATCH(AH144,Lookups!$AD$51:$AD$69,0),0),0)))</f>
        <v/>
      </c>
      <c r="BE144" s="157"/>
      <c r="BF144" s="157"/>
      <c r="BG144" s="147" t="str">
        <f t="shared" si="89"/>
        <v/>
      </c>
      <c r="BH144" s="147" t="str">
        <f t="shared" si="90"/>
        <v/>
      </c>
      <c r="BI144" s="147" t="str">
        <f t="shared" si="74"/>
        <v/>
      </c>
      <c r="BJ144" s="147" t="str">
        <f t="shared" si="75"/>
        <v/>
      </c>
      <c r="BK144" s="148" t="str">
        <f t="shared" si="91"/>
        <v/>
      </c>
      <c r="BL144" s="147" t="str">
        <f t="shared" si="76"/>
        <v/>
      </c>
      <c r="BM144" s="148" t="str">
        <f t="shared" si="92"/>
        <v/>
      </c>
      <c r="BN144" s="147" t="str">
        <f t="shared" si="93"/>
        <v/>
      </c>
      <c r="BO144" s="147" t="str">
        <f t="shared" si="93"/>
        <v/>
      </c>
      <c r="BP144" s="147" t="str">
        <f t="shared" si="94"/>
        <v/>
      </c>
      <c r="BQ144" s="148" t="str">
        <f t="shared" si="95"/>
        <v/>
      </c>
      <c r="BR144" s="148" t="str">
        <f t="shared" si="96"/>
        <v/>
      </c>
      <c r="BS144" s="148" t="str">
        <f t="shared" si="97"/>
        <v/>
      </c>
      <c r="BT144" s="148" t="str">
        <f t="shared" si="77"/>
        <v/>
      </c>
      <c r="BU144" s="148" t="str">
        <f t="shared" si="78"/>
        <v/>
      </c>
      <c r="BV144" s="148" t="str">
        <f t="shared" si="79"/>
        <v/>
      </c>
      <c r="BW144" s="148" t="str">
        <f t="shared" si="80"/>
        <v/>
      </c>
      <c r="BX144" s="148" t="str">
        <f t="shared" si="81"/>
        <v/>
      </c>
      <c r="BY144" s="148" t="str">
        <f t="shared" si="82"/>
        <v/>
      </c>
      <c r="BZ144" s="149" t="str">
        <f>IFERROR(INDEX('Prescriptive Rebate Table'!$B$2:$E$64,MATCH(O144,'Prescriptive Rebate Table'!$C$2:$C$64,0),3),"")</f>
        <v/>
      </c>
      <c r="CA144" s="145" t="str">
        <f>IFERROR(INDEX('Prescriptive Rebate Table'!$B$2:$E$64,MATCH(O144,'Prescriptive Rebate Table'!$C$2:$C$64,0),4),"")</f>
        <v/>
      </c>
      <c r="CB144" s="149" t="str">
        <f t="shared" si="98"/>
        <v/>
      </c>
      <c r="CC144" s="145" t="str">
        <f t="shared" si="99"/>
        <v/>
      </c>
      <c r="CD144" s="149" t="str">
        <f t="shared" si="83"/>
        <v/>
      </c>
      <c r="CE144" s="149" t="str">
        <f t="shared" si="84"/>
        <v/>
      </c>
      <c r="CF144" s="149" t="str">
        <f>IF(BK144&lt;=0,0,IFERROR(IF(OR(ISBLANK(AC144),ISBLANK(CD144))=TRUE,"",IF(CA144="Per Foot",INDEX('Fixture Codes'!$I$8:$I$976,MATCH(AD144,'Fixture Codes'!$B$8:$B$976,0))/12*AF144*BZ144,IF(CA144="Lamp",INDEX('Fixture Codes'!$J$8:$J$976,MATCH(AD144,'Fixture Codes'!$B$8:$B$976,0))*AF144*BZ144,IF(CA144="Fixture",AF144*BZ144,IF(CA144="kWh",BK144*BZ144,0))))),""))</f>
        <v/>
      </c>
      <c r="CG144" s="149" t="str">
        <f t="shared" si="100"/>
        <v/>
      </c>
      <c r="CH144" s="149" t="str">
        <f t="shared" si="101"/>
        <v/>
      </c>
      <c r="CI144" s="152"/>
      <c r="CJ144" s="146"/>
      <c r="CK144" s="241">
        <f>IFERROR(IF(CL144="Yes",'Prescriptive Rebate Table'!$D$69,IF(ISBLANK(AI144),0,IF(AND(AH144=Lookups!$A$62,BK144&gt;0),'Prescriptive Rebate Table'!$D$68,IF(AND(BK144&gt;0,CJ144=AF144),'Prescriptive Rebate Table'!$D$67,IF(AND(BK144&gt;0,CJ144&lt;&gt;AF144),'Prescriptive Rebate Table'!D203,0))))),"")</f>
        <v>0</v>
      </c>
      <c r="CL144" s="240" t="s">
        <v>2712</v>
      </c>
      <c r="CM144" s="152"/>
      <c r="CN144" s="152"/>
      <c r="CO144" s="152"/>
      <c r="CP144" s="146">
        <f t="shared" si="85"/>
        <v>0</v>
      </c>
      <c r="CQ144" s="153">
        <f>IF(D144="Interior",ROUND(($AG144*AF144)/1000*$AM144*(Lookups!$B$54-$AA144)*$AN144*$AO144,3),0)</f>
        <v>0</v>
      </c>
      <c r="CR144" s="153">
        <f>IFERROR(IF(D144="Interior",ROUND(($AG144*$AF144)/1000*(Lookups!$C$54-$AB144)*$AN144*AQ144*AT144,6),0),"")</f>
        <v>0</v>
      </c>
      <c r="CS144" s="165">
        <f t="shared" si="102"/>
        <v>0</v>
      </c>
      <c r="CT144" s="165">
        <f t="shared" si="103"/>
        <v>0</v>
      </c>
      <c r="CV144" s="153"/>
      <c r="CW144" s="153"/>
      <c r="CX144" s="165"/>
      <c r="CY144" s="165"/>
      <c r="DA144" s="153">
        <f>IF(D144="Interior",ROUND(($AG144*AF144*(1-0.15))/1000*$AM144*(Lookups!$B$43+0.097-$AA144)*$AN144*$AO144+((W144*V144)/1000*AN144*AM144*AO144*0.15),3),0)</f>
        <v>0</v>
      </c>
      <c r="DB144" s="153">
        <f>IFERROR(IF(D144="Interior",ROUND(($AG144*$AF144)/1000*(Lookups!$C$43+0.097-$AB144)*$AN144*AQ144*AT144+(($AG144*$AF144)/1000*$AN144*AQ144*AT144*0.15),6),0),"")</f>
        <v>0</v>
      </c>
      <c r="DC144" s="165">
        <f t="shared" si="86"/>
        <v>0</v>
      </c>
      <c r="DD144" s="165">
        <f t="shared" si="87"/>
        <v>0</v>
      </c>
    </row>
    <row r="145" spans="1:108" s="164" customFormat="1">
      <c r="A145" s="150">
        <v>141</v>
      </c>
      <c r="B145" s="153" t="str">
        <f>IFERROR(INDEX(Lookups!$B$2:$B$38,MATCH('Project Info &amp; Summary'!$C$19,Lookups!$A$2:$A$38,0)),"")</f>
        <v/>
      </c>
      <c r="C145" s="153" t="str">
        <f>IFERROR(INDEX(Lookups!$C$2:$C$38,MATCH('Project Info &amp; Summary'!$C$19,Lookups!$A$2:$A$38,0)),"")</f>
        <v/>
      </c>
      <c r="D145" s="163"/>
      <c r="E145" s="160"/>
      <c r="F145" s="158"/>
      <c r="G145" s="158"/>
      <c r="H145" s="158"/>
      <c r="I145" s="158"/>
      <c r="J145" s="154" t="str">
        <f>IFERROR(INDEX(Lookups!$W$21:$W$26,MATCH(I145,Lookups!$V$21:$V$26,0)),"")</f>
        <v/>
      </c>
      <c r="K145" s="158"/>
      <c r="L145" s="162" t="str">
        <f>IFERROR(INDEX(Lookups!$Y$2:$Y$19,MATCH(_xlfn.CONCAT(I145,K145),Lookups!$X$2:$X$19,0)),"")</f>
        <v/>
      </c>
      <c r="M145" s="158"/>
      <c r="N145" s="153" t="str">
        <f>IFERROR(INDEX('Prescriptive Rebate Table'!$M$3:$M$20,MATCH(M145,'Prescriptive Rebate Table'!$L$3:$L$20,0)),"")</f>
        <v/>
      </c>
      <c r="O145" s="158"/>
      <c r="P145" s="154" t="str">
        <f>IFERROR(INDEX('Prescriptive Rebate Table'!$B$2:$H$64, MATCH(O145,'Prescriptive Rebate Table'!$C$2:$C$64,0),7),"")</f>
        <v/>
      </c>
      <c r="Q145" s="155" t="str">
        <f>IFERROR(INDEX('Prescriptive Rebate Table'!$B$2:$I$64, MATCH(O145,'Prescriptive Rebate Table'!$C$2:$C$64,0),8),"")</f>
        <v/>
      </c>
      <c r="R145" s="155" t="str">
        <f>IFERROR(INDEX('Prescriptive Rebate Table'!$B$2:$J$64, MATCH(O145,'Prescriptive Rebate Table'!$C$2:$C$64,0),9),"")</f>
        <v/>
      </c>
      <c r="S145" s="160"/>
      <c r="T145" s="145" t="str">
        <f>IFERROR(INDEX('Fixture Codes'!$M$8:$M$976,MATCH(S145,'Fixture Codes'!$B$8:$B$976,0)),"")</f>
        <v/>
      </c>
      <c r="U145" s="145" t="str">
        <f>IFERROR(INDEX('Fixture Codes'!$B$7:$M$976,MATCH(T145,'Fixture Codes'!$B$7:$B$976,0),5),"")</f>
        <v/>
      </c>
      <c r="V145" s="160"/>
      <c r="W145" s="145" t="str">
        <f>IFERROR(INDEX('Fixture Codes'!$L$8:$L$976,MATCH(T145,'Fixture Codes'!$B$8:$B$976,0)),"")</f>
        <v/>
      </c>
      <c r="X145" s="158"/>
      <c r="Y145" s="159"/>
      <c r="Z145" s="155" t="str">
        <f>IFERROR(INDEX(Lookups!B$68:B$87,MATCH($X145,Lookups!$A$68:$A$87,0)),"")</f>
        <v/>
      </c>
      <c r="AA145" s="150" t="str">
        <f>IFERROR(INDEX(Lookups!B$42:B$62,MATCH($X145,Lookups!$A$42:$A$62,0)),"")</f>
        <v/>
      </c>
      <c r="AB145" s="150" t="str">
        <f>IFERROR(INDEX(Lookups!C$42:C$62,MATCH($X145,Lookups!$A$42:$A$62,0)),"")</f>
        <v/>
      </c>
      <c r="AC145" s="160"/>
      <c r="AD145" s="160"/>
      <c r="AE145" s="150" t="str">
        <f>IFERROR(INDEX('Fixture Codes'!$B$7:$M$976,MATCH(AD145,'Fixture Codes'!$B$7:$B$976,0),5),"")</f>
        <v/>
      </c>
      <c r="AF145" s="160"/>
      <c r="AG145" s="145" t="str">
        <f>IFERROR(INDEX('Fixture Codes'!$L$8:$L$976,MATCH(AD145,'Fixture Codes'!$B$8:$B$976,0)),"")</f>
        <v/>
      </c>
      <c r="AH145" s="158"/>
      <c r="AI145" s="160"/>
      <c r="AJ145" s="150" t="str">
        <f>IFERROR(INDEX(Lookups!B$68:B$87,MATCH($AH145,Lookups!$A$68:$A$87,0)),"")</f>
        <v/>
      </c>
      <c r="AK145" s="150" t="str">
        <f>IFERROR(INDEX(Lookups!B$42:B$62,MATCH($AH145,Lookups!$A$42:$A$62,0)),"")</f>
        <v/>
      </c>
      <c r="AL145" s="150" t="str">
        <f>IFERROR(INDEX(Lookups!C$42:C$62,MATCH($AH145,Lookups!$A$42:$A$62,0)),"")</f>
        <v/>
      </c>
      <c r="AM145" s="150" t="str">
        <f>IFERROR(IF(M145="Exit Signs",8760,IF(INDEX('Fixture Codes'!$C$8:$C$976,MATCH(AD145,'Fixture Codes'!$B$8:$B$976,0))="Exit Sign",8760,INDEX(Lookups!$I$2:$I$428,MATCH(_xlfn.CONCAT(B145,H145),Lookups!$H$2:$H$428,0)))),"")</f>
        <v/>
      </c>
      <c r="AN145" s="153">
        <v>1</v>
      </c>
      <c r="AO145" s="150" t="str">
        <f>IF($D145="Interior",INDEX(Lookups!Q$2:Q$86,MATCH(_xlfn.CONCAT($C145,$L145),Lookups!$P$2:$P$86,0)),IF($D145="Exterior",1,""))</f>
        <v/>
      </c>
      <c r="AP145" s="150">
        <f t="shared" si="88"/>
        <v>1</v>
      </c>
      <c r="AQ145" s="150" t="str">
        <f>IF($D145="Interior",INDEX(Lookups!R$2:R$86,MATCH(_xlfn.CONCAT($C145,$L145),Lookups!$P$2:$P$86,0)),IF($D145="Exterior",1,""))</f>
        <v/>
      </c>
      <c r="AR145" s="150" t="str">
        <f>IF($D145="Interior",INDEX(Lookups!S$2:S$86,MATCH(_xlfn.CONCAT($C145,$L145),Lookups!$P$2:$P$86,0)),IF($D145="Exterior",1,""))</f>
        <v/>
      </c>
      <c r="AS145" s="150" t="str">
        <f>IF($D145="Interior",INDEX(Lookups!T$2:T$86,MATCH(_xlfn.CONCAT($C145,$L145),Lookups!$P$2:$P$86,0)),IF($D145="Exterior",1,""))</f>
        <v/>
      </c>
      <c r="AT145" s="150" t="str">
        <f>IFERROR(IF(M145="Exit Signs",1,IF(INDEX('Fixture Codes'!$C$8:$C$976,MATCH($AD145,'Fixture Codes'!$B$8:$B$976,0))="Exit Sign",1,INDEX(Lookups!J$2:J$428,MATCH(_xlfn.CONCAT($B145,$H145),Lookups!$H$2:$H$428,0)))),"")</f>
        <v/>
      </c>
      <c r="AU145" s="150" t="str">
        <f>IFERROR(IF(M145="Exit Signs",1,IF(INDEX('Fixture Codes'!$C$8:$C$976,MATCH($AD145,'Fixture Codes'!$B$8:$B$976,0))="Exit Sign",1,INDEX(Lookups!K$2:K$428,MATCH(_xlfn.CONCAT($B145,$H145),Lookups!$H$2:$H$428,0)))),"")</f>
        <v/>
      </c>
      <c r="AV145" s="150" t="str">
        <f>IFERROR(IF(M145="Exit Signs",1,IF(INDEX('Fixture Codes'!$C$8:$C$976,MATCH($AD145,'Fixture Codes'!$B$8:$B$976,0))="Exit Sign",1,INDEX(Lookups!L$2:L$428,MATCH(_xlfn.CONCAT($B145,$H145),Lookups!$H$2:$H$428,0)))),"")</f>
        <v/>
      </c>
      <c r="AW145" s="150" t="str">
        <f>IF(ISBLANK(K145),"",IF(K145="Gas",INDEX(Lookups!$AG$2:$AG$63,MATCH(O145,Lookups!$AD$2:$AD$63,0),0),0))</f>
        <v/>
      </c>
      <c r="AX145" s="150" t="str">
        <f>IF(ISBLANK(K145),"",IF(K145="Gas",INDEX(Lookups!$AF$2:$AF$63,MATCH(O145,Lookups!$AD$2:$AD$63,0),0),0))</f>
        <v/>
      </c>
      <c r="AY145" s="150" t="str">
        <f>IF(ISBLANK(K145),"",IF(K145="Gas",INDEX(Lookups!$AH$2:$AH$63,MATCH(O145,Lookups!$AD$2:$AD$63,0),0),0))</f>
        <v/>
      </c>
      <c r="AZ145" s="150" t="str">
        <f>IF(ISBLANK(K145),"",IF(K145="Gas",INDEX(Lookups!$AI$2:$AI$63,MATCH(O145,Lookups!$AD$2:$AD$63,0),0),0))</f>
        <v/>
      </c>
      <c r="BA145" s="150" t="str">
        <f t="shared" si="73"/>
        <v/>
      </c>
      <c r="BB145" s="156" t="str">
        <f>IF(ISBLANK(AH145),"",IF(AH145="None",0,IF(K145="Gas",INDEX(Lookups!$AF$51:$AF$69,MATCH(AH145,Lookups!$AD$51:$AD$69,0),0),0)))</f>
        <v/>
      </c>
      <c r="BC145" s="156" t="str">
        <f>IF(ISBLANK(AH145),"",IF(AH145="None",0,IF(K145="Gas",INDEX(Lookups!$AH$51:$AH$69,MATCH(AH145,Lookups!$AD$51:$AD$69,0),0),0)))</f>
        <v/>
      </c>
      <c r="BD145" s="156" t="str">
        <f>IF(ISBLANK(AH145),"",IF(AH145="None",0,IF(K145="Gas",INDEX(Lookups!$AI$51:$AI$69,MATCH(AH145,Lookups!$AD$51:$AD$69,0),0),0)))</f>
        <v/>
      </c>
      <c r="BE145" s="157"/>
      <c r="BF145" s="157"/>
      <c r="BG145" s="147" t="str">
        <f t="shared" si="89"/>
        <v/>
      </c>
      <c r="BH145" s="147" t="str">
        <f t="shared" si="90"/>
        <v/>
      </c>
      <c r="BI145" s="147" t="str">
        <f t="shared" si="74"/>
        <v/>
      </c>
      <c r="BJ145" s="147" t="str">
        <f t="shared" si="75"/>
        <v/>
      </c>
      <c r="BK145" s="148" t="str">
        <f t="shared" si="91"/>
        <v/>
      </c>
      <c r="BL145" s="147" t="str">
        <f t="shared" si="76"/>
        <v/>
      </c>
      <c r="BM145" s="148" t="str">
        <f t="shared" si="92"/>
        <v/>
      </c>
      <c r="BN145" s="147" t="str">
        <f t="shared" si="93"/>
        <v/>
      </c>
      <c r="BO145" s="147" t="str">
        <f t="shared" si="93"/>
        <v/>
      </c>
      <c r="BP145" s="147" t="str">
        <f t="shared" si="94"/>
        <v/>
      </c>
      <c r="BQ145" s="148" t="str">
        <f t="shared" si="95"/>
        <v/>
      </c>
      <c r="BR145" s="148" t="str">
        <f t="shared" si="96"/>
        <v/>
      </c>
      <c r="BS145" s="148" t="str">
        <f t="shared" si="97"/>
        <v/>
      </c>
      <c r="BT145" s="148" t="str">
        <f t="shared" si="77"/>
        <v/>
      </c>
      <c r="BU145" s="148" t="str">
        <f t="shared" si="78"/>
        <v/>
      </c>
      <c r="BV145" s="148" t="str">
        <f t="shared" si="79"/>
        <v/>
      </c>
      <c r="BW145" s="148" t="str">
        <f t="shared" si="80"/>
        <v/>
      </c>
      <c r="BX145" s="148" t="str">
        <f t="shared" si="81"/>
        <v/>
      </c>
      <c r="BY145" s="148" t="str">
        <f t="shared" si="82"/>
        <v/>
      </c>
      <c r="BZ145" s="149" t="str">
        <f>IFERROR(INDEX('Prescriptive Rebate Table'!$B$2:$E$64,MATCH(O145,'Prescriptive Rebate Table'!$C$2:$C$64,0),3),"")</f>
        <v/>
      </c>
      <c r="CA145" s="145" t="str">
        <f>IFERROR(INDEX('Prescriptive Rebate Table'!$B$2:$E$64,MATCH(O145,'Prescriptive Rebate Table'!$C$2:$C$64,0),4),"")</f>
        <v/>
      </c>
      <c r="CB145" s="149" t="str">
        <f t="shared" si="98"/>
        <v/>
      </c>
      <c r="CC145" s="145" t="str">
        <f t="shared" si="99"/>
        <v/>
      </c>
      <c r="CD145" s="149" t="str">
        <f t="shared" si="83"/>
        <v/>
      </c>
      <c r="CE145" s="149" t="str">
        <f t="shared" si="84"/>
        <v/>
      </c>
      <c r="CF145" s="149" t="str">
        <f>IF(BK145&lt;=0,0,IFERROR(IF(OR(ISBLANK(AC145),ISBLANK(CD145))=TRUE,"",IF(CA145="Per Foot",INDEX('Fixture Codes'!$I$8:$I$976,MATCH(AD145,'Fixture Codes'!$B$8:$B$976,0))/12*AF145*BZ145,IF(CA145="Lamp",INDEX('Fixture Codes'!$J$8:$J$976,MATCH(AD145,'Fixture Codes'!$B$8:$B$976,0))*AF145*BZ145,IF(CA145="Fixture",AF145*BZ145,IF(CA145="kWh",BK145*BZ145,0))))),""))</f>
        <v/>
      </c>
      <c r="CG145" s="149" t="str">
        <f t="shared" si="100"/>
        <v/>
      </c>
      <c r="CH145" s="149" t="str">
        <f t="shared" si="101"/>
        <v/>
      </c>
      <c r="CI145" s="152"/>
      <c r="CJ145" s="146"/>
      <c r="CK145" s="241">
        <f>IFERROR(IF(CL145="Yes",'Prescriptive Rebate Table'!$D$69,IF(ISBLANK(AI145),0,IF(AND(AH145=Lookups!$A$62,BK145&gt;0),'Prescriptive Rebate Table'!$D$68,IF(AND(BK145&gt;0,CJ145=AF145),'Prescriptive Rebate Table'!$D$67,IF(AND(BK145&gt;0,CJ145&lt;&gt;AF145),'Prescriptive Rebate Table'!D204,0))))),"")</f>
        <v>0</v>
      </c>
      <c r="CL145" s="240" t="s">
        <v>2712</v>
      </c>
      <c r="CM145" s="152"/>
      <c r="CN145" s="152"/>
      <c r="CO145" s="152"/>
      <c r="CP145" s="146">
        <f t="shared" si="85"/>
        <v>0</v>
      </c>
      <c r="CQ145" s="153">
        <f>IF(D145="Interior",ROUND(($AG145*AF145)/1000*$AM145*(Lookups!$B$54-$AA145)*$AN145*$AO145,3),0)</f>
        <v>0</v>
      </c>
      <c r="CR145" s="153">
        <f>IFERROR(IF(D145="Interior",ROUND(($AG145*$AF145)/1000*(Lookups!$C$54-$AB145)*$AN145*AQ145*AT145,6),0),"")</f>
        <v>0</v>
      </c>
      <c r="CS145" s="165">
        <f t="shared" si="102"/>
        <v>0</v>
      </c>
      <c r="CT145" s="165">
        <f t="shared" si="103"/>
        <v>0</v>
      </c>
      <c r="CV145" s="153"/>
      <c r="CW145" s="153"/>
      <c r="CX145" s="165"/>
      <c r="CY145" s="165"/>
      <c r="DA145" s="153">
        <f>IF(D145="Interior",ROUND(($AG145*AF145*(1-0.15))/1000*$AM145*(Lookups!$B$43+0.097-$AA145)*$AN145*$AO145+((W145*V145)/1000*AN145*AM145*AO145*0.15),3),0)</f>
        <v>0</v>
      </c>
      <c r="DB145" s="153">
        <f>IFERROR(IF(D145="Interior",ROUND(($AG145*$AF145)/1000*(Lookups!$C$43+0.097-$AB145)*$AN145*AQ145*AT145+(($AG145*$AF145)/1000*$AN145*AQ145*AT145*0.15),6),0),"")</f>
        <v>0</v>
      </c>
      <c r="DC145" s="165">
        <f t="shared" si="86"/>
        <v>0</v>
      </c>
      <c r="DD145" s="165">
        <f t="shared" si="87"/>
        <v>0</v>
      </c>
    </row>
    <row r="146" spans="1:108" s="164" customFormat="1">
      <c r="A146" s="150">
        <v>142</v>
      </c>
      <c r="B146" s="153" t="str">
        <f>IFERROR(INDEX(Lookups!$B$2:$B$38,MATCH('Project Info &amp; Summary'!$C$19,Lookups!$A$2:$A$38,0)),"")</f>
        <v/>
      </c>
      <c r="C146" s="153" t="str">
        <f>IFERROR(INDEX(Lookups!$C$2:$C$38,MATCH('Project Info &amp; Summary'!$C$19,Lookups!$A$2:$A$38,0)),"")</f>
        <v/>
      </c>
      <c r="D146" s="163"/>
      <c r="E146" s="160"/>
      <c r="F146" s="158"/>
      <c r="G146" s="158"/>
      <c r="H146" s="158"/>
      <c r="I146" s="158"/>
      <c r="J146" s="154" t="str">
        <f>IFERROR(INDEX(Lookups!$W$21:$W$26,MATCH(I146,Lookups!$V$21:$V$26,0)),"")</f>
        <v/>
      </c>
      <c r="K146" s="158"/>
      <c r="L146" s="162" t="str">
        <f>IFERROR(INDEX(Lookups!$Y$2:$Y$19,MATCH(_xlfn.CONCAT(I146,K146),Lookups!$X$2:$X$19,0)),"")</f>
        <v/>
      </c>
      <c r="M146" s="158"/>
      <c r="N146" s="153" t="str">
        <f>IFERROR(INDEX('Prescriptive Rebate Table'!$M$3:$M$20,MATCH(M146,'Prescriptive Rebate Table'!$L$3:$L$20,0)),"")</f>
        <v/>
      </c>
      <c r="O146" s="158"/>
      <c r="P146" s="154" t="str">
        <f>IFERROR(INDEX('Prescriptive Rebate Table'!$B$2:$H$64, MATCH(O146,'Prescriptive Rebate Table'!$C$2:$C$64,0),7),"")</f>
        <v/>
      </c>
      <c r="Q146" s="155" t="str">
        <f>IFERROR(INDEX('Prescriptive Rebate Table'!$B$2:$I$64, MATCH(O146,'Prescriptive Rebate Table'!$C$2:$C$64,0),8),"")</f>
        <v/>
      </c>
      <c r="R146" s="155" t="str">
        <f>IFERROR(INDEX('Prescriptive Rebate Table'!$B$2:$J$64, MATCH(O146,'Prescriptive Rebate Table'!$C$2:$C$64,0),9),"")</f>
        <v/>
      </c>
      <c r="S146" s="160"/>
      <c r="T146" s="145" t="str">
        <f>IFERROR(INDEX('Fixture Codes'!$M$8:$M$976,MATCH(S146,'Fixture Codes'!$B$8:$B$976,0)),"")</f>
        <v/>
      </c>
      <c r="U146" s="145" t="str">
        <f>IFERROR(INDEX('Fixture Codes'!$B$7:$M$976,MATCH(T146,'Fixture Codes'!$B$7:$B$976,0),5),"")</f>
        <v/>
      </c>
      <c r="V146" s="160"/>
      <c r="W146" s="145" t="str">
        <f>IFERROR(INDEX('Fixture Codes'!$L$8:$L$976,MATCH(T146,'Fixture Codes'!$B$8:$B$976,0)),"")</f>
        <v/>
      </c>
      <c r="X146" s="158"/>
      <c r="Y146" s="159"/>
      <c r="Z146" s="155" t="str">
        <f>IFERROR(INDEX(Lookups!B$68:B$87,MATCH($X146,Lookups!$A$68:$A$87,0)),"")</f>
        <v/>
      </c>
      <c r="AA146" s="150" t="str">
        <f>IFERROR(INDEX(Lookups!B$42:B$62,MATCH($X146,Lookups!$A$42:$A$62,0)),"")</f>
        <v/>
      </c>
      <c r="AB146" s="150" t="str">
        <f>IFERROR(INDEX(Lookups!C$42:C$62,MATCH($X146,Lookups!$A$42:$A$62,0)),"")</f>
        <v/>
      </c>
      <c r="AC146" s="160"/>
      <c r="AD146" s="160"/>
      <c r="AE146" s="150" t="str">
        <f>IFERROR(INDEX('Fixture Codes'!$B$7:$M$976,MATCH(AD146,'Fixture Codes'!$B$7:$B$976,0),5),"")</f>
        <v/>
      </c>
      <c r="AF146" s="160"/>
      <c r="AG146" s="145" t="str">
        <f>IFERROR(INDEX('Fixture Codes'!$L$8:$L$976,MATCH(AD146,'Fixture Codes'!$B$8:$B$976,0)),"")</f>
        <v/>
      </c>
      <c r="AH146" s="158"/>
      <c r="AI146" s="160"/>
      <c r="AJ146" s="150" t="str">
        <f>IFERROR(INDEX(Lookups!B$68:B$87,MATCH($AH146,Lookups!$A$68:$A$87,0)),"")</f>
        <v/>
      </c>
      <c r="AK146" s="150" t="str">
        <f>IFERROR(INDEX(Lookups!B$42:B$62,MATCH($AH146,Lookups!$A$42:$A$62,0)),"")</f>
        <v/>
      </c>
      <c r="AL146" s="150" t="str">
        <f>IFERROR(INDEX(Lookups!C$42:C$62,MATCH($AH146,Lookups!$A$42:$A$62,0)),"")</f>
        <v/>
      </c>
      <c r="AM146" s="150" t="str">
        <f>IFERROR(IF(M146="Exit Signs",8760,IF(INDEX('Fixture Codes'!$C$8:$C$976,MATCH(AD146,'Fixture Codes'!$B$8:$B$976,0))="Exit Sign",8760,INDEX(Lookups!$I$2:$I$428,MATCH(_xlfn.CONCAT(B146,H146),Lookups!$H$2:$H$428,0)))),"")</f>
        <v/>
      </c>
      <c r="AN146" s="153">
        <v>1</v>
      </c>
      <c r="AO146" s="150" t="str">
        <f>IF($D146="Interior",INDEX(Lookups!Q$2:Q$86,MATCH(_xlfn.CONCAT($C146,$L146),Lookups!$P$2:$P$86,0)),IF($D146="Exterior",1,""))</f>
        <v/>
      </c>
      <c r="AP146" s="150">
        <f t="shared" si="88"/>
        <v>1</v>
      </c>
      <c r="AQ146" s="150" t="str">
        <f>IF($D146="Interior",INDEX(Lookups!R$2:R$86,MATCH(_xlfn.CONCAT($C146,$L146),Lookups!$P$2:$P$86,0)),IF($D146="Exterior",1,""))</f>
        <v/>
      </c>
      <c r="AR146" s="150" t="str">
        <f>IF($D146="Interior",INDEX(Lookups!S$2:S$86,MATCH(_xlfn.CONCAT($C146,$L146),Lookups!$P$2:$P$86,0)),IF($D146="Exterior",1,""))</f>
        <v/>
      </c>
      <c r="AS146" s="150" t="str">
        <f>IF($D146="Interior",INDEX(Lookups!T$2:T$86,MATCH(_xlfn.CONCAT($C146,$L146),Lookups!$P$2:$P$86,0)),IF($D146="Exterior",1,""))</f>
        <v/>
      </c>
      <c r="AT146" s="150" t="str">
        <f>IFERROR(IF(M146="Exit Signs",1,IF(INDEX('Fixture Codes'!$C$8:$C$976,MATCH($AD146,'Fixture Codes'!$B$8:$B$976,0))="Exit Sign",1,INDEX(Lookups!J$2:J$428,MATCH(_xlfn.CONCAT($B146,$H146),Lookups!$H$2:$H$428,0)))),"")</f>
        <v/>
      </c>
      <c r="AU146" s="150" t="str">
        <f>IFERROR(IF(M146="Exit Signs",1,IF(INDEX('Fixture Codes'!$C$8:$C$976,MATCH($AD146,'Fixture Codes'!$B$8:$B$976,0))="Exit Sign",1,INDEX(Lookups!K$2:K$428,MATCH(_xlfn.CONCAT($B146,$H146),Lookups!$H$2:$H$428,0)))),"")</f>
        <v/>
      </c>
      <c r="AV146" s="150" t="str">
        <f>IFERROR(IF(M146="Exit Signs",1,IF(INDEX('Fixture Codes'!$C$8:$C$976,MATCH($AD146,'Fixture Codes'!$B$8:$B$976,0))="Exit Sign",1,INDEX(Lookups!L$2:L$428,MATCH(_xlfn.CONCAT($B146,$H146),Lookups!$H$2:$H$428,0)))),"")</f>
        <v/>
      </c>
      <c r="AW146" s="150" t="str">
        <f>IF(ISBLANK(K146),"",IF(K146="Gas",INDEX(Lookups!$AG$2:$AG$63,MATCH(O146,Lookups!$AD$2:$AD$63,0),0),0))</f>
        <v/>
      </c>
      <c r="AX146" s="150" t="str">
        <f>IF(ISBLANK(K146),"",IF(K146="Gas",INDEX(Lookups!$AF$2:$AF$63,MATCH(O146,Lookups!$AD$2:$AD$63,0),0),0))</f>
        <v/>
      </c>
      <c r="AY146" s="150" t="str">
        <f>IF(ISBLANK(K146),"",IF(K146="Gas",INDEX(Lookups!$AH$2:$AH$63,MATCH(O146,Lookups!$AD$2:$AD$63,0),0),0))</f>
        <v/>
      </c>
      <c r="AZ146" s="150" t="str">
        <f>IF(ISBLANK(K146),"",IF(K146="Gas",INDEX(Lookups!$AI$2:$AI$63,MATCH(O146,Lookups!$AD$2:$AD$63,0),0),0))</f>
        <v/>
      </c>
      <c r="BA146" s="150" t="str">
        <f t="shared" si="73"/>
        <v/>
      </c>
      <c r="BB146" s="156" t="str">
        <f>IF(ISBLANK(AH146),"",IF(AH146="None",0,IF(K146="Gas",INDEX(Lookups!$AF$51:$AF$69,MATCH(AH146,Lookups!$AD$51:$AD$69,0),0),0)))</f>
        <v/>
      </c>
      <c r="BC146" s="156" t="str">
        <f>IF(ISBLANK(AH146),"",IF(AH146="None",0,IF(K146="Gas",INDEX(Lookups!$AH$51:$AH$69,MATCH(AH146,Lookups!$AD$51:$AD$69,0),0),0)))</f>
        <v/>
      </c>
      <c r="BD146" s="156" t="str">
        <f>IF(ISBLANK(AH146),"",IF(AH146="None",0,IF(K146="Gas",INDEX(Lookups!$AI$51:$AI$69,MATCH(AH146,Lookups!$AD$51:$AD$69,0),0),0)))</f>
        <v/>
      </c>
      <c r="BE146" s="157"/>
      <c r="BF146" s="157"/>
      <c r="BG146" s="147" t="str">
        <f t="shared" si="89"/>
        <v/>
      </c>
      <c r="BH146" s="147" t="str">
        <f t="shared" si="90"/>
        <v/>
      </c>
      <c r="BI146" s="147" t="str">
        <f t="shared" si="74"/>
        <v/>
      </c>
      <c r="BJ146" s="147" t="str">
        <f t="shared" si="75"/>
        <v/>
      </c>
      <c r="BK146" s="148" t="str">
        <f t="shared" si="91"/>
        <v/>
      </c>
      <c r="BL146" s="147" t="str">
        <f t="shared" si="76"/>
        <v/>
      </c>
      <c r="BM146" s="148" t="str">
        <f t="shared" si="92"/>
        <v/>
      </c>
      <c r="BN146" s="147" t="str">
        <f t="shared" si="93"/>
        <v/>
      </c>
      <c r="BO146" s="147" t="str">
        <f t="shared" si="93"/>
        <v/>
      </c>
      <c r="BP146" s="147" t="str">
        <f t="shared" si="94"/>
        <v/>
      </c>
      <c r="BQ146" s="148" t="str">
        <f t="shared" si="95"/>
        <v/>
      </c>
      <c r="BR146" s="148" t="str">
        <f t="shared" si="96"/>
        <v/>
      </c>
      <c r="BS146" s="148" t="str">
        <f t="shared" si="97"/>
        <v/>
      </c>
      <c r="BT146" s="148" t="str">
        <f t="shared" si="77"/>
        <v/>
      </c>
      <c r="BU146" s="148" t="str">
        <f t="shared" si="78"/>
        <v/>
      </c>
      <c r="BV146" s="148" t="str">
        <f t="shared" si="79"/>
        <v/>
      </c>
      <c r="BW146" s="148" t="str">
        <f t="shared" si="80"/>
        <v/>
      </c>
      <c r="BX146" s="148" t="str">
        <f t="shared" si="81"/>
        <v/>
      </c>
      <c r="BY146" s="148" t="str">
        <f t="shared" si="82"/>
        <v/>
      </c>
      <c r="BZ146" s="149" t="str">
        <f>IFERROR(INDEX('Prescriptive Rebate Table'!$B$2:$E$64,MATCH(O146,'Prescriptive Rebate Table'!$C$2:$C$64,0),3),"")</f>
        <v/>
      </c>
      <c r="CA146" s="145" t="str">
        <f>IFERROR(INDEX('Prescriptive Rebate Table'!$B$2:$E$64,MATCH(O146,'Prescriptive Rebate Table'!$C$2:$C$64,0),4),"")</f>
        <v/>
      </c>
      <c r="CB146" s="149" t="str">
        <f t="shared" si="98"/>
        <v/>
      </c>
      <c r="CC146" s="145" t="str">
        <f t="shared" si="99"/>
        <v/>
      </c>
      <c r="CD146" s="149" t="str">
        <f t="shared" si="83"/>
        <v/>
      </c>
      <c r="CE146" s="149" t="str">
        <f t="shared" si="84"/>
        <v/>
      </c>
      <c r="CF146" s="149" t="str">
        <f>IF(BK146&lt;=0,0,IFERROR(IF(OR(ISBLANK(AC146),ISBLANK(CD146))=TRUE,"",IF(CA146="Per Foot",INDEX('Fixture Codes'!$I$8:$I$976,MATCH(AD146,'Fixture Codes'!$B$8:$B$976,0))/12*AF146*BZ146,IF(CA146="Lamp",INDEX('Fixture Codes'!$J$8:$J$976,MATCH(AD146,'Fixture Codes'!$B$8:$B$976,0))*AF146*BZ146,IF(CA146="Fixture",AF146*BZ146,IF(CA146="kWh",BK146*BZ146,0))))),""))</f>
        <v/>
      </c>
      <c r="CG146" s="149" t="str">
        <f t="shared" si="100"/>
        <v/>
      </c>
      <c r="CH146" s="149" t="str">
        <f t="shared" si="101"/>
        <v/>
      </c>
      <c r="CI146" s="152"/>
      <c r="CJ146" s="146"/>
      <c r="CK146" s="241">
        <f>IFERROR(IF(CL146="Yes",'Prescriptive Rebate Table'!$D$69,IF(ISBLANK(AI146),0,IF(AND(AH146=Lookups!$A$62,BK146&gt;0),'Prescriptive Rebate Table'!$D$68,IF(AND(BK146&gt;0,CJ146=AF146),'Prescriptive Rebate Table'!$D$67,IF(AND(BK146&gt;0,CJ146&lt;&gt;AF146),'Prescriptive Rebate Table'!D205,0))))),"")</f>
        <v>0</v>
      </c>
      <c r="CL146" s="240" t="s">
        <v>2712</v>
      </c>
      <c r="CM146" s="152"/>
      <c r="CN146" s="152"/>
      <c r="CO146" s="152"/>
      <c r="CP146" s="146">
        <f t="shared" si="85"/>
        <v>0</v>
      </c>
      <c r="CQ146" s="153">
        <f>IF(D146="Interior",ROUND(($AG146*AF146)/1000*$AM146*(Lookups!$B$54-$AA146)*$AN146*$AO146,3),0)</f>
        <v>0</v>
      </c>
      <c r="CR146" s="153">
        <f>IFERROR(IF(D146="Interior",ROUND(($AG146*$AF146)/1000*(Lookups!$C$54-$AB146)*$AN146*AQ146*AT146,6),0),"")</f>
        <v>0</v>
      </c>
      <c r="CS146" s="165">
        <f t="shared" si="102"/>
        <v>0</v>
      </c>
      <c r="CT146" s="165">
        <f t="shared" si="103"/>
        <v>0</v>
      </c>
      <c r="CV146" s="153"/>
      <c r="CW146" s="153"/>
      <c r="CX146" s="165"/>
      <c r="CY146" s="165"/>
      <c r="DA146" s="153">
        <f>IF(D146="Interior",ROUND(($AG146*AF146*(1-0.15))/1000*$AM146*(Lookups!$B$43+0.097-$AA146)*$AN146*$AO146+((W146*V146)/1000*AN146*AM146*AO146*0.15),3),0)</f>
        <v>0</v>
      </c>
      <c r="DB146" s="153">
        <f>IFERROR(IF(D146="Interior",ROUND(($AG146*$AF146)/1000*(Lookups!$C$43+0.097-$AB146)*$AN146*AQ146*AT146+(($AG146*$AF146)/1000*$AN146*AQ146*AT146*0.15),6),0),"")</f>
        <v>0</v>
      </c>
      <c r="DC146" s="165">
        <f t="shared" si="86"/>
        <v>0</v>
      </c>
      <c r="DD146" s="165">
        <f t="shared" si="87"/>
        <v>0</v>
      </c>
    </row>
    <row r="147" spans="1:108" s="164" customFormat="1">
      <c r="A147" s="150">
        <v>143</v>
      </c>
      <c r="B147" s="153" t="str">
        <f>IFERROR(INDEX(Lookups!$B$2:$B$38,MATCH('Project Info &amp; Summary'!$C$19,Lookups!$A$2:$A$38,0)),"")</f>
        <v/>
      </c>
      <c r="C147" s="153" t="str">
        <f>IFERROR(INDEX(Lookups!$C$2:$C$38,MATCH('Project Info &amp; Summary'!$C$19,Lookups!$A$2:$A$38,0)),"")</f>
        <v/>
      </c>
      <c r="D147" s="163"/>
      <c r="E147" s="160"/>
      <c r="F147" s="158"/>
      <c r="G147" s="158"/>
      <c r="H147" s="158"/>
      <c r="I147" s="158"/>
      <c r="J147" s="154" t="str">
        <f>IFERROR(INDEX(Lookups!$W$21:$W$26,MATCH(I147,Lookups!$V$21:$V$26,0)),"")</f>
        <v/>
      </c>
      <c r="K147" s="158"/>
      <c r="L147" s="162" t="str">
        <f>IFERROR(INDEX(Lookups!$Y$2:$Y$19,MATCH(_xlfn.CONCAT(I147,K147),Lookups!$X$2:$X$19,0)),"")</f>
        <v/>
      </c>
      <c r="M147" s="158"/>
      <c r="N147" s="153" t="str">
        <f>IFERROR(INDEX('Prescriptive Rebate Table'!$M$3:$M$20,MATCH(M147,'Prescriptive Rebate Table'!$L$3:$L$20,0)),"")</f>
        <v/>
      </c>
      <c r="O147" s="158"/>
      <c r="P147" s="154" t="str">
        <f>IFERROR(INDEX('Prescriptive Rebate Table'!$B$2:$H$64, MATCH(O147,'Prescriptive Rebate Table'!$C$2:$C$64,0),7),"")</f>
        <v/>
      </c>
      <c r="Q147" s="155" t="str">
        <f>IFERROR(INDEX('Prescriptive Rebate Table'!$B$2:$I$64, MATCH(O147,'Prescriptive Rebate Table'!$C$2:$C$64,0),8),"")</f>
        <v/>
      </c>
      <c r="R147" s="155" t="str">
        <f>IFERROR(INDEX('Prescriptive Rebate Table'!$B$2:$J$64, MATCH(O147,'Prescriptive Rebate Table'!$C$2:$C$64,0),9),"")</f>
        <v/>
      </c>
      <c r="S147" s="160"/>
      <c r="T147" s="145" t="str">
        <f>IFERROR(INDEX('Fixture Codes'!$M$8:$M$976,MATCH(S147,'Fixture Codes'!$B$8:$B$976,0)),"")</f>
        <v/>
      </c>
      <c r="U147" s="145" t="str">
        <f>IFERROR(INDEX('Fixture Codes'!$B$7:$M$976,MATCH(T147,'Fixture Codes'!$B$7:$B$976,0),5),"")</f>
        <v/>
      </c>
      <c r="V147" s="160"/>
      <c r="W147" s="145" t="str">
        <f>IFERROR(INDEX('Fixture Codes'!$L$8:$L$976,MATCH(T147,'Fixture Codes'!$B$8:$B$976,0)),"")</f>
        <v/>
      </c>
      <c r="X147" s="158"/>
      <c r="Y147" s="159"/>
      <c r="Z147" s="155" t="str">
        <f>IFERROR(INDEX(Lookups!B$68:B$87,MATCH($X147,Lookups!$A$68:$A$87,0)),"")</f>
        <v/>
      </c>
      <c r="AA147" s="150" t="str">
        <f>IFERROR(INDEX(Lookups!B$42:B$62,MATCH($X147,Lookups!$A$42:$A$62,0)),"")</f>
        <v/>
      </c>
      <c r="AB147" s="150" t="str">
        <f>IFERROR(INDEX(Lookups!C$42:C$62,MATCH($X147,Lookups!$A$42:$A$62,0)),"")</f>
        <v/>
      </c>
      <c r="AC147" s="160"/>
      <c r="AD147" s="160"/>
      <c r="AE147" s="150" t="str">
        <f>IFERROR(INDEX('Fixture Codes'!$B$7:$M$976,MATCH(AD147,'Fixture Codes'!$B$7:$B$976,0),5),"")</f>
        <v/>
      </c>
      <c r="AF147" s="160"/>
      <c r="AG147" s="145" t="str">
        <f>IFERROR(INDEX('Fixture Codes'!$L$8:$L$976,MATCH(AD147,'Fixture Codes'!$B$8:$B$976,0)),"")</f>
        <v/>
      </c>
      <c r="AH147" s="158"/>
      <c r="AI147" s="160"/>
      <c r="AJ147" s="150" t="str">
        <f>IFERROR(INDEX(Lookups!B$68:B$87,MATCH($AH147,Lookups!$A$68:$A$87,0)),"")</f>
        <v/>
      </c>
      <c r="AK147" s="150" t="str">
        <f>IFERROR(INDEX(Lookups!B$42:B$62,MATCH($AH147,Lookups!$A$42:$A$62,0)),"")</f>
        <v/>
      </c>
      <c r="AL147" s="150" t="str">
        <f>IFERROR(INDEX(Lookups!C$42:C$62,MATCH($AH147,Lookups!$A$42:$A$62,0)),"")</f>
        <v/>
      </c>
      <c r="AM147" s="150" t="str">
        <f>IFERROR(IF(M147="Exit Signs",8760,IF(INDEX('Fixture Codes'!$C$8:$C$976,MATCH(AD147,'Fixture Codes'!$B$8:$B$976,0))="Exit Sign",8760,INDEX(Lookups!$I$2:$I$428,MATCH(_xlfn.CONCAT(B147,H147),Lookups!$H$2:$H$428,0)))),"")</f>
        <v/>
      </c>
      <c r="AN147" s="153">
        <v>1</v>
      </c>
      <c r="AO147" s="150" t="str">
        <f>IF($D147="Interior",INDEX(Lookups!Q$2:Q$86,MATCH(_xlfn.CONCAT($C147,$L147),Lookups!$P$2:$P$86,0)),IF($D147="Exterior",1,""))</f>
        <v/>
      </c>
      <c r="AP147" s="150">
        <f t="shared" si="88"/>
        <v>1</v>
      </c>
      <c r="AQ147" s="150" t="str">
        <f>IF($D147="Interior",INDEX(Lookups!R$2:R$86,MATCH(_xlfn.CONCAT($C147,$L147),Lookups!$P$2:$P$86,0)),IF($D147="Exterior",1,""))</f>
        <v/>
      </c>
      <c r="AR147" s="150" t="str">
        <f>IF($D147="Interior",INDEX(Lookups!S$2:S$86,MATCH(_xlfn.CONCAT($C147,$L147),Lookups!$P$2:$P$86,0)),IF($D147="Exterior",1,""))</f>
        <v/>
      </c>
      <c r="AS147" s="150" t="str">
        <f>IF($D147="Interior",INDEX(Lookups!T$2:T$86,MATCH(_xlfn.CONCAT($C147,$L147),Lookups!$P$2:$P$86,0)),IF($D147="Exterior",1,""))</f>
        <v/>
      </c>
      <c r="AT147" s="150" t="str">
        <f>IFERROR(IF(M147="Exit Signs",1,IF(INDEX('Fixture Codes'!$C$8:$C$976,MATCH($AD147,'Fixture Codes'!$B$8:$B$976,0))="Exit Sign",1,INDEX(Lookups!J$2:J$428,MATCH(_xlfn.CONCAT($B147,$H147),Lookups!$H$2:$H$428,0)))),"")</f>
        <v/>
      </c>
      <c r="AU147" s="150" t="str">
        <f>IFERROR(IF(M147="Exit Signs",1,IF(INDEX('Fixture Codes'!$C$8:$C$976,MATCH($AD147,'Fixture Codes'!$B$8:$B$976,0))="Exit Sign",1,INDEX(Lookups!K$2:K$428,MATCH(_xlfn.CONCAT($B147,$H147),Lookups!$H$2:$H$428,0)))),"")</f>
        <v/>
      </c>
      <c r="AV147" s="150" t="str">
        <f>IFERROR(IF(M147="Exit Signs",1,IF(INDEX('Fixture Codes'!$C$8:$C$976,MATCH($AD147,'Fixture Codes'!$B$8:$B$976,0))="Exit Sign",1,INDEX(Lookups!L$2:L$428,MATCH(_xlfn.CONCAT($B147,$H147),Lookups!$H$2:$H$428,0)))),"")</f>
        <v/>
      </c>
      <c r="AW147" s="150" t="str">
        <f>IF(ISBLANK(K147),"",IF(K147="Gas",INDEX(Lookups!$AG$2:$AG$63,MATCH(O147,Lookups!$AD$2:$AD$63,0),0),0))</f>
        <v/>
      </c>
      <c r="AX147" s="150" t="str">
        <f>IF(ISBLANK(K147),"",IF(K147="Gas",INDEX(Lookups!$AF$2:$AF$63,MATCH(O147,Lookups!$AD$2:$AD$63,0),0),0))</f>
        <v/>
      </c>
      <c r="AY147" s="150" t="str">
        <f>IF(ISBLANK(K147),"",IF(K147="Gas",INDEX(Lookups!$AH$2:$AH$63,MATCH(O147,Lookups!$AD$2:$AD$63,0),0),0))</f>
        <v/>
      </c>
      <c r="AZ147" s="150" t="str">
        <f>IF(ISBLANK(K147),"",IF(K147="Gas",INDEX(Lookups!$AI$2:$AI$63,MATCH(O147,Lookups!$AD$2:$AD$63,0),0),0))</f>
        <v/>
      </c>
      <c r="BA147" s="150" t="str">
        <f t="shared" si="73"/>
        <v/>
      </c>
      <c r="BB147" s="156" t="str">
        <f>IF(ISBLANK(AH147),"",IF(AH147="None",0,IF(K147="Gas",INDEX(Lookups!$AF$51:$AF$69,MATCH(AH147,Lookups!$AD$51:$AD$69,0),0),0)))</f>
        <v/>
      </c>
      <c r="BC147" s="156" t="str">
        <f>IF(ISBLANK(AH147),"",IF(AH147="None",0,IF(K147="Gas",INDEX(Lookups!$AH$51:$AH$69,MATCH(AH147,Lookups!$AD$51:$AD$69,0),0),0)))</f>
        <v/>
      </c>
      <c r="BD147" s="156" t="str">
        <f>IF(ISBLANK(AH147),"",IF(AH147="None",0,IF(K147="Gas",INDEX(Lookups!$AI$51:$AI$69,MATCH(AH147,Lookups!$AD$51:$AD$69,0),0),0)))</f>
        <v/>
      </c>
      <c r="BE147" s="157"/>
      <c r="BF147" s="157"/>
      <c r="BG147" s="147" t="str">
        <f t="shared" si="89"/>
        <v/>
      </c>
      <c r="BH147" s="147" t="str">
        <f t="shared" si="90"/>
        <v/>
      </c>
      <c r="BI147" s="147" t="str">
        <f t="shared" si="74"/>
        <v/>
      </c>
      <c r="BJ147" s="147" t="str">
        <f t="shared" si="75"/>
        <v/>
      </c>
      <c r="BK147" s="148" t="str">
        <f t="shared" si="91"/>
        <v/>
      </c>
      <c r="BL147" s="147" t="str">
        <f t="shared" si="76"/>
        <v/>
      </c>
      <c r="BM147" s="148" t="str">
        <f t="shared" si="92"/>
        <v/>
      </c>
      <c r="BN147" s="147" t="str">
        <f t="shared" si="93"/>
        <v/>
      </c>
      <c r="BO147" s="147" t="str">
        <f t="shared" si="93"/>
        <v/>
      </c>
      <c r="BP147" s="147" t="str">
        <f t="shared" si="94"/>
        <v/>
      </c>
      <c r="BQ147" s="148" t="str">
        <f t="shared" si="95"/>
        <v/>
      </c>
      <c r="BR147" s="148" t="str">
        <f t="shared" si="96"/>
        <v/>
      </c>
      <c r="BS147" s="148" t="str">
        <f t="shared" si="97"/>
        <v/>
      </c>
      <c r="BT147" s="148" t="str">
        <f t="shared" si="77"/>
        <v/>
      </c>
      <c r="BU147" s="148" t="str">
        <f t="shared" si="78"/>
        <v/>
      </c>
      <c r="BV147" s="148" t="str">
        <f t="shared" si="79"/>
        <v/>
      </c>
      <c r="BW147" s="148" t="str">
        <f t="shared" si="80"/>
        <v/>
      </c>
      <c r="BX147" s="148" t="str">
        <f t="shared" si="81"/>
        <v/>
      </c>
      <c r="BY147" s="148" t="str">
        <f t="shared" si="82"/>
        <v/>
      </c>
      <c r="BZ147" s="149" t="str">
        <f>IFERROR(INDEX('Prescriptive Rebate Table'!$B$2:$E$64,MATCH(O147,'Prescriptive Rebate Table'!$C$2:$C$64,0),3),"")</f>
        <v/>
      </c>
      <c r="CA147" s="145" t="str">
        <f>IFERROR(INDEX('Prescriptive Rebate Table'!$B$2:$E$64,MATCH(O147,'Prescriptive Rebate Table'!$C$2:$C$64,0),4),"")</f>
        <v/>
      </c>
      <c r="CB147" s="149" t="str">
        <f t="shared" si="98"/>
        <v/>
      </c>
      <c r="CC147" s="145" t="str">
        <f t="shared" si="99"/>
        <v/>
      </c>
      <c r="CD147" s="149" t="str">
        <f t="shared" si="83"/>
        <v/>
      </c>
      <c r="CE147" s="149" t="str">
        <f t="shared" si="84"/>
        <v/>
      </c>
      <c r="CF147" s="149" t="str">
        <f>IF(BK147&lt;=0,0,IFERROR(IF(OR(ISBLANK(AC147),ISBLANK(CD147))=TRUE,"",IF(CA147="Per Foot",INDEX('Fixture Codes'!$I$8:$I$976,MATCH(AD147,'Fixture Codes'!$B$8:$B$976,0))/12*AF147*BZ147,IF(CA147="Lamp",INDEX('Fixture Codes'!$J$8:$J$976,MATCH(AD147,'Fixture Codes'!$B$8:$B$976,0))*AF147*BZ147,IF(CA147="Fixture",AF147*BZ147,IF(CA147="kWh",BK147*BZ147,0))))),""))</f>
        <v/>
      </c>
      <c r="CG147" s="149" t="str">
        <f t="shared" si="100"/>
        <v/>
      </c>
      <c r="CH147" s="149" t="str">
        <f t="shared" si="101"/>
        <v/>
      </c>
      <c r="CI147" s="152"/>
      <c r="CJ147" s="146"/>
      <c r="CK147" s="241">
        <f>IFERROR(IF(CL147="Yes",'Prescriptive Rebate Table'!$D$69,IF(ISBLANK(AI147),0,IF(AND(AH147=Lookups!$A$62,BK147&gt;0),'Prescriptive Rebate Table'!$D$68,IF(AND(BK147&gt;0,CJ147=AF147),'Prescriptive Rebate Table'!$D$67,IF(AND(BK147&gt;0,CJ147&lt;&gt;AF147),'Prescriptive Rebate Table'!D206,0))))),"")</f>
        <v>0</v>
      </c>
      <c r="CL147" s="240" t="s">
        <v>2712</v>
      </c>
      <c r="CM147" s="152"/>
      <c r="CN147" s="152"/>
      <c r="CO147" s="152"/>
      <c r="CP147" s="146">
        <f t="shared" si="85"/>
        <v>0</v>
      </c>
      <c r="CQ147" s="153">
        <f>IF(D147="Interior",ROUND(($AG147*AF147)/1000*$AM147*(Lookups!$B$54-$AA147)*$AN147*$AO147,3),0)</f>
        <v>0</v>
      </c>
      <c r="CR147" s="153">
        <f>IFERROR(IF(D147="Interior",ROUND(($AG147*$AF147)/1000*(Lookups!$C$54-$AB147)*$AN147*AQ147*AT147,6),0),"")</f>
        <v>0</v>
      </c>
      <c r="CS147" s="165">
        <f t="shared" si="102"/>
        <v>0</v>
      </c>
      <c r="CT147" s="165">
        <f t="shared" si="103"/>
        <v>0</v>
      </c>
      <c r="CV147" s="153"/>
      <c r="CW147" s="153"/>
      <c r="CX147" s="165"/>
      <c r="CY147" s="165"/>
      <c r="DA147" s="153">
        <f>IF(D147="Interior",ROUND(($AG147*AF147*(1-0.15))/1000*$AM147*(Lookups!$B$43+0.097-$AA147)*$AN147*$AO147+((W147*V147)/1000*AN147*AM147*AO147*0.15),3),0)</f>
        <v>0</v>
      </c>
      <c r="DB147" s="153">
        <f>IFERROR(IF(D147="Interior",ROUND(($AG147*$AF147)/1000*(Lookups!$C$43+0.097-$AB147)*$AN147*AQ147*AT147+(($AG147*$AF147)/1000*$AN147*AQ147*AT147*0.15),6),0),"")</f>
        <v>0</v>
      </c>
      <c r="DC147" s="165">
        <f t="shared" si="86"/>
        <v>0</v>
      </c>
      <c r="DD147" s="165">
        <f t="shared" si="87"/>
        <v>0</v>
      </c>
    </row>
    <row r="148" spans="1:108" s="164" customFormat="1">
      <c r="A148" s="150">
        <v>144</v>
      </c>
      <c r="B148" s="153" t="str">
        <f>IFERROR(INDEX(Lookups!$B$2:$B$38,MATCH('Project Info &amp; Summary'!$C$19,Lookups!$A$2:$A$38,0)),"")</f>
        <v/>
      </c>
      <c r="C148" s="153" t="str">
        <f>IFERROR(INDEX(Lookups!$C$2:$C$38,MATCH('Project Info &amp; Summary'!$C$19,Lookups!$A$2:$A$38,0)),"")</f>
        <v/>
      </c>
      <c r="D148" s="163"/>
      <c r="E148" s="160"/>
      <c r="F148" s="158"/>
      <c r="G148" s="158"/>
      <c r="H148" s="158"/>
      <c r="I148" s="158"/>
      <c r="J148" s="154" t="str">
        <f>IFERROR(INDEX(Lookups!$W$21:$W$26,MATCH(I148,Lookups!$V$21:$V$26,0)),"")</f>
        <v/>
      </c>
      <c r="K148" s="158"/>
      <c r="L148" s="162" t="str">
        <f>IFERROR(INDEX(Lookups!$Y$2:$Y$19,MATCH(_xlfn.CONCAT(I148,K148),Lookups!$X$2:$X$19,0)),"")</f>
        <v/>
      </c>
      <c r="M148" s="158"/>
      <c r="N148" s="153" t="str">
        <f>IFERROR(INDEX('Prescriptive Rebate Table'!$M$3:$M$20,MATCH(M148,'Prescriptive Rebate Table'!$L$3:$L$20,0)),"")</f>
        <v/>
      </c>
      <c r="O148" s="158"/>
      <c r="P148" s="154" t="str">
        <f>IFERROR(INDEX('Prescriptive Rebate Table'!$B$2:$H$64, MATCH(O148,'Prescriptive Rebate Table'!$C$2:$C$64,0),7),"")</f>
        <v/>
      </c>
      <c r="Q148" s="155" t="str">
        <f>IFERROR(INDEX('Prescriptive Rebate Table'!$B$2:$I$64, MATCH(O148,'Prescriptive Rebate Table'!$C$2:$C$64,0),8),"")</f>
        <v/>
      </c>
      <c r="R148" s="155" t="str">
        <f>IFERROR(INDEX('Prescriptive Rebate Table'!$B$2:$J$64, MATCH(O148,'Prescriptive Rebate Table'!$C$2:$C$64,0),9),"")</f>
        <v/>
      </c>
      <c r="S148" s="160"/>
      <c r="T148" s="145" t="str">
        <f>IFERROR(INDEX('Fixture Codes'!$M$8:$M$976,MATCH(S148,'Fixture Codes'!$B$8:$B$976,0)),"")</f>
        <v/>
      </c>
      <c r="U148" s="145" t="str">
        <f>IFERROR(INDEX('Fixture Codes'!$B$7:$M$976,MATCH(T148,'Fixture Codes'!$B$7:$B$976,0),5),"")</f>
        <v/>
      </c>
      <c r="V148" s="160"/>
      <c r="W148" s="145" t="str">
        <f>IFERROR(INDEX('Fixture Codes'!$L$8:$L$976,MATCH(T148,'Fixture Codes'!$B$8:$B$976,0)),"")</f>
        <v/>
      </c>
      <c r="X148" s="158"/>
      <c r="Y148" s="159"/>
      <c r="Z148" s="155" t="str">
        <f>IFERROR(INDEX(Lookups!B$68:B$87,MATCH($X148,Lookups!$A$68:$A$87,0)),"")</f>
        <v/>
      </c>
      <c r="AA148" s="150" t="str">
        <f>IFERROR(INDEX(Lookups!B$42:B$62,MATCH($X148,Lookups!$A$42:$A$62,0)),"")</f>
        <v/>
      </c>
      <c r="AB148" s="150" t="str">
        <f>IFERROR(INDEX(Lookups!C$42:C$62,MATCH($X148,Lookups!$A$42:$A$62,0)),"")</f>
        <v/>
      </c>
      <c r="AC148" s="160"/>
      <c r="AD148" s="160"/>
      <c r="AE148" s="150" t="str">
        <f>IFERROR(INDEX('Fixture Codes'!$B$7:$M$976,MATCH(AD148,'Fixture Codes'!$B$7:$B$976,0),5),"")</f>
        <v/>
      </c>
      <c r="AF148" s="160"/>
      <c r="AG148" s="145" t="str">
        <f>IFERROR(INDEX('Fixture Codes'!$L$8:$L$976,MATCH(AD148,'Fixture Codes'!$B$8:$B$976,0)),"")</f>
        <v/>
      </c>
      <c r="AH148" s="158"/>
      <c r="AI148" s="160"/>
      <c r="AJ148" s="150" t="str">
        <f>IFERROR(INDEX(Lookups!B$68:B$87,MATCH($AH148,Lookups!$A$68:$A$87,0)),"")</f>
        <v/>
      </c>
      <c r="AK148" s="150" t="str">
        <f>IFERROR(INDEX(Lookups!B$42:B$62,MATCH($AH148,Lookups!$A$42:$A$62,0)),"")</f>
        <v/>
      </c>
      <c r="AL148" s="150" t="str">
        <f>IFERROR(INDEX(Lookups!C$42:C$62,MATCH($AH148,Lookups!$A$42:$A$62,0)),"")</f>
        <v/>
      </c>
      <c r="AM148" s="150" t="str">
        <f>IFERROR(IF(M148="Exit Signs",8760,IF(INDEX('Fixture Codes'!$C$8:$C$976,MATCH(AD148,'Fixture Codes'!$B$8:$B$976,0))="Exit Sign",8760,INDEX(Lookups!$I$2:$I$428,MATCH(_xlfn.CONCAT(B148,H148),Lookups!$H$2:$H$428,0)))),"")</f>
        <v/>
      </c>
      <c r="AN148" s="153">
        <v>1</v>
      </c>
      <c r="AO148" s="150" t="str">
        <f>IF($D148="Interior",INDEX(Lookups!Q$2:Q$86,MATCH(_xlfn.CONCAT($C148,$L148),Lookups!$P$2:$P$86,0)),IF($D148="Exterior",1,""))</f>
        <v/>
      </c>
      <c r="AP148" s="150">
        <f t="shared" si="88"/>
        <v>1</v>
      </c>
      <c r="AQ148" s="150" t="str">
        <f>IF($D148="Interior",INDEX(Lookups!R$2:R$86,MATCH(_xlfn.CONCAT($C148,$L148),Lookups!$P$2:$P$86,0)),IF($D148="Exterior",1,""))</f>
        <v/>
      </c>
      <c r="AR148" s="150" t="str">
        <f>IF($D148="Interior",INDEX(Lookups!S$2:S$86,MATCH(_xlfn.CONCAT($C148,$L148),Lookups!$P$2:$P$86,0)),IF($D148="Exterior",1,""))</f>
        <v/>
      </c>
      <c r="AS148" s="150" t="str">
        <f>IF($D148="Interior",INDEX(Lookups!T$2:T$86,MATCH(_xlfn.CONCAT($C148,$L148),Lookups!$P$2:$P$86,0)),IF($D148="Exterior",1,""))</f>
        <v/>
      </c>
      <c r="AT148" s="150" t="str">
        <f>IFERROR(IF(M148="Exit Signs",1,IF(INDEX('Fixture Codes'!$C$8:$C$976,MATCH($AD148,'Fixture Codes'!$B$8:$B$976,0))="Exit Sign",1,INDEX(Lookups!J$2:J$428,MATCH(_xlfn.CONCAT($B148,$H148),Lookups!$H$2:$H$428,0)))),"")</f>
        <v/>
      </c>
      <c r="AU148" s="150" t="str">
        <f>IFERROR(IF(M148="Exit Signs",1,IF(INDEX('Fixture Codes'!$C$8:$C$976,MATCH($AD148,'Fixture Codes'!$B$8:$B$976,0))="Exit Sign",1,INDEX(Lookups!K$2:K$428,MATCH(_xlfn.CONCAT($B148,$H148),Lookups!$H$2:$H$428,0)))),"")</f>
        <v/>
      </c>
      <c r="AV148" s="150" t="str">
        <f>IFERROR(IF(M148="Exit Signs",1,IF(INDEX('Fixture Codes'!$C$8:$C$976,MATCH($AD148,'Fixture Codes'!$B$8:$B$976,0))="Exit Sign",1,INDEX(Lookups!L$2:L$428,MATCH(_xlfn.CONCAT($B148,$H148),Lookups!$H$2:$H$428,0)))),"")</f>
        <v/>
      </c>
      <c r="AW148" s="150" t="str">
        <f>IF(ISBLANK(K148),"",IF(K148="Gas",INDEX(Lookups!$AG$2:$AG$63,MATCH(O148,Lookups!$AD$2:$AD$63,0),0),0))</f>
        <v/>
      </c>
      <c r="AX148" s="150" t="str">
        <f>IF(ISBLANK(K148),"",IF(K148="Gas",INDEX(Lookups!$AF$2:$AF$63,MATCH(O148,Lookups!$AD$2:$AD$63,0),0),0))</f>
        <v/>
      </c>
      <c r="AY148" s="150" t="str">
        <f>IF(ISBLANK(K148),"",IF(K148="Gas",INDEX(Lookups!$AH$2:$AH$63,MATCH(O148,Lookups!$AD$2:$AD$63,0),0),0))</f>
        <v/>
      </c>
      <c r="AZ148" s="150" t="str">
        <f>IF(ISBLANK(K148),"",IF(K148="Gas",INDEX(Lookups!$AI$2:$AI$63,MATCH(O148,Lookups!$AD$2:$AD$63,0),0),0))</f>
        <v/>
      </c>
      <c r="BA148" s="150" t="str">
        <f t="shared" si="73"/>
        <v/>
      </c>
      <c r="BB148" s="156" t="str">
        <f>IF(ISBLANK(AH148),"",IF(AH148="None",0,IF(K148="Gas",INDEX(Lookups!$AF$51:$AF$69,MATCH(AH148,Lookups!$AD$51:$AD$69,0),0),0)))</f>
        <v/>
      </c>
      <c r="BC148" s="156" t="str">
        <f>IF(ISBLANK(AH148),"",IF(AH148="None",0,IF(K148="Gas",INDEX(Lookups!$AH$51:$AH$69,MATCH(AH148,Lookups!$AD$51:$AD$69,0),0),0)))</f>
        <v/>
      </c>
      <c r="BD148" s="156" t="str">
        <f>IF(ISBLANK(AH148),"",IF(AH148="None",0,IF(K148="Gas",INDEX(Lookups!$AI$51:$AI$69,MATCH(AH148,Lookups!$AD$51:$AD$69,0),0),0)))</f>
        <v/>
      </c>
      <c r="BE148" s="157"/>
      <c r="BF148" s="157"/>
      <c r="BG148" s="147" t="str">
        <f t="shared" si="89"/>
        <v/>
      </c>
      <c r="BH148" s="147" t="str">
        <f t="shared" si="90"/>
        <v/>
      </c>
      <c r="BI148" s="147" t="str">
        <f t="shared" si="74"/>
        <v/>
      </c>
      <c r="BJ148" s="147" t="str">
        <f t="shared" si="75"/>
        <v/>
      </c>
      <c r="BK148" s="148" t="str">
        <f t="shared" si="91"/>
        <v/>
      </c>
      <c r="BL148" s="147" t="str">
        <f t="shared" si="76"/>
        <v/>
      </c>
      <c r="BM148" s="148" t="str">
        <f t="shared" si="92"/>
        <v/>
      </c>
      <c r="BN148" s="147" t="str">
        <f t="shared" si="93"/>
        <v/>
      </c>
      <c r="BO148" s="147" t="str">
        <f t="shared" si="93"/>
        <v/>
      </c>
      <c r="BP148" s="147" t="str">
        <f t="shared" si="94"/>
        <v/>
      </c>
      <c r="BQ148" s="148" t="str">
        <f t="shared" si="95"/>
        <v/>
      </c>
      <c r="BR148" s="148" t="str">
        <f t="shared" si="96"/>
        <v/>
      </c>
      <c r="BS148" s="148" t="str">
        <f t="shared" si="97"/>
        <v/>
      </c>
      <c r="BT148" s="148" t="str">
        <f t="shared" si="77"/>
        <v/>
      </c>
      <c r="BU148" s="148" t="str">
        <f t="shared" si="78"/>
        <v/>
      </c>
      <c r="BV148" s="148" t="str">
        <f t="shared" si="79"/>
        <v/>
      </c>
      <c r="BW148" s="148" t="str">
        <f t="shared" si="80"/>
        <v/>
      </c>
      <c r="BX148" s="148" t="str">
        <f t="shared" si="81"/>
        <v/>
      </c>
      <c r="BY148" s="148" t="str">
        <f t="shared" si="82"/>
        <v/>
      </c>
      <c r="BZ148" s="149" t="str">
        <f>IFERROR(INDEX('Prescriptive Rebate Table'!$B$2:$E$64,MATCH(O148,'Prescriptive Rebate Table'!$C$2:$C$64,0),3),"")</f>
        <v/>
      </c>
      <c r="CA148" s="145" t="str">
        <f>IFERROR(INDEX('Prescriptive Rebate Table'!$B$2:$E$64,MATCH(O148,'Prescriptive Rebate Table'!$C$2:$C$64,0),4),"")</f>
        <v/>
      </c>
      <c r="CB148" s="149" t="str">
        <f t="shared" si="98"/>
        <v/>
      </c>
      <c r="CC148" s="145" t="str">
        <f t="shared" si="99"/>
        <v/>
      </c>
      <c r="CD148" s="149" t="str">
        <f t="shared" si="83"/>
        <v/>
      </c>
      <c r="CE148" s="149" t="str">
        <f t="shared" si="84"/>
        <v/>
      </c>
      <c r="CF148" s="149" t="str">
        <f>IF(BK148&lt;=0,0,IFERROR(IF(OR(ISBLANK(AC148),ISBLANK(CD148))=TRUE,"",IF(CA148="Per Foot",INDEX('Fixture Codes'!$I$8:$I$976,MATCH(AD148,'Fixture Codes'!$B$8:$B$976,0))/12*AF148*BZ148,IF(CA148="Lamp",INDEX('Fixture Codes'!$J$8:$J$976,MATCH(AD148,'Fixture Codes'!$B$8:$B$976,0))*AF148*BZ148,IF(CA148="Fixture",AF148*BZ148,IF(CA148="kWh",BK148*BZ148,0))))),""))</f>
        <v/>
      </c>
      <c r="CG148" s="149" t="str">
        <f t="shared" si="100"/>
        <v/>
      </c>
      <c r="CH148" s="149" t="str">
        <f t="shared" si="101"/>
        <v/>
      </c>
      <c r="CI148" s="152"/>
      <c r="CJ148" s="146"/>
      <c r="CK148" s="241">
        <f>IFERROR(IF(CL148="Yes",'Prescriptive Rebate Table'!$D$69,IF(ISBLANK(AI148),0,IF(AND(AH148=Lookups!$A$62,BK148&gt;0),'Prescriptive Rebate Table'!$D$68,IF(AND(BK148&gt;0,CJ148=AF148),'Prescriptive Rebate Table'!$D$67,IF(AND(BK148&gt;0,CJ148&lt;&gt;AF148),'Prescriptive Rebate Table'!D207,0))))),"")</f>
        <v>0</v>
      </c>
      <c r="CL148" s="240" t="s">
        <v>2712</v>
      </c>
      <c r="CM148" s="152"/>
      <c r="CN148" s="152"/>
      <c r="CO148" s="152"/>
      <c r="CP148" s="146">
        <f t="shared" si="85"/>
        <v>0</v>
      </c>
      <c r="CQ148" s="153">
        <f>IF(D148="Interior",ROUND(($AG148*AF148)/1000*$AM148*(Lookups!$B$54-$AA148)*$AN148*$AO148,3),0)</f>
        <v>0</v>
      </c>
      <c r="CR148" s="153">
        <f>IFERROR(IF(D148="Interior",ROUND(($AG148*$AF148)/1000*(Lookups!$C$54-$AB148)*$AN148*AQ148*AT148,6),0),"")</f>
        <v>0</v>
      </c>
      <c r="CS148" s="165">
        <f t="shared" si="102"/>
        <v>0</v>
      </c>
      <c r="CT148" s="165">
        <f t="shared" si="103"/>
        <v>0</v>
      </c>
      <c r="CV148" s="153"/>
      <c r="CW148" s="153"/>
      <c r="CX148" s="165"/>
      <c r="CY148" s="165"/>
      <c r="DA148" s="153">
        <f>IF(D148="Interior",ROUND(($AG148*AF148*(1-0.15))/1000*$AM148*(Lookups!$B$43+0.097-$AA148)*$AN148*$AO148+((W148*V148)/1000*AN148*AM148*AO148*0.15),3),0)</f>
        <v>0</v>
      </c>
      <c r="DB148" s="153">
        <f>IFERROR(IF(D148="Interior",ROUND(($AG148*$AF148)/1000*(Lookups!$C$43+0.097-$AB148)*$AN148*AQ148*AT148+(($AG148*$AF148)/1000*$AN148*AQ148*AT148*0.15),6),0),"")</f>
        <v>0</v>
      </c>
      <c r="DC148" s="165">
        <f t="shared" si="86"/>
        <v>0</v>
      </c>
      <c r="DD148" s="165">
        <f t="shared" si="87"/>
        <v>0</v>
      </c>
    </row>
    <row r="149" spans="1:108" s="164" customFormat="1">
      <c r="A149" s="150">
        <v>145</v>
      </c>
      <c r="B149" s="153" t="str">
        <f>IFERROR(INDEX(Lookups!$B$2:$B$38,MATCH('Project Info &amp; Summary'!$C$19,Lookups!$A$2:$A$38,0)),"")</f>
        <v/>
      </c>
      <c r="C149" s="153" t="str">
        <f>IFERROR(INDEX(Lookups!$C$2:$C$38,MATCH('Project Info &amp; Summary'!$C$19,Lookups!$A$2:$A$38,0)),"")</f>
        <v/>
      </c>
      <c r="D149" s="163"/>
      <c r="E149" s="160"/>
      <c r="F149" s="158"/>
      <c r="G149" s="158"/>
      <c r="H149" s="158"/>
      <c r="I149" s="158"/>
      <c r="J149" s="154" t="str">
        <f>IFERROR(INDEX(Lookups!$W$21:$W$26,MATCH(I149,Lookups!$V$21:$V$26,0)),"")</f>
        <v/>
      </c>
      <c r="K149" s="158"/>
      <c r="L149" s="162" t="str">
        <f>IFERROR(INDEX(Lookups!$Y$2:$Y$19,MATCH(_xlfn.CONCAT(I149,K149),Lookups!$X$2:$X$19,0)),"")</f>
        <v/>
      </c>
      <c r="M149" s="158"/>
      <c r="N149" s="153" t="str">
        <f>IFERROR(INDEX('Prescriptive Rebate Table'!$M$3:$M$20,MATCH(M149,'Prescriptive Rebate Table'!$L$3:$L$20,0)),"")</f>
        <v/>
      </c>
      <c r="O149" s="158"/>
      <c r="P149" s="154" t="str">
        <f>IFERROR(INDEX('Prescriptive Rebate Table'!$B$2:$H$64, MATCH(O149,'Prescriptive Rebate Table'!$C$2:$C$64,0),7),"")</f>
        <v/>
      </c>
      <c r="Q149" s="155" t="str">
        <f>IFERROR(INDEX('Prescriptive Rebate Table'!$B$2:$I$64, MATCH(O149,'Prescriptive Rebate Table'!$C$2:$C$64,0),8),"")</f>
        <v/>
      </c>
      <c r="R149" s="155" t="str">
        <f>IFERROR(INDEX('Prescriptive Rebate Table'!$B$2:$J$64, MATCH(O149,'Prescriptive Rebate Table'!$C$2:$C$64,0),9),"")</f>
        <v/>
      </c>
      <c r="S149" s="160"/>
      <c r="T149" s="145" t="str">
        <f>IFERROR(INDEX('Fixture Codes'!$M$8:$M$976,MATCH(S149,'Fixture Codes'!$B$8:$B$976,0)),"")</f>
        <v/>
      </c>
      <c r="U149" s="145" t="str">
        <f>IFERROR(INDEX('Fixture Codes'!$B$7:$M$976,MATCH(T149,'Fixture Codes'!$B$7:$B$976,0),5),"")</f>
        <v/>
      </c>
      <c r="V149" s="160"/>
      <c r="W149" s="145" t="str">
        <f>IFERROR(INDEX('Fixture Codes'!$L$8:$L$976,MATCH(T149,'Fixture Codes'!$B$8:$B$976,0)),"")</f>
        <v/>
      </c>
      <c r="X149" s="158"/>
      <c r="Y149" s="159"/>
      <c r="Z149" s="155" t="str">
        <f>IFERROR(INDEX(Lookups!B$68:B$87,MATCH($X149,Lookups!$A$68:$A$87,0)),"")</f>
        <v/>
      </c>
      <c r="AA149" s="150" t="str">
        <f>IFERROR(INDEX(Lookups!B$42:B$62,MATCH($X149,Lookups!$A$42:$A$62,0)),"")</f>
        <v/>
      </c>
      <c r="AB149" s="150" t="str">
        <f>IFERROR(INDEX(Lookups!C$42:C$62,MATCH($X149,Lookups!$A$42:$A$62,0)),"")</f>
        <v/>
      </c>
      <c r="AC149" s="160"/>
      <c r="AD149" s="160"/>
      <c r="AE149" s="150" t="str">
        <f>IFERROR(INDEX('Fixture Codes'!$B$7:$M$976,MATCH(AD149,'Fixture Codes'!$B$7:$B$976,0),5),"")</f>
        <v/>
      </c>
      <c r="AF149" s="160"/>
      <c r="AG149" s="145" t="str">
        <f>IFERROR(INDEX('Fixture Codes'!$L$8:$L$976,MATCH(AD149,'Fixture Codes'!$B$8:$B$976,0)),"")</f>
        <v/>
      </c>
      <c r="AH149" s="158"/>
      <c r="AI149" s="160"/>
      <c r="AJ149" s="150" t="str">
        <f>IFERROR(INDEX(Lookups!B$68:B$87,MATCH($AH149,Lookups!$A$68:$A$87,0)),"")</f>
        <v/>
      </c>
      <c r="AK149" s="150" t="str">
        <f>IFERROR(INDEX(Lookups!B$42:B$62,MATCH($AH149,Lookups!$A$42:$A$62,0)),"")</f>
        <v/>
      </c>
      <c r="AL149" s="150" t="str">
        <f>IFERROR(INDEX(Lookups!C$42:C$62,MATCH($AH149,Lookups!$A$42:$A$62,0)),"")</f>
        <v/>
      </c>
      <c r="AM149" s="150" t="str">
        <f>IFERROR(IF(M149="Exit Signs",8760,IF(INDEX('Fixture Codes'!$C$8:$C$976,MATCH(AD149,'Fixture Codes'!$B$8:$B$976,0))="Exit Sign",8760,INDEX(Lookups!$I$2:$I$428,MATCH(_xlfn.CONCAT(B149,H149),Lookups!$H$2:$H$428,0)))),"")</f>
        <v/>
      </c>
      <c r="AN149" s="153">
        <v>1</v>
      </c>
      <c r="AO149" s="150" t="str">
        <f>IF($D149="Interior",INDEX(Lookups!Q$2:Q$86,MATCH(_xlfn.CONCAT($C149,$L149),Lookups!$P$2:$P$86,0)),IF($D149="Exterior",1,""))</f>
        <v/>
      </c>
      <c r="AP149" s="150">
        <f t="shared" si="88"/>
        <v>1</v>
      </c>
      <c r="AQ149" s="150" t="str">
        <f>IF($D149="Interior",INDEX(Lookups!R$2:R$86,MATCH(_xlfn.CONCAT($C149,$L149),Lookups!$P$2:$P$86,0)),IF($D149="Exterior",1,""))</f>
        <v/>
      </c>
      <c r="AR149" s="150" t="str">
        <f>IF($D149="Interior",INDEX(Lookups!S$2:S$86,MATCH(_xlfn.CONCAT($C149,$L149),Lookups!$P$2:$P$86,0)),IF($D149="Exterior",1,""))</f>
        <v/>
      </c>
      <c r="AS149" s="150" t="str">
        <f>IF($D149="Interior",INDEX(Lookups!T$2:T$86,MATCH(_xlfn.CONCAT($C149,$L149),Lookups!$P$2:$P$86,0)),IF($D149="Exterior",1,""))</f>
        <v/>
      </c>
      <c r="AT149" s="150" t="str">
        <f>IFERROR(IF(M149="Exit Signs",1,IF(INDEX('Fixture Codes'!$C$8:$C$976,MATCH($AD149,'Fixture Codes'!$B$8:$B$976,0))="Exit Sign",1,INDEX(Lookups!J$2:J$428,MATCH(_xlfn.CONCAT($B149,$H149),Lookups!$H$2:$H$428,0)))),"")</f>
        <v/>
      </c>
      <c r="AU149" s="150" t="str">
        <f>IFERROR(IF(M149="Exit Signs",1,IF(INDEX('Fixture Codes'!$C$8:$C$976,MATCH($AD149,'Fixture Codes'!$B$8:$B$976,0))="Exit Sign",1,INDEX(Lookups!K$2:K$428,MATCH(_xlfn.CONCAT($B149,$H149),Lookups!$H$2:$H$428,0)))),"")</f>
        <v/>
      </c>
      <c r="AV149" s="150" t="str">
        <f>IFERROR(IF(M149="Exit Signs",1,IF(INDEX('Fixture Codes'!$C$8:$C$976,MATCH($AD149,'Fixture Codes'!$B$8:$B$976,0))="Exit Sign",1,INDEX(Lookups!L$2:L$428,MATCH(_xlfn.CONCAT($B149,$H149),Lookups!$H$2:$H$428,0)))),"")</f>
        <v/>
      </c>
      <c r="AW149" s="150" t="str">
        <f>IF(ISBLANK(K149),"",IF(K149="Gas",INDEX(Lookups!$AG$2:$AG$63,MATCH(O149,Lookups!$AD$2:$AD$63,0),0),0))</f>
        <v/>
      </c>
      <c r="AX149" s="150" t="str">
        <f>IF(ISBLANK(K149),"",IF(K149="Gas",INDEX(Lookups!$AF$2:$AF$63,MATCH(O149,Lookups!$AD$2:$AD$63,0),0),0))</f>
        <v/>
      </c>
      <c r="AY149" s="150" t="str">
        <f>IF(ISBLANK(K149),"",IF(K149="Gas",INDEX(Lookups!$AH$2:$AH$63,MATCH(O149,Lookups!$AD$2:$AD$63,0),0),0))</f>
        <v/>
      </c>
      <c r="AZ149" s="150" t="str">
        <f>IF(ISBLANK(K149),"",IF(K149="Gas",INDEX(Lookups!$AI$2:$AI$63,MATCH(O149,Lookups!$AD$2:$AD$63,0),0),0))</f>
        <v/>
      </c>
      <c r="BA149" s="150" t="str">
        <f t="shared" si="73"/>
        <v/>
      </c>
      <c r="BB149" s="156" t="str">
        <f>IF(ISBLANK(AH149),"",IF(AH149="None",0,IF(K149="Gas",INDEX(Lookups!$AF$51:$AF$69,MATCH(AH149,Lookups!$AD$51:$AD$69,0),0),0)))</f>
        <v/>
      </c>
      <c r="BC149" s="156" t="str">
        <f>IF(ISBLANK(AH149),"",IF(AH149="None",0,IF(K149="Gas",INDEX(Lookups!$AH$51:$AH$69,MATCH(AH149,Lookups!$AD$51:$AD$69,0),0),0)))</f>
        <v/>
      </c>
      <c r="BD149" s="156" t="str">
        <f>IF(ISBLANK(AH149),"",IF(AH149="None",0,IF(K149="Gas",INDEX(Lookups!$AI$51:$AI$69,MATCH(AH149,Lookups!$AD$51:$AD$69,0),0),0)))</f>
        <v/>
      </c>
      <c r="BE149" s="157"/>
      <c r="BF149" s="157"/>
      <c r="BG149" s="147" t="str">
        <f t="shared" si="89"/>
        <v/>
      </c>
      <c r="BH149" s="147" t="str">
        <f t="shared" si="90"/>
        <v/>
      </c>
      <c r="BI149" s="147" t="str">
        <f t="shared" si="74"/>
        <v/>
      </c>
      <c r="BJ149" s="147" t="str">
        <f t="shared" si="75"/>
        <v/>
      </c>
      <c r="BK149" s="148" t="str">
        <f t="shared" si="91"/>
        <v/>
      </c>
      <c r="BL149" s="147" t="str">
        <f t="shared" si="76"/>
        <v/>
      </c>
      <c r="BM149" s="148" t="str">
        <f t="shared" si="92"/>
        <v/>
      </c>
      <c r="BN149" s="147" t="str">
        <f t="shared" si="93"/>
        <v/>
      </c>
      <c r="BO149" s="147" t="str">
        <f t="shared" si="93"/>
        <v/>
      </c>
      <c r="BP149" s="147" t="str">
        <f t="shared" si="94"/>
        <v/>
      </c>
      <c r="BQ149" s="148" t="str">
        <f t="shared" si="95"/>
        <v/>
      </c>
      <c r="BR149" s="148" t="str">
        <f t="shared" si="96"/>
        <v/>
      </c>
      <c r="BS149" s="148" t="str">
        <f t="shared" si="97"/>
        <v/>
      </c>
      <c r="BT149" s="148" t="str">
        <f t="shared" si="77"/>
        <v/>
      </c>
      <c r="BU149" s="148" t="str">
        <f t="shared" si="78"/>
        <v/>
      </c>
      <c r="BV149" s="148" t="str">
        <f t="shared" si="79"/>
        <v/>
      </c>
      <c r="BW149" s="148" t="str">
        <f t="shared" si="80"/>
        <v/>
      </c>
      <c r="BX149" s="148" t="str">
        <f t="shared" si="81"/>
        <v/>
      </c>
      <c r="BY149" s="148" t="str">
        <f t="shared" si="82"/>
        <v/>
      </c>
      <c r="BZ149" s="149" t="str">
        <f>IFERROR(INDEX('Prescriptive Rebate Table'!$B$2:$E$64,MATCH(O149,'Prescriptive Rebate Table'!$C$2:$C$64,0),3),"")</f>
        <v/>
      </c>
      <c r="CA149" s="145" t="str">
        <f>IFERROR(INDEX('Prescriptive Rebate Table'!$B$2:$E$64,MATCH(O149,'Prescriptive Rebate Table'!$C$2:$C$64,0),4),"")</f>
        <v/>
      </c>
      <c r="CB149" s="149" t="str">
        <f t="shared" si="98"/>
        <v/>
      </c>
      <c r="CC149" s="145" t="str">
        <f t="shared" si="99"/>
        <v/>
      </c>
      <c r="CD149" s="149" t="str">
        <f t="shared" si="83"/>
        <v/>
      </c>
      <c r="CE149" s="149" t="str">
        <f t="shared" si="84"/>
        <v/>
      </c>
      <c r="CF149" s="149" t="str">
        <f>IF(BK149&lt;=0,0,IFERROR(IF(OR(ISBLANK(AC149),ISBLANK(CD149))=TRUE,"",IF(CA149="Per Foot",INDEX('Fixture Codes'!$I$8:$I$976,MATCH(AD149,'Fixture Codes'!$B$8:$B$976,0))/12*AF149*BZ149,IF(CA149="Lamp",INDEX('Fixture Codes'!$J$8:$J$976,MATCH(AD149,'Fixture Codes'!$B$8:$B$976,0))*AF149*BZ149,IF(CA149="Fixture",AF149*BZ149,IF(CA149="kWh",BK149*BZ149,0))))),""))</f>
        <v/>
      </c>
      <c r="CG149" s="149" t="str">
        <f t="shared" si="100"/>
        <v/>
      </c>
      <c r="CH149" s="149" t="str">
        <f t="shared" si="101"/>
        <v/>
      </c>
      <c r="CI149" s="152"/>
      <c r="CJ149" s="146"/>
      <c r="CK149" s="241">
        <f>IFERROR(IF(CL149="Yes",'Prescriptive Rebate Table'!$D$69,IF(ISBLANK(AI149),0,IF(AND(AH149=Lookups!$A$62,BK149&gt;0),'Prescriptive Rebate Table'!$D$68,IF(AND(BK149&gt;0,CJ149=AF149),'Prescriptive Rebate Table'!$D$67,IF(AND(BK149&gt;0,CJ149&lt;&gt;AF149),'Prescriptive Rebate Table'!D208,0))))),"")</f>
        <v>0</v>
      </c>
      <c r="CL149" s="240" t="s">
        <v>2712</v>
      </c>
      <c r="CM149" s="152"/>
      <c r="CN149" s="152"/>
      <c r="CO149" s="152"/>
      <c r="CP149" s="146">
        <f t="shared" si="85"/>
        <v>0</v>
      </c>
      <c r="CQ149" s="153">
        <f>IF(D149="Interior",ROUND(($AG149*AF149)/1000*$AM149*(Lookups!$B$54-$AA149)*$AN149*$AO149,3),0)</f>
        <v>0</v>
      </c>
      <c r="CR149" s="153">
        <f>IFERROR(IF(D149="Interior",ROUND(($AG149*$AF149)/1000*(Lookups!$C$54-$AB149)*$AN149*AQ149*AT149,6),0),"")</f>
        <v>0</v>
      </c>
      <c r="CS149" s="165">
        <f t="shared" si="102"/>
        <v>0</v>
      </c>
      <c r="CT149" s="165">
        <f t="shared" si="103"/>
        <v>0</v>
      </c>
      <c r="CV149" s="153"/>
      <c r="CW149" s="153"/>
      <c r="CX149" s="165"/>
      <c r="CY149" s="165"/>
      <c r="DA149" s="153">
        <f>IF(D149="Interior",ROUND(($AG149*AF149*(1-0.15))/1000*$AM149*(Lookups!$B$43+0.097-$AA149)*$AN149*$AO149+((W149*V149)/1000*AN149*AM149*AO149*0.15),3),0)</f>
        <v>0</v>
      </c>
      <c r="DB149" s="153">
        <f>IFERROR(IF(D149="Interior",ROUND(($AG149*$AF149)/1000*(Lookups!$C$43+0.097-$AB149)*$AN149*AQ149*AT149+(($AG149*$AF149)/1000*$AN149*AQ149*AT149*0.15),6),0),"")</f>
        <v>0</v>
      </c>
      <c r="DC149" s="165">
        <f t="shared" si="86"/>
        <v>0</v>
      </c>
      <c r="DD149" s="165">
        <f t="shared" si="87"/>
        <v>0</v>
      </c>
    </row>
    <row r="150" spans="1:108" s="164" customFormat="1">
      <c r="A150" s="150">
        <v>146</v>
      </c>
      <c r="B150" s="153" t="str">
        <f>IFERROR(INDEX(Lookups!$B$2:$B$38,MATCH('Project Info &amp; Summary'!$C$19,Lookups!$A$2:$A$38,0)),"")</f>
        <v/>
      </c>
      <c r="C150" s="153" t="str">
        <f>IFERROR(INDEX(Lookups!$C$2:$C$38,MATCH('Project Info &amp; Summary'!$C$19,Lookups!$A$2:$A$38,0)),"")</f>
        <v/>
      </c>
      <c r="D150" s="163"/>
      <c r="E150" s="160"/>
      <c r="F150" s="158"/>
      <c r="G150" s="158"/>
      <c r="H150" s="158"/>
      <c r="I150" s="158"/>
      <c r="J150" s="154" t="str">
        <f>IFERROR(INDEX(Lookups!$W$21:$W$26,MATCH(I150,Lookups!$V$21:$V$26,0)),"")</f>
        <v/>
      </c>
      <c r="K150" s="158"/>
      <c r="L150" s="162" t="str">
        <f>IFERROR(INDEX(Lookups!$Y$2:$Y$19,MATCH(_xlfn.CONCAT(I150,K150),Lookups!$X$2:$X$19,0)),"")</f>
        <v/>
      </c>
      <c r="M150" s="158"/>
      <c r="N150" s="153" t="str">
        <f>IFERROR(INDEX('Prescriptive Rebate Table'!$M$3:$M$20,MATCH(M150,'Prescriptive Rebate Table'!$L$3:$L$20,0)),"")</f>
        <v/>
      </c>
      <c r="O150" s="158"/>
      <c r="P150" s="154" t="str">
        <f>IFERROR(INDEX('Prescriptive Rebate Table'!$B$2:$H$64, MATCH(O150,'Prescriptive Rebate Table'!$C$2:$C$64,0),7),"")</f>
        <v/>
      </c>
      <c r="Q150" s="155" t="str">
        <f>IFERROR(INDEX('Prescriptive Rebate Table'!$B$2:$I$64, MATCH(O150,'Prescriptive Rebate Table'!$C$2:$C$64,0),8),"")</f>
        <v/>
      </c>
      <c r="R150" s="155" t="str">
        <f>IFERROR(INDEX('Prescriptive Rebate Table'!$B$2:$J$64, MATCH(O150,'Prescriptive Rebate Table'!$C$2:$C$64,0),9),"")</f>
        <v/>
      </c>
      <c r="S150" s="160"/>
      <c r="T150" s="145" t="str">
        <f>IFERROR(INDEX('Fixture Codes'!$M$8:$M$976,MATCH(S150,'Fixture Codes'!$B$8:$B$976,0)),"")</f>
        <v/>
      </c>
      <c r="U150" s="145" t="str">
        <f>IFERROR(INDEX('Fixture Codes'!$B$7:$M$976,MATCH(T150,'Fixture Codes'!$B$7:$B$976,0),5),"")</f>
        <v/>
      </c>
      <c r="V150" s="160"/>
      <c r="W150" s="145" t="str">
        <f>IFERROR(INDEX('Fixture Codes'!$L$8:$L$976,MATCH(T150,'Fixture Codes'!$B$8:$B$976,0)),"")</f>
        <v/>
      </c>
      <c r="X150" s="158"/>
      <c r="Y150" s="159"/>
      <c r="Z150" s="155" t="str">
        <f>IFERROR(INDEX(Lookups!B$68:B$87,MATCH($X150,Lookups!$A$68:$A$87,0)),"")</f>
        <v/>
      </c>
      <c r="AA150" s="150" t="str">
        <f>IFERROR(INDEX(Lookups!B$42:B$62,MATCH($X150,Lookups!$A$42:$A$62,0)),"")</f>
        <v/>
      </c>
      <c r="AB150" s="150" t="str">
        <f>IFERROR(INDEX(Lookups!C$42:C$62,MATCH($X150,Lookups!$A$42:$A$62,0)),"")</f>
        <v/>
      </c>
      <c r="AC150" s="160"/>
      <c r="AD150" s="160"/>
      <c r="AE150" s="150" t="str">
        <f>IFERROR(INDEX('Fixture Codes'!$B$7:$M$976,MATCH(AD150,'Fixture Codes'!$B$7:$B$976,0),5),"")</f>
        <v/>
      </c>
      <c r="AF150" s="160"/>
      <c r="AG150" s="145" t="str">
        <f>IFERROR(INDEX('Fixture Codes'!$L$8:$L$976,MATCH(AD150,'Fixture Codes'!$B$8:$B$976,0)),"")</f>
        <v/>
      </c>
      <c r="AH150" s="158"/>
      <c r="AI150" s="160"/>
      <c r="AJ150" s="150" t="str">
        <f>IFERROR(INDEX(Lookups!B$68:B$87,MATCH($AH150,Lookups!$A$68:$A$87,0)),"")</f>
        <v/>
      </c>
      <c r="AK150" s="150" t="str">
        <f>IFERROR(INDEX(Lookups!B$42:B$62,MATCH($AH150,Lookups!$A$42:$A$62,0)),"")</f>
        <v/>
      </c>
      <c r="AL150" s="150" t="str">
        <f>IFERROR(INDEX(Lookups!C$42:C$62,MATCH($AH150,Lookups!$A$42:$A$62,0)),"")</f>
        <v/>
      </c>
      <c r="AM150" s="150" t="str">
        <f>IFERROR(IF(M150="Exit Signs",8760,IF(INDEX('Fixture Codes'!$C$8:$C$976,MATCH(AD150,'Fixture Codes'!$B$8:$B$976,0))="Exit Sign",8760,INDEX(Lookups!$I$2:$I$428,MATCH(_xlfn.CONCAT(B150,H150),Lookups!$H$2:$H$428,0)))),"")</f>
        <v/>
      </c>
      <c r="AN150" s="153">
        <v>1</v>
      </c>
      <c r="AO150" s="150" t="str">
        <f>IF($D150="Interior",INDEX(Lookups!Q$2:Q$86,MATCH(_xlfn.CONCAT($C150,$L150),Lookups!$P$2:$P$86,0)),IF($D150="Exterior",1,""))</f>
        <v/>
      </c>
      <c r="AP150" s="150">
        <f t="shared" si="88"/>
        <v>1</v>
      </c>
      <c r="AQ150" s="150" t="str">
        <f>IF($D150="Interior",INDEX(Lookups!R$2:R$86,MATCH(_xlfn.CONCAT($C150,$L150),Lookups!$P$2:$P$86,0)),IF($D150="Exterior",1,""))</f>
        <v/>
      </c>
      <c r="AR150" s="150" t="str">
        <f>IF($D150="Interior",INDEX(Lookups!S$2:S$86,MATCH(_xlfn.CONCAT($C150,$L150),Lookups!$P$2:$P$86,0)),IF($D150="Exterior",1,""))</f>
        <v/>
      </c>
      <c r="AS150" s="150" t="str">
        <f>IF($D150="Interior",INDEX(Lookups!T$2:T$86,MATCH(_xlfn.CONCAT($C150,$L150),Lookups!$P$2:$P$86,0)),IF($D150="Exterior",1,""))</f>
        <v/>
      </c>
      <c r="AT150" s="150" t="str">
        <f>IFERROR(IF(M150="Exit Signs",1,IF(INDEX('Fixture Codes'!$C$8:$C$976,MATCH($AD150,'Fixture Codes'!$B$8:$B$976,0))="Exit Sign",1,INDEX(Lookups!J$2:J$428,MATCH(_xlfn.CONCAT($B150,$H150),Lookups!$H$2:$H$428,0)))),"")</f>
        <v/>
      </c>
      <c r="AU150" s="150" t="str">
        <f>IFERROR(IF(M150="Exit Signs",1,IF(INDEX('Fixture Codes'!$C$8:$C$976,MATCH($AD150,'Fixture Codes'!$B$8:$B$976,0))="Exit Sign",1,INDEX(Lookups!K$2:K$428,MATCH(_xlfn.CONCAT($B150,$H150),Lookups!$H$2:$H$428,0)))),"")</f>
        <v/>
      </c>
      <c r="AV150" s="150" t="str">
        <f>IFERROR(IF(M150="Exit Signs",1,IF(INDEX('Fixture Codes'!$C$8:$C$976,MATCH($AD150,'Fixture Codes'!$B$8:$B$976,0))="Exit Sign",1,INDEX(Lookups!L$2:L$428,MATCH(_xlfn.CONCAT($B150,$H150),Lookups!$H$2:$H$428,0)))),"")</f>
        <v/>
      </c>
      <c r="AW150" s="150" t="str">
        <f>IF(ISBLANK(K150),"",IF(K150="Gas",INDEX(Lookups!$AG$2:$AG$63,MATCH(O150,Lookups!$AD$2:$AD$63,0),0),0))</f>
        <v/>
      </c>
      <c r="AX150" s="150" t="str">
        <f>IF(ISBLANK(K150),"",IF(K150="Gas",INDEX(Lookups!$AF$2:$AF$63,MATCH(O150,Lookups!$AD$2:$AD$63,0),0),0))</f>
        <v/>
      </c>
      <c r="AY150" s="150" t="str">
        <f>IF(ISBLANK(K150),"",IF(K150="Gas",INDEX(Lookups!$AH$2:$AH$63,MATCH(O150,Lookups!$AD$2:$AD$63,0),0),0))</f>
        <v/>
      </c>
      <c r="AZ150" s="150" t="str">
        <f>IF(ISBLANK(K150),"",IF(K150="Gas",INDEX(Lookups!$AI$2:$AI$63,MATCH(O150,Lookups!$AD$2:$AD$63,0),0),0))</f>
        <v/>
      </c>
      <c r="BA150" s="150" t="str">
        <f t="shared" si="73"/>
        <v/>
      </c>
      <c r="BB150" s="156" t="str">
        <f>IF(ISBLANK(AH150),"",IF(AH150="None",0,IF(K150="Gas",INDEX(Lookups!$AF$51:$AF$69,MATCH(AH150,Lookups!$AD$51:$AD$69,0),0),0)))</f>
        <v/>
      </c>
      <c r="BC150" s="156" t="str">
        <f>IF(ISBLANK(AH150),"",IF(AH150="None",0,IF(K150="Gas",INDEX(Lookups!$AH$51:$AH$69,MATCH(AH150,Lookups!$AD$51:$AD$69,0),0),0)))</f>
        <v/>
      </c>
      <c r="BD150" s="156" t="str">
        <f>IF(ISBLANK(AH150),"",IF(AH150="None",0,IF(K150="Gas",INDEX(Lookups!$AI$51:$AI$69,MATCH(AH150,Lookups!$AD$51:$AD$69,0),0),0)))</f>
        <v/>
      </c>
      <c r="BE150" s="157"/>
      <c r="BF150" s="157"/>
      <c r="BG150" s="147" t="str">
        <f t="shared" si="89"/>
        <v/>
      </c>
      <c r="BH150" s="147" t="str">
        <f t="shared" si="90"/>
        <v/>
      </c>
      <c r="BI150" s="147" t="str">
        <f t="shared" si="74"/>
        <v/>
      </c>
      <c r="BJ150" s="147" t="str">
        <f t="shared" si="75"/>
        <v/>
      </c>
      <c r="BK150" s="148" t="str">
        <f t="shared" si="91"/>
        <v/>
      </c>
      <c r="BL150" s="147" t="str">
        <f t="shared" si="76"/>
        <v/>
      </c>
      <c r="BM150" s="148" t="str">
        <f t="shared" si="92"/>
        <v/>
      </c>
      <c r="BN150" s="147" t="str">
        <f t="shared" si="93"/>
        <v/>
      </c>
      <c r="BO150" s="147" t="str">
        <f t="shared" si="93"/>
        <v/>
      </c>
      <c r="BP150" s="147" t="str">
        <f t="shared" si="94"/>
        <v/>
      </c>
      <c r="BQ150" s="148" t="str">
        <f t="shared" si="95"/>
        <v/>
      </c>
      <c r="BR150" s="148" t="str">
        <f t="shared" si="96"/>
        <v/>
      </c>
      <c r="BS150" s="148" t="str">
        <f t="shared" si="97"/>
        <v/>
      </c>
      <c r="BT150" s="148" t="str">
        <f t="shared" si="77"/>
        <v/>
      </c>
      <c r="BU150" s="148" t="str">
        <f t="shared" si="78"/>
        <v/>
      </c>
      <c r="BV150" s="148" t="str">
        <f t="shared" si="79"/>
        <v/>
      </c>
      <c r="BW150" s="148" t="str">
        <f t="shared" si="80"/>
        <v/>
      </c>
      <c r="BX150" s="148" t="str">
        <f t="shared" si="81"/>
        <v/>
      </c>
      <c r="BY150" s="148" t="str">
        <f t="shared" si="82"/>
        <v/>
      </c>
      <c r="BZ150" s="149" t="str">
        <f>IFERROR(INDEX('Prescriptive Rebate Table'!$B$2:$E$64,MATCH(O150,'Prescriptive Rebate Table'!$C$2:$C$64,0),3),"")</f>
        <v/>
      </c>
      <c r="CA150" s="145" t="str">
        <f>IFERROR(INDEX('Prescriptive Rebate Table'!$B$2:$E$64,MATCH(O150,'Prescriptive Rebate Table'!$C$2:$C$64,0),4),"")</f>
        <v/>
      </c>
      <c r="CB150" s="149" t="str">
        <f t="shared" si="98"/>
        <v/>
      </c>
      <c r="CC150" s="145" t="str">
        <f t="shared" si="99"/>
        <v/>
      </c>
      <c r="CD150" s="149" t="str">
        <f t="shared" si="83"/>
        <v/>
      </c>
      <c r="CE150" s="149" t="str">
        <f t="shared" si="84"/>
        <v/>
      </c>
      <c r="CF150" s="149" t="str">
        <f>IF(BK150&lt;=0,0,IFERROR(IF(OR(ISBLANK(AC150),ISBLANK(CD150))=TRUE,"",IF(CA150="Per Foot",INDEX('Fixture Codes'!$I$8:$I$976,MATCH(AD150,'Fixture Codes'!$B$8:$B$976,0))/12*AF150*BZ150,IF(CA150="Lamp",INDEX('Fixture Codes'!$J$8:$J$976,MATCH(AD150,'Fixture Codes'!$B$8:$B$976,0))*AF150*BZ150,IF(CA150="Fixture",AF150*BZ150,IF(CA150="kWh",BK150*BZ150,0))))),""))</f>
        <v/>
      </c>
      <c r="CG150" s="149" t="str">
        <f t="shared" si="100"/>
        <v/>
      </c>
      <c r="CH150" s="149" t="str">
        <f t="shared" si="101"/>
        <v/>
      </c>
      <c r="CI150" s="152"/>
      <c r="CJ150" s="146"/>
      <c r="CK150" s="241">
        <f>IFERROR(IF(CL150="Yes",'Prescriptive Rebate Table'!$D$69,IF(ISBLANK(AI150),0,IF(AND(AH150=Lookups!$A$62,BK150&gt;0),'Prescriptive Rebate Table'!$D$68,IF(AND(BK150&gt;0,CJ150=AF150),'Prescriptive Rebate Table'!$D$67,IF(AND(BK150&gt;0,CJ150&lt;&gt;AF150),'Prescriptive Rebate Table'!D209,0))))),"")</f>
        <v>0</v>
      </c>
      <c r="CL150" s="240" t="s">
        <v>2712</v>
      </c>
      <c r="CM150" s="152"/>
      <c r="CN150" s="152"/>
      <c r="CO150" s="152"/>
      <c r="CP150" s="146">
        <f t="shared" si="85"/>
        <v>0</v>
      </c>
      <c r="CQ150" s="153">
        <f>IF(D150="Interior",ROUND(($AG150*AF150)/1000*$AM150*(Lookups!$B$54-$AA150)*$AN150*$AO150,3),0)</f>
        <v>0</v>
      </c>
      <c r="CR150" s="153">
        <f>IFERROR(IF(D150="Interior",ROUND(($AG150*$AF150)/1000*(Lookups!$C$54-$AB150)*$AN150*AQ150*AT150,6),0),"")</f>
        <v>0</v>
      </c>
      <c r="CS150" s="165">
        <f t="shared" si="102"/>
        <v>0</v>
      </c>
      <c r="CT150" s="165">
        <f t="shared" si="103"/>
        <v>0</v>
      </c>
      <c r="CV150" s="153"/>
      <c r="CW150" s="153"/>
      <c r="CX150" s="165"/>
      <c r="CY150" s="165"/>
      <c r="DA150" s="153">
        <f>IF(D150="Interior",ROUND(($AG150*AF150*(1-0.15))/1000*$AM150*(Lookups!$B$43+0.097-$AA150)*$AN150*$AO150+((W150*V150)/1000*AN150*AM150*AO150*0.15),3),0)</f>
        <v>0</v>
      </c>
      <c r="DB150" s="153">
        <f>IFERROR(IF(D150="Interior",ROUND(($AG150*$AF150)/1000*(Lookups!$C$43+0.097-$AB150)*$AN150*AQ150*AT150+(($AG150*$AF150)/1000*$AN150*AQ150*AT150*0.15),6),0),"")</f>
        <v>0</v>
      </c>
      <c r="DC150" s="165">
        <f t="shared" si="86"/>
        <v>0</v>
      </c>
      <c r="DD150" s="165">
        <f t="shared" si="87"/>
        <v>0</v>
      </c>
    </row>
    <row r="151" spans="1:108" s="164" customFormat="1">
      <c r="A151" s="150">
        <v>147</v>
      </c>
      <c r="B151" s="153" t="str">
        <f>IFERROR(INDEX(Lookups!$B$2:$B$38,MATCH('Project Info &amp; Summary'!$C$19,Lookups!$A$2:$A$38,0)),"")</f>
        <v/>
      </c>
      <c r="C151" s="153" t="str">
        <f>IFERROR(INDEX(Lookups!$C$2:$C$38,MATCH('Project Info &amp; Summary'!$C$19,Lookups!$A$2:$A$38,0)),"")</f>
        <v/>
      </c>
      <c r="D151" s="163"/>
      <c r="E151" s="160"/>
      <c r="F151" s="158"/>
      <c r="G151" s="158"/>
      <c r="H151" s="158"/>
      <c r="I151" s="158"/>
      <c r="J151" s="154" t="str">
        <f>IFERROR(INDEX(Lookups!$W$21:$W$26,MATCH(I151,Lookups!$V$21:$V$26,0)),"")</f>
        <v/>
      </c>
      <c r="K151" s="158"/>
      <c r="L151" s="162" t="str">
        <f>IFERROR(INDEX(Lookups!$Y$2:$Y$19,MATCH(_xlfn.CONCAT(I151,K151),Lookups!$X$2:$X$19,0)),"")</f>
        <v/>
      </c>
      <c r="M151" s="158"/>
      <c r="N151" s="153" t="str">
        <f>IFERROR(INDEX('Prescriptive Rebate Table'!$M$3:$M$20,MATCH(M151,'Prescriptive Rebate Table'!$L$3:$L$20,0)),"")</f>
        <v/>
      </c>
      <c r="O151" s="158"/>
      <c r="P151" s="154" t="str">
        <f>IFERROR(INDEX('Prescriptive Rebate Table'!$B$2:$H$64, MATCH(O151,'Prescriptive Rebate Table'!$C$2:$C$64,0),7),"")</f>
        <v/>
      </c>
      <c r="Q151" s="155" t="str">
        <f>IFERROR(INDEX('Prescriptive Rebate Table'!$B$2:$I$64, MATCH(O151,'Prescriptive Rebate Table'!$C$2:$C$64,0),8),"")</f>
        <v/>
      </c>
      <c r="R151" s="155" t="str">
        <f>IFERROR(INDEX('Prescriptive Rebate Table'!$B$2:$J$64, MATCH(O151,'Prescriptive Rebate Table'!$C$2:$C$64,0),9),"")</f>
        <v/>
      </c>
      <c r="S151" s="160"/>
      <c r="T151" s="145" t="str">
        <f>IFERROR(INDEX('Fixture Codes'!$M$8:$M$976,MATCH(S151,'Fixture Codes'!$B$8:$B$976,0)),"")</f>
        <v/>
      </c>
      <c r="U151" s="145" t="str">
        <f>IFERROR(INDEX('Fixture Codes'!$B$7:$M$976,MATCH(T151,'Fixture Codes'!$B$7:$B$976,0),5),"")</f>
        <v/>
      </c>
      <c r="V151" s="160"/>
      <c r="W151" s="145" t="str">
        <f>IFERROR(INDEX('Fixture Codes'!$L$8:$L$976,MATCH(T151,'Fixture Codes'!$B$8:$B$976,0)),"")</f>
        <v/>
      </c>
      <c r="X151" s="158"/>
      <c r="Y151" s="159"/>
      <c r="Z151" s="155" t="str">
        <f>IFERROR(INDEX(Lookups!B$68:B$87,MATCH($X151,Lookups!$A$68:$A$87,0)),"")</f>
        <v/>
      </c>
      <c r="AA151" s="150" t="str">
        <f>IFERROR(INDEX(Lookups!B$42:B$62,MATCH($X151,Lookups!$A$42:$A$62,0)),"")</f>
        <v/>
      </c>
      <c r="AB151" s="150" t="str">
        <f>IFERROR(INDEX(Lookups!C$42:C$62,MATCH($X151,Lookups!$A$42:$A$62,0)),"")</f>
        <v/>
      </c>
      <c r="AC151" s="160"/>
      <c r="AD151" s="160"/>
      <c r="AE151" s="150" t="str">
        <f>IFERROR(INDEX('Fixture Codes'!$B$7:$M$976,MATCH(AD151,'Fixture Codes'!$B$7:$B$976,0),5),"")</f>
        <v/>
      </c>
      <c r="AF151" s="160"/>
      <c r="AG151" s="145" t="str">
        <f>IFERROR(INDEX('Fixture Codes'!$L$8:$L$976,MATCH(AD151,'Fixture Codes'!$B$8:$B$976,0)),"")</f>
        <v/>
      </c>
      <c r="AH151" s="158"/>
      <c r="AI151" s="160"/>
      <c r="AJ151" s="150" t="str">
        <f>IFERROR(INDEX(Lookups!B$68:B$87,MATCH($AH151,Lookups!$A$68:$A$87,0)),"")</f>
        <v/>
      </c>
      <c r="AK151" s="150" t="str">
        <f>IFERROR(INDEX(Lookups!B$42:B$62,MATCH($AH151,Lookups!$A$42:$A$62,0)),"")</f>
        <v/>
      </c>
      <c r="AL151" s="150" t="str">
        <f>IFERROR(INDEX(Lookups!C$42:C$62,MATCH($AH151,Lookups!$A$42:$A$62,0)),"")</f>
        <v/>
      </c>
      <c r="AM151" s="150" t="str">
        <f>IFERROR(IF(M151="Exit Signs",8760,IF(INDEX('Fixture Codes'!$C$8:$C$976,MATCH(AD151,'Fixture Codes'!$B$8:$B$976,0))="Exit Sign",8760,INDEX(Lookups!$I$2:$I$428,MATCH(_xlfn.CONCAT(B151,H151),Lookups!$H$2:$H$428,0)))),"")</f>
        <v/>
      </c>
      <c r="AN151" s="153">
        <v>1</v>
      </c>
      <c r="AO151" s="150" t="str">
        <f>IF($D151="Interior",INDEX(Lookups!Q$2:Q$86,MATCH(_xlfn.CONCAT($C151,$L151),Lookups!$P$2:$P$86,0)),IF($D151="Exterior",1,""))</f>
        <v/>
      </c>
      <c r="AP151" s="150">
        <f t="shared" si="88"/>
        <v>1</v>
      </c>
      <c r="AQ151" s="150" t="str">
        <f>IF($D151="Interior",INDEX(Lookups!R$2:R$86,MATCH(_xlfn.CONCAT($C151,$L151),Lookups!$P$2:$P$86,0)),IF($D151="Exterior",1,""))</f>
        <v/>
      </c>
      <c r="AR151" s="150" t="str">
        <f>IF($D151="Interior",INDEX(Lookups!S$2:S$86,MATCH(_xlfn.CONCAT($C151,$L151),Lookups!$P$2:$P$86,0)),IF($D151="Exterior",1,""))</f>
        <v/>
      </c>
      <c r="AS151" s="150" t="str">
        <f>IF($D151="Interior",INDEX(Lookups!T$2:T$86,MATCH(_xlfn.CONCAT($C151,$L151),Lookups!$P$2:$P$86,0)),IF($D151="Exterior",1,""))</f>
        <v/>
      </c>
      <c r="AT151" s="150" t="str">
        <f>IFERROR(IF(M151="Exit Signs",1,IF(INDEX('Fixture Codes'!$C$8:$C$976,MATCH($AD151,'Fixture Codes'!$B$8:$B$976,0))="Exit Sign",1,INDEX(Lookups!J$2:J$428,MATCH(_xlfn.CONCAT($B151,$H151),Lookups!$H$2:$H$428,0)))),"")</f>
        <v/>
      </c>
      <c r="AU151" s="150" t="str">
        <f>IFERROR(IF(M151="Exit Signs",1,IF(INDEX('Fixture Codes'!$C$8:$C$976,MATCH($AD151,'Fixture Codes'!$B$8:$B$976,0))="Exit Sign",1,INDEX(Lookups!K$2:K$428,MATCH(_xlfn.CONCAT($B151,$H151),Lookups!$H$2:$H$428,0)))),"")</f>
        <v/>
      </c>
      <c r="AV151" s="150" t="str">
        <f>IFERROR(IF(M151="Exit Signs",1,IF(INDEX('Fixture Codes'!$C$8:$C$976,MATCH($AD151,'Fixture Codes'!$B$8:$B$976,0))="Exit Sign",1,INDEX(Lookups!L$2:L$428,MATCH(_xlfn.CONCAT($B151,$H151),Lookups!$H$2:$H$428,0)))),"")</f>
        <v/>
      </c>
      <c r="AW151" s="150" t="str">
        <f>IF(ISBLANK(K151),"",IF(K151="Gas",INDEX(Lookups!$AG$2:$AG$63,MATCH(O151,Lookups!$AD$2:$AD$63,0),0),0))</f>
        <v/>
      </c>
      <c r="AX151" s="150" t="str">
        <f>IF(ISBLANK(K151),"",IF(K151="Gas",INDEX(Lookups!$AF$2:$AF$63,MATCH(O151,Lookups!$AD$2:$AD$63,0),0),0))</f>
        <v/>
      </c>
      <c r="AY151" s="150" t="str">
        <f>IF(ISBLANK(K151),"",IF(K151="Gas",INDEX(Lookups!$AH$2:$AH$63,MATCH(O151,Lookups!$AD$2:$AD$63,0),0),0))</f>
        <v/>
      </c>
      <c r="AZ151" s="150" t="str">
        <f>IF(ISBLANK(K151),"",IF(K151="Gas",INDEX(Lookups!$AI$2:$AI$63,MATCH(O151,Lookups!$AD$2:$AD$63,0),0),0))</f>
        <v/>
      </c>
      <c r="BA151" s="150" t="str">
        <f t="shared" si="73"/>
        <v/>
      </c>
      <c r="BB151" s="156" t="str">
        <f>IF(ISBLANK(AH151),"",IF(AH151="None",0,IF(K151="Gas",INDEX(Lookups!$AF$51:$AF$69,MATCH(AH151,Lookups!$AD$51:$AD$69,0),0),0)))</f>
        <v/>
      </c>
      <c r="BC151" s="156" t="str">
        <f>IF(ISBLANK(AH151),"",IF(AH151="None",0,IF(K151="Gas",INDEX(Lookups!$AH$51:$AH$69,MATCH(AH151,Lookups!$AD$51:$AD$69,0),0),0)))</f>
        <v/>
      </c>
      <c r="BD151" s="156" t="str">
        <f>IF(ISBLANK(AH151),"",IF(AH151="None",0,IF(K151="Gas",INDEX(Lookups!$AI$51:$AI$69,MATCH(AH151,Lookups!$AD$51:$AD$69,0),0),0)))</f>
        <v/>
      </c>
      <c r="BE151" s="157"/>
      <c r="BF151" s="157"/>
      <c r="BG151" s="147" t="str">
        <f t="shared" si="89"/>
        <v/>
      </c>
      <c r="BH151" s="147" t="str">
        <f t="shared" si="90"/>
        <v/>
      </c>
      <c r="BI151" s="147" t="str">
        <f t="shared" si="74"/>
        <v/>
      </c>
      <c r="BJ151" s="147" t="str">
        <f t="shared" si="75"/>
        <v/>
      </c>
      <c r="BK151" s="148" t="str">
        <f t="shared" si="91"/>
        <v/>
      </c>
      <c r="BL151" s="147" t="str">
        <f t="shared" si="76"/>
        <v/>
      </c>
      <c r="BM151" s="148" t="str">
        <f t="shared" si="92"/>
        <v/>
      </c>
      <c r="BN151" s="147" t="str">
        <f t="shared" si="93"/>
        <v/>
      </c>
      <c r="BO151" s="147" t="str">
        <f t="shared" si="93"/>
        <v/>
      </c>
      <c r="BP151" s="147" t="str">
        <f t="shared" si="94"/>
        <v/>
      </c>
      <c r="BQ151" s="148" t="str">
        <f t="shared" si="95"/>
        <v/>
      </c>
      <c r="BR151" s="148" t="str">
        <f t="shared" si="96"/>
        <v/>
      </c>
      <c r="BS151" s="148" t="str">
        <f t="shared" si="97"/>
        <v/>
      </c>
      <c r="BT151" s="148" t="str">
        <f t="shared" si="77"/>
        <v/>
      </c>
      <c r="BU151" s="148" t="str">
        <f t="shared" si="78"/>
        <v/>
      </c>
      <c r="BV151" s="148" t="str">
        <f t="shared" si="79"/>
        <v/>
      </c>
      <c r="BW151" s="148" t="str">
        <f t="shared" si="80"/>
        <v/>
      </c>
      <c r="BX151" s="148" t="str">
        <f t="shared" si="81"/>
        <v/>
      </c>
      <c r="BY151" s="148" t="str">
        <f t="shared" si="82"/>
        <v/>
      </c>
      <c r="BZ151" s="149" t="str">
        <f>IFERROR(INDEX('Prescriptive Rebate Table'!$B$2:$E$64,MATCH(O151,'Prescriptive Rebate Table'!$C$2:$C$64,0),3),"")</f>
        <v/>
      </c>
      <c r="CA151" s="145" t="str">
        <f>IFERROR(INDEX('Prescriptive Rebate Table'!$B$2:$E$64,MATCH(O151,'Prescriptive Rebate Table'!$C$2:$C$64,0),4),"")</f>
        <v/>
      </c>
      <c r="CB151" s="149" t="str">
        <f t="shared" si="98"/>
        <v/>
      </c>
      <c r="CC151" s="145" t="str">
        <f t="shared" si="99"/>
        <v/>
      </c>
      <c r="CD151" s="149" t="str">
        <f t="shared" si="83"/>
        <v/>
      </c>
      <c r="CE151" s="149" t="str">
        <f t="shared" si="84"/>
        <v/>
      </c>
      <c r="CF151" s="149" t="str">
        <f>IF(BK151&lt;=0,0,IFERROR(IF(OR(ISBLANK(AC151),ISBLANK(CD151))=TRUE,"",IF(CA151="Per Foot",INDEX('Fixture Codes'!$I$8:$I$976,MATCH(AD151,'Fixture Codes'!$B$8:$B$976,0))/12*AF151*BZ151,IF(CA151="Lamp",INDEX('Fixture Codes'!$J$8:$J$976,MATCH(AD151,'Fixture Codes'!$B$8:$B$976,0))*AF151*BZ151,IF(CA151="Fixture",AF151*BZ151,IF(CA151="kWh",BK151*BZ151,0))))),""))</f>
        <v/>
      </c>
      <c r="CG151" s="149" t="str">
        <f t="shared" si="100"/>
        <v/>
      </c>
      <c r="CH151" s="149" t="str">
        <f t="shared" si="101"/>
        <v/>
      </c>
      <c r="CI151" s="152"/>
      <c r="CJ151" s="146"/>
      <c r="CK151" s="241">
        <f>IFERROR(IF(CL151="Yes",'Prescriptive Rebate Table'!$D$69,IF(ISBLANK(AI151),0,IF(AND(AH151=Lookups!$A$62,BK151&gt;0),'Prescriptive Rebate Table'!$D$68,IF(AND(BK151&gt;0,CJ151=AF151),'Prescriptive Rebate Table'!$D$67,IF(AND(BK151&gt;0,CJ151&lt;&gt;AF151),'Prescriptive Rebate Table'!D210,0))))),"")</f>
        <v>0</v>
      </c>
      <c r="CL151" s="240" t="s">
        <v>2712</v>
      </c>
      <c r="CM151" s="152"/>
      <c r="CN151" s="152"/>
      <c r="CO151" s="152"/>
      <c r="CP151" s="146">
        <f t="shared" si="85"/>
        <v>0</v>
      </c>
      <c r="CQ151" s="153">
        <f>IF(D151="Interior",ROUND(($AG151*AF151)/1000*$AM151*(Lookups!$B$54-$AA151)*$AN151*$AO151,3),0)</f>
        <v>0</v>
      </c>
      <c r="CR151" s="153">
        <f>IFERROR(IF(D151="Interior",ROUND(($AG151*$AF151)/1000*(Lookups!$C$54-$AB151)*$AN151*AQ151*AT151,6),0),"")</f>
        <v>0</v>
      </c>
      <c r="CS151" s="165">
        <f t="shared" si="102"/>
        <v>0</v>
      </c>
      <c r="CT151" s="165">
        <f t="shared" si="103"/>
        <v>0</v>
      </c>
      <c r="CV151" s="153"/>
      <c r="CW151" s="153"/>
      <c r="CX151" s="165"/>
      <c r="CY151" s="165"/>
      <c r="DA151" s="153">
        <f>IF(D151="Interior",ROUND(($AG151*AF151*(1-0.15))/1000*$AM151*(Lookups!$B$43+0.097-$AA151)*$AN151*$AO151+((W151*V151)/1000*AN151*AM151*AO151*0.15),3),0)</f>
        <v>0</v>
      </c>
      <c r="DB151" s="153">
        <f>IFERROR(IF(D151="Interior",ROUND(($AG151*$AF151)/1000*(Lookups!$C$43+0.097-$AB151)*$AN151*AQ151*AT151+(($AG151*$AF151)/1000*$AN151*AQ151*AT151*0.15),6),0),"")</f>
        <v>0</v>
      </c>
      <c r="DC151" s="165">
        <f t="shared" si="86"/>
        <v>0</v>
      </c>
      <c r="DD151" s="165">
        <f t="shared" si="87"/>
        <v>0</v>
      </c>
    </row>
    <row r="152" spans="1:108" s="164" customFormat="1">
      <c r="A152" s="150">
        <v>148</v>
      </c>
      <c r="B152" s="153" t="str">
        <f>IFERROR(INDEX(Lookups!$B$2:$B$38,MATCH('Project Info &amp; Summary'!$C$19,Lookups!$A$2:$A$38,0)),"")</f>
        <v/>
      </c>
      <c r="C152" s="153" t="str">
        <f>IFERROR(INDEX(Lookups!$C$2:$C$38,MATCH('Project Info &amp; Summary'!$C$19,Lookups!$A$2:$A$38,0)),"")</f>
        <v/>
      </c>
      <c r="D152" s="163"/>
      <c r="E152" s="160"/>
      <c r="F152" s="158"/>
      <c r="G152" s="158"/>
      <c r="H152" s="158"/>
      <c r="I152" s="158"/>
      <c r="J152" s="154" t="str">
        <f>IFERROR(INDEX(Lookups!$W$21:$W$26,MATCH(I152,Lookups!$V$21:$V$26,0)),"")</f>
        <v/>
      </c>
      <c r="K152" s="158"/>
      <c r="L152" s="162" t="str">
        <f>IFERROR(INDEX(Lookups!$Y$2:$Y$19,MATCH(_xlfn.CONCAT(I152,K152),Lookups!$X$2:$X$19,0)),"")</f>
        <v/>
      </c>
      <c r="M152" s="158"/>
      <c r="N152" s="153" t="str">
        <f>IFERROR(INDEX('Prescriptive Rebate Table'!$M$3:$M$20,MATCH(M152,'Prescriptive Rebate Table'!$L$3:$L$20,0)),"")</f>
        <v/>
      </c>
      <c r="O152" s="158"/>
      <c r="P152" s="154" t="str">
        <f>IFERROR(INDEX('Prescriptive Rebate Table'!$B$2:$H$64, MATCH(O152,'Prescriptive Rebate Table'!$C$2:$C$64,0),7),"")</f>
        <v/>
      </c>
      <c r="Q152" s="155" t="str">
        <f>IFERROR(INDEX('Prescriptive Rebate Table'!$B$2:$I$64, MATCH(O152,'Prescriptive Rebate Table'!$C$2:$C$64,0),8),"")</f>
        <v/>
      </c>
      <c r="R152" s="155" t="str">
        <f>IFERROR(INDEX('Prescriptive Rebate Table'!$B$2:$J$64, MATCH(O152,'Prescriptive Rebate Table'!$C$2:$C$64,0),9),"")</f>
        <v/>
      </c>
      <c r="S152" s="160"/>
      <c r="T152" s="145" t="str">
        <f>IFERROR(INDEX('Fixture Codes'!$M$8:$M$976,MATCH(S152,'Fixture Codes'!$B$8:$B$976,0)),"")</f>
        <v/>
      </c>
      <c r="U152" s="145" t="str">
        <f>IFERROR(INDEX('Fixture Codes'!$B$7:$M$976,MATCH(T152,'Fixture Codes'!$B$7:$B$976,0),5),"")</f>
        <v/>
      </c>
      <c r="V152" s="160"/>
      <c r="W152" s="145" t="str">
        <f>IFERROR(INDEX('Fixture Codes'!$L$8:$L$976,MATCH(T152,'Fixture Codes'!$B$8:$B$976,0)),"")</f>
        <v/>
      </c>
      <c r="X152" s="158"/>
      <c r="Y152" s="159"/>
      <c r="Z152" s="155" t="str">
        <f>IFERROR(INDEX(Lookups!B$68:B$87,MATCH($X152,Lookups!$A$68:$A$87,0)),"")</f>
        <v/>
      </c>
      <c r="AA152" s="150" t="str">
        <f>IFERROR(INDEX(Lookups!B$42:B$62,MATCH($X152,Lookups!$A$42:$A$62,0)),"")</f>
        <v/>
      </c>
      <c r="AB152" s="150" t="str">
        <f>IFERROR(INDEX(Lookups!C$42:C$62,MATCH($X152,Lookups!$A$42:$A$62,0)),"")</f>
        <v/>
      </c>
      <c r="AC152" s="160"/>
      <c r="AD152" s="160"/>
      <c r="AE152" s="150" t="str">
        <f>IFERROR(INDEX('Fixture Codes'!$B$7:$M$976,MATCH(AD152,'Fixture Codes'!$B$7:$B$976,0),5),"")</f>
        <v/>
      </c>
      <c r="AF152" s="160"/>
      <c r="AG152" s="145" t="str">
        <f>IFERROR(INDEX('Fixture Codes'!$L$8:$L$976,MATCH(AD152,'Fixture Codes'!$B$8:$B$976,0)),"")</f>
        <v/>
      </c>
      <c r="AH152" s="158"/>
      <c r="AI152" s="160"/>
      <c r="AJ152" s="150" t="str">
        <f>IFERROR(INDEX(Lookups!B$68:B$87,MATCH($AH152,Lookups!$A$68:$A$87,0)),"")</f>
        <v/>
      </c>
      <c r="AK152" s="150" t="str">
        <f>IFERROR(INDEX(Lookups!B$42:B$62,MATCH($AH152,Lookups!$A$42:$A$62,0)),"")</f>
        <v/>
      </c>
      <c r="AL152" s="150" t="str">
        <f>IFERROR(INDEX(Lookups!C$42:C$62,MATCH($AH152,Lookups!$A$42:$A$62,0)),"")</f>
        <v/>
      </c>
      <c r="AM152" s="150" t="str">
        <f>IFERROR(IF(M152="Exit Signs",8760,IF(INDEX('Fixture Codes'!$C$8:$C$976,MATCH(AD152,'Fixture Codes'!$B$8:$B$976,0))="Exit Sign",8760,INDEX(Lookups!$I$2:$I$428,MATCH(_xlfn.CONCAT(B152,H152),Lookups!$H$2:$H$428,0)))),"")</f>
        <v/>
      </c>
      <c r="AN152" s="153">
        <v>1</v>
      </c>
      <c r="AO152" s="150" t="str">
        <f>IF($D152="Interior",INDEX(Lookups!Q$2:Q$86,MATCH(_xlfn.CONCAT($C152,$L152),Lookups!$P$2:$P$86,0)),IF($D152="Exterior",1,""))</f>
        <v/>
      </c>
      <c r="AP152" s="150">
        <f t="shared" si="88"/>
        <v>1</v>
      </c>
      <c r="AQ152" s="150" t="str">
        <f>IF($D152="Interior",INDEX(Lookups!R$2:R$86,MATCH(_xlfn.CONCAT($C152,$L152),Lookups!$P$2:$P$86,0)),IF($D152="Exterior",1,""))</f>
        <v/>
      </c>
      <c r="AR152" s="150" t="str">
        <f>IF($D152="Interior",INDEX(Lookups!S$2:S$86,MATCH(_xlfn.CONCAT($C152,$L152),Lookups!$P$2:$P$86,0)),IF($D152="Exterior",1,""))</f>
        <v/>
      </c>
      <c r="AS152" s="150" t="str">
        <f>IF($D152="Interior",INDEX(Lookups!T$2:T$86,MATCH(_xlfn.CONCAT($C152,$L152),Lookups!$P$2:$P$86,0)),IF($D152="Exterior",1,""))</f>
        <v/>
      </c>
      <c r="AT152" s="150" t="str">
        <f>IFERROR(IF(M152="Exit Signs",1,IF(INDEX('Fixture Codes'!$C$8:$C$976,MATCH($AD152,'Fixture Codes'!$B$8:$B$976,0))="Exit Sign",1,INDEX(Lookups!J$2:J$428,MATCH(_xlfn.CONCAT($B152,$H152),Lookups!$H$2:$H$428,0)))),"")</f>
        <v/>
      </c>
      <c r="AU152" s="150" t="str">
        <f>IFERROR(IF(M152="Exit Signs",1,IF(INDEX('Fixture Codes'!$C$8:$C$976,MATCH($AD152,'Fixture Codes'!$B$8:$B$976,0))="Exit Sign",1,INDEX(Lookups!K$2:K$428,MATCH(_xlfn.CONCAT($B152,$H152),Lookups!$H$2:$H$428,0)))),"")</f>
        <v/>
      </c>
      <c r="AV152" s="150" t="str">
        <f>IFERROR(IF(M152="Exit Signs",1,IF(INDEX('Fixture Codes'!$C$8:$C$976,MATCH($AD152,'Fixture Codes'!$B$8:$B$976,0))="Exit Sign",1,INDEX(Lookups!L$2:L$428,MATCH(_xlfn.CONCAT($B152,$H152),Lookups!$H$2:$H$428,0)))),"")</f>
        <v/>
      </c>
      <c r="AW152" s="150" t="str">
        <f>IF(ISBLANK(K152),"",IF(K152="Gas",INDEX(Lookups!$AG$2:$AG$63,MATCH(O152,Lookups!$AD$2:$AD$63,0),0),0))</f>
        <v/>
      </c>
      <c r="AX152" s="150" t="str">
        <f>IF(ISBLANK(K152),"",IF(K152="Gas",INDEX(Lookups!$AF$2:$AF$63,MATCH(O152,Lookups!$AD$2:$AD$63,0),0),0))</f>
        <v/>
      </c>
      <c r="AY152" s="150" t="str">
        <f>IF(ISBLANK(K152),"",IF(K152="Gas",INDEX(Lookups!$AH$2:$AH$63,MATCH(O152,Lookups!$AD$2:$AD$63,0),0),0))</f>
        <v/>
      </c>
      <c r="AZ152" s="150" t="str">
        <f>IF(ISBLANK(K152),"",IF(K152="Gas",INDEX(Lookups!$AI$2:$AI$63,MATCH(O152,Lookups!$AD$2:$AD$63,0),0),0))</f>
        <v/>
      </c>
      <c r="BA152" s="150" t="str">
        <f t="shared" si="73"/>
        <v/>
      </c>
      <c r="BB152" s="156" t="str">
        <f>IF(ISBLANK(AH152),"",IF(AH152="None",0,IF(K152="Gas",INDEX(Lookups!$AF$51:$AF$69,MATCH(AH152,Lookups!$AD$51:$AD$69,0),0),0)))</f>
        <v/>
      </c>
      <c r="BC152" s="156" t="str">
        <f>IF(ISBLANK(AH152),"",IF(AH152="None",0,IF(K152="Gas",INDEX(Lookups!$AH$51:$AH$69,MATCH(AH152,Lookups!$AD$51:$AD$69,0),0),0)))</f>
        <v/>
      </c>
      <c r="BD152" s="156" t="str">
        <f>IF(ISBLANK(AH152),"",IF(AH152="None",0,IF(K152="Gas",INDEX(Lookups!$AI$51:$AI$69,MATCH(AH152,Lookups!$AD$51:$AD$69,0),0),0)))</f>
        <v/>
      </c>
      <c r="BE152" s="157"/>
      <c r="BF152" s="157"/>
      <c r="BG152" s="147" t="str">
        <f t="shared" si="89"/>
        <v/>
      </c>
      <c r="BH152" s="147" t="str">
        <f t="shared" si="90"/>
        <v/>
      </c>
      <c r="BI152" s="147" t="str">
        <f t="shared" si="74"/>
        <v/>
      </c>
      <c r="BJ152" s="147" t="str">
        <f t="shared" si="75"/>
        <v/>
      </c>
      <c r="BK152" s="148" t="str">
        <f t="shared" si="91"/>
        <v/>
      </c>
      <c r="BL152" s="147" t="str">
        <f t="shared" si="76"/>
        <v/>
      </c>
      <c r="BM152" s="148" t="str">
        <f t="shared" si="92"/>
        <v/>
      </c>
      <c r="BN152" s="147" t="str">
        <f t="shared" si="93"/>
        <v/>
      </c>
      <c r="BO152" s="147" t="str">
        <f t="shared" si="93"/>
        <v/>
      </c>
      <c r="BP152" s="147" t="str">
        <f t="shared" si="94"/>
        <v/>
      </c>
      <c r="BQ152" s="148" t="str">
        <f t="shared" si="95"/>
        <v/>
      </c>
      <c r="BR152" s="148" t="str">
        <f t="shared" si="96"/>
        <v/>
      </c>
      <c r="BS152" s="148" t="str">
        <f t="shared" si="97"/>
        <v/>
      </c>
      <c r="BT152" s="148" t="str">
        <f t="shared" si="77"/>
        <v/>
      </c>
      <c r="BU152" s="148" t="str">
        <f t="shared" si="78"/>
        <v/>
      </c>
      <c r="BV152" s="148" t="str">
        <f t="shared" si="79"/>
        <v/>
      </c>
      <c r="BW152" s="148" t="str">
        <f t="shared" si="80"/>
        <v/>
      </c>
      <c r="BX152" s="148" t="str">
        <f t="shared" si="81"/>
        <v/>
      </c>
      <c r="BY152" s="148" t="str">
        <f t="shared" si="82"/>
        <v/>
      </c>
      <c r="BZ152" s="149" t="str">
        <f>IFERROR(INDEX('Prescriptive Rebate Table'!$B$2:$E$64,MATCH(O152,'Prescriptive Rebate Table'!$C$2:$C$64,0),3),"")</f>
        <v/>
      </c>
      <c r="CA152" s="145" t="str">
        <f>IFERROR(INDEX('Prescriptive Rebate Table'!$B$2:$E$64,MATCH(O152,'Prescriptive Rebate Table'!$C$2:$C$64,0),4),"")</f>
        <v/>
      </c>
      <c r="CB152" s="149" t="str">
        <f t="shared" si="98"/>
        <v/>
      </c>
      <c r="CC152" s="145" t="str">
        <f t="shared" si="99"/>
        <v/>
      </c>
      <c r="CD152" s="149" t="str">
        <f t="shared" si="83"/>
        <v/>
      </c>
      <c r="CE152" s="149" t="str">
        <f t="shared" si="84"/>
        <v/>
      </c>
      <c r="CF152" s="149" t="str">
        <f>IF(BK152&lt;=0,0,IFERROR(IF(OR(ISBLANK(AC152),ISBLANK(CD152))=TRUE,"",IF(CA152="Per Foot",INDEX('Fixture Codes'!$I$8:$I$976,MATCH(AD152,'Fixture Codes'!$B$8:$B$976,0))/12*AF152*BZ152,IF(CA152="Lamp",INDEX('Fixture Codes'!$J$8:$J$976,MATCH(AD152,'Fixture Codes'!$B$8:$B$976,0))*AF152*BZ152,IF(CA152="Fixture",AF152*BZ152,IF(CA152="kWh",BK152*BZ152,0))))),""))</f>
        <v/>
      </c>
      <c r="CG152" s="149" t="str">
        <f t="shared" si="100"/>
        <v/>
      </c>
      <c r="CH152" s="149" t="str">
        <f t="shared" si="101"/>
        <v/>
      </c>
      <c r="CI152" s="152"/>
      <c r="CJ152" s="146"/>
      <c r="CK152" s="241">
        <f>IFERROR(IF(CL152="Yes",'Prescriptive Rebate Table'!$D$69,IF(ISBLANK(AI152),0,IF(AND(AH152=Lookups!$A$62,BK152&gt;0),'Prescriptive Rebate Table'!$D$68,IF(AND(BK152&gt;0,CJ152=AF152),'Prescriptive Rebate Table'!$D$67,IF(AND(BK152&gt;0,CJ152&lt;&gt;AF152),'Prescriptive Rebate Table'!D211,0))))),"")</f>
        <v>0</v>
      </c>
      <c r="CL152" s="240" t="s">
        <v>2712</v>
      </c>
      <c r="CM152" s="152"/>
      <c r="CN152" s="152"/>
      <c r="CO152" s="152"/>
      <c r="CP152" s="146">
        <f t="shared" si="85"/>
        <v>0</v>
      </c>
      <c r="CQ152" s="153">
        <f>IF(D152="Interior",ROUND(($AG152*AF152)/1000*$AM152*(Lookups!$B$54-$AA152)*$AN152*$AO152,3),0)</f>
        <v>0</v>
      </c>
      <c r="CR152" s="153">
        <f>IFERROR(IF(D152="Interior",ROUND(($AG152*$AF152)/1000*(Lookups!$C$54-$AB152)*$AN152*AQ152*AT152,6),0),"")</f>
        <v>0</v>
      </c>
      <c r="CS152" s="165">
        <f t="shared" si="102"/>
        <v>0</v>
      </c>
      <c r="CT152" s="165">
        <f t="shared" si="103"/>
        <v>0</v>
      </c>
      <c r="CV152" s="153"/>
      <c r="CW152" s="153"/>
      <c r="CX152" s="165"/>
      <c r="CY152" s="165"/>
      <c r="DA152" s="153">
        <f>IF(D152="Interior",ROUND(($AG152*AF152*(1-0.15))/1000*$AM152*(Lookups!$B$43+0.097-$AA152)*$AN152*$AO152+((W152*V152)/1000*AN152*AM152*AO152*0.15),3),0)</f>
        <v>0</v>
      </c>
      <c r="DB152" s="153">
        <f>IFERROR(IF(D152="Interior",ROUND(($AG152*$AF152)/1000*(Lookups!$C$43+0.097-$AB152)*$AN152*AQ152*AT152+(($AG152*$AF152)/1000*$AN152*AQ152*AT152*0.15),6),0),"")</f>
        <v>0</v>
      </c>
      <c r="DC152" s="165">
        <f t="shared" si="86"/>
        <v>0</v>
      </c>
      <c r="DD152" s="165">
        <f t="shared" si="87"/>
        <v>0</v>
      </c>
    </row>
    <row r="153" spans="1:108" s="164" customFormat="1">
      <c r="A153" s="150">
        <v>149</v>
      </c>
      <c r="B153" s="153" t="str">
        <f>IFERROR(INDEX(Lookups!$B$2:$B$38,MATCH('Project Info &amp; Summary'!$C$19,Lookups!$A$2:$A$38,0)),"")</f>
        <v/>
      </c>
      <c r="C153" s="153" t="str">
        <f>IFERROR(INDEX(Lookups!$C$2:$C$38,MATCH('Project Info &amp; Summary'!$C$19,Lookups!$A$2:$A$38,0)),"")</f>
        <v/>
      </c>
      <c r="D153" s="163"/>
      <c r="E153" s="160"/>
      <c r="F153" s="158"/>
      <c r="G153" s="158"/>
      <c r="H153" s="158"/>
      <c r="I153" s="158"/>
      <c r="J153" s="154" t="str">
        <f>IFERROR(INDEX(Lookups!$W$21:$W$26,MATCH(I153,Lookups!$V$21:$V$26,0)),"")</f>
        <v/>
      </c>
      <c r="K153" s="158"/>
      <c r="L153" s="162" t="str">
        <f>IFERROR(INDEX(Lookups!$Y$2:$Y$19,MATCH(_xlfn.CONCAT(I153,K153),Lookups!$X$2:$X$19,0)),"")</f>
        <v/>
      </c>
      <c r="M153" s="158"/>
      <c r="N153" s="153" t="str">
        <f>IFERROR(INDEX('Prescriptive Rebate Table'!$M$3:$M$20,MATCH(M153,'Prescriptive Rebate Table'!$L$3:$L$20,0)),"")</f>
        <v/>
      </c>
      <c r="O153" s="158"/>
      <c r="P153" s="154" t="str">
        <f>IFERROR(INDEX('Prescriptive Rebate Table'!$B$2:$H$64, MATCH(O153,'Prescriptive Rebate Table'!$C$2:$C$64,0),7),"")</f>
        <v/>
      </c>
      <c r="Q153" s="155" t="str">
        <f>IFERROR(INDEX('Prescriptive Rebate Table'!$B$2:$I$64, MATCH(O153,'Prescriptive Rebate Table'!$C$2:$C$64,0),8),"")</f>
        <v/>
      </c>
      <c r="R153" s="155" t="str">
        <f>IFERROR(INDEX('Prescriptive Rebate Table'!$B$2:$J$64, MATCH(O153,'Prescriptive Rebate Table'!$C$2:$C$64,0),9),"")</f>
        <v/>
      </c>
      <c r="S153" s="160"/>
      <c r="T153" s="145" t="str">
        <f>IFERROR(INDEX('Fixture Codes'!$M$8:$M$976,MATCH(S153,'Fixture Codes'!$B$8:$B$976,0)),"")</f>
        <v/>
      </c>
      <c r="U153" s="145" t="str">
        <f>IFERROR(INDEX('Fixture Codes'!$B$7:$M$976,MATCH(T153,'Fixture Codes'!$B$7:$B$976,0),5),"")</f>
        <v/>
      </c>
      <c r="V153" s="160"/>
      <c r="W153" s="145" t="str">
        <f>IFERROR(INDEX('Fixture Codes'!$L$8:$L$976,MATCH(T153,'Fixture Codes'!$B$8:$B$976,0)),"")</f>
        <v/>
      </c>
      <c r="X153" s="158"/>
      <c r="Y153" s="159"/>
      <c r="Z153" s="155" t="str">
        <f>IFERROR(INDEX(Lookups!B$68:B$87,MATCH($X153,Lookups!$A$68:$A$87,0)),"")</f>
        <v/>
      </c>
      <c r="AA153" s="150" t="str">
        <f>IFERROR(INDEX(Lookups!B$42:B$62,MATCH($X153,Lookups!$A$42:$A$62,0)),"")</f>
        <v/>
      </c>
      <c r="AB153" s="150" t="str">
        <f>IFERROR(INDEX(Lookups!C$42:C$62,MATCH($X153,Lookups!$A$42:$A$62,0)),"")</f>
        <v/>
      </c>
      <c r="AC153" s="160"/>
      <c r="AD153" s="160"/>
      <c r="AE153" s="150" t="str">
        <f>IFERROR(INDEX('Fixture Codes'!$B$7:$M$976,MATCH(AD153,'Fixture Codes'!$B$7:$B$976,0),5),"")</f>
        <v/>
      </c>
      <c r="AF153" s="160"/>
      <c r="AG153" s="145" t="str">
        <f>IFERROR(INDEX('Fixture Codes'!$L$8:$L$976,MATCH(AD153,'Fixture Codes'!$B$8:$B$976,0)),"")</f>
        <v/>
      </c>
      <c r="AH153" s="158"/>
      <c r="AI153" s="160"/>
      <c r="AJ153" s="150" t="str">
        <f>IFERROR(INDEX(Lookups!B$68:B$87,MATCH($AH153,Lookups!$A$68:$A$87,0)),"")</f>
        <v/>
      </c>
      <c r="AK153" s="150" t="str">
        <f>IFERROR(INDEX(Lookups!B$42:B$62,MATCH($AH153,Lookups!$A$42:$A$62,0)),"")</f>
        <v/>
      </c>
      <c r="AL153" s="150" t="str">
        <f>IFERROR(INDEX(Lookups!C$42:C$62,MATCH($AH153,Lookups!$A$42:$A$62,0)),"")</f>
        <v/>
      </c>
      <c r="AM153" s="150" t="str">
        <f>IFERROR(IF(M153="Exit Signs",8760,IF(INDEX('Fixture Codes'!$C$8:$C$976,MATCH(AD153,'Fixture Codes'!$B$8:$B$976,0))="Exit Sign",8760,INDEX(Lookups!$I$2:$I$428,MATCH(_xlfn.CONCAT(B153,H153),Lookups!$H$2:$H$428,0)))),"")</f>
        <v/>
      </c>
      <c r="AN153" s="153">
        <v>1</v>
      </c>
      <c r="AO153" s="150" t="str">
        <f>IF($D153="Interior",INDEX(Lookups!Q$2:Q$86,MATCH(_xlfn.CONCAT($C153,$L153),Lookups!$P$2:$P$86,0)),IF($D153="Exterior",1,""))</f>
        <v/>
      </c>
      <c r="AP153" s="150">
        <f t="shared" si="88"/>
        <v>1</v>
      </c>
      <c r="AQ153" s="150" t="str">
        <f>IF($D153="Interior",INDEX(Lookups!R$2:R$86,MATCH(_xlfn.CONCAT($C153,$L153),Lookups!$P$2:$P$86,0)),IF($D153="Exterior",1,""))</f>
        <v/>
      </c>
      <c r="AR153" s="150" t="str">
        <f>IF($D153="Interior",INDEX(Lookups!S$2:S$86,MATCH(_xlfn.CONCAT($C153,$L153),Lookups!$P$2:$P$86,0)),IF($D153="Exterior",1,""))</f>
        <v/>
      </c>
      <c r="AS153" s="150" t="str">
        <f>IF($D153="Interior",INDEX(Lookups!T$2:T$86,MATCH(_xlfn.CONCAT($C153,$L153),Lookups!$P$2:$P$86,0)),IF($D153="Exterior",1,""))</f>
        <v/>
      </c>
      <c r="AT153" s="150" t="str">
        <f>IFERROR(IF(M153="Exit Signs",1,IF(INDEX('Fixture Codes'!$C$8:$C$976,MATCH($AD153,'Fixture Codes'!$B$8:$B$976,0))="Exit Sign",1,INDEX(Lookups!J$2:J$428,MATCH(_xlfn.CONCAT($B153,$H153),Lookups!$H$2:$H$428,0)))),"")</f>
        <v/>
      </c>
      <c r="AU153" s="150" t="str">
        <f>IFERROR(IF(M153="Exit Signs",1,IF(INDEX('Fixture Codes'!$C$8:$C$976,MATCH($AD153,'Fixture Codes'!$B$8:$B$976,0))="Exit Sign",1,INDEX(Lookups!K$2:K$428,MATCH(_xlfn.CONCAT($B153,$H153),Lookups!$H$2:$H$428,0)))),"")</f>
        <v/>
      </c>
      <c r="AV153" s="150" t="str">
        <f>IFERROR(IF(M153="Exit Signs",1,IF(INDEX('Fixture Codes'!$C$8:$C$976,MATCH($AD153,'Fixture Codes'!$B$8:$B$976,0))="Exit Sign",1,INDEX(Lookups!L$2:L$428,MATCH(_xlfn.CONCAT($B153,$H153),Lookups!$H$2:$H$428,0)))),"")</f>
        <v/>
      </c>
      <c r="AW153" s="150" t="str">
        <f>IF(ISBLANK(K153),"",IF(K153="Gas",INDEX(Lookups!$AG$2:$AG$63,MATCH(O153,Lookups!$AD$2:$AD$63,0),0),0))</f>
        <v/>
      </c>
      <c r="AX153" s="150" t="str">
        <f>IF(ISBLANK(K153),"",IF(K153="Gas",INDEX(Lookups!$AF$2:$AF$63,MATCH(O153,Lookups!$AD$2:$AD$63,0),0),0))</f>
        <v/>
      </c>
      <c r="AY153" s="150" t="str">
        <f>IF(ISBLANK(K153),"",IF(K153="Gas",INDEX(Lookups!$AH$2:$AH$63,MATCH(O153,Lookups!$AD$2:$AD$63,0),0),0))</f>
        <v/>
      </c>
      <c r="AZ153" s="150" t="str">
        <f>IF(ISBLANK(K153),"",IF(K153="Gas",INDEX(Lookups!$AI$2:$AI$63,MATCH(O153,Lookups!$AD$2:$AD$63,0),0),0))</f>
        <v/>
      </c>
      <c r="BA153" s="150" t="str">
        <f t="shared" si="73"/>
        <v/>
      </c>
      <c r="BB153" s="156" t="str">
        <f>IF(ISBLANK(AH153),"",IF(AH153="None",0,IF(K153="Gas",INDEX(Lookups!$AF$51:$AF$69,MATCH(AH153,Lookups!$AD$51:$AD$69,0),0),0)))</f>
        <v/>
      </c>
      <c r="BC153" s="156" t="str">
        <f>IF(ISBLANK(AH153),"",IF(AH153="None",0,IF(K153="Gas",INDEX(Lookups!$AH$51:$AH$69,MATCH(AH153,Lookups!$AD$51:$AD$69,0),0),0)))</f>
        <v/>
      </c>
      <c r="BD153" s="156" t="str">
        <f>IF(ISBLANK(AH153),"",IF(AH153="None",0,IF(K153="Gas",INDEX(Lookups!$AI$51:$AI$69,MATCH(AH153,Lookups!$AD$51:$AD$69,0),0),0)))</f>
        <v/>
      </c>
      <c r="BE153" s="157"/>
      <c r="BF153" s="157"/>
      <c r="BG153" s="147" t="str">
        <f t="shared" si="89"/>
        <v/>
      </c>
      <c r="BH153" s="147" t="str">
        <f t="shared" si="90"/>
        <v/>
      </c>
      <c r="BI153" s="147" t="str">
        <f t="shared" si="74"/>
        <v/>
      </c>
      <c r="BJ153" s="147" t="str">
        <f t="shared" si="75"/>
        <v/>
      </c>
      <c r="BK153" s="148" t="str">
        <f t="shared" si="91"/>
        <v/>
      </c>
      <c r="BL153" s="147" t="str">
        <f t="shared" si="76"/>
        <v/>
      </c>
      <c r="BM153" s="148" t="str">
        <f t="shared" si="92"/>
        <v/>
      </c>
      <c r="BN153" s="147" t="str">
        <f t="shared" si="93"/>
        <v/>
      </c>
      <c r="BO153" s="147" t="str">
        <f t="shared" si="93"/>
        <v/>
      </c>
      <c r="BP153" s="147" t="str">
        <f t="shared" si="94"/>
        <v/>
      </c>
      <c r="BQ153" s="148" t="str">
        <f t="shared" si="95"/>
        <v/>
      </c>
      <c r="BR153" s="148" t="str">
        <f t="shared" si="96"/>
        <v/>
      </c>
      <c r="BS153" s="148" t="str">
        <f t="shared" si="97"/>
        <v/>
      </c>
      <c r="BT153" s="148" t="str">
        <f t="shared" si="77"/>
        <v/>
      </c>
      <c r="BU153" s="148" t="str">
        <f t="shared" si="78"/>
        <v/>
      </c>
      <c r="BV153" s="148" t="str">
        <f t="shared" si="79"/>
        <v/>
      </c>
      <c r="BW153" s="148" t="str">
        <f t="shared" si="80"/>
        <v/>
      </c>
      <c r="BX153" s="148" t="str">
        <f t="shared" si="81"/>
        <v/>
      </c>
      <c r="BY153" s="148" t="str">
        <f t="shared" si="82"/>
        <v/>
      </c>
      <c r="BZ153" s="149" t="str">
        <f>IFERROR(INDEX('Prescriptive Rebate Table'!$B$2:$E$64,MATCH(O153,'Prescriptive Rebate Table'!$C$2:$C$64,0),3),"")</f>
        <v/>
      </c>
      <c r="CA153" s="145" t="str">
        <f>IFERROR(INDEX('Prescriptive Rebate Table'!$B$2:$E$64,MATCH(O153,'Prescriptive Rebate Table'!$C$2:$C$64,0),4),"")</f>
        <v/>
      </c>
      <c r="CB153" s="149" t="str">
        <f t="shared" si="98"/>
        <v/>
      </c>
      <c r="CC153" s="145" t="str">
        <f t="shared" si="99"/>
        <v/>
      </c>
      <c r="CD153" s="149" t="str">
        <f t="shared" si="83"/>
        <v/>
      </c>
      <c r="CE153" s="149" t="str">
        <f t="shared" si="84"/>
        <v/>
      </c>
      <c r="CF153" s="149" t="str">
        <f>IF(BK153&lt;=0,0,IFERROR(IF(OR(ISBLANK(AC153),ISBLANK(CD153))=TRUE,"",IF(CA153="Per Foot",INDEX('Fixture Codes'!$I$8:$I$976,MATCH(AD153,'Fixture Codes'!$B$8:$B$976,0))/12*AF153*BZ153,IF(CA153="Lamp",INDEX('Fixture Codes'!$J$8:$J$976,MATCH(AD153,'Fixture Codes'!$B$8:$B$976,0))*AF153*BZ153,IF(CA153="Fixture",AF153*BZ153,IF(CA153="kWh",BK153*BZ153,0))))),""))</f>
        <v/>
      </c>
      <c r="CG153" s="149" t="str">
        <f t="shared" si="100"/>
        <v/>
      </c>
      <c r="CH153" s="149" t="str">
        <f t="shared" si="101"/>
        <v/>
      </c>
      <c r="CI153" s="152"/>
      <c r="CJ153" s="146"/>
      <c r="CK153" s="241">
        <f>IFERROR(IF(CL153="Yes",'Prescriptive Rebate Table'!$D$69,IF(ISBLANK(AI153),0,IF(AND(AH153=Lookups!$A$62,BK153&gt;0),'Prescriptive Rebate Table'!$D$68,IF(AND(BK153&gt;0,CJ153=AF153),'Prescriptive Rebate Table'!$D$67,IF(AND(BK153&gt;0,CJ153&lt;&gt;AF153),'Prescriptive Rebate Table'!D212,0))))),"")</f>
        <v>0</v>
      </c>
      <c r="CL153" s="240" t="s">
        <v>2712</v>
      </c>
      <c r="CM153" s="152"/>
      <c r="CN153" s="152"/>
      <c r="CO153" s="152"/>
      <c r="CP153" s="146">
        <f t="shared" si="85"/>
        <v>0</v>
      </c>
      <c r="CQ153" s="153">
        <f>IF(D153="Interior",ROUND(($AG153*AF153)/1000*$AM153*(Lookups!$B$54-$AA153)*$AN153*$AO153,3),0)</f>
        <v>0</v>
      </c>
      <c r="CR153" s="153">
        <f>IFERROR(IF(D153="Interior",ROUND(($AG153*$AF153)/1000*(Lookups!$C$54-$AB153)*$AN153*AQ153*AT153,6),0),"")</f>
        <v>0</v>
      </c>
      <c r="CS153" s="165">
        <f t="shared" si="102"/>
        <v>0</v>
      </c>
      <c r="CT153" s="165">
        <f t="shared" si="103"/>
        <v>0</v>
      </c>
      <c r="CV153" s="153"/>
      <c r="CW153" s="153"/>
      <c r="CX153" s="165"/>
      <c r="CY153" s="165"/>
      <c r="DA153" s="153">
        <f>IF(D153="Interior",ROUND(($AG153*AF153*(1-0.15))/1000*$AM153*(Lookups!$B$43+0.097-$AA153)*$AN153*$AO153+((W153*V153)/1000*AN153*AM153*AO153*0.15),3),0)</f>
        <v>0</v>
      </c>
      <c r="DB153" s="153">
        <f>IFERROR(IF(D153="Interior",ROUND(($AG153*$AF153)/1000*(Lookups!$C$43+0.097-$AB153)*$AN153*AQ153*AT153+(($AG153*$AF153)/1000*$AN153*AQ153*AT153*0.15),6),0),"")</f>
        <v>0</v>
      </c>
      <c r="DC153" s="165">
        <f t="shared" si="86"/>
        <v>0</v>
      </c>
      <c r="DD153" s="165">
        <f t="shared" si="87"/>
        <v>0</v>
      </c>
    </row>
    <row r="154" spans="1:108" s="164" customFormat="1">
      <c r="A154" s="150">
        <v>150</v>
      </c>
      <c r="B154" s="153" t="str">
        <f>IFERROR(INDEX(Lookups!$B$2:$B$38,MATCH('Project Info &amp; Summary'!$C$19,Lookups!$A$2:$A$38,0)),"")</f>
        <v/>
      </c>
      <c r="C154" s="153" t="str">
        <f>IFERROR(INDEX(Lookups!$C$2:$C$38,MATCH('Project Info &amp; Summary'!$C$19,Lookups!$A$2:$A$38,0)),"")</f>
        <v/>
      </c>
      <c r="D154" s="163"/>
      <c r="E154" s="160"/>
      <c r="F154" s="158"/>
      <c r="G154" s="158"/>
      <c r="H154" s="158"/>
      <c r="I154" s="158"/>
      <c r="J154" s="154" t="str">
        <f>IFERROR(INDEX(Lookups!$W$21:$W$26,MATCH(I154,Lookups!$V$21:$V$26,0)),"")</f>
        <v/>
      </c>
      <c r="K154" s="158"/>
      <c r="L154" s="162" t="str">
        <f>IFERROR(INDEX(Lookups!$Y$2:$Y$19,MATCH(_xlfn.CONCAT(I154,K154),Lookups!$X$2:$X$19,0)),"")</f>
        <v/>
      </c>
      <c r="M154" s="158"/>
      <c r="N154" s="153" t="str">
        <f>IFERROR(INDEX('Prescriptive Rebate Table'!$M$3:$M$20,MATCH(M154,'Prescriptive Rebate Table'!$L$3:$L$20,0)),"")</f>
        <v/>
      </c>
      <c r="O154" s="158"/>
      <c r="P154" s="154" t="str">
        <f>IFERROR(INDEX('Prescriptive Rebate Table'!$B$2:$H$64, MATCH(O154,'Prescriptive Rebate Table'!$C$2:$C$64,0),7),"")</f>
        <v/>
      </c>
      <c r="Q154" s="155" t="str">
        <f>IFERROR(INDEX('Prescriptive Rebate Table'!$B$2:$I$64, MATCH(O154,'Prescriptive Rebate Table'!$C$2:$C$64,0),8),"")</f>
        <v/>
      </c>
      <c r="R154" s="155" t="str">
        <f>IFERROR(INDEX('Prescriptive Rebate Table'!$B$2:$J$64, MATCH(O154,'Prescriptive Rebate Table'!$C$2:$C$64,0),9),"")</f>
        <v/>
      </c>
      <c r="S154" s="160"/>
      <c r="T154" s="145" t="str">
        <f>IFERROR(INDEX('Fixture Codes'!$M$8:$M$976,MATCH(S154,'Fixture Codes'!$B$8:$B$976,0)),"")</f>
        <v/>
      </c>
      <c r="U154" s="145" t="str">
        <f>IFERROR(INDEX('Fixture Codes'!$B$7:$M$976,MATCH(T154,'Fixture Codes'!$B$7:$B$976,0),5),"")</f>
        <v/>
      </c>
      <c r="V154" s="160"/>
      <c r="W154" s="145" t="str">
        <f>IFERROR(INDEX('Fixture Codes'!$L$8:$L$976,MATCH(T154,'Fixture Codes'!$B$8:$B$976,0)),"")</f>
        <v/>
      </c>
      <c r="X154" s="158"/>
      <c r="Y154" s="159"/>
      <c r="Z154" s="155" t="str">
        <f>IFERROR(INDEX(Lookups!B$68:B$87,MATCH($X154,Lookups!$A$68:$A$87,0)),"")</f>
        <v/>
      </c>
      <c r="AA154" s="150" t="str">
        <f>IFERROR(INDEX(Lookups!B$42:B$62,MATCH($X154,Lookups!$A$42:$A$62,0)),"")</f>
        <v/>
      </c>
      <c r="AB154" s="150" t="str">
        <f>IFERROR(INDEX(Lookups!C$42:C$62,MATCH($X154,Lookups!$A$42:$A$62,0)),"")</f>
        <v/>
      </c>
      <c r="AC154" s="160"/>
      <c r="AD154" s="160"/>
      <c r="AE154" s="150" t="str">
        <f>IFERROR(INDEX('Fixture Codes'!$B$7:$M$976,MATCH(AD154,'Fixture Codes'!$B$7:$B$976,0),5),"")</f>
        <v/>
      </c>
      <c r="AF154" s="160"/>
      <c r="AG154" s="145" t="str">
        <f>IFERROR(INDEX('Fixture Codes'!$L$8:$L$976,MATCH(AD154,'Fixture Codes'!$B$8:$B$976,0)),"")</f>
        <v/>
      </c>
      <c r="AH154" s="158"/>
      <c r="AI154" s="160"/>
      <c r="AJ154" s="150" t="str">
        <f>IFERROR(INDEX(Lookups!B$68:B$87,MATCH($AH154,Lookups!$A$68:$A$87,0)),"")</f>
        <v/>
      </c>
      <c r="AK154" s="150" t="str">
        <f>IFERROR(INDEX(Lookups!B$42:B$62,MATCH($AH154,Lookups!$A$42:$A$62,0)),"")</f>
        <v/>
      </c>
      <c r="AL154" s="150" t="str">
        <f>IFERROR(INDEX(Lookups!C$42:C$62,MATCH($AH154,Lookups!$A$42:$A$62,0)),"")</f>
        <v/>
      </c>
      <c r="AM154" s="150" t="str">
        <f>IFERROR(IF(M154="Exit Signs",8760,IF(INDEX('Fixture Codes'!$C$8:$C$976,MATCH(AD154,'Fixture Codes'!$B$8:$B$976,0))="Exit Sign",8760,INDEX(Lookups!$I$2:$I$428,MATCH(_xlfn.CONCAT(B154,H154),Lookups!$H$2:$H$428,0)))),"")</f>
        <v/>
      </c>
      <c r="AN154" s="153">
        <v>1</v>
      </c>
      <c r="AO154" s="150" t="str">
        <f>IF($D154="Interior",INDEX(Lookups!Q$2:Q$86,MATCH(_xlfn.CONCAT($C154,$L154),Lookups!$P$2:$P$86,0)),IF($D154="Exterior",1,""))</f>
        <v/>
      </c>
      <c r="AP154" s="150">
        <f t="shared" si="88"/>
        <v>1</v>
      </c>
      <c r="AQ154" s="150" t="str">
        <f>IF($D154="Interior",INDEX(Lookups!R$2:R$86,MATCH(_xlfn.CONCAT($C154,$L154),Lookups!$P$2:$P$86,0)),IF($D154="Exterior",1,""))</f>
        <v/>
      </c>
      <c r="AR154" s="150" t="str">
        <f>IF($D154="Interior",INDEX(Lookups!S$2:S$86,MATCH(_xlfn.CONCAT($C154,$L154),Lookups!$P$2:$P$86,0)),IF($D154="Exterior",1,""))</f>
        <v/>
      </c>
      <c r="AS154" s="150" t="str">
        <f>IF($D154="Interior",INDEX(Lookups!T$2:T$86,MATCH(_xlfn.CONCAT($C154,$L154),Lookups!$P$2:$P$86,0)),IF($D154="Exterior",1,""))</f>
        <v/>
      </c>
      <c r="AT154" s="150" t="str">
        <f>IFERROR(IF(M154="Exit Signs",1,IF(INDEX('Fixture Codes'!$C$8:$C$976,MATCH($AD154,'Fixture Codes'!$B$8:$B$976,0))="Exit Sign",1,INDEX(Lookups!J$2:J$428,MATCH(_xlfn.CONCAT($B154,$H154),Lookups!$H$2:$H$428,0)))),"")</f>
        <v/>
      </c>
      <c r="AU154" s="150" t="str">
        <f>IFERROR(IF(M154="Exit Signs",1,IF(INDEX('Fixture Codes'!$C$8:$C$976,MATCH($AD154,'Fixture Codes'!$B$8:$B$976,0))="Exit Sign",1,INDEX(Lookups!K$2:K$428,MATCH(_xlfn.CONCAT($B154,$H154),Lookups!$H$2:$H$428,0)))),"")</f>
        <v/>
      </c>
      <c r="AV154" s="150" t="str">
        <f>IFERROR(IF(M154="Exit Signs",1,IF(INDEX('Fixture Codes'!$C$8:$C$976,MATCH($AD154,'Fixture Codes'!$B$8:$B$976,0))="Exit Sign",1,INDEX(Lookups!L$2:L$428,MATCH(_xlfn.CONCAT($B154,$H154),Lookups!$H$2:$H$428,0)))),"")</f>
        <v/>
      </c>
      <c r="AW154" s="150" t="str">
        <f>IF(ISBLANK(K154),"",IF(K154="Gas",INDEX(Lookups!$AG$2:$AG$63,MATCH(O154,Lookups!$AD$2:$AD$63,0),0),0))</f>
        <v/>
      </c>
      <c r="AX154" s="150" t="str">
        <f>IF(ISBLANK(K154),"",IF(K154="Gas",INDEX(Lookups!$AF$2:$AF$63,MATCH(O154,Lookups!$AD$2:$AD$63,0),0),0))</f>
        <v/>
      </c>
      <c r="AY154" s="150" t="str">
        <f>IF(ISBLANK(K154),"",IF(K154="Gas",INDEX(Lookups!$AH$2:$AH$63,MATCH(O154,Lookups!$AD$2:$AD$63,0),0),0))</f>
        <v/>
      </c>
      <c r="AZ154" s="150" t="str">
        <f>IF(ISBLANK(K154),"",IF(K154="Gas",INDEX(Lookups!$AI$2:$AI$63,MATCH(O154,Lookups!$AD$2:$AD$63,0),0),0))</f>
        <v/>
      </c>
      <c r="BA154" s="150" t="str">
        <f t="shared" si="73"/>
        <v/>
      </c>
      <c r="BB154" s="156" t="str">
        <f>IF(ISBLANK(AH154),"",IF(AH154="None",0,IF(K154="Gas",INDEX(Lookups!$AF$51:$AF$69,MATCH(AH154,Lookups!$AD$51:$AD$69,0),0),0)))</f>
        <v/>
      </c>
      <c r="BC154" s="156" t="str">
        <f>IF(ISBLANK(AH154),"",IF(AH154="None",0,IF(K154="Gas",INDEX(Lookups!$AH$51:$AH$69,MATCH(AH154,Lookups!$AD$51:$AD$69,0),0),0)))</f>
        <v/>
      </c>
      <c r="BD154" s="156" t="str">
        <f>IF(ISBLANK(AH154),"",IF(AH154="None",0,IF(K154="Gas",INDEX(Lookups!$AI$51:$AI$69,MATCH(AH154,Lookups!$AD$51:$AD$69,0),0),0)))</f>
        <v/>
      </c>
      <c r="BE154" s="157"/>
      <c r="BF154" s="157"/>
      <c r="BG154" s="147" t="str">
        <f t="shared" si="89"/>
        <v/>
      </c>
      <c r="BH154" s="147" t="str">
        <f t="shared" si="90"/>
        <v/>
      </c>
      <c r="BI154" s="147" t="str">
        <f t="shared" si="74"/>
        <v/>
      </c>
      <c r="BJ154" s="147" t="str">
        <f t="shared" si="75"/>
        <v/>
      </c>
      <c r="BK154" s="148" t="str">
        <f t="shared" si="91"/>
        <v/>
      </c>
      <c r="BL154" s="147" t="str">
        <f t="shared" si="76"/>
        <v/>
      </c>
      <c r="BM154" s="148" t="str">
        <f t="shared" si="92"/>
        <v/>
      </c>
      <c r="BN154" s="147" t="str">
        <f t="shared" si="93"/>
        <v/>
      </c>
      <c r="BO154" s="147" t="str">
        <f t="shared" si="93"/>
        <v/>
      </c>
      <c r="BP154" s="147" t="str">
        <f t="shared" si="94"/>
        <v/>
      </c>
      <c r="BQ154" s="148" t="str">
        <f t="shared" si="95"/>
        <v/>
      </c>
      <c r="BR154" s="148" t="str">
        <f t="shared" si="96"/>
        <v/>
      </c>
      <c r="BS154" s="148" t="str">
        <f t="shared" si="97"/>
        <v/>
      </c>
      <c r="BT154" s="148" t="str">
        <f t="shared" si="77"/>
        <v/>
      </c>
      <c r="BU154" s="148" t="str">
        <f t="shared" si="78"/>
        <v/>
      </c>
      <c r="BV154" s="148" t="str">
        <f t="shared" si="79"/>
        <v/>
      </c>
      <c r="BW154" s="148" t="str">
        <f t="shared" si="80"/>
        <v/>
      </c>
      <c r="BX154" s="148" t="str">
        <f t="shared" si="81"/>
        <v/>
      </c>
      <c r="BY154" s="148" t="str">
        <f t="shared" si="82"/>
        <v/>
      </c>
      <c r="BZ154" s="149" t="str">
        <f>IFERROR(INDEX('Prescriptive Rebate Table'!$B$2:$E$64,MATCH(O154,'Prescriptive Rebate Table'!$C$2:$C$64,0),3),"")</f>
        <v/>
      </c>
      <c r="CA154" s="145" t="str">
        <f>IFERROR(INDEX('Prescriptive Rebate Table'!$B$2:$E$64,MATCH(O154,'Prescriptive Rebate Table'!$C$2:$C$64,0),4),"")</f>
        <v/>
      </c>
      <c r="CB154" s="149" t="str">
        <f t="shared" si="98"/>
        <v/>
      </c>
      <c r="CC154" s="145" t="str">
        <f t="shared" si="99"/>
        <v/>
      </c>
      <c r="CD154" s="149" t="str">
        <f t="shared" si="83"/>
        <v/>
      </c>
      <c r="CE154" s="149" t="str">
        <f t="shared" si="84"/>
        <v/>
      </c>
      <c r="CF154" s="149" t="str">
        <f>IF(BK154&lt;=0,0,IFERROR(IF(OR(ISBLANK(AC154),ISBLANK(CD154))=TRUE,"",IF(CA154="Per Foot",INDEX('Fixture Codes'!$I$8:$I$976,MATCH(AD154,'Fixture Codes'!$B$8:$B$976,0))/12*AF154*BZ154,IF(CA154="Lamp",INDEX('Fixture Codes'!$J$8:$J$976,MATCH(AD154,'Fixture Codes'!$B$8:$B$976,0))*AF154*BZ154,IF(CA154="Fixture",AF154*BZ154,IF(CA154="kWh",BK154*BZ154,0))))),""))</f>
        <v/>
      </c>
      <c r="CG154" s="149" t="str">
        <f t="shared" si="100"/>
        <v/>
      </c>
      <c r="CH154" s="149" t="str">
        <f t="shared" si="101"/>
        <v/>
      </c>
      <c r="CI154" s="152"/>
      <c r="CJ154" s="146"/>
      <c r="CK154" s="241">
        <f>IFERROR(IF(CL154="Yes",'Prescriptive Rebate Table'!$D$69,IF(ISBLANK(AI154),0,IF(AND(AH154=Lookups!$A$62,BK154&gt;0),'Prescriptive Rebate Table'!$D$68,IF(AND(BK154&gt;0,CJ154=AF154),'Prescriptive Rebate Table'!$D$67,IF(AND(BK154&gt;0,CJ154&lt;&gt;AF154),'Prescriptive Rebate Table'!D213,0))))),"")</f>
        <v>0</v>
      </c>
      <c r="CL154" s="240" t="s">
        <v>2712</v>
      </c>
      <c r="CM154" s="152"/>
      <c r="CN154" s="152"/>
      <c r="CO154" s="152"/>
      <c r="CP154" s="146">
        <f t="shared" si="85"/>
        <v>0</v>
      </c>
      <c r="CQ154" s="153">
        <f>IF(D154="Interior",ROUND(($AG154*AF154)/1000*$AM154*(Lookups!$B$54-$AA154)*$AN154*$AO154,3),0)</f>
        <v>0</v>
      </c>
      <c r="CR154" s="153">
        <f>IFERROR(IF(D154="Interior",ROUND(($AG154*$AF154)/1000*(Lookups!$C$54-$AB154)*$AN154*AQ154*AT154,6),0),"")</f>
        <v>0</v>
      </c>
      <c r="CS154" s="165">
        <f t="shared" si="102"/>
        <v>0</v>
      </c>
      <c r="CT154" s="165">
        <f t="shared" si="103"/>
        <v>0</v>
      </c>
      <c r="CV154" s="153"/>
      <c r="CW154" s="153"/>
      <c r="CX154" s="165"/>
      <c r="CY154" s="165"/>
      <c r="DA154" s="153">
        <f>IF(D154="Interior",ROUND(($AG154*AF154*(1-0.15))/1000*$AM154*(Lookups!$B$43+0.097-$AA154)*$AN154*$AO154+((W154*V154)/1000*AN154*AM154*AO154*0.15),3),0)</f>
        <v>0</v>
      </c>
      <c r="DB154" s="153">
        <f>IFERROR(IF(D154="Interior",ROUND(($AG154*$AF154)/1000*(Lookups!$C$43+0.097-$AB154)*$AN154*AQ154*AT154+(($AG154*$AF154)/1000*$AN154*AQ154*AT154*0.15),6),0),"")</f>
        <v>0</v>
      </c>
      <c r="DC154" s="165">
        <f t="shared" si="86"/>
        <v>0</v>
      </c>
      <c r="DD154" s="165">
        <f t="shared" si="87"/>
        <v>0</v>
      </c>
    </row>
    <row r="155" spans="1:108" s="164" customFormat="1">
      <c r="A155" s="150">
        <v>151</v>
      </c>
      <c r="B155" s="153" t="str">
        <f>IFERROR(INDEX(Lookups!$B$2:$B$38,MATCH('Project Info &amp; Summary'!$C$19,Lookups!$A$2:$A$38,0)),"")</f>
        <v/>
      </c>
      <c r="C155" s="153" t="str">
        <f>IFERROR(INDEX(Lookups!$C$2:$C$38,MATCH('Project Info &amp; Summary'!$C$19,Lookups!$A$2:$A$38,0)),"")</f>
        <v/>
      </c>
      <c r="D155" s="163"/>
      <c r="E155" s="160"/>
      <c r="F155" s="158"/>
      <c r="G155" s="158"/>
      <c r="H155" s="158"/>
      <c r="I155" s="158"/>
      <c r="J155" s="154" t="str">
        <f>IFERROR(INDEX(Lookups!$W$21:$W$26,MATCH(I155,Lookups!$V$21:$V$26,0)),"")</f>
        <v/>
      </c>
      <c r="K155" s="158"/>
      <c r="L155" s="162" t="str">
        <f>IFERROR(INDEX(Lookups!$Y$2:$Y$19,MATCH(_xlfn.CONCAT(I155,K155),Lookups!$X$2:$X$19,0)),"")</f>
        <v/>
      </c>
      <c r="M155" s="158"/>
      <c r="N155" s="153" t="str">
        <f>IFERROR(INDEX('Prescriptive Rebate Table'!$M$3:$M$20,MATCH(M155,'Prescriptive Rebate Table'!$L$3:$L$20,0)),"")</f>
        <v/>
      </c>
      <c r="O155" s="158"/>
      <c r="P155" s="154" t="str">
        <f>IFERROR(INDEX('Prescriptive Rebate Table'!$B$2:$H$64, MATCH(O155,'Prescriptive Rebate Table'!$C$2:$C$64,0),7),"")</f>
        <v/>
      </c>
      <c r="Q155" s="155" t="str">
        <f>IFERROR(INDEX('Prescriptive Rebate Table'!$B$2:$I$64, MATCH(O155,'Prescriptive Rebate Table'!$C$2:$C$64,0),8),"")</f>
        <v/>
      </c>
      <c r="R155" s="155" t="str">
        <f>IFERROR(INDEX('Prescriptive Rebate Table'!$B$2:$J$64, MATCH(O155,'Prescriptive Rebate Table'!$C$2:$C$64,0),9),"")</f>
        <v/>
      </c>
      <c r="S155" s="160"/>
      <c r="T155" s="145" t="str">
        <f>IFERROR(INDEX('Fixture Codes'!$M$8:$M$976,MATCH(S155,'Fixture Codes'!$B$8:$B$976,0)),"")</f>
        <v/>
      </c>
      <c r="U155" s="145" t="str">
        <f>IFERROR(INDEX('Fixture Codes'!$B$7:$M$976,MATCH(T155,'Fixture Codes'!$B$7:$B$976,0),5),"")</f>
        <v/>
      </c>
      <c r="V155" s="160"/>
      <c r="W155" s="145" t="str">
        <f>IFERROR(INDEX('Fixture Codes'!$L$8:$L$976,MATCH(T155,'Fixture Codes'!$B$8:$B$976,0)),"")</f>
        <v/>
      </c>
      <c r="X155" s="158"/>
      <c r="Y155" s="159"/>
      <c r="Z155" s="155" t="str">
        <f>IFERROR(INDEX(Lookups!B$68:B$87,MATCH($X155,Lookups!$A$68:$A$87,0)),"")</f>
        <v/>
      </c>
      <c r="AA155" s="150" t="str">
        <f>IFERROR(INDEX(Lookups!B$42:B$62,MATCH($X155,Lookups!$A$42:$A$62,0)),"")</f>
        <v/>
      </c>
      <c r="AB155" s="150" t="str">
        <f>IFERROR(INDEX(Lookups!C$42:C$62,MATCH($X155,Lookups!$A$42:$A$62,0)),"")</f>
        <v/>
      </c>
      <c r="AC155" s="160"/>
      <c r="AD155" s="160"/>
      <c r="AE155" s="150" t="str">
        <f>IFERROR(INDEX('Fixture Codes'!$B$7:$M$976,MATCH(AD155,'Fixture Codes'!$B$7:$B$976,0),5),"")</f>
        <v/>
      </c>
      <c r="AF155" s="160"/>
      <c r="AG155" s="145" t="str">
        <f>IFERROR(INDEX('Fixture Codes'!$L$8:$L$976,MATCH(AD155,'Fixture Codes'!$B$8:$B$976,0)),"")</f>
        <v/>
      </c>
      <c r="AH155" s="158"/>
      <c r="AI155" s="160"/>
      <c r="AJ155" s="150" t="str">
        <f>IFERROR(INDEX(Lookups!B$68:B$87,MATCH($AH155,Lookups!$A$68:$A$87,0)),"")</f>
        <v/>
      </c>
      <c r="AK155" s="150" t="str">
        <f>IFERROR(INDEX(Lookups!B$42:B$62,MATCH($AH155,Lookups!$A$42:$A$62,0)),"")</f>
        <v/>
      </c>
      <c r="AL155" s="150" t="str">
        <f>IFERROR(INDEX(Lookups!C$42:C$62,MATCH($AH155,Lookups!$A$42:$A$62,0)),"")</f>
        <v/>
      </c>
      <c r="AM155" s="150" t="str">
        <f>IFERROR(IF(M155="Exit Signs",8760,IF(INDEX('Fixture Codes'!$C$8:$C$976,MATCH(AD155,'Fixture Codes'!$B$8:$B$976,0))="Exit Sign",8760,INDEX(Lookups!$I$2:$I$428,MATCH(_xlfn.CONCAT(B155,H155),Lookups!$H$2:$H$428,0)))),"")</f>
        <v/>
      </c>
      <c r="AN155" s="153">
        <v>1</v>
      </c>
      <c r="AO155" s="150" t="str">
        <f>IF($D155="Interior",INDEX(Lookups!Q$2:Q$86,MATCH(_xlfn.CONCAT($C155,$L155),Lookups!$P$2:$P$86,0)),IF($D155="Exterior",1,""))</f>
        <v/>
      </c>
      <c r="AP155" s="150">
        <f t="shared" si="88"/>
        <v>1</v>
      </c>
      <c r="AQ155" s="150" t="str">
        <f>IF($D155="Interior",INDEX(Lookups!R$2:R$86,MATCH(_xlfn.CONCAT($C155,$L155),Lookups!$P$2:$P$86,0)),IF($D155="Exterior",1,""))</f>
        <v/>
      </c>
      <c r="AR155" s="150" t="str">
        <f>IF($D155="Interior",INDEX(Lookups!S$2:S$86,MATCH(_xlfn.CONCAT($C155,$L155),Lookups!$P$2:$P$86,0)),IF($D155="Exterior",1,""))</f>
        <v/>
      </c>
      <c r="AS155" s="150" t="str">
        <f>IF($D155="Interior",INDEX(Lookups!T$2:T$86,MATCH(_xlfn.CONCAT($C155,$L155),Lookups!$P$2:$P$86,0)),IF($D155="Exterior",1,""))</f>
        <v/>
      </c>
      <c r="AT155" s="150" t="str">
        <f>IFERROR(IF(M155="Exit Signs",1,IF(INDEX('Fixture Codes'!$C$8:$C$976,MATCH($AD155,'Fixture Codes'!$B$8:$B$976,0))="Exit Sign",1,INDEX(Lookups!J$2:J$428,MATCH(_xlfn.CONCAT($B155,$H155),Lookups!$H$2:$H$428,0)))),"")</f>
        <v/>
      </c>
      <c r="AU155" s="150" t="str">
        <f>IFERROR(IF(M155="Exit Signs",1,IF(INDEX('Fixture Codes'!$C$8:$C$976,MATCH($AD155,'Fixture Codes'!$B$8:$B$976,0))="Exit Sign",1,INDEX(Lookups!K$2:K$428,MATCH(_xlfn.CONCAT($B155,$H155),Lookups!$H$2:$H$428,0)))),"")</f>
        <v/>
      </c>
      <c r="AV155" s="150" t="str">
        <f>IFERROR(IF(M155="Exit Signs",1,IF(INDEX('Fixture Codes'!$C$8:$C$976,MATCH($AD155,'Fixture Codes'!$B$8:$B$976,0))="Exit Sign",1,INDEX(Lookups!L$2:L$428,MATCH(_xlfn.CONCAT($B155,$H155),Lookups!$H$2:$H$428,0)))),"")</f>
        <v/>
      </c>
      <c r="AW155" s="150" t="str">
        <f>IF(ISBLANK(K155),"",IF(K155="Gas",INDEX(Lookups!$AG$2:$AG$63,MATCH(O155,Lookups!$AD$2:$AD$63,0),0),0))</f>
        <v/>
      </c>
      <c r="AX155" s="150" t="str">
        <f>IF(ISBLANK(K155),"",IF(K155="Gas",INDEX(Lookups!$AF$2:$AF$63,MATCH(O155,Lookups!$AD$2:$AD$63,0),0),0))</f>
        <v/>
      </c>
      <c r="AY155" s="150" t="str">
        <f>IF(ISBLANK(K155),"",IF(K155="Gas",INDEX(Lookups!$AH$2:$AH$63,MATCH(O155,Lookups!$AD$2:$AD$63,0),0),0))</f>
        <v/>
      </c>
      <c r="AZ155" s="150" t="str">
        <f>IF(ISBLANK(K155),"",IF(K155="Gas",INDEX(Lookups!$AI$2:$AI$63,MATCH(O155,Lookups!$AD$2:$AD$63,0),0),0))</f>
        <v/>
      </c>
      <c r="BA155" s="150" t="str">
        <f t="shared" si="73"/>
        <v/>
      </c>
      <c r="BB155" s="156" t="str">
        <f>IF(ISBLANK(AH155),"",IF(AH155="None",0,IF(K155="Gas",INDEX(Lookups!$AF$51:$AF$69,MATCH(AH155,Lookups!$AD$51:$AD$69,0),0),0)))</f>
        <v/>
      </c>
      <c r="BC155" s="156" t="str">
        <f>IF(ISBLANK(AH155),"",IF(AH155="None",0,IF(K155="Gas",INDEX(Lookups!$AH$51:$AH$69,MATCH(AH155,Lookups!$AD$51:$AD$69,0),0),0)))</f>
        <v/>
      </c>
      <c r="BD155" s="156" t="str">
        <f>IF(ISBLANK(AH155),"",IF(AH155="None",0,IF(K155="Gas",INDEX(Lookups!$AI$51:$AI$69,MATCH(AH155,Lookups!$AD$51:$AD$69,0),0),0)))</f>
        <v/>
      </c>
      <c r="BE155" s="157"/>
      <c r="BF155" s="157"/>
      <c r="BG155" s="147" t="str">
        <f t="shared" si="89"/>
        <v/>
      </c>
      <c r="BH155" s="147" t="str">
        <f t="shared" si="90"/>
        <v/>
      </c>
      <c r="BI155" s="147" t="str">
        <f t="shared" si="74"/>
        <v/>
      </c>
      <c r="BJ155" s="147" t="str">
        <f t="shared" si="75"/>
        <v/>
      </c>
      <c r="BK155" s="148" t="str">
        <f t="shared" si="91"/>
        <v/>
      </c>
      <c r="BL155" s="147" t="str">
        <f t="shared" si="76"/>
        <v/>
      </c>
      <c r="BM155" s="148" t="str">
        <f t="shared" si="92"/>
        <v/>
      </c>
      <c r="BN155" s="147" t="str">
        <f t="shared" si="93"/>
        <v/>
      </c>
      <c r="BO155" s="147" t="str">
        <f t="shared" si="93"/>
        <v/>
      </c>
      <c r="BP155" s="147" t="str">
        <f t="shared" si="94"/>
        <v/>
      </c>
      <c r="BQ155" s="148" t="str">
        <f t="shared" si="95"/>
        <v/>
      </c>
      <c r="BR155" s="148" t="str">
        <f t="shared" si="96"/>
        <v/>
      </c>
      <c r="BS155" s="148" t="str">
        <f t="shared" si="97"/>
        <v/>
      </c>
      <c r="BT155" s="148" t="str">
        <f t="shared" si="77"/>
        <v/>
      </c>
      <c r="BU155" s="148" t="str">
        <f t="shared" si="78"/>
        <v/>
      </c>
      <c r="BV155" s="148" t="str">
        <f t="shared" si="79"/>
        <v/>
      </c>
      <c r="BW155" s="148" t="str">
        <f t="shared" si="80"/>
        <v/>
      </c>
      <c r="BX155" s="148" t="str">
        <f t="shared" si="81"/>
        <v/>
      </c>
      <c r="BY155" s="148" t="str">
        <f t="shared" si="82"/>
        <v/>
      </c>
      <c r="BZ155" s="149" t="str">
        <f>IFERROR(INDEX('Prescriptive Rebate Table'!$B$2:$E$64,MATCH(O155,'Prescriptive Rebate Table'!$C$2:$C$64,0),3),"")</f>
        <v/>
      </c>
      <c r="CA155" s="145" t="str">
        <f>IFERROR(INDEX('Prescriptive Rebate Table'!$B$2:$E$64,MATCH(O155,'Prescriptive Rebate Table'!$C$2:$C$64,0),4),"")</f>
        <v/>
      </c>
      <c r="CB155" s="149" t="str">
        <f t="shared" si="98"/>
        <v/>
      </c>
      <c r="CC155" s="145" t="str">
        <f t="shared" si="99"/>
        <v/>
      </c>
      <c r="CD155" s="149" t="str">
        <f t="shared" si="83"/>
        <v/>
      </c>
      <c r="CE155" s="149" t="str">
        <f t="shared" si="84"/>
        <v/>
      </c>
      <c r="CF155" s="149" t="str">
        <f>IF(BK155&lt;=0,0,IFERROR(IF(OR(ISBLANK(AC155),ISBLANK(CD155))=TRUE,"",IF(CA155="Per Foot",INDEX('Fixture Codes'!$I$8:$I$976,MATCH(AD155,'Fixture Codes'!$B$8:$B$976,0))/12*AF155*BZ155,IF(CA155="Lamp",INDEX('Fixture Codes'!$J$8:$J$976,MATCH(AD155,'Fixture Codes'!$B$8:$B$976,0))*AF155*BZ155,IF(CA155="Fixture",AF155*BZ155,IF(CA155="kWh",BK155*BZ155,0))))),""))</f>
        <v/>
      </c>
      <c r="CG155" s="149" t="str">
        <f t="shared" si="100"/>
        <v/>
      </c>
      <c r="CH155" s="149" t="str">
        <f t="shared" si="101"/>
        <v/>
      </c>
      <c r="CI155" s="152"/>
      <c r="CJ155" s="146"/>
      <c r="CK155" s="241">
        <f>IFERROR(IF(CL155="Yes",'Prescriptive Rebate Table'!$D$69,IF(ISBLANK(AI155),0,IF(AND(AH155=Lookups!$A$62,BK155&gt;0),'Prescriptive Rebate Table'!$D$68,IF(AND(BK155&gt;0,CJ155=AF155),'Prescriptive Rebate Table'!$D$67,IF(AND(BK155&gt;0,CJ155&lt;&gt;AF155),'Prescriptive Rebate Table'!D214,0))))),"")</f>
        <v>0</v>
      </c>
      <c r="CL155" s="240" t="s">
        <v>2712</v>
      </c>
      <c r="CM155" s="152"/>
      <c r="CN155" s="152"/>
      <c r="CO155" s="152"/>
      <c r="CP155" s="146">
        <f t="shared" si="85"/>
        <v>0</v>
      </c>
      <c r="CQ155" s="153">
        <f>IF(D155="Interior",ROUND(($AG155*AF155)/1000*$AM155*(Lookups!$B$54-$AA155)*$AN155*$AO155,3),0)</f>
        <v>0</v>
      </c>
      <c r="CR155" s="153">
        <f>IFERROR(IF(D155="Interior",ROUND(($AG155*$AF155)/1000*(Lookups!$C$54-$AB155)*$AN155*AQ155*AT155,6),0),"")</f>
        <v>0</v>
      </c>
      <c r="CS155" s="165">
        <f t="shared" si="102"/>
        <v>0</v>
      </c>
      <c r="CT155" s="165">
        <f t="shared" si="103"/>
        <v>0</v>
      </c>
      <c r="CV155" s="153"/>
      <c r="CW155" s="153"/>
      <c r="CX155" s="165"/>
      <c r="CY155" s="165"/>
      <c r="DA155" s="153">
        <f>IF(D155="Interior",ROUND(($AG155*AF155*(1-0.15))/1000*$AM155*(Lookups!$B$43+0.097-$AA155)*$AN155*$AO155+((W155*V155)/1000*AN155*AM155*AO155*0.15),3),0)</f>
        <v>0</v>
      </c>
      <c r="DB155" s="153">
        <f>IFERROR(IF(D155="Interior",ROUND(($AG155*$AF155)/1000*(Lookups!$C$43+0.097-$AB155)*$AN155*AQ155*AT155+(($AG155*$AF155)/1000*$AN155*AQ155*AT155*0.15),6),0),"")</f>
        <v>0</v>
      </c>
      <c r="DC155" s="165">
        <f t="shared" si="86"/>
        <v>0</v>
      </c>
      <c r="DD155" s="165">
        <f t="shared" si="87"/>
        <v>0</v>
      </c>
    </row>
    <row r="156" spans="1:108" s="164" customFormat="1">
      <c r="A156" s="150">
        <v>152</v>
      </c>
      <c r="B156" s="153" t="str">
        <f>IFERROR(INDEX(Lookups!$B$2:$B$38,MATCH('Project Info &amp; Summary'!$C$19,Lookups!$A$2:$A$38,0)),"")</f>
        <v/>
      </c>
      <c r="C156" s="153" t="str">
        <f>IFERROR(INDEX(Lookups!$C$2:$C$38,MATCH('Project Info &amp; Summary'!$C$19,Lookups!$A$2:$A$38,0)),"")</f>
        <v/>
      </c>
      <c r="D156" s="163"/>
      <c r="E156" s="160"/>
      <c r="F156" s="158"/>
      <c r="G156" s="158"/>
      <c r="H156" s="158"/>
      <c r="I156" s="158"/>
      <c r="J156" s="154" t="str">
        <f>IFERROR(INDEX(Lookups!$W$21:$W$26,MATCH(I156,Lookups!$V$21:$V$26,0)),"")</f>
        <v/>
      </c>
      <c r="K156" s="158"/>
      <c r="L156" s="162" t="str">
        <f>IFERROR(INDEX(Lookups!$Y$2:$Y$19,MATCH(_xlfn.CONCAT(I156,K156),Lookups!$X$2:$X$19,0)),"")</f>
        <v/>
      </c>
      <c r="M156" s="158"/>
      <c r="N156" s="153" t="str">
        <f>IFERROR(INDEX('Prescriptive Rebate Table'!$M$3:$M$20,MATCH(M156,'Prescriptive Rebate Table'!$L$3:$L$20,0)),"")</f>
        <v/>
      </c>
      <c r="O156" s="158"/>
      <c r="P156" s="154" t="str">
        <f>IFERROR(INDEX('Prescriptive Rebate Table'!$B$2:$H$64, MATCH(O156,'Prescriptive Rebate Table'!$C$2:$C$64,0),7),"")</f>
        <v/>
      </c>
      <c r="Q156" s="155" t="str">
        <f>IFERROR(INDEX('Prescriptive Rebate Table'!$B$2:$I$64, MATCH(O156,'Prescriptive Rebate Table'!$C$2:$C$64,0),8),"")</f>
        <v/>
      </c>
      <c r="R156" s="155" t="str">
        <f>IFERROR(INDEX('Prescriptive Rebate Table'!$B$2:$J$64, MATCH(O156,'Prescriptive Rebate Table'!$C$2:$C$64,0),9),"")</f>
        <v/>
      </c>
      <c r="S156" s="160"/>
      <c r="T156" s="145" t="str">
        <f>IFERROR(INDEX('Fixture Codes'!$M$8:$M$976,MATCH(S156,'Fixture Codes'!$B$8:$B$976,0)),"")</f>
        <v/>
      </c>
      <c r="U156" s="145" t="str">
        <f>IFERROR(INDEX('Fixture Codes'!$B$7:$M$976,MATCH(T156,'Fixture Codes'!$B$7:$B$976,0),5),"")</f>
        <v/>
      </c>
      <c r="V156" s="160"/>
      <c r="W156" s="145" t="str">
        <f>IFERROR(INDEX('Fixture Codes'!$L$8:$L$976,MATCH(T156,'Fixture Codes'!$B$8:$B$976,0)),"")</f>
        <v/>
      </c>
      <c r="X156" s="158"/>
      <c r="Y156" s="159"/>
      <c r="Z156" s="155" t="str">
        <f>IFERROR(INDEX(Lookups!B$68:B$87,MATCH($X156,Lookups!$A$68:$A$87,0)),"")</f>
        <v/>
      </c>
      <c r="AA156" s="150" t="str">
        <f>IFERROR(INDEX(Lookups!B$42:B$62,MATCH($X156,Lookups!$A$42:$A$62,0)),"")</f>
        <v/>
      </c>
      <c r="AB156" s="150" t="str">
        <f>IFERROR(INDEX(Lookups!C$42:C$62,MATCH($X156,Lookups!$A$42:$A$62,0)),"")</f>
        <v/>
      </c>
      <c r="AC156" s="160"/>
      <c r="AD156" s="160"/>
      <c r="AE156" s="150" t="str">
        <f>IFERROR(INDEX('Fixture Codes'!$B$7:$M$976,MATCH(AD156,'Fixture Codes'!$B$7:$B$976,0),5),"")</f>
        <v/>
      </c>
      <c r="AF156" s="160"/>
      <c r="AG156" s="145" t="str">
        <f>IFERROR(INDEX('Fixture Codes'!$L$8:$L$976,MATCH(AD156,'Fixture Codes'!$B$8:$B$976,0)),"")</f>
        <v/>
      </c>
      <c r="AH156" s="158"/>
      <c r="AI156" s="160"/>
      <c r="AJ156" s="150" t="str">
        <f>IFERROR(INDEX(Lookups!B$68:B$87,MATCH($AH156,Lookups!$A$68:$A$87,0)),"")</f>
        <v/>
      </c>
      <c r="AK156" s="150" t="str">
        <f>IFERROR(INDEX(Lookups!B$42:B$62,MATCH($AH156,Lookups!$A$42:$A$62,0)),"")</f>
        <v/>
      </c>
      <c r="AL156" s="150" t="str">
        <f>IFERROR(INDEX(Lookups!C$42:C$62,MATCH($AH156,Lookups!$A$42:$A$62,0)),"")</f>
        <v/>
      </c>
      <c r="AM156" s="150" t="str">
        <f>IFERROR(IF(M156="Exit Signs",8760,IF(INDEX('Fixture Codes'!$C$8:$C$976,MATCH(AD156,'Fixture Codes'!$B$8:$B$976,0))="Exit Sign",8760,INDEX(Lookups!$I$2:$I$428,MATCH(_xlfn.CONCAT(B156,H156),Lookups!$H$2:$H$428,0)))),"")</f>
        <v/>
      </c>
      <c r="AN156" s="153">
        <v>1</v>
      </c>
      <c r="AO156" s="150" t="str">
        <f>IF($D156="Interior",INDEX(Lookups!Q$2:Q$86,MATCH(_xlfn.CONCAT($C156,$L156),Lookups!$P$2:$P$86,0)),IF($D156="Exterior",1,""))</f>
        <v/>
      </c>
      <c r="AP156" s="150">
        <f t="shared" si="88"/>
        <v>1</v>
      </c>
      <c r="AQ156" s="150" t="str">
        <f>IF($D156="Interior",INDEX(Lookups!R$2:R$86,MATCH(_xlfn.CONCAT($C156,$L156),Lookups!$P$2:$P$86,0)),IF($D156="Exterior",1,""))</f>
        <v/>
      </c>
      <c r="AR156" s="150" t="str">
        <f>IF($D156="Interior",INDEX(Lookups!S$2:S$86,MATCH(_xlfn.CONCAT($C156,$L156),Lookups!$P$2:$P$86,0)),IF($D156="Exterior",1,""))</f>
        <v/>
      </c>
      <c r="AS156" s="150" t="str">
        <f>IF($D156="Interior",INDEX(Lookups!T$2:T$86,MATCH(_xlfn.CONCAT($C156,$L156),Lookups!$P$2:$P$86,0)),IF($D156="Exterior",1,""))</f>
        <v/>
      </c>
      <c r="AT156" s="150" t="str">
        <f>IFERROR(IF(M156="Exit Signs",1,IF(INDEX('Fixture Codes'!$C$8:$C$976,MATCH($AD156,'Fixture Codes'!$B$8:$B$976,0))="Exit Sign",1,INDEX(Lookups!J$2:J$428,MATCH(_xlfn.CONCAT($B156,$H156),Lookups!$H$2:$H$428,0)))),"")</f>
        <v/>
      </c>
      <c r="AU156" s="150" t="str">
        <f>IFERROR(IF(M156="Exit Signs",1,IF(INDEX('Fixture Codes'!$C$8:$C$976,MATCH($AD156,'Fixture Codes'!$B$8:$B$976,0))="Exit Sign",1,INDEX(Lookups!K$2:K$428,MATCH(_xlfn.CONCAT($B156,$H156),Lookups!$H$2:$H$428,0)))),"")</f>
        <v/>
      </c>
      <c r="AV156" s="150" t="str">
        <f>IFERROR(IF(M156="Exit Signs",1,IF(INDEX('Fixture Codes'!$C$8:$C$976,MATCH($AD156,'Fixture Codes'!$B$8:$B$976,0))="Exit Sign",1,INDEX(Lookups!L$2:L$428,MATCH(_xlfn.CONCAT($B156,$H156),Lookups!$H$2:$H$428,0)))),"")</f>
        <v/>
      </c>
      <c r="AW156" s="150" t="str">
        <f>IF(ISBLANK(K156),"",IF(K156="Gas",INDEX(Lookups!$AG$2:$AG$63,MATCH(O156,Lookups!$AD$2:$AD$63,0),0),0))</f>
        <v/>
      </c>
      <c r="AX156" s="150" t="str">
        <f>IF(ISBLANK(K156),"",IF(K156="Gas",INDEX(Lookups!$AF$2:$AF$63,MATCH(O156,Lookups!$AD$2:$AD$63,0),0),0))</f>
        <v/>
      </c>
      <c r="AY156" s="150" t="str">
        <f>IF(ISBLANK(K156),"",IF(K156="Gas",INDEX(Lookups!$AH$2:$AH$63,MATCH(O156,Lookups!$AD$2:$AD$63,0),0),0))</f>
        <v/>
      </c>
      <c r="AZ156" s="150" t="str">
        <f>IF(ISBLANK(K156),"",IF(K156="Gas",INDEX(Lookups!$AI$2:$AI$63,MATCH(O156,Lookups!$AD$2:$AD$63,0),0),0))</f>
        <v/>
      </c>
      <c r="BA156" s="150" t="str">
        <f t="shared" si="73"/>
        <v/>
      </c>
      <c r="BB156" s="156" t="str">
        <f>IF(ISBLANK(AH156),"",IF(AH156="None",0,IF(K156="Gas",INDEX(Lookups!$AF$51:$AF$69,MATCH(AH156,Lookups!$AD$51:$AD$69,0),0),0)))</f>
        <v/>
      </c>
      <c r="BC156" s="156" t="str">
        <f>IF(ISBLANK(AH156),"",IF(AH156="None",0,IF(K156="Gas",INDEX(Lookups!$AH$51:$AH$69,MATCH(AH156,Lookups!$AD$51:$AD$69,0),0),0)))</f>
        <v/>
      </c>
      <c r="BD156" s="156" t="str">
        <f>IF(ISBLANK(AH156),"",IF(AH156="None",0,IF(K156="Gas",INDEX(Lookups!$AI$51:$AI$69,MATCH(AH156,Lookups!$AD$51:$AD$69,0),0),0)))</f>
        <v/>
      </c>
      <c r="BE156" s="157"/>
      <c r="BF156" s="157"/>
      <c r="BG156" s="147" t="str">
        <f t="shared" si="89"/>
        <v/>
      </c>
      <c r="BH156" s="147" t="str">
        <f t="shared" si="90"/>
        <v/>
      </c>
      <c r="BI156" s="147" t="str">
        <f t="shared" si="74"/>
        <v/>
      </c>
      <c r="BJ156" s="147" t="str">
        <f t="shared" si="75"/>
        <v/>
      </c>
      <c r="BK156" s="148" t="str">
        <f t="shared" si="91"/>
        <v/>
      </c>
      <c r="BL156" s="147" t="str">
        <f t="shared" si="76"/>
        <v/>
      </c>
      <c r="BM156" s="148" t="str">
        <f t="shared" si="92"/>
        <v/>
      </c>
      <c r="BN156" s="147" t="str">
        <f t="shared" si="93"/>
        <v/>
      </c>
      <c r="BO156" s="147" t="str">
        <f t="shared" si="93"/>
        <v/>
      </c>
      <c r="BP156" s="147" t="str">
        <f t="shared" si="94"/>
        <v/>
      </c>
      <c r="BQ156" s="148" t="str">
        <f t="shared" si="95"/>
        <v/>
      </c>
      <c r="BR156" s="148" t="str">
        <f t="shared" si="96"/>
        <v/>
      </c>
      <c r="BS156" s="148" t="str">
        <f t="shared" si="97"/>
        <v/>
      </c>
      <c r="BT156" s="148" t="str">
        <f t="shared" si="77"/>
        <v/>
      </c>
      <c r="BU156" s="148" t="str">
        <f t="shared" si="78"/>
        <v/>
      </c>
      <c r="BV156" s="148" t="str">
        <f t="shared" si="79"/>
        <v/>
      </c>
      <c r="BW156" s="148" t="str">
        <f t="shared" si="80"/>
        <v/>
      </c>
      <c r="BX156" s="148" t="str">
        <f t="shared" si="81"/>
        <v/>
      </c>
      <c r="BY156" s="148" t="str">
        <f t="shared" si="82"/>
        <v/>
      </c>
      <c r="BZ156" s="149" t="str">
        <f>IFERROR(INDEX('Prescriptive Rebate Table'!$B$2:$E$64,MATCH(O156,'Prescriptive Rebate Table'!$C$2:$C$64,0),3),"")</f>
        <v/>
      </c>
      <c r="CA156" s="145" t="str">
        <f>IFERROR(INDEX('Prescriptive Rebate Table'!$B$2:$E$64,MATCH(O156,'Prescriptive Rebate Table'!$C$2:$C$64,0),4),"")</f>
        <v/>
      </c>
      <c r="CB156" s="149" t="str">
        <f t="shared" si="98"/>
        <v/>
      </c>
      <c r="CC156" s="145" t="str">
        <f t="shared" si="99"/>
        <v/>
      </c>
      <c r="CD156" s="149" t="str">
        <f t="shared" si="83"/>
        <v/>
      </c>
      <c r="CE156" s="149" t="str">
        <f t="shared" si="84"/>
        <v/>
      </c>
      <c r="CF156" s="149" t="str">
        <f>IF(BK156&lt;=0,0,IFERROR(IF(OR(ISBLANK(AC156),ISBLANK(CD156))=TRUE,"",IF(CA156="Per Foot",INDEX('Fixture Codes'!$I$8:$I$976,MATCH(AD156,'Fixture Codes'!$B$8:$B$976,0))/12*AF156*BZ156,IF(CA156="Lamp",INDEX('Fixture Codes'!$J$8:$J$976,MATCH(AD156,'Fixture Codes'!$B$8:$B$976,0))*AF156*BZ156,IF(CA156="Fixture",AF156*BZ156,IF(CA156="kWh",BK156*BZ156,0))))),""))</f>
        <v/>
      </c>
      <c r="CG156" s="149" t="str">
        <f t="shared" si="100"/>
        <v/>
      </c>
      <c r="CH156" s="149" t="str">
        <f t="shared" si="101"/>
        <v/>
      </c>
      <c r="CI156" s="152"/>
      <c r="CJ156" s="146"/>
      <c r="CK156" s="241">
        <f>IFERROR(IF(CL156="Yes",'Prescriptive Rebate Table'!$D$69,IF(ISBLANK(AI156),0,IF(AND(AH156=Lookups!$A$62,BK156&gt;0),'Prescriptive Rebate Table'!$D$68,IF(AND(BK156&gt;0,CJ156=AF156),'Prescriptive Rebate Table'!$D$67,IF(AND(BK156&gt;0,CJ156&lt;&gt;AF156),'Prescriptive Rebate Table'!D215,0))))),"")</f>
        <v>0</v>
      </c>
      <c r="CL156" s="240" t="s">
        <v>2712</v>
      </c>
      <c r="CM156" s="152"/>
      <c r="CN156" s="152"/>
      <c r="CO156" s="152"/>
      <c r="CP156" s="146">
        <f t="shared" si="85"/>
        <v>0</v>
      </c>
      <c r="CQ156" s="153">
        <f>IF(D156="Interior",ROUND(($AG156*AF156)/1000*$AM156*(Lookups!$B$54-$AA156)*$AN156*$AO156,3),0)</f>
        <v>0</v>
      </c>
      <c r="CR156" s="153">
        <f>IFERROR(IF(D156="Interior",ROUND(($AG156*$AF156)/1000*(Lookups!$C$54-$AB156)*$AN156*AQ156*AT156,6),0),"")</f>
        <v>0</v>
      </c>
      <c r="CS156" s="165">
        <f t="shared" si="102"/>
        <v>0</v>
      </c>
      <c r="CT156" s="165">
        <f t="shared" si="103"/>
        <v>0</v>
      </c>
      <c r="CV156" s="153"/>
      <c r="CW156" s="153"/>
      <c r="CX156" s="165"/>
      <c r="CY156" s="165"/>
      <c r="DA156" s="153">
        <f>IF(D156="Interior",ROUND(($AG156*AF156*(1-0.15))/1000*$AM156*(Lookups!$B$43+0.097-$AA156)*$AN156*$AO156+((W156*V156)/1000*AN156*AM156*AO156*0.15),3),0)</f>
        <v>0</v>
      </c>
      <c r="DB156" s="153">
        <f>IFERROR(IF(D156="Interior",ROUND(($AG156*$AF156)/1000*(Lookups!$C$43+0.097-$AB156)*$AN156*AQ156*AT156+(($AG156*$AF156)/1000*$AN156*AQ156*AT156*0.15),6),0),"")</f>
        <v>0</v>
      </c>
      <c r="DC156" s="165">
        <f t="shared" si="86"/>
        <v>0</v>
      </c>
      <c r="DD156" s="165">
        <f t="shared" si="87"/>
        <v>0</v>
      </c>
    </row>
    <row r="157" spans="1:108" s="164" customFormat="1">
      <c r="A157" s="150">
        <v>153</v>
      </c>
      <c r="B157" s="153" t="str">
        <f>IFERROR(INDEX(Lookups!$B$2:$B$38,MATCH('Project Info &amp; Summary'!$C$19,Lookups!$A$2:$A$38,0)),"")</f>
        <v/>
      </c>
      <c r="C157" s="153" t="str">
        <f>IFERROR(INDEX(Lookups!$C$2:$C$38,MATCH('Project Info &amp; Summary'!$C$19,Lookups!$A$2:$A$38,0)),"")</f>
        <v/>
      </c>
      <c r="D157" s="163"/>
      <c r="E157" s="160"/>
      <c r="F157" s="158"/>
      <c r="G157" s="158"/>
      <c r="H157" s="158"/>
      <c r="I157" s="158"/>
      <c r="J157" s="154" t="str">
        <f>IFERROR(INDEX(Lookups!$W$21:$W$26,MATCH(I157,Lookups!$V$21:$V$26,0)),"")</f>
        <v/>
      </c>
      <c r="K157" s="158"/>
      <c r="L157" s="162" t="str">
        <f>IFERROR(INDEX(Lookups!$Y$2:$Y$19,MATCH(_xlfn.CONCAT(I157,K157),Lookups!$X$2:$X$19,0)),"")</f>
        <v/>
      </c>
      <c r="M157" s="158"/>
      <c r="N157" s="153" t="str">
        <f>IFERROR(INDEX('Prescriptive Rebate Table'!$M$3:$M$20,MATCH(M157,'Prescriptive Rebate Table'!$L$3:$L$20,0)),"")</f>
        <v/>
      </c>
      <c r="O157" s="158"/>
      <c r="P157" s="154" t="str">
        <f>IFERROR(INDEX('Prescriptive Rebate Table'!$B$2:$H$64, MATCH(O157,'Prescriptive Rebate Table'!$C$2:$C$64,0),7),"")</f>
        <v/>
      </c>
      <c r="Q157" s="155" t="str">
        <f>IFERROR(INDEX('Prescriptive Rebate Table'!$B$2:$I$64, MATCH(O157,'Prescriptive Rebate Table'!$C$2:$C$64,0),8),"")</f>
        <v/>
      </c>
      <c r="R157" s="155" t="str">
        <f>IFERROR(INDEX('Prescriptive Rebate Table'!$B$2:$J$64, MATCH(O157,'Prescriptive Rebate Table'!$C$2:$C$64,0),9),"")</f>
        <v/>
      </c>
      <c r="S157" s="160"/>
      <c r="T157" s="145" t="str">
        <f>IFERROR(INDEX('Fixture Codes'!$M$8:$M$976,MATCH(S157,'Fixture Codes'!$B$8:$B$976,0)),"")</f>
        <v/>
      </c>
      <c r="U157" s="145" t="str">
        <f>IFERROR(INDEX('Fixture Codes'!$B$7:$M$976,MATCH(T157,'Fixture Codes'!$B$7:$B$976,0),5),"")</f>
        <v/>
      </c>
      <c r="V157" s="160"/>
      <c r="W157" s="145" t="str">
        <f>IFERROR(INDEX('Fixture Codes'!$L$8:$L$976,MATCH(T157,'Fixture Codes'!$B$8:$B$976,0)),"")</f>
        <v/>
      </c>
      <c r="X157" s="158"/>
      <c r="Y157" s="159"/>
      <c r="Z157" s="155" t="str">
        <f>IFERROR(INDEX(Lookups!B$68:B$87,MATCH($X157,Lookups!$A$68:$A$87,0)),"")</f>
        <v/>
      </c>
      <c r="AA157" s="150" t="str">
        <f>IFERROR(INDEX(Lookups!B$42:B$62,MATCH($X157,Lookups!$A$42:$A$62,0)),"")</f>
        <v/>
      </c>
      <c r="AB157" s="150" t="str">
        <f>IFERROR(INDEX(Lookups!C$42:C$62,MATCH($X157,Lookups!$A$42:$A$62,0)),"")</f>
        <v/>
      </c>
      <c r="AC157" s="160"/>
      <c r="AD157" s="160"/>
      <c r="AE157" s="150" t="str">
        <f>IFERROR(INDEX('Fixture Codes'!$B$7:$M$976,MATCH(AD157,'Fixture Codes'!$B$7:$B$976,0),5),"")</f>
        <v/>
      </c>
      <c r="AF157" s="160"/>
      <c r="AG157" s="145" t="str">
        <f>IFERROR(INDEX('Fixture Codes'!$L$8:$L$976,MATCH(AD157,'Fixture Codes'!$B$8:$B$976,0)),"")</f>
        <v/>
      </c>
      <c r="AH157" s="158"/>
      <c r="AI157" s="160"/>
      <c r="AJ157" s="150" t="str">
        <f>IFERROR(INDEX(Lookups!B$68:B$87,MATCH($AH157,Lookups!$A$68:$A$87,0)),"")</f>
        <v/>
      </c>
      <c r="AK157" s="150" t="str">
        <f>IFERROR(INDEX(Lookups!B$42:B$62,MATCH($AH157,Lookups!$A$42:$A$62,0)),"")</f>
        <v/>
      </c>
      <c r="AL157" s="150" t="str">
        <f>IFERROR(INDEX(Lookups!C$42:C$62,MATCH($AH157,Lookups!$A$42:$A$62,0)),"")</f>
        <v/>
      </c>
      <c r="AM157" s="150" t="str">
        <f>IFERROR(IF(M157="Exit Signs",8760,IF(INDEX('Fixture Codes'!$C$8:$C$976,MATCH(AD157,'Fixture Codes'!$B$8:$B$976,0))="Exit Sign",8760,INDEX(Lookups!$I$2:$I$428,MATCH(_xlfn.CONCAT(B157,H157),Lookups!$H$2:$H$428,0)))),"")</f>
        <v/>
      </c>
      <c r="AN157" s="153">
        <v>1</v>
      </c>
      <c r="AO157" s="150" t="str">
        <f>IF($D157="Interior",INDEX(Lookups!Q$2:Q$86,MATCH(_xlfn.CONCAT($C157,$L157),Lookups!$P$2:$P$86,0)),IF($D157="Exterior",1,""))</f>
        <v/>
      </c>
      <c r="AP157" s="150">
        <f t="shared" si="88"/>
        <v>1</v>
      </c>
      <c r="AQ157" s="150" t="str">
        <f>IF($D157="Interior",INDEX(Lookups!R$2:R$86,MATCH(_xlfn.CONCAT($C157,$L157),Lookups!$P$2:$P$86,0)),IF($D157="Exterior",1,""))</f>
        <v/>
      </c>
      <c r="AR157" s="150" t="str">
        <f>IF($D157="Interior",INDEX(Lookups!S$2:S$86,MATCH(_xlfn.CONCAT($C157,$L157),Lookups!$P$2:$P$86,0)),IF($D157="Exterior",1,""))</f>
        <v/>
      </c>
      <c r="AS157" s="150" t="str">
        <f>IF($D157="Interior",INDEX(Lookups!T$2:T$86,MATCH(_xlfn.CONCAT($C157,$L157),Lookups!$P$2:$P$86,0)),IF($D157="Exterior",1,""))</f>
        <v/>
      </c>
      <c r="AT157" s="150" t="str">
        <f>IFERROR(IF(M157="Exit Signs",1,IF(INDEX('Fixture Codes'!$C$8:$C$976,MATCH($AD157,'Fixture Codes'!$B$8:$B$976,0))="Exit Sign",1,INDEX(Lookups!J$2:J$428,MATCH(_xlfn.CONCAT($B157,$H157),Lookups!$H$2:$H$428,0)))),"")</f>
        <v/>
      </c>
      <c r="AU157" s="150" t="str">
        <f>IFERROR(IF(M157="Exit Signs",1,IF(INDEX('Fixture Codes'!$C$8:$C$976,MATCH($AD157,'Fixture Codes'!$B$8:$B$976,0))="Exit Sign",1,INDEX(Lookups!K$2:K$428,MATCH(_xlfn.CONCAT($B157,$H157),Lookups!$H$2:$H$428,0)))),"")</f>
        <v/>
      </c>
      <c r="AV157" s="150" t="str">
        <f>IFERROR(IF(M157="Exit Signs",1,IF(INDEX('Fixture Codes'!$C$8:$C$976,MATCH($AD157,'Fixture Codes'!$B$8:$B$976,0))="Exit Sign",1,INDEX(Lookups!L$2:L$428,MATCH(_xlfn.CONCAT($B157,$H157),Lookups!$H$2:$H$428,0)))),"")</f>
        <v/>
      </c>
      <c r="AW157" s="150" t="str">
        <f>IF(ISBLANK(K157),"",IF(K157="Gas",INDEX(Lookups!$AG$2:$AG$63,MATCH(O157,Lookups!$AD$2:$AD$63,0),0),0))</f>
        <v/>
      </c>
      <c r="AX157" s="150" t="str">
        <f>IF(ISBLANK(K157),"",IF(K157="Gas",INDEX(Lookups!$AF$2:$AF$63,MATCH(O157,Lookups!$AD$2:$AD$63,0),0),0))</f>
        <v/>
      </c>
      <c r="AY157" s="150" t="str">
        <f>IF(ISBLANK(K157),"",IF(K157="Gas",INDEX(Lookups!$AH$2:$AH$63,MATCH(O157,Lookups!$AD$2:$AD$63,0),0),0))</f>
        <v/>
      </c>
      <c r="AZ157" s="150" t="str">
        <f>IF(ISBLANK(K157),"",IF(K157="Gas",INDEX(Lookups!$AI$2:$AI$63,MATCH(O157,Lookups!$AD$2:$AD$63,0),0),0))</f>
        <v/>
      </c>
      <c r="BA157" s="150" t="str">
        <f t="shared" si="73"/>
        <v/>
      </c>
      <c r="BB157" s="156" t="str">
        <f>IF(ISBLANK(AH157),"",IF(AH157="None",0,IF(K157="Gas",INDEX(Lookups!$AF$51:$AF$69,MATCH(AH157,Lookups!$AD$51:$AD$69,0),0),0)))</f>
        <v/>
      </c>
      <c r="BC157" s="156" t="str">
        <f>IF(ISBLANK(AH157),"",IF(AH157="None",0,IF(K157="Gas",INDEX(Lookups!$AH$51:$AH$69,MATCH(AH157,Lookups!$AD$51:$AD$69,0),0),0)))</f>
        <v/>
      </c>
      <c r="BD157" s="156" t="str">
        <f>IF(ISBLANK(AH157),"",IF(AH157="None",0,IF(K157="Gas",INDEX(Lookups!$AI$51:$AI$69,MATCH(AH157,Lookups!$AD$51:$AD$69,0),0),0)))</f>
        <v/>
      </c>
      <c r="BE157" s="157"/>
      <c r="BF157" s="157"/>
      <c r="BG157" s="147" t="str">
        <f t="shared" si="89"/>
        <v/>
      </c>
      <c r="BH157" s="147" t="str">
        <f t="shared" si="90"/>
        <v/>
      </c>
      <c r="BI157" s="147" t="str">
        <f t="shared" si="74"/>
        <v/>
      </c>
      <c r="BJ157" s="147" t="str">
        <f t="shared" si="75"/>
        <v/>
      </c>
      <c r="BK157" s="148" t="str">
        <f t="shared" si="91"/>
        <v/>
      </c>
      <c r="BL157" s="147" t="str">
        <f t="shared" si="76"/>
        <v/>
      </c>
      <c r="BM157" s="148" t="str">
        <f t="shared" si="92"/>
        <v/>
      </c>
      <c r="BN157" s="147" t="str">
        <f t="shared" si="93"/>
        <v/>
      </c>
      <c r="BO157" s="147" t="str">
        <f t="shared" si="93"/>
        <v/>
      </c>
      <c r="BP157" s="147" t="str">
        <f t="shared" si="94"/>
        <v/>
      </c>
      <c r="BQ157" s="148" t="str">
        <f t="shared" si="95"/>
        <v/>
      </c>
      <c r="BR157" s="148" t="str">
        <f t="shared" si="96"/>
        <v/>
      </c>
      <c r="BS157" s="148" t="str">
        <f t="shared" si="97"/>
        <v/>
      </c>
      <c r="BT157" s="148" t="str">
        <f t="shared" si="77"/>
        <v/>
      </c>
      <c r="BU157" s="148" t="str">
        <f t="shared" si="78"/>
        <v/>
      </c>
      <c r="BV157" s="148" t="str">
        <f t="shared" si="79"/>
        <v/>
      </c>
      <c r="BW157" s="148" t="str">
        <f t="shared" si="80"/>
        <v/>
      </c>
      <c r="BX157" s="148" t="str">
        <f t="shared" si="81"/>
        <v/>
      </c>
      <c r="BY157" s="148" t="str">
        <f t="shared" si="82"/>
        <v/>
      </c>
      <c r="BZ157" s="149" t="str">
        <f>IFERROR(INDEX('Prescriptive Rebate Table'!$B$2:$E$64,MATCH(O157,'Prescriptive Rebate Table'!$C$2:$C$64,0),3),"")</f>
        <v/>
      </c>
      <c r="CA157" s="145" t="str">
        <f>IFERROR(INDEX('Prescriptive Rebate Table'!$B$2:$E$64,MATCH(O157,'Prescriptive Rebate Table'!$C$2:$C$64,0),4),"")</f>
        <v/>
      </c>
      <c r="CB157" s="149" t="str">
        <f t="shared" si="98"/>
        <v/>
      </c>
      <c r="CC157" s="145" t="str">
        <f t="shared" si="99"/>
        <v/>
      </c>
      <c r="CD157" s="149" t="str">
        <f t="shared" si="83"/>
        <v/>
      </c>
      <c r="CE157" s="149" t="str">
        <f t="shared" si="84"/>
        <v/>
      </c>
      <c r="CF157" s="149" t="str">
        <f>IF(BK157&lt;=0,0,IFERROR(IF(OR(ISBLANK(AC157),ISBLANK(CD157))=TRUE,"",IF(CA157="Per Foot",INDEX('Fixture Codes'!$I$8:$I$976,MATCH(AD157,'Fixture Codes'!$B$8:$B$976,0))/12*AF157*BZ157,IF(CA157="Lamp",INDEX('Fixture Codes'!$J$8:$J$976,MATCH(AD157,'Fixture Codes'!$B$8:$B$976,0))*AF157*BZ157,IF(CA157="Fixture",AF157*BZ157,IF(CA157="kWh",BK157*BZ157,0))))),""))</f>
        <v/>
      </c>
      <c r="CG157" s="149" t="str">
        <f t="shared" si="100"/>
        <v/>
      </c>
      <c r="CH157" s="149" t="str">
        <f t="shared" si="101"/>
        <v/>
      </c>
      <c r="CI157" s="152"/>
      <c r="CJ157" s="146"/>
      <c r="CK157" s="241">
        <f>IFERROR(IF(CL157="Yes",'Prescriptive Rebate Table'!$D$69,IF(ISBLANK(AI157),0,IF(AND(AH157=Lookups!$A$62,BK157&gt;0),'Prescriptive Rebate Table'!$D$68,IF(AND(BK157&gt;0,CJ157=AF157),'Prescriptive Rebate Table'!$D$67,IF(AND(BK157&gt;0,CJ157&lt;&gt;AF157),'Prescriptive Rebate Table'!D216,0))))),"")</f>
        <v>0</v>
      </c>
      <c r="CL157" s="240" t="s">
        <v>2712</v>
      </c>
      <c r="CM157" s="152"/>
      <c r="CN157" s="152"/>
      <c r="CO157" s="152"/>
      <c r="CP157" s="146">
        <f t="shared" si="85"/>
        <v>0</v>
      </c>
      <c r="CQ157" s="153">
        <f>IF(D157="Interior",ROUND(($AG157*AF157)/1000*$AM157*(Lookups!$B$54-$AA157)*$AN157*$AO157,3),0)</f>
        <v>0</v>
      </c>
      <c r="CR157" s="153">
        <f>IFERROR(IF(D157="Interior",ROUND(($AG157*$AF157)/1000*(Lookups!$C$54-$AB157)*$AN157*AQ157*AT157,6),0),"")</f>
        <v>0</v>
      </c>
      <c r="CS157" s="165">
        <f t="shared" si="102"/>
        <v>0</v>
      </c>
      <c r="CT157" s="165">
        <f t="shared" si="103"/>
        <v>0</v>
      </c>
      <c r="CV157" s="153"/>
      <c r="CW157" s="153"/>
      <c r="CX157" s="165"/>
      <c r="CY157" s="165"/>
      <c r="DA157" s="153">
        <f>IF(D157="Interior",ROUND(($AG157*AF157*(1-0.15))/1000*$AM157*(Lookups!$B$43+0.097-$AA157)*$AN157*$AO157+((W157*V157)/1000*AN157*AM157*AO157*0.15),3),0)</f>
        <v>0</v>
      </c>
      <c r="DB157" s="153">
        <f>IFERROR(IF(D157="Interior",ROUND(($AG157*$AF157)/1000*(Lookups!$C$43+0.097-$AB157)*$AN157*AQ157*AT157+(($AG157*$AF157)/1000*$AN157*AQ157*AT157*0.15),6),0),"")</f>
        <v>0</v>
      </c>
      <c r="DC157" s="165">
        <f t="shared" si="86"/>
        <v>0</v>
      </c>
      <c r="DD157" s="165">
        <f t="shared" si="87"/>
        <v>0</v>
      </c>
    </row>
    <row r="158" spans="1:108" s="164" customFormat="1">
      <c r="A158" s="150">
        <v>154</v>
      </c>
      <c r="B158" s="153" t="str">
        <f>IFERROR(INDEX(Lookups!$B$2:$B$38,MATCH('Project Info &amp; Summary'!$C$19,Lookups!$A$2:$A$38,0)),"")</f>
        <v/>
      </c>
      <c r="C158" s="153" t="str">
        <f>IFERROR(INDEX(Lookups!$C$2:$C$38,MATCH('Project Info &amp; Summary'!$C$19,Lookups!$A$2:$A$38,0)),"")</f>
        <v/>
      </c>
      <c r="D158" s="163"/>
      <c r="E158" s="160"/>
      <c r="F158" s="158"/>
      <c r="G158" s="158"/>
      <c r="H158" s="158"/>
      <c r="I158" s="158"/>
      <c r="J158" s="154" t="str">
        <f>IFERROR(INDEX(Lookups!$W$21:$W$26,MATCH(I158,Lookups!$V$21:$V$26,0)),"")</f>
        <v/>
      </c>
      <c r="K158" s="158"/>
      <c r="L158" s="162" t="str">
        <f>IFERROR(INDEX(Lookups!$Y$2:$Y$19,MATCH(_xlfn.CONCAT(I158,K158),Lookups!$X$2:$X$19,0)),"")</f>
        <v/>
      </c>
      <c r="M158" s="158"/>
      <c r="N158" s="153" t="str">
        <f>IFERROR(INDEX('Prescriptive Rebate Table'!$M$3:$M$20,MATCH(M158,'Prescriptive Rebate Table'!$L$3:$L$20,0)),"")</f>
        <v/>
      </c>
      <c r="O158" s="158"/>
      <c r="P158" s="154" t="str">
        <f>IFERROR(INDEX('Prescriptive Rebate Table'!$B$2:$H$64, MATCH(O158,'Prescriptive Rebate Table'!$C$2:$C$64,0),7),"")</f>
        <v/>
      </c>
      <c r="Q158" s="155" t="str">
        <f>IFERROR(INDEX('Prescriptive Rebate Table'!$B$2:$I$64, MATCH(O158,'Prescriptive Rebate Table'!$C$2:$C$64,0),8),"")</f>
        <v/>
      </c>
      <c r="R158" s="155" t="str">
        <f>IFERROR(INDEX('Prescriptive Rebate Table'!$B$2:$J$64, MATCH(O158,'Prescriptive Rebate Table'!$C$2:$C$64,0),9),"")</f>
        <v/>
      </c>
      <c r="S158" s="160"/>
      <c r="T158" s="145" t="str">
        <f>IFERROR(INDEX('Fixture Codes'!$M$8:$M$976,MATCH(S158,'Fixture Codes'!$B$8:$B$976,0)),"")</f>
        <v/>
      </c>
      <c r="U158" s="145" t="str">
        <f>IFERROR(INDEX('Fixture Codes'!$B$7:$M$976,MATCH(T158,'Fixture Codes'!$B$7:$B$976,0),5),"")</f>
        <v/>
      </c>
      <c r="V158" s="160"/>
      <c r="W158" s="145" t="str">
        <f>IFERROR(INDEX('Fixture Codes'!$L$8:$L$976,MATCH(T158,'Fixture Codes'!$B$8:$B$976,0)),"")</f>
        <v/>
      </c>
      <c r="X158" s="158"/>
      <c r="Y158" s="159"/>
      <c r="Z158" s="155" t="str">
        <f>IFERROR(INDEX(Lookups!B$68:B$87,MATCH($X158,Lookups!$A$68:$A$87,0)),"")</f>
        <v/>
      </c>
      <c r="AA158" s="150" t="str">
        <f>IFERROR(INDEX(Lookups!B$42:B$62,MATCH($X158,Lookups!$A$42:$A$62,0)),"")</f>
        <v/>
      </c>
      <c r="AB158" s="150" t="str">
        <f>IFERROR(INDEX(Lookups!C$42:C$62,MATCH($X158,Lookups!$A$42:$A$62,0)),"")</f>
        <v/>
      </c>
      <c r="AC158" s="160"/>
      <c r="AD158" s="160"/>
      <c r="AE158" s="150" t="str">
        <f>IFERROR(INDEX('Fixture Codes'!$B$7:$M$976,MATCH(AD158,'Fixture Codes'!$B$7:$B$976,0),5),"")</f>
        <v/>
      </c>
      <c r="AF158" s="160"/>
      <c r="AG158" s="145" t="str">
        <f>IFERROR(INDEX('Fixture Codes'!$L$8:$L$976,MATCH(AD158,'Fixture Codes'!$B$8:$B$976,0)),"")</f>
        <v/>
      </c>
      <c r="AH158" s="158"/>
      <c r="AI158" s="160"/>
      <c r="AJ158" s="150" t="str">
        <f>IFERROR(INDEX(Lookups!B$68:B$87,MATCH($AH158,Lookups!$A$68:$A$87,0)),"")</f>
        <v/>
      </c>
      <c r="AK158" s="150" t="str">
        <f>IFERROR(INDEX(Lookups!B$42:B$62,MATCH($AH158,Lookups!$A$42:$A$62,0)),"")</f>
        <v/>
      </c>
      <c r="AL158" s="150" t="str">
        <f>IFERROR(INDEX(Lookups!C$42:C$62,MATCH($AH158,Lookups!$A$42:$A$62,0)),"")</f>
        <v/>
      </c>
      <c r="AM158" s="150" t="str">
        <f>IFERROR(IF(M158="Exit Signs",8760,IF(INDEX('Fixture Codes'!$C$8:$C$976,MATCH(AD158,'Fixture Codes'!$B$8:$B$976,0))="Exit Sign",8760,INDEX(Lookups!$I$2:$I$428,MATCH(_xlfn.CONCAT(B158,H158),Lookups!$H$2:$H$428,0)))),"")</f>
        <v/>
      </c>
      <c r="AN158" s="153">
        <v>1</v>
      </c>
      <c r="AO158" s="150" t="str">
        <f>IF($D158="Interior",INDEX(Lookups!Q$2:Q$86,MATCH(_xlfn.CONCAT($C158,$L158),Lookups!$P$2:$P$86,0)),IF($D158="Exterior",1,""))</f>
        <v/>
      </c>
      <c r="AP158" s="150">
        <f t="shared" si="88"/>
        <v>1</v>
      </c>
      <c r="AQ158" s="150" t="str">
        <f>IF($D158="Interior",INDEX(Lookups!R$2:R$86,MATCH(_xlfn.CONCAT($C158,$L158),Lookups!$P$2:$P$86,0)),IF($D158="Exterior",1,""))</f>
        <v/>
      </c>
      <c r="AR158" s="150" t="str">
        <f>IF($D158="Interior",INDEX(Lookups!S$2:S$86,MATCH(_xlfn.CONCAT($C158,$L158),Lookups!$P$2:$P$86,0)),IF($D158="Exterior",1,""))</f>
        <v/>
      </c>
      <c r="AS158" s="150" t="str">
        <f>IF($D158="Interior",INDEX(Lookups!T$2:T$86,MATCH(_xlfn.CONCAT($C158,$L158),Lookups!$P$2:$P$86,0)),IF($D158="Exterior",1,""))</f>
        <v/>
      </c>
      <c r="AT158" s="150" t="str">
        <f>IFERROR(IF(M158="Exit Signs",1,IF(INDEX('Fixture Codes'!$C$8:$C$976,MATCH($AD158,'Fixture Codes'!$B$8:$B$976,0))="Exit Sign",1,INDEX(Lookups!J$2:J$428,MATCH(_xlfn.CONCAT($B158,$H158),Lookups!$H$2:$H$428,0)))),"")</f>
        <v/>
      </c>
      <c r="AU158" s="150" t="str">
        <f>IFERROR(IF(M158="Exit Signs",1,IF(INDEX('Fixture Codes'!$C$8:$C$976,MATCH($AD158,'Fixture Codes'!$B$8:$B$976,0))="Exit Sign",1,INDEX(Lookups!K$2:K$428,MATCH(_xlfn.CONCAT($B158,$H158),Lookups!$H$2:$H$428,0)))),"")</f>
        <v/>
      </c>
      <c r="AV158" s="150" t="str">
        <f>IFERROR(IF(M158="Exit Signs",1,IF(INDEX('Fixture Codes'!$C$8:$C$976,MATCH($AD158,'Fixture Codes'!$B$8:$B$976,0))="Exit Sign",1,INDEX(Lookups!L$2:L$428,MATCH(_xlfn.CONCAT($B158,$H158),Lookups!$H$2:$H$428,0)))),"")</f>
        <v/>
      </c>
      <c r="AW158" s="150" t="str">
        <f>IF(ISBLANK(K158),"",IF(K158="Gas",INDEX(Lookups!$AG$2:$AG$63,MATCH(O158,Lookups!$AD$2:$AD$63,0),0),0))</f>
        <v/>
      </c>
      <c r="AX158" s="150" t="str">
        <f>IF(ISBLANK(K158),"",IF(K158="Gas",INDEX(Lookups!$AF$2:$AF$63,MATCH(O158,Lookups!$AD$2:$AD$63,0),0),0))</f>
        <v/>
      </c>
      <c r="AY158" s="150" t="str">
        <f>IF(ISBLANK(K158),"",IF(K158="Gas",INDEX(Lookups!$AH$2:$AH$63,MATCH(O158,Lookups!$AD$2:$AD$63,0),0),0))</f>
        <v/>
      </c>
      <c r="AZ158" s="150" t="str">
        <f>IF(ISBLANK(K158),"",IF(K158="Gas",INDEX(Lookups!$AI$2:$AI$63,MATCH(O158,Lookups!$AD$2:$AD$63,0),0),0))</f>
        <v/>
      </c>
      <c r="BA158" s="150" t="str">
        <f t="shared" si="73"/>
        <v/>
      </c>
      <c r="BB158" s="156" t="str">
        <f>IF(ISBLANK(AH158),"",IF(AH158="None",0,IF(K158="Gas",INDEX(Lookups!$AF$51:$AF$69,MATCH(AH158,Lookups!$AD$51:$AD$69,0),0),0)))</f>
        <v/>
      </c>
      <c r="BC158" s="156" t="str">
        <f>IF(ISBLANK(AH158),"",IF(AH158="None",0,IF(K158="Gas",INDEX(Lookups!$AH$51:$AH$69,MATCH(AH158,Lookups!$AD$51:$AD$69,0),0),0)))</f>
        <v/>
      </c>
      <c r="BD158" s="156" t="str">
        <f>IF(ISBLANK(AH158),"",IF(AH158="None",0,IF(K158="Gas",INDEX(Lookups!$AI$51:$AI$69,MATCH(AH158,Lookups!$AD$51:$AD$69,0),0),0)))</f>
        <v/>
      </c>
      <c r="BE158" s="157"/>
      <c r="BF158" s="157"/>
      <c r="BG158" s="147" t="str">
        <f t="shared" si="89"/>
        <v/>
      </c>
      <c r="BH158" s="147" t="str">
        <f t="shared" si="90"/>
        <v/>
      </c>
      <c r="BI158" s="147" t="str">
        <f t="shared" si="74"/>
        <v/>
      </c>
      <c r="BJ158" s="147" t="str">
        <f t="shared" si="75"/>
        <v/>
      </c>
      <c r="BK158" s="148" t="str">
        <f t="shared" si="91"/>
        <v/>
      </c>
      <c r="BL158" s="147" t="str">
        <f t="shared" si="76"/>
        <v/>
      </c>
      <c r="BM158" s="148" t="str">
        <f t="shared" si="92"/>
        <v/>
      </c>
      <c r="BN158" s="147" t="str">
        <f t="shared" si="93"/>
        <v/>
      </c>
      <c r="BO158" s="147" t="str">
        <f t="shared" si="93"/>
        <v/>
      </c>
      <c r="BP158" s="147" t="str">
        <f t="shared" si="94"/>
        <v/>
      </c>
      <c r="BQ158" s="148" t="str">
        <f t="shared" si="95"/>
        <v/>
      </c>
      <c r="BR158" s="148" t="str">
        <f t="shared" si="96"/>
        <v/>
      </c>
      <c r="BS158" s="148" t="str">
        <f t="shared" si="97"/>
        <v/>
      </c>
      <c r="BT158" s="148" t="str">
        <f t="shared" si="77"/>
        <v/>
      </c>
      <c r="BU158" s="148" t="str">
        <f t="shared" si="78"/>
        <v/>
      </c>
      <c r="BV158" s="148" t="str">
        <f t="shared" si="79"/>
        <v/>
      </c>
      <c r="BW158" s="148" t="str">
        <f t="shared" si="80"/>
        <v/>
      </c>
      <c r="BX158" s="148" t="str">
        <f t="shared" si="81"/>
        <v/>
      </c>
      <c r="BY158" s="148" t="str">
        <f t="shared" si="82"/>
        <v/>
      </c>
      <c r="BZ158" s="149" t="str">
        <f>IFERROR(INDEX('Prescriptive Rebate Table'!$B$2:$E$64,MATCH(O158,'Prescriptive Rebate Table'!$C$2:$C$64,0),3),"")</f>
        <v/>
      </c>
      <c r="CA158" s="145" t="str">
        <f>IFERROR(INDEX('Prescriptive Rebate Table'!$B$2:$E$64,MATCH(O158,'Prescriptive Rebate Table'!$C$2:$C$64,0),4),"")</f>
        <v/>
      </c>
      <c r="CB158" s="149" t="str">
        <f t="shared" si="98"/>
        <v/>
      </c>
      <c r="CC158" s="145" t="str">
        <f t="shared" si="99"/>
        <v/>
      </c>
      <c r="CD158" s="149" t="str">
        <f t="shared" si="83"/>
        <v/>
      </c>
      <c r="CE158" s="149" t="str">
        <f t="shared" si="84"/>
        <v/>
      </c>
      <c r="CF158" s="149" t="str">
        <f>IF(BK158&lt;=0,0,IFERROR(IF(OR(ISBLANK(AC158),ISBLANK(CD158))=TRUE,"",IF(CA158="Per Foot",INDEX('Fixture Codes'!$I$8:$I$976,MATCH(AD158,'Fixture Codes'!$B$8:$B$976,0))/12*AF158*BZ158,IF(CA158="Lamp",INDEX('Fixture Codes'!$J$8:$J$976,MATCH(AD158,'Fixture Codes'!$B$8:$B$976,0))*AF158*BZ158,IF(CA158="Fixture",AF158*BZ158,IF(CA158="kWh",BK158*BZ158,0))))),""))</f>
        <v/>
      </c>
      <c r="CG158" s="149" t="str">
        <f t="shared" si="100"/>
        <v/>
      </c>
      <c r="CH158" s="149" t="str">
        <f t="shared" si="101"/>
        <v/>
      </c>
      <c r="CI158" s="152"/>
      <c r="CJ158" s="146"/>
      <c r="CK158" s="241">
        <f>IFERROR(IF(CL158="Yes",'Prescriptive Rebate Table'!$D$69,IF(ISBLANK(AI158),0,IF(AND(AH158=Lookups!$A$62,BK158&gt;0),'Prescriptive Rebate Table'!$D$68,IF(AND(BK158&gt;0,CJ158=AF158),'Prescriptive Rebate Table'!$D$67,IF(AND(BK158&gt;0,CJ158&lt;&gt;AF158),'Prescriptive Rebate Table'!D217,0))))),"")</f>
        <v>0</v>
      </c>
      <c r="CL158" s="240" t="s">
        <v>2712</v>
      </c>
      <c r="CM158" s="152"/>
      <c r="CN158" s="152"/>
      <c r="CO158" s="152"/>
      <c r="CP158" s="146">
        <f t="shared" si="85"/>
        <v>0</v>
      </c>
      <c r="CQ158" s="153">
        <f>IF(D158="Interior",ROUND(($AG158*AF158)/1000*$AM158*(Lookups!$B$54-$AA158)*$AN158*$AO158,3),0)</f>
        <v>0</v>
      </c>
      <c r="CR158" s="153">
        <f>IFERROR(IF(D158="Interior",ROUND(($AG158*$AF158)/1000*(Lookups!$C$54-$AB158)*$AN158*AQ158*AT158,6),0),"")</f>
        <v>0</v>
      </c>
      <c r="CS158" s="165">
        <f t="shared" si="102"/>
        <v>0</v>
      </c>
      <c r="CT158" s="165">
        <f t="shared" si="103"/>
        <v>0</v>
      </c>
      <c r="CV158" s="153"/>
      <c r="CW158" s="153"/>
      <c r="CX158" s="165"/>
      <c r="CY158" s="165"/>
      <c r="DA158" s="153">
        <f>IF(D158="Interior",ROUND(($AG158*AF158*(1-0.15))/1000*$AM158*(Lookups!$B$43+0.097-$AA158)*$AN158*$AO158+((W158*V158)/1000*AN158*AM158*AO158*0.15),3),0)</f>
        <v>0</v>
      </c>
      <c r="DB158" s="153">
        <f>IFERROR(IF(D158="Interior",ROUND(($AG158*$AF158)/1000*(Lookups!$C$43+0.097-$AB158)*$AN158*AQ158*AT158+(($AG158*$AF158)/1000*$AN158*AQ158*AT158*0.15),6),0),"")</f>
        <v>0</v>
      </c>
      <c r="DC158" s="165">
        <f t="shared" si="86"/>
        <v>0</v>
      </c>
      <c r="DD158" s="165">
        <f t="shared" si="87"/>
        <v>0</v>
      </c>
    </row>
    <row r="159" spans="1:108" s="164" customFormat="1">
      <c r="A159" s="150">
        <v>155</v>
      </c>
      <c r="B159" s="153" t="str">
        <f>IFERROR(INDEX(Lookups!$B$2:$B$38,MATCH('Project Info &amp; Summary'!$C$19,Lookups!$A$2:$A$38,0)),"")</f>
        <v/>
      </c>
      <c r="C159" s="153" t="str">
        <f>IFERROR(INDEX(Lookups!$C$2:$C$38,MATCH('Project Info &amp; Summary'!$C$19,Lookups!$A$2:$A$38,0)),"")</f>
        <v/>
      </c>
      <c r="D159" s="163"/>
      <c r="E159" s="160"/>
      <c r="F159" s="158"/>
      <c r="G159" s="158"/>
      <c r="H159" s="158"/>
      <c r="I159" s="158"/>
      <c r="J159" s="154" t="str">
        <f>IFERROR(INDEX(Lookups!$W$21:$W$26,MATCH(I159,Lookups!$V$21:$V$26,0)),"")</f>
        <v/>
      </c>
      <c r="K159" s="158"/>
      <c r="L159" s="162" t="str">
        <f>IFERROR(INDEX(Lookups!$Y$2:$Y$19,MATCH(_xlfn.CONCAT(I159,K159),Lookups!$X$2:$X$19,0)),"")</f>
        <v/>
      </c>
      <c r="M159" s="158"/>
      <c r="N159" s="153" t="str">
        <f>IFERROR(INDEX('Prescriptive Rebate Table'!$M$3:$M$20,MATCH(M159,'Prescriptive Rebate Table'!$L$3:$L$20,0)),"")</f>
        <v/>
      </c>
      <c r="O159" s="158"/>
      <c r="P159" s="154" t="str">
        <f>IFERROR(INDEX('Prescriptive Rebate Table'!$B$2:$H$64, MATCH(O159,'Prescriptive Rebate Table'!$C$2:$C$64,0),7),"")</f>
        <v/>
      </c>
      <c r="Q159" s="155" t="str">
        <f>IFERROR(INDEX('Prescriptive Rebate Table'!$B$2:$I$64, MATCH(O159,'Prescriptive Rebate Table'!$C$2:$C$64,0),8),"")</f>
        <v/>
      </c>
      <c r="R159" s="155" t="str">
        <f>IFERROR(INDEX('Prescriptive Rebate Table'!$B$2:$J$64, MATCH(O159,'Prescriptive Rebate Table'!$C$2:$C$64,0),9),"")</f>
        <v/>
      </c>
      <c r="S159" s="160"/>
      <c r="T159" s="145" t="str">
        <f>IFERROR(INDEX('Fixture Codes'!$M$8:$M$976,MATCH(S159,'Fixture Codes'!$B$8:$B$976,0)),"")</f>
        <v/>
      </c>
      <c r="U159" s="145" t="str">
        <f>IFERROR(INDEX('Fixture Codes'!$B$7:$M$976,MATCH(T159,'Fixture Codes'!$B$7:$B$976,0),5),"")</f>
        <v/>
      </c>
      <c r="V159" s="160"/>
      <c r="W159" s="145" t="str">
        <f>IFERROR(INDEX('Fixture Codes'!$L$8:$L$976,MATCH(T159,'Fixture Codes'!$B$8:$B$976,0)),"")</f>
        <v/>
      </c>
      <c r="X159" s="158"/>
      <c r="Y159" s="159"/>
      <c r="Z159" s="155" t="str">
        <f>IFERROR(INDEX(Lookups!B$68:B$87,MATCH($X159,Lookups!$A$68:$A$87,0)),"")</f>
        <v/>
      </c>
      <c r="AA159" s="150" t="str">
        <f>IFERROR(INDEX(Lookups!B$42:B$62,MATCH($X159,Lookups!$A$42:$A$62,0)),"")</f>
        <v/>
      </c>
      <c r="AB159" s="150" t="str">
        <f>IFERROR(INDEX(Lookups!C$42:C$62,MATCH($X159,Lookups!$A$42:$A$62,0)),"")</f>
        <v/>
      </c>
      <c r="AC159" s="160"/>
      <c r="AD159" s="160"/>
      <c r="AE159" s="150" t="str">
        <f>IFERROR(INDEX('Fixture Codes'!$B$7:$M$976,MATCH(AD159,'Fixture Codes'!$B$7:$B$976,0),5),"")</f>
        <v/>
      </c>
      <c r="AF159" s="160"/>
      <c r="AG159" s="145" t="str">
        <f>IFERROR(INDEX('Fixture Codes'!$L$8:$L$976,MATCH(AD159,'Fixture Codes'!$B$8:$B$976,0)),"")</f>
        <v/>
      </c>
      <c r="AH159" s="158"/>
      <c r="AI159" s="160"/>
      <c r="AJ159" s="150" t="str">
        <f>IFERROR(INDEX(Lookups!B$68:B$87,MATCH($AH159,Lookups!$A$68:$A$87,0)),"")</f>
        <v/>
      </c>
      <c r="AK159" s="150" t="str">
        <f>IFERROR(INDEX(Lookups!B$42:B$62,MATCH($AH159,Lookups!$A$42:$A$62,0)),"")</f>
        <v/>
      </c>
      <c r="AL159" s="150" t="str">
        <f>IFERROR(INDEX(Lookups!C$42:C$62,MATCH($AH159,Lookups!$A$42:$A$62,0)),"")</f>
        <v/>
      </c>
      <c r="AM159" s="150" t="str">
        <f>IFERROR(IF(M159="Exit Signs",8760,IF(INDEX('Fixture Codes'!$C$8:$C$976,MATCH(AD159,'Fixture Codes'!$B$8:$B$976,0))="Exit Sign",8760,INDEX(Lookups!$I$2:$I$428,MATCH(_xlfn.CONCAT(B159,H159),Lookups!$H$2:$H$428,0)))),"")</f>
        <v/>
      </c>
      <c r="AN159" s="153">
        <v>1</v>
      </c>
      <c r="AO159" s="150" t="str">
        <f>IF($D159="Interior",INDEX(Lookups!Q$2:Q$86,MATCH(_xlfn.CONCAT($C159,$L159),Lookups!$P$2:$P$86,0)),IF($D159="Exterior",1,""))</f>
        <v/>
      </c>
      <c r="AP159" s="150">
        <f t="shared" si="88"/>
        <v>1</v>
      </c>
      <c r="AQ159" s="150" t="str">
        <f>IF($D159="Interior",INDEX(Lookups!R$2:R$86,MATCH(_xlfn.CONCAT($C159,$L159),Lookups!$P$2:$P$86,0)),IF($D159="Exterior",1,""))</f>
        <v/>
      </c>
      <c r="AR159" s="150" t="str">
        <f>IF($D159="Interior",INDEX(Lookups!S$2:S$86,MATCH(_xlfn.CONCAT($C159,$L159),Lookups!$P$2:$P$86,0)),IF($D159="Exterior",1,""))</f>
        <v/>
      </c>
      <c r="AS159" s="150" t="str">
        <f>IF($D159="Interior",INDEX(Lookups!T$2:T$86,MATCH(_xlfn.CONCAT($C159,$L159),Lookups!$P$2:$P$86,0)),IF($D159="Exterior",1,""))</f>
        <v/>
      </c>
      <c r="AT159" s="150" t="str">
        <f>IFERROR(IF(M159="Exit Signs",1,IF(INDEX('Fixture Codes'!$C$8:$C$976,MATCH($AD159,'Fixture Codes'!$B$8:$B$976,0))="Exit Sign",1,INDEX(Lookups!J$2:J$428,MATCH(_xlfn.CONCAT($B159,$H159),Lookups!$H$2:$H$428,0)))),"")</f>
        <v/>
      </c>
      <c r="AU159" s="150" t="str">
        <f>IFERROR(IF(M159="Exit Signs",1,IF(INDEX('Fixture Codes'!$C$8:$C$976,MATCH($AD159,'Fixture Codes'!$B$8:$B$976,0))="Exit Sign",1,INDEX(Lookups!K$2:K$428,MATCH(_xlfn.CONCAT($B159,$H159),Lookups!$H$2:$H$428,0)))),"")</f>
        <v/>
      </c>
      <c r="AV159" s="150" t="str">
        <f>IFERROR(IF(M159="Exit Signs",1,IF(INDEX('Fixture Codes'!$C$8:$C$976,MATCH($AD159,'Fixture Codes'!$B$8:$B$976,0))="Exit Sign",1,INDEX(Lookups!L$2:L$428,MATCH(_xlfn.CONCAT($B159,$H159),Lookups!$H$2:$H$428,0)))),"")</f>
        <v/>
      </c>
      <c r="AW159" s="150" t="str">
        <f>IF(ISBLANK(K159),"",IF(K159="Gas",INDEX(Lookups!$AG$2:$AG$63,MATCH(O159,Lookups!$AD$2:$AD$63,0),0),0))</f>
        <v/>
      </c>
      <c r="AX159" s="150" t="str">
        <f>IF(ISBLANK(K159),"",IF(K159="Gas",INDEX(Lookups!$AF$2:$AF$63,MATCH(O159,Lookups!$AD$2:$AD$63,0),0),0))</f>
        <v/>
      </c>
      <c r="AY159" s="150" t="str">
        <f>IF(ISBLANK(K159),"",IF(K159="Gas",INDEX(Lookups!$AH$2:$AH$63,MATCH(O159,Lookups!$AD$2:$AD$63,0),0),0))</f>
        <v/>
      </c>
      <c r="AZ159" s="150" t="str">
        <f>IF(ISBLANK(K159),"",IF(K159="Gas",INDEX(Lookups!$AI$2:$AI$63,MATCH(O159,Lookups!$AD$2:$AD$63,0),0),0))</f>
        <v/>
      </c>
      <c r="BA159" s="150" t="str">
        <f t="shared" si="73"/>
        <v/>
      </c>
      <c r="BB159" s="156" t="str">
        <f>IF(ISBLANK(AH159),"",IF(AH159="None",0,IF(K159="Gas",INDEX(Lookups!$AF$51:$AF$69,MATCH(AH159,Lookups!$AD$51:$AD$69,0),0),0)))</f>
        <v/>
      </c>
      <c r="BC159" s="156" t="str">
        <f>IF(ISBLANK(AH159),"",IF(AH159="None",0,IF(K159="Gas",INDEX(Lookups!$AH$51:$AH$69,MATCH(AH159,Lookups!$AD$51:$AD$69,0),0),0)))</f>
        <v/>
      </c>
      <c r="BD159" s="156" t="str">
        <f>IF(ISBLANK(AH159),"",IF(AH159="None",0,IF(K159="Gas",INDEX(Lookups!$AI$51:$AI$69,MATCH(AH159,Lookups!$AD$51:$AD$69,0),0),0)))</f>
        <v/>
      </c>
      <c r="BE159" s="157"/>
      <c r="BF159" s="157"/>
      <c r="BG159" s="147" t="str">
        <f t="shared" si="89"/>
        <v/>
      </c>
      <c r="BH159" s="147" t="str">
        <f t="shared" si="90"/>
        <v/>
      </c>
      <c r="BI159" s="147" t="str">
        <f t="shared" si="74"/>
        <v/>
      </c>
      <c r="BJ159" s="147" t="str">
        <f t="shared" si="75"/>
        <v/>
      </c>
      <c r="BK159" s="148" t="str">
        <f t="shared" si="91"/>
        <v/>
      </c>
      <c r="BL159" s="147" t="str">
        <f t="shared" si="76"/>
        <v/>
      </c>
      <c r="BM159" s="148" t="str">
        <f t="shared" si="92"/>
        <v/>
      </c>
      <c r="BN159" s="147" t="str">
        <f t="shared" si="93"/>
        <v/>
      </c>
      <c r="BO159" s="147" t="str">
        <f t="shared" si="93"/>
        <v/>
      </c>
      <c r="BP159" s="147" t="str">
        <f t="shared" si="94"/>
        <v/>
      </c>
      <c r="BQ159" s="148" t="str">
        <f t="shared" si="95"/>
        <v/>
      </c>
      <c r="BR159" s="148" t="str">
        <f t="shared" si="96"/>
        <v/>
      </c>
      <c r="BS159" s="148" t="str">
        <f t="shared" si="97"/>
        <v/>
      </c>
      <c r="BT159" s="148" t="str">
        <f t="shared" si="77"/>
        <v/>
      </c>
      <c r="BU159" s="148" t="str">
        <f t="shared" si="78"/>
        <v/>
      </c>
      <c r="BV159" s="148" t="str">
        <f t="shared" si="79"/>
        <v/>
      </c>
      <c r="BW159" s="148" t="str">
        <f t="shared" si="80"/>
        <v/>
      </c>
      <c r="BX159" s="148" t="str">
        <f t="shared" si="81"/>
        <v/>
      </c>
      <c r="BY159" s="148" t="str">
        <f t="shared" si="82"/>
        <v/>
      </c>
      <c r="BZ159" s="149" t="str">
        <f>IFERROR(INDEX('Prescriptive Rebate Table'!$B$2:$E$64,MATCH(O159,'Prescriptive Rebate Table'!$C$2:$C$64,0),3),"")</f>
        <v/>
      </c>
      <c r="CA159" s="145" t="str">
        <f>IFERROR(INDEX('Prescriptive Rebate Table'!$B$2:$E$64,MATCH(O159,'Prescriptive Rebate Table'!$C$2:$C$64,0),4),"")</f>
        <v/>
      </c>
      <c r="CB159" s="149" t="str">
        <f t="shared" si="98"/>
        <v/>
      </c>
      <c r="CC159" s="145" t="str">
        <f t="shared" si="99"/>
        <v/>
      </c>
      <c r="CD159" s="149" t="str">
        <f t="shared" si="83"/>
        <v/>
      </c>
      <c r="CE159" s="149" t="str">
        <f t="shared" si="84"/>
        <v/>
      </c>
      <c r="CF159" s="149" t="str">
        <f>IF(BK159&lt;=0,0,IFERROR(IF(OR(ISBLANK(AC159),ISBLANK(CD159))=TRUE,"",IF(CA159="Per Foot",INDEX('Fixture Codes'!$I$8:$I$976,MATCH(AD159,'Fixture Codes'!$B$8:$B$976,0))/12*AF159*BZ159,IF(CA159="Lamp",INDEX('Fixture Codes'!$J$8:$J$976,MATCH(AD159,'Fixture Codes'!$B$8:$B$976,0))*AF159*BZ159,IF(CA159="Fixture",AF159*BZ159,IF(CA159="kWh",BK159*BZ159,0))))),""))</f>
        <v/>
      </c>
      <c r="CG159" s="149" t="str">
        <f t="shared" si="100"/>
        <v/>
      </c>
      <c r="CH159" s="149" t="str">
        <f t="shared" si="101"/>
        <v/>
      </c>
      <c r="CI159" s="152"/>
      <c r="CJ159" s="146"/>
      <c r="CK159" s="241">
        <f>IFERROR(IF(CL159="Yes",'Prescriptive Rebate Table'!$D$69,IF(ISBLANK(AI159),0,IF(AND(AH159=Lookups!$A$62,BK159&gt;0),'Prescriptive Rebate Table'!$D$68,IF(AND(BK159&gt;0,CJ159=AF159),'Prescriptive Rebate Table'!$D$67,IF(AND(BK159&gt;0,CJ159&lt;&gt;AF159),'Prescriptive Rebate Table'!D218,0))))),"")</f>
        <v>0</v>
      </c>
      <c r="CL159" s="240" t="s">
        <v>2712</v>
      </c>
      <c r="CM159" s="152"/>
      <c r="CN159" s="152"/>
      <c r="CO159" s="152"/>
      <c r="CP159" s="146">
        <f t="shared" si="85"/>
        <v>0</v>
      </c>
      <c r="CQ159" s="153">
        <f>IF(D159="Interior",ROUND(($AG159*AF159)/1000*$AM159*(Lookups!$B$54-$AA159)*$AN159*$AO159,3),0)</f>
        <v>0</v>
      </c>
      <c r="CR159" s="153">
        <f>IFERROR(IF(D159="Interior",ROUND(($AG159*$AF159)/1000*(Lookups!$C$54-$AB159)*$AN159*AQ159*AT159,6),0),"")</f>
        <v>0</v>
      </c>
      <c r="CS159" s="165">
        <f t="shared" si="102"/>
        <v>0</v>
      </c>
      <c r="CT159" s="165">
        <f t="shared" si="103"/>
        <v>0</v>
      </c>
      <c r="CV159" s="153"/>
      <c r="CW159" s="153"/>
      <c r="CX159" s="165"/>
      <c r="CY159" s="165"/>
      <c r="DA159" s="153">
        <f>IF(D159="Interior",ROUND(($AG159*AF159*(1-0.15))/1000*$AM159*(Lookups!$B$43+0.097-$AA159)*$AN159*$AO159+((W159*V159)/1000*AN159*AM159*AO159*0.15),3),0)</f>
        <v>0</v>
      </c>
      <c r="DB159" s="153">
        <f>IFERROR(IF(D159="Interior",ROUND(($AG159*$AF159)/1000*(Lookups!$C$43+0.097-$AB159)*$AN159*AQ159*AT159+(($AG159*$AF159)/1000*$AN159*AQ159*AT159*0.15),6),0),"")</f>
        <v>0</v>
      </c>
      <c r="DC159" s="165">
        <f t="shared" si="86"/>
        <v>0</v>
      </c>
      <c r="DD159" s="165">
        <f t="shared" si="87"/>
        <v>0</v>
      </c>
    </row>
    <row r="160" spans="1:108" s="164" customFormat="1">
      <c r="A160" s="150">
        <v>156</v>
      </c>
      <c r="B160" s="153" t="str">
        <f>IFERROR(INDEX(Lookups!$B$2:$B$38,MATCH('Project Info &amp; Summary'!$C$19,Lookups!$A$2:$A$38,0)),"")</f>
        <v/>
      </c>
      <c r="C160" s="153" t="str">
        <f>IFERROR(INDEX(Lookups!$C$2:$C$38,MATCH('Project Info &amp; Summary'!$C$19,Lookups!$A$2:$A$38,0)),"")</f>
        <v/>
      </c>
      <c r="D160" s="163"/>
      <c r="E160" s="160"/>
      <c r="F160" s="158"/>
      <c r="G160" s="158"/>
      <c r="H160" s="158"/>
      <c r="I160" s="158"/>
      <c r="J160" s="154" t="str">
        <f>IFERROR(INDEX(Lookups!$W$21:$W$26,MATCH(I160,Lookups!$V$21:$V$26,0)),"")</f>
        <v/>
      </c>
      <c r="K160" s="158"/>
      <c r="L160" s="162" t="str">
        <f>IFERROR(INDEX(Lookups!$Y$2:$Y$19,MATCH(_xlfn.CONCAT(I160,K160),Lookups!$X$2:$X$19,0)),"")</f>
        <v/>
      </c>
      <c r="M160" s="158"/>
      <c r="N160" s="153" t="str">
        <f>IFERROR(INDEX('Prescriptive Rebate Table'!$M$3:$M$20,MATCH(M160,'Prescriptive Rebate Table'!$L$3:$L$20,0)),"")</f>
        <v/>
      </c>
      <c r="O160" s="158"/>
      <c r="P160" s="154" t="str">
        <f>IFERROR(INDEX('Prescriptive Rebate Table'!$B$2:$H$64, MATCH(O160,'Prescriptive Rebate Table'!$C$2:$C$64,0),7),"")</f>
        <v/>
      </c>
      <c r="Q160" s="155" t="str">
        <f>IFERROR(INDEX('Prescriptive Rebate Table'!$B$2:$I$64, MATCH(O160,'Prescriptive Rebate Table'!$C$2:$C$64,0),8),"")</f>
        <v/>
      </c>
      <c r="R160" s="155" t="str">
        <f>IFERROR(INDEX('Prescriptive Rebate Table'!$B$2:$J$64, MATCH(O160,'Prescriptive Rebate Table'!$C$2:$C$64,0),9),"")</f>
        <v/>
      </c>
      <c r="S160" s="160"/>
      <c r="T160" s="145" t="str">
        <f>IFERROR(INDEX('Fixture Codes'!$M$8:$M$976,MATCH(S160,'Fixture Codes'!$B$8:$B$976,0)),"")</f>
        <v/>
      </c>
      <c r="U160" s="145" t="str">
        <f>IFERROR(INDEX('Fixture Codes'!$B$7:$M$976,MATCH(T160,'Fixture Codes'!$B$7:$B$976,0),5),"")</f>
        <v/>
      </c>
      <c r="V160" s="160"/>
      <c r="W160" s="145" t="str">
        <f>IFERROR(INDEX('Fixture Codes'!$L$8:$L$976,MATCH(T160,'Fixture Codes'!$B$8:$B$976,0)),"")</f>
        <v/>
      </c>
      <c r="X160" s="158"/>
      <c r="Y160" s="159"/>
      <c r="Z160" s="155" t="str">
        <f>IFERROR(INDEX(Lookups!B$68:B$87,MATCH($X160,Lookups!$A$68:$A$87,0)),"")</f>
        <v/>
      </c>
      <c r="AA160" s="150" t="str">
        <f>IFERROR(INDEX(Lookups!B$42:B$62,MATCH($X160,Lookups!$A$42:$A$62,0)),"")</f>
        <v/>
      </c>
      <c r="AB160" s="150" t="str">
        <f>IFERROR(INDEX(Lookups!C$42:C$62,MATCH($X160,Lookups!$A$42:$A$62,0)),"")</f>
        <v/>
      </c>
      <c r="AC160" s="160"/>
      <c r="AD160" s="160"/>
      <c r="AE160" s="150" t="str">
        <f>IFERROR(INDEX('Fixture Codes'!$B$7:$M$976,MATCH(AD160,'Fixture Codes'!$B$7:$B$976,0),5),"")</f>
        <v/>
      </c>
      <c r="AF160" s="160"/>
      <c r="AG160" s="145" t="str">
        <f>IFERROR(INDEX('Fixture Codes'!$L$8:$L$976,MATCH(AD160,'Fixture Codes'!$B$8:$B$976,0)),"")</f>
        <v/>
      </c>
      <c r="AH160" s="158"/>
      <c r="AI160" s="160"/>
      <c r="AJ160" s="150" t="str">
        <f>IFERROR(INDEX(Lookups!B$68:B$87,MATCH($AH160,Lookups!$A$68:$A$87,0)),"")</f>
        <v/>
      </c>
      <c r="AK160" s="150" t="str">
        <f>IFERROR(INDEX(Lookups!B$42:B$62,MATCH($AH160,Lookups!$A$42:$A$62,0)),"")</f>
        <v/>
      </c>
      <c r="AL160" s="150" t="str">
        <f>IFERROR(INDEX(Lookups!C$42:C$62,MATCH($AH160,Lookups!$A$42:$A$62,0)),"")</f>
        <v/>
      </c>
      <c r="AM160" s="150" t="str">
        <f>IFERROR(IF(M160="Exit Signs",8760,IF(INDEX('Fixture Codes'!$C$8:$C$976,MATCH(AD160,'Fixture Codes'!$B$8:$B$976,0))="Exit Sign",8760,INDEX(Lookups!$I$2:$I$428,MATCH(_xlfn.CONCAT(B160,H160),Lookups!$H$2:$H$428,0)))),"")</f>
        <v/>
      </c>
      <c r="AN160" s="153">
        <v>1</v>
      </c>
      <c r="AO160" s="150" t="str">
        <f>IF($D160="Interior",INDEX(Lookups!Q$2:Q$86,MATCH(_xlfn.CONCAT($C160,$L160),Lookups!$P$2:$P$86,0)),IF($D160="Exterior",1,""))</f>
        <v/>
      </c>
      <c r="AP160" s="150">
        <f t="shared" si="88"/>
        <v>1</v>
      </c>
      <c r="AQ160" s="150" t="str">
        <f>IF($D160="Interior",INDEX(Lookups!R$2:R$86,MATCH(_xlfn.CONCAT($C160,$L160),Lookups!$P$2:$P$86,0)),IF($D160="Exterior",1,""))</f>
        <v/>
      </c>
      <c r="AR160" s="150" t="str">
        <f>IF($D160="Interior",INDEX(Lookups!S$2:S$86,MATCH(_xlfn.CONCAT($C160,$L160),Lookups!$P$2:$P$86,0)),IF($D160="Exterior",1,""))</f>
        <v/>
      </c>
      <c r="AS160" s="150" t="str">
        <f>IF($D160="Interior",INDEX(Lookups!T$2:T$86,MATCH(_xlfn.CONCAT($C160,$L160),Lookups!$P$2:$P$86,0)),IF($D160="Exterior",1,""))</f>
        <v/>
      </c>
      <c r="AT160" s="150" t="str">
        <f>IFERROR(IF(M160="Exit Signs",1,IF(INDEX('Fixture Codes'!$C$8:$C$976,MATCH($AD160,'Fixture Codes'!$B$8:$B$976,0))="Exit Sign",1,INDEX(Lookups!J$2:J$428,MATCH(_xlfn.CONCAT($B160,$H160),Lookups!$H$2:$H$428,0)))),"")</f>
        <v/>
      </c>
      <c r="AU160" s="150" t="str">
        <f>IFERROR(IF(M160="Exit Signs",1,IF(INDEX('Fixture Codes'!$C$8:$C$976,MATCH($AD160,'Fixture Codes'!$B$8:$B$976,0))="Exit Sign",1,INDEX(Lookups!K$2:K$428,MATCH(_xlfn.CONCAT($B160,$H160),Lookups!$H$2:$H$428,0)))),"")</f>
        <v/>
      </c>
      <c r="AV160" s="150" t="str">
        <f>IFERROR(IF(M160="Exit Signs",1,IF(INDEX('Fixture Codes'!$C$8:$C$976,MATCH($AD160,'Fixture Codes'!$B$8:$B$976,0))="Exit Sign",1,INDEX(Lookups!L$2:L$428,MATCH(_xlfn.CONCAT($B160,$H160),Lookups!$H$2:$H$428,0)))),"")</f>
        <v/>
      </c>
      <c r="AW160" s="150" t="str">
        <f>IF(ISBLANK(K160),"",IF(K160="Gas",INDEX(Lookups!$AG$2:$AG$63,MATCH(O160,Lookups!$AD$2:$AD$63,0),0),0))</f>
        <v/>
      </c>
      <c r="AX160" s="150" t="str">
        <f>IF(ISBLANK(K160),"",IF(K160="Gas",INDEX(Lookups!$AF$2:$AF$63,MATCH(O160,Lookups!$AD$2:$AD$63,0),0),0))</f>
        <v/>
      </c>
      <c r="AY160" s="150" t="str">
        <f>IF(ISBLANK(K160),"",IF(K160="Gas",INDEX(Lookups!$AH$2:$AH$63,MATCH(O160,Lookups!$AD$2:$AD$63,0),0),0))</f>
        <v/>
      </c>
      <c r="AZ160" s="150" t="str">
        <f>IF(ISBLANK(K160),"",IF(K160="Gas",INDEX(Lookups!$AI$2:$AI$63,MATCH(O160,Lookups!$AD$2:$AD$63,0),0),0))</f>
        <v/>
      </c>
      <c r="BA160" s="150" t="str">
        <f t="shared" si="73"/>
        <v/>
      </c>
      <c r="BB160" s="156" t="str">
        <f>IF(ISBLANK(AH160),"",IF(AH160="None",0,IF(K160="Gas",INDEX(Lookups!$AF$51:$AF$69,MATCH(AH160,Lookups!$AD$51:$AD$69,0),0),0)))</f>
        <v/>
      </c>
      <c r="BC160" s="156" t="str">
        <f>IF(ISBLANK(AH160),"",IF(AH160="None",0,IF(K160="Gas",INDEX(Lookups!$AH$51:$AH$69,MATCH(AH160,Lookups!$AD$51:$AD$69,0),0),0)))</f>
        <v/>
      </c>
      <c r="BD160" s="156" t="str">
        <f>IF(ISBLANK(AH160),"",IF(AH160="None",0,IF(K160="Gas",INDEX(Lookups!$AI$51:$AI$69,MATCH(AH160,Lookups!$AD$51:$AD$69,0),0),0)))</f>
        <v/>
      </c>
      <c r="BE160" s="157"/>
      <c r="BF160" s="157"/>
      <c r="BG160" s="147" t="str">
        <f t="shared" si="89"/>
        <v/>
      </c>
      <c r="BH160" s="147" t="str">
        <f t="shared" si="90"/>
        <v/>
      </c>
      <c r="BI160" s="147" t="str">
        <f t="shared" si="74"/>
        <v/>
      </c>
      <c r="BJ160" s="147" t="str">
        <f t="shared" si="75"/>
        <v/>
      </c>
      <c r="BK160" s="148" t="str">
        <f t="shared" si="91"/>
        <v/>
      </c>
      <c r="BL160" s="147" t="str">
        <f t="shared" si="76"/>
        <v/>
      </c>
      <c r="BM160" s="148" t="str">
        <f t="shared" si="92"/>
        <v/>
      </c>
      <c r="BN160" s="147" t="str">
        <f t="shared" si="93"/>
        <v/>
      </c>
      <c r="BO160" s="147" t="str">
        <f t="shared" si="93"/>
        <v/>
      </c>
      <c r="BP160" s="147" t="str">
        <f t="shared" si="94"/>
        <v/>
      </c>
      <c r="BQ160" s="148" t="str">
        <f t="shared" si="95"/>
        <v/>
      </c>
      <c r="BR160" s="148" t="str">
        <f t="shared" si="96"/>
        <v/>
      </c>
      <c r="BS160" s="148" t="str">
        <f t="shared" si="97"/>
        <v/>
      </c>
      <c r="BT160" s="148" t="str">
        <f t="shared" si="77"/>
        <v/>
      </c>
      <c r="BU160" s="148" t="str">
        <f t="shared" si="78"/>
        <v/>
      </c>
      <c r="BV160" s="148" t="str">
        <f t="shared" si="79"/>
        <v/>
      </c>
      <c r="BW160" s="148" t="str">
        <f t="shared" si="80"/>
        <v/>
      </c>
      <c r="BX160" s="148" t="str">
        <f t="shared" si="81"/>
        <v/>
      </c>
      <c r="BY160" s="148" t="str">
        <f t="shared" si="82"/>
        <v/>
      </c>
      <c r="BZ160" s="149" t="str">
        <f>IFERROR(INDEX('Prescriptive Rebate Table'!$B$2:$E$64,MATCH(O160,'Prescriptive Rebate Table'!$C$2:$C$64,0),3),"")</f>
        <v/>
      </c>
      <c r="CA160" s="145" t="str">
        <f>IFERROR(INDEX('Prescriptive Rebate Table'!$B$2:$E$64,MATCH(O160,'Prescriptive Rebate Table'!$C$2:$C$64,0),4),"")</f>
        <v/>
      </c>
      <c r="CB160" s="149" t="str">
        <f t="shared" si="98"/>
        <v/>
      </c>
      <c r="CC160" s="145" t="str">
        <f t="shared" si="99"/>
        <v/>
      </c>
      <c r="CD160" s="149" t="str">
        <f t="shared" si="83"/>
        <v/>
      </c>
      <c r="CE160" s="149" t="str">
        <f t="shared" si="84"/>
        <v/>
      </c>
      <c r="CF160" s="149" t="str">
        <f>IF(BK160&lt;=0,0,IFERROR(IF(OR(ISBLANK(AC160),ISBLANK(CD160))=TRUE,"",IF(CA160="Per Foot",INDEX('Fixture Codes'!$I$8:$I$976,MATCH(AD160,'Fixture Codes'!$B$8:$B$976,0))/12*AF160*BZ160,IF(CA160="Lamp",INDEX('Fixture Codes'!$J$8:$J$976,MATCH(AD160,'Fixture Codes'!$B$8:$B$976,0))*AF160*BZ160,IF(CA160="Fixture",AF160*BZ160,IF(CA160="kWh",BK160*BZ160,0))))),""))</f>
        <v/>
      </c>
      <c r="CG160" s="149" t="str">
        <f t="shared" si="100"/>
        <v/>
      </c>
      <c r="CH160" s="149" t="str">
        <f t="shared" si="101"/>
        <v/>
      </c>
      <c r="CI160" s="152"/>
      <c r="CJ160" s="146"/>
      <c r="CK160" s="241">
        <f>IFERROR(IF(CL160="Yes",'Prescriptive Rebate Table'!$D$69,IF(ISBLANK(AI160),0,IF(AND(AH160=Lookups!$A$62,BK160&gt;0),'Prescriptive Rebate Table'!$D$68,IF(AND(BK160&gt;0,CJ160=AF160),'Prescriptive Rebate Table'!$D$67,IF(AND(BK160&gt;0,CJ160&lt;&gt;AF160),'Prescriptive Rebate Table'!D219,0))))),"")</f>
        <v>0</v>
      </c>
      <c r="CL160" s="240" t="s">
        <v>2712</v>
      </c>
      <c r="CM160" s="152"/>
      <c r="CN160" s="152"/>
      <c r="CO160" s="152"/>
      <c r="CP160" s="146">
        <f t="shared" si="85"/>
        <v>0</v>
      </c>
      <c r="CQ160" s="153">
        <f>IF(D160="Interior",ROUND(($AG160*AF160)/1000*$AM160*(Lookups!$B$54-$AA160)*$AN160*$AO160,3),0)</f>
        <v>0</v>
      </c>
      <c r="CR160" s="153">
        <f>IFERROR(IF(D160="Interior",ROUND(($AG160*$AF160)/1000*(Lookups!$C$54-$AB160)*$AN160*AQ160*AT160,6),0),"")</f>
        <v>0</v>
      </c>
      <c r="CS160" s="165">
        <f t="shared" si="102"/>
        <v>0</v>
      </c>
      <c r="CT160" s="165">
        <f t="shared" si="103"/>
        <v>0</v>
      </c>
      <c r="CV160" s="153"/>
      <c r="CW160" s="153"/>
      <c r="CX160" s="165"/>
      <c r="CY160" s="165"/>
      <c r="DA160" s="153">
        <f>IF(D160="Interior",ROUND(($AG160*AF160*(1-0.15))/1000*$AM160*(Lookups!$B$43+0.097-$AA160)*$AN160*$AO160+((W160*V160)/1000*AN160*AM160*AO160*0.15),3),0)</f>
        <v>0</v>
      </c>
      <c r="DB160" s="153">
        <f>IFERROR(IF(D160="Interior",ROUND(($AG160*$AF160)/1000*(Lookups!$C$43+0.097-$AB160)*$AN160*AQ160*AT160+(($AG160*$AF160)/1000*$AN160*AQ160*AT160*0.15),6),0),"")</f>
        <v>0</v>
      </c>
      <c r="DC160" s="165">
        <f t="shared" si="86"/>
        <v>0</v>
      </c>
      <c r="DD160" s="165">
        <f t="shared" si="87"/>
        <v>0</v>
      </c>
    </row>
    <row r="161" spans="1:108" s="164" customFormat="1">
      <c r="A161" s="150">
        <v>157</v>
      </c>
      <c r="B161" s="153" t="str">
        <f>IFERROR(INDEX(Lookups!$B$2:$B$38,MATCH('Project Info &amp; Summary'!$C$19,Lookups!$A$2:$A$38,0)),"")</f>
        <v/>
      </c>
      <c r="C161" s="153" t="str">
        <f>IFERROR(INDEX(Lookups!$C$2:$C$38,MATCH('Project Info &amp; Summary'!$C$19,Lookups!$A$2:$A$38,0)),"")</f>
        <v/>
      </c>
      <c r="D161" s="163"/>
      <c r="E161" s="160"/>
      <c r="F161" s="158"/>
      <c r="G161" s="158"/>
      <c r="H161" s="158"/>
      <c r="I161" s="158"/>
      <c r="J161" s="154" t="str">
        <f>IFERROR(INDEX(Lookups!$W$21:$W$26,MATCH(I161,Lookups!$V$21:$V$26,0)),"")</f>
        <v/>
      </c>
      <c r="K161" s="158"/>
      <c r="L161" s="162" t="str">
        <f>IFERROR(INDEX(Lookups!$Y$2:$Y$19,MATCH(_xlfn.CONCAT(I161,K161),Lookups!$X$2:$X$19,0)),"")</f>
        <v/>
      </c>
      <c r="M161" s="158"/>
      <c r="N161" s="153" t="str">
        <f>IFERROR(INDEX('Prescriptive Rebate Table'!$M$3:$M$20,MATCH(M161,'Prescriptive Rebate Table'!$L$3:$L$20,0)),"")</f>
        <v/>
      </c>
      <c r="O161" s="158"/>
      <c r="P161" s="154" t="str">
        <f>IFERROR(INDEX('Prescriptive Rebate Table'!$B$2:$H$64, MATCH(O161,'Prescriptive Rebate Table'!$C$2:$C$64,0),7),"")</f>
        <v/>
      </c>
      <c r="Q161" s="155" t="str">
        <f>IFERROR(INDEX('Prescriptive Rebate Table'!$B$2:$I$64, MATCH(O161,'Prescriptive Rebate Table'!$C$2:$C$64,0),8),"")</f>
        <v/>
      </c>
      <c r="R161" s="155" t="str">
        <f>IFERROR(INDEX('Prescriptive Rebate Table'!$B$2:$J$64, MATCH(O161,'Prescriptive Rebate Table'!$C$2:$C$64,0),9),"")</f>
        <v/>
      </c>
      <c r="S161" s="160"/>
      <c r="T161" s="145" t="str">
        <f>IFERROR(INDEX('Fixture Codes'!$M$8:$M$976,MATCH(S161,'Fixture Codes'!$B$8:$B$976,0)),"")</f>
        <v/>
      </c>
      <c r="U161" s="145" t="str">
        <f>IFERROR(INDEX('Fixture Codes'!$B$7:$M$976,MATCH(T161,'Fixture Codes'!$B$7:$B$976,0),5),"")</f>
        <v/>
      </c>
      <c r="V161" s="160"/>
      <c r="W161" s="145" t="str">
        <f>IFERROR(INDEX('Fixture Codes'!$L$8:$L$976,MATCH(T161,'Fixture Codes'!$B$8:$B$976,0)),"")</f>
        <v/>
      </c>
      <c r="X161" s="158"/>
      <c r="Y161" s="159"/>
      <c r="Z161" s="155" t="str">
        <f>IFERROR(INDEX(Lookups!B$68:B$87,MATCH($X161,Lookups!$A$68:$A$87,0)),"")</f>
        <v/>
      </c>
      <c r="AA161" s="150" t="str">
        <f>IFERROR(INDEX(Lookups!B$42:B$62,MATCH($X161,Lookups!$A$42:$A$62,0)),"")</f>
        <v/>
      </c>
      <c r="AB161" s="150" t="str">
        <f>IFERROR(INDEX(Lookups!C$42:C$62,MATCH($X161,Lookups!$A$42:$A$62,0)),"")</f>
        <v/>
      </c>
      <c r="AC161" s="160"/>
      <c r="AD161" s="160"/>
      <c r="AE161" s="150" t="str">
        <f>IFERROR(INDEX('Fixture Codes'!$B$7:$M$976,MATCH(AD161,'Fixture Codes'!$B$7:$B$976,0),5),"")</f>
        <v/>
      </c>
      <c r="AF161" s="160"/>
      <c r="AG161" s="145" t="str">
        <f>IFERROR(INDEX('Fixture Codes'!$L$8:$L$976,MATCH(AD161,'Fixture Codes'!$B$8:$B$976,0)),"")</f>
        <v/>
      </c>
      <c r="AH161" s="158"/>
      <c r="AI161" s="160"/>
      <c r="AJ161" s="150" t="str">
        <f>IFERROR(INDEX(Lookups!B$68:B$87,MATCH($AH161,Lookups!$A$68:$A$87,0)),"")</f>
        <v/>
      </c>
      <c r="AK161" s="150" t="str">
        <f>IFERROR(INDEX(Lookups!B$42:B$62,MATCH($AH161,Lookups!$A$42:$A$62,0)),"")</f>
        <v/>
      </c>
      <c r="AL161" s="150" t="str">
        <f>IFERROR(INDEX(Lookups!C$42:C$62,MATCH($AH161,Lookups!$A$42:$A$62,0)),"")</f>
        <v/>
      </c>
      <c r="AM161" s="150" t="str">
        <f>IFERROR(IF(M161="Exit Signs",8760,IF(INDEX('Fixture Codes'!$C$8:$C$976,MATCH(AD161,'Fixture Codes'!$B$8:$B$976,0))="Exit Sign",8760,INDEX(Lookups!$I$2:$I$428,MATCH(_xlfn.CONCAT(B161,H161),Lookups!$H$2:$H$428,0)))),"")</f>
        <v/>
      </c>
      <c r="AN161" s="153">
        <v>1</v>
      </c>
      <c r="AO161" s="150" t="str">
        <f>IF($D161="Interior",INDEX(Lookups!Q$2:Q$86,MATCH(_xlfn.CONCAT($C161,$L161),Lookups!$P$2:$P$86,0)),IF($D161="Exterior",1,""))</f>
        <v/>
      </c>
      <c r="AP161" s="150">
        <f t="shared" si="88"/>
        <v>1</v>
      </c>
      <c r="AQ161" s="150" t="str">
        <f>IF($D161="Interior",INDEX(Lookups!R$2:R$86,MATCH(_xlfn.CONCAT($C161,$L161),Lookups!$P$2:$P$86,0)),IF($D161="Exterior",1,""))</f>
        <v/>
      </c>
      <c r="AR161" s="150" t="str">
        <f>IF($D161="Interior",INDEX(Lookups!S$2:S$86,MATCH(_xlfn.CONCAT($C161,$L161),Lookups!$P$2:$P$86,0)),IF($D161="Exterior",1,""))</f>
        <v/>
      </c>
      <c r="AS161" s="150" t="str">
        <f>IF($D161="Interior",INDEX(Lookups!T$2:T$86,MATCH(_xlfn.CONCAT($C161,$L161),Lookups!$P$2:$P$86,0)),IF($D161="Exterior",1,""))</f>
        <v/>
      </c>
      <c r="AT161" s="150" t="str">
        <f>IFERROR(IF(M161="Exit Signs",1,IF(INDEX('Fixture Codes'!$C$8:$C$976,MATCH($AD161,'Fixture Codes'!$B$8:$B$976,0))="Exit Sign",1,INDEX(Lookups!J$2:J$428,MATCH(_xlfn.CONCAT($B161,$H161),Lookups!$H$2:$H$428,0)))),"")</f>
        <v/>
      </c>
      <c r="AU161" s="150" t="str">
        <f>IFERROR(IF(M161="Exit Signs",1,IF(INDEX('Fixture Codes'!$C$8:$C$976,MATCH($AD161,'Fixture Codes'!$B$8:$B$976,0))="Exit Sign",1,INDEX(Lookups!K$2:K$428,MATCH(_xlfn.CONCAT($B161,$H161),Lookups!$H$2:$H$428,0)))),"")</f>
        <v/>
      </c>
      <c r="AV161" s="150" t="str">
        <f>IFERROR(IF(M161="Exit Signs",1,IF(INDEX('Fixture Codes'!$C$8:$C$976,MATCH($AD161,'Fixture Codes'!$B$8:$B$976,0))="Exit Sign",1,INDEX(Lookups!L$2:L$428,MATCH(_xlfn.CONCAT($B161,$H161),Lookups!$H$2:$H$428,0)))),"")</f>
        <v/>
      </c>
      <c r="AW161" s="150" t="str">
        <f>IF(ISBLANK(K161),"",IF(K161="Gas",INDEX(Lookups!$AG$2:$AG$63,MATCH(O161,Lookups!$AD$2:$AD$63,0),0),0))</f>
        <v/>
      </c>
      <c r="AX161" s="150" t="str">
        <f>IF(ISBLANK(K161),"",IF(K161="Gas",INDEX(Lookups!$AF$2:$AF$63,MATCH(O161,Lookups!$AD$2:$AD$63,0),0),0))</f>
        <v/>
      </c>
      <c r="AY161" s="150" t="str">
        <f>IF(ISBLANK(K161),"",IF(K161="Gas",INDEX(Lookups!$AH$2:$AH$63,MATCH(O161,Lookups!$AD$2:$AD$63,0),0),0))</f>
        <v/>
      </c>
      <c r="AZ161" s="150" t="str">
        <f>IF(ISBLANK(K161),"",IF(K161="Gas",INDEX(Lookups!$AI$2:$AI$63,MATCH(O161,Lookups!$AD$2:$AD$63,0),0),0))</f>
        <v/>
      </c>
      <c r="BA161" s="150" t="str">
        <f t="shared" si="73"/>
        <v/>
      </c>
      <c r="BB161" s="156" t="str">
        <f>IF(ISBLANK(AH161),"",IF(AH161="None",0,IF(K161="Gas",INDEX(Lookups!$AF$51:$AF$69,MATCH(AH161,Lookups!$AD$51:$AD$69,0),0),0)))</f>
        <v/>
      </c>
      <c r="BC161" s="156" t="str">
        <f>IF(ISBLANK(AH161),"",IF(AH161="None",0,IF(K161="Gas",INDEX(Lookups!$AH$51:$AH$69,MATCH(AH161,Lookups!$AD$51:$AD$69,0),0),0)))</f>
        <v/>
      </c>
      <c r="BD161" s="156" t="str">
        <f>IF(ISBLANK(AH161),"",IF(AH161="None",0,IF(K161="Gas",INDEX(Lookups!$AI$51:$AI$69,MATCH(AH161,Lookups!$AD$51:$AD$69,0),0),0)))</f>
        <v/>
      </c>
      <c r="BE161" s="157"/>
      <c r="BF161" s="157"/>
      <c r="BG161" s="147" t="str">
        <f t="shared" si="89"/>
        <v/>
      </c>
      <c r="BH161" s="147" t="str">
        <f t="shared" si="90"/>
        <v/>
      </c>
      <c r="BI161" s="147" t="str">
        <f t="shared" si="74"/>
        <v/>
      </c>
      <c r="BJ161" s="147" t="str">
        <f t="shared" si="75"/>
        <v/>
      </c>
      <c r="BK161" s="148" t="str">
        <f t="shared" si="91"/>
        <v/>
      </c>
      <c r="BL161" s="147" t="str">
        <f t="shared" si="76"/>
        <v/>
      </c>
      <c r="BM161" s="148" t="str">
        <f t="shared" si="92"/>
        <v/>
      </c>
      <c r="BN161" s="147" t="str">
        <f t="shared" si="93"/>
        <v/>
      </c>
      <c r="BO161" s="147" t="str">
        <f t="shared" si="93"/>
        <v/>
      </c>
      <c r="BP161" s="147" t="str">
        <f t="shared" si="94"/>
        <v/>
      </c>
      <c r="BQ161" s="148" t="str">
        <f t="shared" si="95"/>
        <v/>
      </c>
      <c r="BR161" s="148" t="str">
        <f t="shared" si="96"/>
        <v/>
      </c>
      <c r="BS161" s="148" t="str">
        <f t="shared" si="97"/>
        <v/>
      </c>
      <c r="BT161" s="148" t="str">
        <f t="shared" si="77"/>
        <v/>
      </c>
      <c r="BU161" s="148" t="str">
        <f t="shared" si="78"/>
        <v/>
      </c>
      <c r="BV161" s="148" t="str">
        <f t="shared" si="79"/>
        <v/>
      </c>
      <c r="BW161" s="148" t="str">
        <f t="shared" si="80"/>
        <v/>
      </c>
      <c r="BX161" s="148" t="str">
        <f t="shared" si="81"/>
        <v/>
      </c>
      <c r="BY161" s="148" t="str">
        <f t="shared" si="82"/>
        <v/>
      </c>
      <c r="BZ161" s="149" t="str">
        <f>IFERROR(INDEX('Prescriptive Rebate Table'!$B$2:$E$64,MATCH(O161,'Prescriptive Rebate Table'!$C$2:$C$64,0),3),"")</f>
        <v/>
      </c>
      <c r="CA161" s="145" t="str">
        <f>IFERROR(INDEX('Prescriptive Rebate Table'!$B$2:$E$64,MATCH(O161,'Prescriptive Rebate Table'!$C$2:$C$64,0),4),"")</f>
        <v/>
      </c>
      <c r="CB161" s="149" t="str">
        <f t="shared" si="98"/>
        <v/>
      </c>
      <c r="CC161" s="145" t="str">
        <f t="shared" si="99"/>
        <v/>
      </c>
      <c r="CD161" s="149" t="str">
        <f t="shared" si="83"/>
        <v/>
      </c>
      <c r="CE161" s="149" t="str">
        <f t="shared" si="84"/>
        <v/>
      </c>
      <c r="CF161" s="149" t="str">
        <f>IF(BK161&lt;=0,0,IFERROR(IF(OR(ISBLANK(AC161),ISBLANK(CD161))=TRUE,"",IF(CA161="Per Foot",INDEX('Fixture Codes'!$I$8:$I$976,MATCH(AD161,'Fixture Codes'!$B$8:$B$976,0))/12*AF161*BZ161,IF(CA161="Lamp",INDEX('Fixture Codes'!$J$8:$J$976,MATCH(AD161,'Fixture Codes'!$B$8:$B$976,0))*AF161*BZ161,IF(CA161="Fixture",AF161*BZ161,IF(CA161="kWh",BK161*BZ161,0))))),""))</f>
        <v/>
      </c>
      <c r="CG161" s="149" t="str">
        <f t="shared" si="100"/>
        <v/>
      </c>
      <c r="CH161" s="149" t="str">
        <f t="shared" si="101"/>
        <v/>
      </c>
      <c r="CI161" s="152"/>
      <c r="CJ161" s="146"/>
      <c r="CK161" s="241">
        <f>IFERROR(IF(CL161="Yes",'Prescriptive Rebate Table'!$D$69,IF(ISBLANK(AI161),0,IF(AND(AH161=Lookups!$A$62,BK161&gt;0),'Prescriptive Rebate Table'!$D$68,IF(AND(BK161&gt;0,CJ161=AF161),'Prescriptive Rebate Table'!$D$67,IF(AND(BK161&gt;0,CJ161&lt;&gt;AF161),'Prescriptive Rebate Table'!D220,0))))),"")</f>
        <v>0</v>
      </c>
      <c r="CL161" s="240" t="s">
        <v>2712</v>
      </c>
      <c r="CM161" s="152"/>
      <c r="CN161" s="152"/>
      <c r="CO161" s="152"/>
      <c r="CP161" s="146">
        <f t="shared" si="85"/>
        <v>0</v>
      </c>
      <c r="CQ161" s="153">
        <f>IF(D161="Interior",ROUND(($AG161*AF161)/1000*$AM161*(Lookups!$B$54-$AA161)*$AN161*$AO161,3),0)</f>
        <v>0</v>
      </c>
      <c r="CR161" s="153">
        <f>IFERROR(IF(D161="Interior",ROUND(($AG161*$AF161)/1000*(Lookups!$C$54-$AB161)*$AN161*AQ161*AT161,6),0),"")</f>
        <v>0</v>
      </c>
      <c r="CS161" s="165">
        <f t="shared" si="102"/>
        <v>0</v>
      </c>
      <c r="CT161" s="165">
        <f t="shared" si="103"/>
        <v>0</v>
      </c>
      <c r="CV161" s="153"/>
      <c r="CW161" s="153"/>
      <c r="CX161" s="165"/>
      <c r="CY161" s="165"/>
      <c r="DA161" s="153">
        <f>IF(D161="Interior",ROUND(($AG161*AF161*(1-0.15))/1000*$AM161*(Lookups!$B$43+0.097-$AA161)*$AN161*$AO161+((W161*V161)/1000*AN161*AM161*AO161*0.15),3),0)</f>
        <v>0</v>
      </c>
      <c r="DB161" s="153">
        <f>IFERROR(IF(D161="Interior",ROUND(($AG161*$AF161)/1000*(Lookups!$C$43+0.097-$AB161)*$AN161*AQ161*AT161+(($AG161*$AF161)/1000*$AN161*AQ161*AT161*0.15),6),0),"")</f>
        <v>0</v>
      </c>
      <c r="DC161" s="165">
        <f t="shared" si="86"/>
        <v>0</v>
      </c>
      <c r="DD161" s="165">
        <f t="shared" si="87"/>
        <v>0</v>
      </c>
    </row>
    <row r="162" spans="1:108" s="164" customFormat="1">
      <c r="A162" s="150">
        <v>158</v>
      </c>
      <c r="B162" s="153" t="str">
        <f>IFERROR(INDEX(Lookups!$B$2:$B$38,MATCH('Project Info &amp; Summary'!$C$19,Lookups!$A$2:$A$38,0)),"")</f>
        <v/>
      </c>
      <c r="C162" s="153" t="str">
        <f>IFERROR(INDEX(Lookups!$C$2:$C$38,MATCH('Project Info &amp; Summary'!$C$19,Lookups!$A$2:$A$38,0)),"")</f>
        <v/>
      </c>
      <c r="D162" s="163"/>
      <c r="E162" s="160"/>
      <c r="F162" s="158"/>
      <c r="G162" s="158"/>
      <c r="H162" s="158"/>
      <c r="I162" s="158"/>
      <c r="J162" s="154" t="str">
        <f>IFERROR(INDEX(Lookups!$W$21:$W$26,MATCH(I162,Lookups!$V$21:$V$26,0)),"")</f>
        <v/>
      </c>
      <c r="K162" s="158"/>
      <c r="L162" s="162" t="str">
        <f>IFERROR(INDEX(Lookups!$Y$2:$Y$19,MATCH(_xlfn.CONCAT(I162,K162),Lookups!$X$2:$X$19,0)),"")</f>
        <v/>
      </c>
      <c r="M162" s="158"/>
      <c r="N162" s="153" t="str">
        <f>IFERROR(INDEX('Prescriptive Rebate Table'!$M$3:$M$20,MATCH(M162,'Prescriptive Rebate Table'!$L$3:$L$20,0)),"")</f>
        <v/>
      </c>
      <c r="O162" s="158"/>
      <c r="P162" s="154" t="str">
        <f>IFERROR(INDEX('Prescriptive Rebate Table'!$B$2:$H$64, MATCH(O162,'Prescriptive Rebate Table'!$C$2:$C$64,0),7),"")</f>
        <v/>
      </c>
      <c r="Q162" s="155" t="str">
        <f>IFERROR(INDEX('Prescriptive Rebate Table'!$B$2:$I$64, MATCH(O162,'Prescriptive Rebate Table'!$C$2:$C$64,0),8),"")</f>
        <v/>
      </c>
      <c r="R162" s="155" t="str">
        <f>IFERROR(INDEX('Prescriptive Rebate Table'!$B$2:$J$64, MATCH(O162,'Prescriptive Rebate Table'!$C$2:$C$64,0),9),"")</f>
        <v/>
      </c>
      <c r="S162" s="160"/>
      <c r="T162" s="145" t="str">
        <f>IFERROR(INDEX('Fixture Codes'!$M$8:$M$976,MATCH(S162,'Fixture Codes'!$B$8:$B$976,0)),"")</f>
        <v/>
      </c>
      <c r="U162" s="145" t="str">
        <f>IFERROR(INDEX('Fixture Codes'!$B$7:$M$976,MATCH(T162,'Fixture Codes'!$B$7:$B$976,0),5),"")</f>
        <v/>
      </c>
      <c r="V162" s="160"/>
      <c r="W162" s="145" t="str">
        <f>IFERROR(INDEX('Fixture Codes'!$L$8:$L$976,MATCH(T162,'Fixture Codes'!$B$8:$B$976,0)),"")</f>
        <v/>
      </c>
      <c r="X162" s="158"/>
      <c r="Y162" s="159"/>
      <c r="Z162" s="155" t="str">
        <f>IFERROR(INDEX(Lookups!B$68:B$87,MATCH($X162,Lookups!$A$68:$A$87,0)),"")</f>
        <v/>
      </c>
      <c r="AA162" s="150" t="str">
        <f>IFERROR(INDEX(Lookups!B$42:B$62,MATCH($X162,Lookups!$A$42:$A$62,0)),"")</f>
        <v/>
      </c>
      <c r="AB162" s="150" t="str">
        <f>IFERROR(INDEX(Lookups!C$42:C$62,MATCH($X162,Lookups!$A$42:$A$62,0)),"")</f>
        <v/>
      </c>
      <c r="AC162" s="160"/>
      <c r="AD162" s="160"/>
      <c r="AE162" s="150" t="str">
        <f>IFERROR(INDEX('Fixture Codes'!$B$7:$M$976,MATCH(AD162,'Fixture Codes'!$B$7:$B$976,0),5),"")</f>
        <v/>
      </c>
      <c r="AF162" s="160"/>
      <c r="AG162" s="145" t="str">
        <f>IFERROR(INDEX('Fixture Codes'!$L$8:$L$976,MATCH(AD162,'Fixture Codes'!$B$8:$B$976,0)),"")</f>
        <v/>
      </c>
      <c r="AH162" s="158"/>
      <c r="AI162" s="160"/>
      <c r="AJ162" s="150" t="str">
        <f>IFERROR(INDEX(Lookups!B$68:B$87,MATCH($AH162,Lookups!$A$68:$A$87,0)),"")</f>
        <v/>
      </c>
      <c r="AK162" s="150" t="str">
        <f>IFERROR(INDEX(Lookups!B$42:B$62,MATCH($AH162,Lookups!$A$42:$A$62,0)),"")</f>
        <v/>
      </c>
      <c r="AL162" s="150" t="str">
        <f>IFERROR(INDEX(Lookups!C$42:C$62,MATCH($AH162,Lookups!$A$42:$A$62,0)),"")</f>
        <v/>
      </c>
      <c r="AM162" s="150" t="str">
        <f>IFERROR(IF(M162="Exit Signs",8760,IF(INDEX('Fixture Codes'!$C$8:$C$976,MATCH(AD162,'Fixture Codes'!$B$8:$B$976,0))="Exit Sign",8760,INDEX(Lookups!$I$2:$I$428,MATCH(_xlfn.CONCAT(B162,H162),Lookups!$H$2:$H$428,0)))),"")</f>
        <v/>
      </c>
      <c r="AN162" s="153">
        <v>1</v>
      </c>
      <c r="AO162" s="150" t="str">
        <f>IF($D162="Interior",INDEX(Lookups!Q$2:Q$86,MATCH(_xlfn.CONCAT($C162,$L162),Lookups!$P$2:$P$86,0)),IF($D162="Exterior",1,""))</f>
        <v/>
      </c>
      <c r="AP162" s="150">
        <f t="shared" si="88"/>
        <v>1</v>
      </c>
      <c r="AQ162" s="150" t="str">
        <f>IF($D162="Interior",INDEX(Lookups!R$2:R$86,MATCH(_xlfn.CONCAT($C162,$L162),Lookups!$P$2:$P$86,0)),IF($D162="Exterior",1,""))</f>
        <v/>
      </c>
      <c r="AR162" s="150" t="str">
        <f>IF($D162="Interior",INDEX(Lookups!S$2:S$86,MATCH(_xlfn.CONCAT($C162,$L162),Lookups!$P$2:$P$86,0)),IF($D162="Exterior",1,""))</f>
        <v/>
      </c>
      <c r="AS162" s="150" t="str">
        <f>IF($D162="Interior",INDEX(Lookups!T$2:T$86,MATCH(_xlfn.CONCAT($C162,$L162),Lookups!$P$2:$P$86,0)),IF($D162="Exterior",1,""))</f>
        <v/>
      </c>
      <c r="AT162" s="150" t="str">
        <f>IFERROR(IF(M162="Exit Signs",1,IF(INDEX('Fixture Codes'!$C$8:$C$976,MATCH($AD162,'Fixture Codes'!$B$8:$B$976,0))="Exit Sign",1,INDEX(Lookups!J$2:J$428,MATCH(_xlfn.CONCAT($B162,$H162),Lookups!$H$2:$H$428,0)))),"")</f>
        <v/>
      </c>
      <c r="AU162" s="150" t="str">
        <f>IFERROR(IF(M162="Exit Signs",1,IF(INDEX('Fixture Codes'!$C$8:$C$976,MATCH($AD162,'Fixture Codes'!$B$8:$B$976,0))="Exit Sign",1,INDEX(Lookups!K$2:K$428,MATCH(_xlfn.CONCAT($B162,$H162),Lookups!$H$2:$H$428,0)))),"")</f>
        <v/>
      </c>
      <c r="AV162" s="150" t="str">
        <f>IFERROR(IF(M162="Exit Signs",1,IF(INDEX('Fixture Codes'!$C$8:$C$976,MATCH($AD162,'Fixture Codes'!$B$8:$B$976,0))="Exit Sign",1,INDEX(Lookups!L$2:L$428,MATCH(_xlfn.CONCAT($B162,$H162),Lookups!$H$2:$H$428,0)))),"")</f>
        <v/>
      </c>
      <c r="AW162" s="150" t="str">
        <f>IF(ISBLANK(K162),"",IF(K162="Gas",INDEX(Lookups!$AG$2:$AG$63,MATCH(O162,Lookups!$AD$2:$AD$63,0),0),0))</f>
        <v/>
      </c>
      <c r="AX162" s="150" t="str">
        <f>IF(ISBLANK(K162),"",IF(K162="Gas",INDEX(Lookups!$AF$2:$AF$63,MATCH(O162,Lookups!$AD$2:$AD$63,0),0),0))</f>
        <v/>
      </c>
      <c r="AY162" s="150" t="str">
        <f>IF(ISBLANK(K162),"",IF(K162="Gas",INDEX(Lookups!$AH$2:$AH$63,MATCH(O162,Lookups!$AD$2:$AD$63,0),0),0))</f>
        <v/>
      </c>
      <c r="AZ162" s="150" t="str">
        <f>IF(ISBLANK(K162),"",IF(K162="Gas",INDEX(Lookups!$AI$2:$AI$63,MATCH(O162,Lookups!$AD$2:$AD$63,0),0),0))</f>
        <v/>
      </c>
      <c r="BA162" s="150" t="str">
        <f t="shared" si="73"/>
        <v/>
      </c>
      <c r="BB162" s="156" t="str">
        <f>IF(ISBLANK(AH162),"",IF(AH162="None",0,IF(K162="Gas",INDEX(Lookups!$AF$51:$AF$69,MATCH(AH162,Lookups!$AD$51:$AD$69,0),0),0)))</f>
        <v/>
      </c>
      <c r="BC162" s="156" t="str">
        <f>IF(ISBLANK(AH162),"",IF(AH162="None",0,IF(K162="Gas",INDEX(Lookups!$AH$51:$AH$69,MATCH(AH162,Lookups!$AD$51:$AD$69,0),0),0)))</f>
        <v/>
      </c>
      <c r="BD162" s="156" t="str">
        <f>IF(ISBLANK(AH162),"",IF(AH162="None",0,IF(K162="Gas",INDEX(Lookups!$AI$51:$AI$69,MATCH(AH162,Lookups!$AD$51:$AD$69,0),0),0)))</f>
        <v/>
      </c>
      <c r="BE162" s="157"/>
      <c r="BF162" s="157"/>
      <c r="BG162" s="147" t="str">
        <f t="shared" si="89"/>
        <v/>
      </c>
      <c r="BH162" s="147" t="str">
        <f t="shared" si="90"/>
        <v/>
      </c>
      <c r="BI162" s="147" t="str">
        <f t="shared" si="74"/>
        <v/>
      </c>
      <c r="BJ162" s="147" t="str">
        <f t="shared" si="75"/>
        <v/>
      </c>
      <c r="BK162" s="148" t="str">
        <f t="shared" si="91"/>
        <v/>
      </c>
      <c r="BL162" s="147" t="str">
        <f t="shared" si="76"/>
        <v/>
      </c>
      <c r="BM162" s="148" t="str">
        <f t="shared" si="92"/>
        <v/>
      </c>
      <c r="BN162" s="147" t="str">
        <f t="shared" si="93"/>
        <v/>
      </c>
      <c r="BO162" s="147" t="str">
        <f t="shared" si="93"/>
        <v/>
      </c>
      <c r="BP162" s="147" t="str">
        <f t="shared" si="94"/>
        <v/>
      </c>
      <c r="BQ162" s="148" t="str">
        <f t="shared" si="95"/>
        <v/>
      </c>
      <c r="BR162" s="148" t="str">
        <f t="shared" si="96"/>
        <v/>
      </c>
      <c r="BS162" s="148" t="str">
        <f t="shared" si="97"/>
        <v/>
      </c>
      <c r="BT162" s="148" t="str">
        <f t="shared" si="77"/>
        <v/>
      </c>
      <c r="BU162" s="148" t="str">
        <f t="shared" si="78"/>
        <v/>
      </c>
      <c r="BV162" s="148" t="str">
        <f t="shared" si="79"/>
        <v/>
      </c>
      <c r="BW162" s="148" t="str">
        <f t="shared" si="80"/>
        <v/>
      </c>
      <c r="BX162" s="148" t="str">
        <f t="shared" si="81"/>
        <v/>
      </c>
      <c r="BY162" s="148" t="str">
        <f t="shared" si="82"/>
        <v/>
      </c>
      <c r="BZ162" s="149" t="str">
        <f>IFERROR(INDEX('Prescriptive Rebate Table'!$B$2:$E$64,MATCH(O162,'Prescriptive Rebate Table'!$C$2:$C$64,0),3),"")</f>
        <v/>
      </c>
      <c r="CA162" s="145" t="str">
        <f>IFERROR(INDEX('Prescriptive Rebate Table'!$B$2:$E$64,MATCH(O162,'Prescriptive Rebate Table'!$C$2:$C$64,0),4),"")</f>
        <v/>
      </c>
      <c r="CB162" s="149" t="str">
        <f t="shared" si="98"/>
        <v/>
      </c>
      <c r="CC162" s="145" t="str">
        <f t="shared" si="99"/>
        <v/>
      </c>
      <c r="CD162" s="149" t="str">
        <f t="shared" si="83"/>
        <v/>
      </c>
      <c r="CE162" s="149" t="str">
        <f t="shared" si="84"/>
        <v/>
      </c>
      <c r="CF162" s="149" t="str">
        <f>IF(BK162&lt;=0,0,IFERROR(IF(OR(ISBLANK(AC162),ISBLANK(CD162))=TRUE,"",IF(CA162="Per Foot",INDEX('Fixture Codes'!$I$8:$I$976,MATCH(AD162,'Fixture Codes'!$B$8:$B$976,0))/12*AF162*BZ162,IF(CA162="Lamp",INDEX('Fixture Codes'!$J$8:$J$976,MATCH(AD162,'Fixture Codes'!$B$8:$B$976,0))*AF162*BZ162,IF(CA162="Fixture",AF162*BZ162,IF(CA162="kWh",BK162*BZ162,0))))),""))</f>
        <v/>
      </c>
      <c r="CG162" s="149" t="str">
        <f t="shared" si="100"/>
        <v/>
      </c>
      <c r="CH162" s="149" t="str">
        <f t="shared" si="101"/>
        <v/>
      </c>
      <c r="CI162" s="152"/>
      <c r="CJ162" s="146"/>
      <c r="CK162" s="241">
        <f>IFERROR(IF(CL162="Yes",'Prescriptive Rebate Table'!$D$69,IF(ISBLANK(AI162),0,IF(AND(AH162=Lookups!$A$62,BK162&gt;0),'Prescriptive Rebate Table'!$D$68,IF(AND(BK162&gt;0,CJ162=AF162),'Prescriptive Rebate Table'!$D$67,IF(AND(BK162&gt;0,CJ162&lt;&gt;AF162),'Prescriptive Rebate Table'!D221,0))))),"")</f>
        <v>0</v>
      </c>
      <c r="CL162" s="240" t="s">
        <v>2712</v>
      </c>
      <c r="CM162" s="152"/>
      <c r="CN162" s="152"/>
      <c r="CO162" s="152"/>
      <c r="CP162" s="146">
        <f t="shared" si="85"/>
        <v>0</v>
      </c>
      <c r="CQ162" s="153">
        <f>IF(D162="Interior",ROUND(($AG162*AF162)/1000*$AM162*(Lookups!$B$54-$AA162)*$AN162*$AO162,3),0)</f>
        <v>0</v>
      </c>
      <c r="CR162" s="153">
        <f>IFERROR(IF(D162="Interior",ROUND(($AG162*$AF162)/1000*(Lookups!$C$54-$AB162)*$AN162*AQ162*AT162,6),0),"")</f>
        <v>0</v>
      </c>
      <c r="CS162" s="165">
        <f t="shared" si="102"/>
        <v>0</v>
      </c>
      <c r="CT162" s="165">
        <f t="shared" si="103"/>
        <v>0</v>
      </c>
      <c r="CV162" s="153"/>
      <c r="CW162" s="153"/>
      <c r="CX162" s="165"/>
      <c r="CY162" s="165"/>
      <c r="DA162" s="153">
        <f>IF(D162="Interior",ROUND(($AG162*AF162*(1-0.15))/1000*$AM162*(Lookups!$B$43+0.097-$AA162)*$AN162*$AO162+((W162*V162)/1000*AN162*AM162*AO162*0.15),3),0)</f>
        <v>0</v>
      </c>
      <c r="DB162" s="153">
        <f>IFERROR(IF(D162="Interior",ROUND(($AG162*$AF162)/1000*(Lookups!$C$43+0.097-$AB162)*$AN162*AQ162*AT162+(($AG162*$AF162)/1000*$AN162*AQ162*AT162*0.15),6),0),"")</f>
        <v>0</v>
      </c>
      <c r="DC162" s="165">
        <f t="shared" si="86"/>
        <v>0</v>
      </c>
      <c r="DD162" s="165">
        <f t="shared" si="87"/>
        <v>0</v>
      </c>
    </row>
    <row r="163" spans="1:108" s="164" customFormat="1">
      <c r="A163" s="150">
        <v>159</v>
      </c>
      <c r="B163" s="153" t="str">
        <f>IFERROR(INDEX(Lookups!$B$2:$B$38,MATCH('Project Info &amp; Summary'!$C$19,Lookups!$A$2:$A$38,0)),"")</f>
        <v/>
      </c>
      <c r="C163" s="153" t="str">
        <f>IFERROR(INDEX(Lookups!$C$2:$C$38,MATCH('Project Info &amp; Summary'!$C$19,Lookups!$A$2:$A$38,0)),"")</f>
        <v/>
      </c>
      <c r="D163" s="163"/>
      <c r="E163" s="160"/>
      <c r="F163" s="158"/>
      <c r="G163" s="158"/>
      <c r="H163" s="158"/>
      <c r="I163" s="158"/>
      <c r="J163" s="154" t="str">
        <f>IFERROR(INDEX(Lookups!$W$21:$W$26,MATCH(I163,Lookups!$V$21:$V$26,0)),"")</f>
        <v/>
      </c>
      <c r="K163" s="158"/>
      <c r="L163" s="162" t="str">
        <f>IFERROR(INDEX(Lookups!$Y$2:$Y$19,MATCH(_xlfn.CONCAT(I163,K163),Lookups!$X$2:$X$19,0)),"")</f>
        <v/>
      </c>
      <c r="M163" s="158"/>
      <c r="N163" s="153" t="str">
        <f>IFERROR(INDEX('Prescriptive Rebate Table'!$M$3:$M$20,MATCH(M163,'Prescriptive Rebate Table'!$L$3:$L$20,0)),"")</f>
        <v/>
      </c>
      <c r="O163" s="158"/>
      <c r="P163" s="154" t="str">
        <f>IFERROR(INDEX('Prescriptive Rebate Table'!$B$2:$H$64, MATCH(O163,'Prescriptive Rebate Table'!$C$2:$C$64,0),7),"")</f>
        <v/>
      </c>
      <c r="Q163" s="155" t="str">
        <f>IFERROR(INDEX('Prescriptive Rebate Table'!$B$2:$I$64, MATCH(O163,'Prescriptive Rebate Table'!$C$2:$C$64,0),8),"")</f>
        <v/>
      </c>
      <c r="R163" s="155" t="str">
        <f>IFERROR(INDEX('Prescriptive Rebate Table'!$B$2:$J$64, MATCH(O163,'Prescriptive Rebate Table'!$C$2:$C$64,0),9),"")</f>
        <v/>
      </c>
      <c r="S163" s="160"/>
      <c r="T163" s="145" t="str">
        <f>IFERROR(INDEX('Fixture Codes'!$M$8:$M$976,MATCH(S163,'Fixture Codes'!$B$8:$B$976,0)),"")</f>
        <v/>
      </c>
      <c r="U163" s="145" t="str">
        <f>IFERROR(INDEX('Fixture Codes'!$B$7:$M$976,MATCH(T163,'Fixture Codes'!$B$7:$B$976,0),5),"")</f>
        <v/>
      </c>
      <c r="V163" s="160"/>
      <c r="W163" s="145" t="str">
        <f>IFERROR(INDEX('Fixture Codes'!$L$8:$L$976,MATCH(T163,'Fixture Codes'!$B$8:$B$976,0)),"")</f>
        <v/>
      </c>
      <c r="X163" s="158"/>
      <c r="Y163" s="159"/>
      <c r="Z163" s="155" t="str">
        <f>IFERROR(INDEX(Lookups!B$68:B$87,MATCH($X163,Lookups!$A$68:$A$87,0)),"")</f>
        <v/>
      </c>
      <c r="AA163" s="150" t="str">
        <f>IFERROR(INDEX(Lookups!B$42:B$62,MATCH($X163,Lookups!$A$42:$A$62,0)),"")</f>
        <v/>
      </c>
      <c r="AB163" s="150" t="str">
        <f>IFERROR(INDEX(Lookups!C$42:C$62,MATCH($X163,Lookups!$A$42:$A$62,0)),"")</f>
        <v/>
      </c>
      <c r="AC163" s="160"/>
      <c r="AD163" s="160"/>
      <c r="AE163" s="150" t="str">
        <f>IFERROR(INDEX('Fixture Codes'!$B$7:$M$976,MATCH(AD163,'Fixture Codes'!$B$7:$B$976,0),5),"")</f>
        <v/>
      </c>
      <c r="AF163" s="160"/>
      <c r="AG163" s="145" t="str">
        <f>IFERROR(INDEX('Fixture Codes'!$L$8:$L$976,MATCH(AD163,'Fixture Codes'!$B$8:$B$976,0)),"")</f>
        <v/>
      </c>
      <c r="AH163" s="158"/>
      <c r="AI163" s="160"/>
      <c r="AJ163" s="150" t="str">
        <f>IFERROR(INDEX(Lookups!B$68:B$87,MATCH($AH163,Lookups!$A$68:$A$87,0)),"")</f>
        <v/>
      </c>
      <c r="AK163" s="150" t="str">
        <f>IFERROR(INDEX(Lookups!B$42:B$62,MATCH($AH163,Lookups!$A$42:$A$62,0)),"")</f>
        <v/>
      </c>
      <c r="AL163" s="150" t="str">
        <f>IFERROR(INDEX(Lookups!C$42:C$62,MATCH($AH163,Lookups!$A$42:$A$62,0)),"")</f>
        <v/>
      </c>
      <c r="AM163" s="150" t="str">
        <f>IFERROR(IF(M163="Exit Signs",8760,IF(INDEX('Fixture Codes'!$C$8:$C$976,MATCH(AD163,'Fixture Codes'!$B$8:$B$976,0))="Exit Sign",8760,INDEX(Lookups!$I$2:$I$428,MATCH(_xlfn.CONCAT(B163,H163),Lookups!$H$2:$H$428,0)))),"")</f>
        <v/>
      </c>
      <c r="AN163" s="153">
        <v>1</v>
      </c>
      <c r="AO163" s="150" t="str">
        <f>IF($D163="Interior",INDEX(Lookups!Q$2:Q$86,MATCH(_xlfn.CONCAT($C163,$L163),Lookups!$P$2:$P$86,0)),IF($D163="Exterior",1,""))</f>
        <v/>
      </c>
      <c r="AP163" s="150">
        <f t="shared" si="88"/>
        <v>1</v>
      </c>
      <c r="AQ163" s="150" t="str">
        <f>IF($D163="Interior",INDEX(Lookups!R$2:R$86,MATCH(_xlfn.CONCAT($C163,$L163),Lookups!$P$2:$P$86,0)),IF($D163="Exterior",1,""))</f>
        <v/>
      </c>
      <c r="AR163" s="150" t="str">
        <f>IF($D163="Interior",INDEX(Lookups!S$2:S$86,MATCH(_xlfn.CONCAT($C163,$L163),Lookups!$P$2:$P$86,0)),IF($D163="Exterior",1,""))</f>
        <v/>
      </c>
      <c r="AS163" s="150" t="str">
        <f>IF($D163="Interior",INDEX(Lookups!T$2:T$86,MATCH(_xlfn.CONCAT($C163,$L163),Lookups!$P$2:$P$86,0)),IF($D163="Exterior",1,""))</f>
        <v/>
      </c>
      <c r="AT163" s="150" t="str">
        <f>IFERROR(IF(M163="Exit Signs",1,IF(INDEX('Fixture Codes'!$C$8:$C$976,MATCH($AD163,'Fixture Codes'!$B$8:$B$976,0))="Exit Sign",1,INDEX(Lookups!J$2:J$428,MATCH(_xlfn.CONCAT($B163,$H163),Lookups!$H$2:$H$428,0)))),"")</f>
        <v/>
      </c>
      <c r="AU163" s="150" t="str">
        <f>IFERROR(IF(M163="Exit Signs",1,IF(INDEX('Fixture Codes'!$C$8:$C$976,MATCH($AD163,'Fixture Codes'!$B$8:$B$976,0))="Exit Sign",1,INDEX(Lookups!K$2:K$428,MATCH(_xlfn.CONCAT($B163,$H163),Lookups!$H$2:$H$428,0)))),"")</f>
        <v/>
      </c>
      <c r="AV163" s="150" t="str">
        <f>IFERROR(IF(M163="Exit Signs",1,IF(INDEX('Fixture Codes'!$C$8:$C$976,MATCH($AD163,'Fixture Codes'!$B$8:$B$976,0))="Exit Sign",1,INDEX(Lookups!L$2:L$428,MATCH(_xlfn.CONCAT($B163,$H163),Lookups!$H$2:$H$428,0)))),"")</f>
        <v/>
      </c>
      <c r="AW163" s="150" t="str">
        <f>IF(ISBLANK(K163),"",IF(K163="Gas",INDEX(Lookups!$AG$2:$AG$63,MATCH(O163,Lookups!$AD$2:$AD$63,0),0),0))</f>
        <v/>
      </c>
      <c r="AX163" s="150" t="str">
        <f>IF(ISBLANK(K163),"",IF(K163="Gas",INDEX(Lookups!$AF$2:$AF$63,MATCH(O163,Lookups!$AD$2:$AD$63,0),0),0))</f>
        <v/>
      </c>
      <c r="AY163" s="150" t="str">
        <f>IF(ISBLANK(K163),"",IF(K163="Gas",INDEX(Lookups!$AH$2:$AH$63,MATCH(O163,Lookups!$AD$2:$AD$63,0),0),0))</f>
        <v/>
      </c>
      <c r="AZ163" s="150" t="str">
        <f>IF(ISBLANK(K163),"",IF(K163="Gas",INDEX(Lookups!$AI$2:$AI$63,MATCH(O163,Lookups!$AD$2:$AD$63,0),0),0))</f>
        <v/>
      </c>
      <c r="BA163" s="150" t="str">
        <f t="shared" si="73"/>
        <v/>
      </c>
      <c r="BB163" s="156" t="str">
        <f>IF(ISBLANK(AH163),"",IF(AH163="None",0,IF(K163="Gas",INDEX(Lookups!$AF$51:$AF$69,MATCH(AH163,Lookups!$AD$51:$AD$69,0),0),0)))</f>
        <v/>
      </c>
      <c r="BC163" s="156" t="str">
        <f>IF(ISBLANK(AH163),"",IF(AH163="None",0,IF(K163="Gas",INDEX(Lookups!$AH$51:$AH$69,MATCH(AH163,Lookups!$AD$51:$AD$69,0),0),0)))</f>
        <v/>
      </c>
      <c r="BD163" s="156" t="str">
        <f>IF(ISBLANK(AH163),"",IF(AH163="None",0,IF(K163="Gas",INDEX(Lookups!$AI$51:$AI$69,MATCH(AH163,Lookups!$AD$51:$AD$69,0),0),0)))</f>
        <v/>
      </c>
      <c r="BE163" s="157"/>
      <c r="BF163" s="157"/>
      <c r="BG163" s="147" t="str">
        <f t="shared" si="89"/>
        <v/>
      </c>
      <c r="BH163" s="147" t="str">
        <f t="shared" si="90"/>
        <v/>
      </c>
      <c r="BI163" s="147" t="str">
        <f t="shared" si="74"/>
        <v/>
      </c>
      <c r="BJ163" s="147" t="str">
        <f t="shared" si="75"/>
        <v/>
      </c>
      <c r="BK163" s="148" t="str">
        <f t="shared" si="91"/>
        <v/>
      </c>
      <c r="BL163" s="147" t="str">
        <f t="shared" si="76"/>
        <v/>
      </c>
      <c r="BM163" s="148" t="str">
        <f t="shared" si="92"/>
        <v/>
      </c>
      <c r="BN163" s="147" t="str">
        <f t="shared" si="93"/>
        <v/>
      </c>
      <c r="BO163" s="147" t="str">
        <f t="shared" si="93"/>
        <v/>
      </c>
      <c r="BP163" s="147" t="str">
        <f t="shared" si="94"/>
        <v/>
      </c>
      <c r="BQ163" s="148" t="str">
        <f t="shared" si="95"/>
        <v/>
      </c>
      <c r="BR163" s="148" t="str">
        <f t="shared" si="96"/>
        <v/>
      </c>
      <c r="BS163" s="148" t="str">
        <f t="shared" si="97"/>
        <v/>
      </c>
      <c r="BT163" s="148" t="str">
        <f t="shared" si="77"/>
        <v/>
      </c>
      <c r="BU163" s="148" t="str">
        <f t="shared" si="78"/>
        <v/>
      </c>
      <c r="BV163" s="148" t="str">
        <f t="shared" si="79"/>
        <v/>
      </c>
      <c r="BW163" s="148" t="str">
        <f t="shared" si="80"/>
        <v/>
      </c>
      <c r="BX163" s="148" t="str">
        <f t="shared" si="81"/>
        <v/>
      </c>
      <c r="BY163" s="148" t="str">
        <f t="shared" si="82"/>
        <v/>
      </c>
      <c r="BZ163" s="149" t="str">
        <f>IFERROR(INDEX('Prescriptive Rebate Table'!$B$2:$E$64,MATCH(O163,'Prescriptive Rebate Table'!$C$2:$C$64,0),3),"")</f>
        <v/>
      </c>
      <c r="CA163" s="145" t="str">
        <f>IFERROR(INDEX('Prescriptive Rebate Table'!$B$2:$E$64,MATCH(O163,'Prescriptive Rebate Table'!$C$2:$C$64,0),4),"")</f>
        <v/>
      </c>
      <c r="CB163" s="149" t="str">
        <f t="shared" si="98"/>
        <v/>
      </c>
      <c r="CC163" s="145" t="str">
        <f t="shared" si="99"/>
        <v/>
      </c>
      <c r="CD163" s="149" t="str">
        <f t="shared" si="83"/>
        <v/>
      </c>
      <c r="CE163" s="149" t="str">
        <f t="shared" si="84"/>
        <v/>
      </c>
      <c r="CF163" s="149" t="str">
        <f>IF(BK163&lt;=0,0,IFERROR(IF(OR(ISBLANK(AC163),ISBLANK(CD163))=TRUE,"",IF(CA163="Per Foot",INDEX('Fixture Codes'!$I$8:$I$976,MATCH(AD163,'Fixture Codes'!$B$8:$B$976,0))/12*AF163*BZ163,IF(CA163="Lamp",INDEX('Fixture Codes'!$J$8:$J$976,MATCH(AD163,'Fixture Codes'!$B$8:$B$976,0))*AF163*BZ163,IF(CA163="Fixture",AF163*BZ163,IF(CA163="kWh",BK163*BZ163,0))))),""))</f>
        <v/>
      </c>
      <c r="CG163" s="149" t="str">
        <f t="shared" si="100"/>
        <v/>
      </c>
      <c r="CH163" s="149" t="str">
        <f t="shared" si="101"/>
        <v/>
      </c>
      <c r="CI163" s="152"/>
      <c r="CJ163" s="146"/>
      <c r="CK163" s="241">
        <f>IFERROR(IF(CL163="Yes",'Prescriptive Rebate Table'!$D$69,IF(ISBLANK(AI163),0,IF(AND(AH163=Lookups!$A$62,BK163&gt;0),'Prescriptive Rebate Table'!$D$68,IF(AND(BK163&gt;0,CJ163=AF163),'Prescriptive Rebate Table'!$D$67,IF(AND(BK163&gt;0,CJ163&lt;&gt;AF163),'Prescriptive Rebate Table'!D222,0))))),"")</f>
        <v>0</v>
      </c>
      <c r="CL163" s="240" t="s">
        <v>2712</v>
      </c>
      <c r="CM163" s="152"/>
      <c r="CN163" s="152"/>
      <c r="CO163" s="152"/>
      <c r="CP163" s="146">
        <f t="shared" si="85"/>
        <v>0</v>
      </c>
      <c r="CQ163" s="153">
        <f>IF(D163="Interior",ROUND(($AG163*AF163)/1000*$AM163*(Lookups!$B$54-$AA163)*$AN163*$AO163,3),0)</f>
        <v>0</v>
      </c>
      <c r="CR163" s="153">
        <f>IFERROR(IF(D163="Interior",ROUND(($AG163*$AF163)/1000*(Lookups!$C$54-$AB163)*$AN163*AQ163*AT163,6),0),"")</f>
        <v>0</v>
      </c>
      <c r="CS163" s="165">
        <f t="shared" si="102"/>
        <v>0</v>
      </c>
      <c r="CT163" s="165">
        <f t="shared" si="103"/>
        <v>0</v>
      </c>
      <c r="CV163" s="153"/>
      <c r="CW163" s="153"/>
      <c r="CX163" s="165"/>
      <c r="CY163" s="165"/>
      <c r="DA163" s="153">
        <f>IF(D163="Interior",ROUND(($AG163*AF163*(1-0.15))/1000*$AM163*(Lookups!$B$43+0.097-$AA163)*$AN163*$AO163+((W163*V163)/1000*AN163*AM163*AO163*0.15),3),0)</f>
        <v>0</v>
      </c>
      <c r="DB163" s="153">
        <f>IFERROR(IF(D163="Interior",ROUND(($AG163*$AF163)/1000*(Lookups!$C$43+0.097-$AB163)*$AN163*AQ163*AT163+(($AG163*$AF163)/1000*$AN163*AQ163*AT163*0.15),6),0),"")</f>
        <v>0</v>
      </c>
      <c r="DC163" s="165">
        <f t="shared" si="86"/>
        <v>0</v>
      </c>
      <c r="DD163" s="165">
        <f t="shared" si="87"/>
        <v>0</v>
      </c>
    </row>
    <row r="164" spans="1:108" s="164" customFormat="1">
      <c r="A164" s="150">
        <v>160</v>
      </c>
      <c r="B164" s="153" t="str">
        <f>IFERROR(INDEX(Lookups!$B$2:$B$38,MATCH('Project Info &amp; Summary'!$C$19,Lookups!$A$2:$A$38,0)),"")</f>
        <v/>
      </c>
      <c r="C164" s="153" t="str">
        <f>IFERROR(INDEX(Lookups!$C$2:$C$38,MATCH('Project Info &amp; Summary'!$C$19,Lookups!$A$2:$A$38,0)),"")</f>
        <v/>
      </c>
      <c r="D164" s="163"/>
      <c r="E164" s="160"/>
      <c r="F164" s="158"/>
      <c r="G164" s="158"/>
      <c r="H164" s="158"/>
      <c r="I164" s="158"/>
      <c r="J164" s="154" t="str">
        <f>IFERROR(INDEX(Lookups!$W$21:$W$26,MATCH(I164,Lookups!$V$21:$V$26,0)),"")</f>
        <v/>
      </c>
      <c r="K164" s="158"/>
      <c r="L164" s="162" t="str">
        <f>IFERROR(INDEX(Lookups!$Y$2:$Y$19,MATCH(_xlfn.CONCAT(I164,K164),Lookups!$X$2:$X$19,0)),"")</f>
        <v/>
      </c>
      <c r="M164" s="158"/>
      <c r="N164" s="153" t="str">
        <f>IFERROR(INDEX('Prescriptive Rebate Table'!$M$3:$M$20,MATCH(M164,'Prescriptive Rebate Table'!$L$3:$L$20,0)),"")</f>
        <v/>
      </c>
      <c r="O164" s="158"/>
      <c r="P164" s="154" t="str">
        <f>IFERROR(INDEX('Prescriptive Rebate Table'!$B$2:$H$64, MATCH(O164,'Prescriptive Rebate Table'!$C$2:$C$64,0),7),"")</f>
        <v/>
      </c>
      <c r="Q164" s="155" t="str">
        <f>IFERROR(INDEX('Prescriptive Rebate Table'!$B$2:$I$64, MATCH(O164,'Prescriptive Rebate Table'!$C$2:$C$64,0),8),"")</f>
        <v/>
      </c>
      <c r="R164" s="155" t="str">
        <f>IFERROR(INDEX('Prescriptive Rebate Table'!$B$2:$J$64, MATCH(O164,'Prescriptive Rebate Table'!$C$2:$C$64,0),9),"")</f>
        <v/>
      </c>
      <c r="S164" s="160"/>
      <c r="T164" s="145" t="str">
        <f>IFERROR(INDEX('Fixture Codes'!$M$8:$M$976,MATCH(S164,'Fixture Codes'!$B$8:$B$976,0)),"")</f>
        <v/>
      </c>
      <c r="U164" s="145" t="str">
        <f>IFERROR(INDEX('Fixture Codes'!$B$7:$M$976,MATCH(T164,'Fixture Codes'!$B$7:$B$976,0),5),"")</f>
        <v/>
      </c>
      <c r="V164" s="160"/>
      <c r="W164" s="145" t="str">
        <f>IFERROR(INDEX('Fixture Codes'!$L$8:$L$976,MATCH(T164,'Fixture Codes'!$B$8:$B$976,0)),"")</f>
        <v/>
      </c>
      <c r="X164" s="158"/>
      <c r="Y164" s="159"/>
      <c r="Z164" s="155" t="str">
        <f>IFERROR(INDEX(Lookups!B$68:B$87,MATCH($X164,Lookups!$A$68:$A$87,0)),"")</f>
        <v/>
      </c>
      <c r="AA164" s="150" t="str">
        <f>IFERROR(INDEX(Lookups!B$42:B$62,MATCH($X164,Lookups!$A$42:$A$62,0)),"")</f>
        <v/>
      </c>
      <c r="AB164" s="150" t="str">
        <f>IFERROR(INDEX(Lookups!C$42:C$62,MATCH($X164,Lookups!$A$42:$A$62,0)),"")</f>
        <v/>
      </c>
      <c r="AC164" s="160"/>
      <c r="AD164" s="160"/>
      <c r="AE164" s="150" t="str">
        <f>IFERROR(INDEX('Fixture Codes'!$B$7:$M$976,MATCH(AD164,'Fixture Codes'!$B$7:$B$976,0),5),"")</f>
        <v/>
      </c>
      <c r="AF164" s="160"/>
      <c r="AG164" s="145" t="str">
        <f>IFERROR(INDEX('Fixture Codes'!$L$8:$L$976,MATCH(AD164,'Fixture Codes'!$B$8:$B$976,0)),"")</f>
        <v/>
      </c>
      <c r="AH164" s="158"/>
      <c r="AI164" s="160"/>
      <c r="AJ164" s="150" t="str">
        <f>IFERROR(INDEX(Lookups!B$68:B$87,MATCH($AH164,Lookups!$A$68:$A$87,0)),"")</f>
        <v/>
      </c>
      <c r="AK164" s="150" t="str">
        <f>IFERROR(INDEX(Lookups!B$42:B$62,MATCH($AH164,Lookups!$A$42:$A$62,0)),"")</f>
        <v/>
      </c>
      <c r="AL164" s="150" t="str">
        <f>IFERROR(INDEX(Lookups!C$42:C$62,MATCH($AH164,Lookups!$A$42:$A$62,0)),"")</f>
        <v/>
      </c>
      <c r="AM164" s="150" t="str">
        <f>IFERROR(IF(M164="Exit Signs",8760,IF(INDEX('Fixture Codes'!$C$8:$C$976,MATCH(AD164,'Fixture Codes'!$B$8:$B$976,0))="Exit Sign",8760,INDEX(Lookups!$I$2:$I$428,MATCH(_xlfn.CONCAT(B164,H164),Lookups!$H$2:$H$428,0)))),"")</f>
        <v/>
      </c>
      <c r="AN164" s="153">
        <v>1</v>
      </c>
      <c r="AO164" s="150" t="str">
        <f>IF($D164="Interior",INDEX(Lookups!Q$2:Q$86,MATCH(_xlfn.CONCAT($C164,$L164),Lookups!$P$2:$P$86,0)),IF($D164="Exterior",1,""))</f>
        <v/>
      </c>
      <c r="AP164" s="150">
        <f t="shared" si="88"/>
        <v>1</v>
      </c>
      <c r="AQ164" s="150" t="str">
        <f>IF($D164="Interior",INDEX(Lookups!R$2:R$86,MATCH(_xlfn.CONCAT($C164,$L164),Lookups!$P$2:$P$86,0)),IF($D164="Exterior",1,""))</f>
        <v/>
      </c>
      <c r="AR164" s="150" t="str">
        <f>IF($D164="Interior",INDEX(Lookups!S$2:S$86,MATCH(_xlfn.CONCAT($C164,$L164),Lookups!$P$2:$P$86,0)),IF($D164="Exterior",1,""))</f>
        <v/>
      </c>
      <c r="AS164" s="150" t="str">
        <f>IF($D164="Interior",INDEX(Lookups!T$2:T$86,MATCH(_xlfn.CONCAT($C164,$L164),Lookups!$P$2:$P$86,0)),IF($D164="Exterior",1,""))</f>
        <v/>
      </c>
      <c r="AT164" s="150" t="str">
        <f>IFERROR(IF(M164="Exit Signs",1,IF(INDEX('Fixture Codes'!$C$8:$C$976,MATCH($AD164,'Fixture Codes'!$B$8:$B$976,0))="Exit Sign",1,INDEX(Lookups!J$2:J$428,MATCH(_xlfn.CONCAT($B164,$H164),Lookups!$H$2:$H$428,0)))),"")</f>
        <v/>
      </c>
      <c r="AU164" s="150" t="str">
        <f>IFERROR(IF(M164="Exit Signs",1,IF(INDEX('Fixture Codes'!$C$8:$C$976,MATCH($AD164,'Fixture Codes'!$B$8:$B$976,0))="Exit Sign",1,INDEX(Lookups!K$2:K$428,MATCH(_xlfn.CONCAT($B164,$H164),Lookups!$H$2:$H$428,0)))),"")</f>
        <v/>
      </c>
      <c r="AV164" s="150" t="str">
        <f>IFERROR(IF(M164="Exit Signs",1,IF(INDEX('Fixture Codes'!$C$8:$C$976,MATCH($AD164,'Fixture Codes'!$B$8:$B$976,0))="Exit Sign",1,INDEX(Lookups!L$2:L$428,MATCH(_xlfn.CONCAT($B164,$H164),Lookups!$H$2:$H$428,0)))),"")</f>
        <v/>
      </c>
      <c r="AW164" s="150" t="str">
        <f>IF(ISBLANK(K164),"",IF(K164="Gas",INDEX(Lookups!$AG$2:$AG$63,MATCH(O164,Lookups!$AD$2:$AD$63,0),0),0))</f>
        <v/>
      </c>
      <c r="AX164" s="150" t="str">
        <f>IF(ISBLANK(K164),"",IF(K164="Gas",INDEX(Lookups!$AF$2:$AF$63,MATCH(O164,Lookups!$AD$2:$AD$63,0),0),0))</f>
        <v/>
      </c>
      <c r="AY164" s="150" t="str">
        <f>IF(ISBLANK(K164),"",IF(K164="Gas",INDEX(Lookups!$AH$2:$AH$63,MATCH(O164,Lookups!$AD$2:$AD$63,0),0),0))</f>
        <v/>
      </c>
      <c r="AZ164" s="150" t="str">
        <f>IF(ISBLANK(K164),"",IF(K164="Gas",INDEX(Lookups!$AI$2:$AI$63,MATCH(O164,Lookups!$AD$2:$AD$63,0),0),0))</f>
        <v/>
      </c>
      <c r="BA164" s="150" t="str">
        <f t="shared" si="73"/>
        <v/>
      </c>
      <c r="BB164" s="156" t="str">
        <f>IF(ISBLANK(AH164),"",IF(AH164="None",0,IF(K164="Gas",INDEX(Lookups!$AF$51:$AF$69,MATCH(AH164,Lookups!$AD$51:$AD$69,0),0),0)))</f>
        <v/>
      </c>
      <c r="BC164" s="156" t="str">
        <f>IF(ISBLANK(AH164),"",IF(AH164="None",0,IF(K164="Gas",INDEX(Lookups!$AH$51:$AH$69,MATCH(AH164,Lookups!$AD$51:$AD$69,0),0),0)))</f>
        <v/>
      </c>
      <c r="BD164" s="156" t="str">
        <f>IF(ISBLANK(AH164),"",IF(AH164="None",0,IF(K164="Gas",INDEX(Lookups!$AI$51:$AI$69,MATCH(AH164,Lookups!$AD$51:$AD$69,0),0),0)))</f>
        <v/>
      </c>
      <c r="BE164" s="157"/>
      <c r="BF164" s="157"/>
      <c r="BG164" s="147" t="str">
        <f t="shared" si="89"/>
        <v/>
      </c>
      <c r="BH164" s="147" t="str">
        <f t="shared" si="90"/>
        <v/>
      </c>
      <c r="BI164" s="147" t="str">
        <f t="shared" si="74"/>
        <v/>
      </c>
      <c r="BJ164" s="147" t="str">
        <f t="shared" si="75"/>
        <v/>
      </c>
      <c r="BK164" s="148" t="str">
        <f t="shared" si="91"/>
        <v/>
      </c>
      <c r="BL164" s="147" t="str">
        <f t="shared" si="76"/>
        <v/>
      </c>
      <c r="BM164" s="148" t="str">
        <f t="shared" si="92"/>
        <v/>
      </c>
      <c r="BN164" s="147" t="str">
        <f t="shared" si="93"/>
        <v/>
      </c>
      <c r="BO164" s="147" t="str">
        <f t="shared" si="93"/>
        <v/>
      </c>
      <c r="BP164" s="147" t="str">
        <f t="shared" si="94"/>
        <v/>
      </c>
      <c r="BQ164" s="148" t="str">
        <f t="shared" si="95"/>
        <v/>
      </c>
      <c r="BR164" s="148" t="str">
        <f t="shared" si="96"/>
        <v/>
      </c>
      <c r="BS164" s="148" t="str">
        <f t="shared" si="97"/>
        <v/>
      </c>
      <c r="BT164" s="148" t="str">
        <f t="shared" si="77"/>
        <v/>
      </c>
      <c r="BU164" s="148" t="str">
        <f t="shared" si="78"/>
        <v/>
      </c>
      <c r="BV164" s="148" t="str">
        <f t="shared" si="79"/>
        <v/>
      </c>
      <c r="BW164" s="148" t="str">
        <f t="shared" si="80"/>
        <v/>
      </c>
      <c r="BX164" s="148" t="str">
        <f t="shared" si="81"/>
        <v/>
      </c>
      <c r="BY164" s="148" t="str">
        <f t="shared" si="82"/>
        <v/>
      </c>
      <c r="BZ164" s="149" t="str">
        <f>IFERROR(INDEX('Prescriptive Rebate Table'!$B$2:$E$64,MATCH(O164,'Prescriptive Rebate Table'!$C$2:$C$64,0),3),"")</f>
        <v/>
      </c>
      <c r="CA164" s="145" t="str">
        <f>IFERROR(INDEX('Prescriptive Rebate Table'!$B$2:$E$64,MATCH(O164,'Prescriptive Rebate Table'!$C$2:$C$64,0),4),"")</f>
        <v/>
      </c>
      <c r="CB164" s="149" t="str">
        <f t="shared" si="98"/>
        <v/>
      </c>
      <c r="CC164" s="145" t="str">
        <f t="shared" si="99"/>
        <v/>
      </c>
      <c r="CD164" s="149" t="str">
        <f t="shared" si="83"/>
        <v/>
      </c>
      <c r="CE164" s="149" t="str">
        <f t="shared" si="84"/>
        <v/>
      </c>
      <c r="CF164" s="149" t="str">
        <f>IF(BK164&lt;=0,0,IFERROR(IF(OR(ISBLANK(AC164),ISBLANK(CD164))=TRUE,"",IF(CA164="Per Foot",INDEX('Fixture Codes'!$I$8:$I$976,MATCH(AD164,'Fixture Codes'!$B$8:$B$976,0))/12*AF164*BZ164,IF(CA164="Lamp",INDEX('Fixture Codes'!$J$8:$J$976,MATCH(AD164,'Fixture Codes'!$B$8:$B$976,0))*AF164*BZ164,IF(CA164="Fixture",AF164*BZ164,IF(CA164="kWh",BK164*BZ164,0))))),""))</f>
        <v/>
      </c>
      <c r="CG164" s="149" t="str">
        <f t="shared" si="100"/>
        <v/>
      </c>
      <c r="CH164" s="149" t="str">
        <f t="shared" si="101"/>
        <v/>
      </c>
      <c r="CI164" s="152"/>
      <c r="CJ164" s="146"/>
      <c r="CK164" s="241">
        <f>IFERROR(IF(CL164="Yes",'Prescriptive Rebate Table'!$D$69,IF(ISBLANK(AI164),0,IF(AND(AH164=Lookups!$A$62,BK164&gt;0),'Prescriptive Rebate Table'!$D$68,IF(AND(BK164&gt;0,CJ164=AF164),'Prescriptive Rebate Table'!$D$67,IF(AND(BK164&gt;0,CJ164&lt;&gt;AF164),'Prescriptive Rebate Table'!D223,0))))),"")</f>
        <v>0</v>
      </c>
      <c r="CL164" s="240" t="s">
        <v>2712</v>
      </c>
      <c r="CM164" s="152"/>
      <c r="CN164" s="152"/>
      <c r="CO164" s="152"/>
      <c r="CP164" s="146">
        <f t="shared" si="85"/>
        <v>0</v>
      </c>
      <c r="CQ164" s="153">
        <f>IF(D164="Interior",ROUND(($AG164*AF164)/1000*$AM164*(Lookups!$B$54-$AA164)*$AN164*$AO164,3),0)</f>
        <v>0</v>
      </c>
      <c r="CR164" s="153">
        <f>IFERROR(IF(D164="Interior",ROUND(($AG164*$AF164)/1000*(Lookups!$C$54-$AB164)*$AN164*AQ164*AT164,6),0),"")</f>
        <v>0</v>
      </c>
      <c r="CS164" s="165">
        <f t="shared" si="102"/>
        <v>0</v>
      </c>
      <c r="CT164" s="165">
        <f t="shared" si="103"/>
        <v>0</v>
      </c>
      <c r="CV164" s="153"/>
      <c r="CW164" s="153"/>
      <c r="CX164" s="165"/>
      <c r="CY164" s="165"/>
      <c r="DA164" s="153">
        <f>IF(D164="Interior",ROUND(($AG164*AF164*(1-0.15))/1000*$AM164*(Lookups!$B$43+0.097-$AA164)*$AN164*$AO164+((W164*V164)/1000*AN164*AM164*AO164*0.15),3),0)</f>
        <v>0</v>
      </c>
      <c r="DB164" s="153">
        <f>IFERROR(IF(D164="Interior",ROUND(($AG164*$AF164)/1000*(Lookups!$C$43+0.097-$AB164)*$AN164*AQ164*AT164+(($AG164*$AF164)/1000*$AN164*AQ164*AT164*0.15),6),0),"")</f>
        <v>0</v>
      </c>
      <c r="DC164" s="165">
        <f t="shared" si="86"/>
        <v>0</v>
      </c>
      <c r="DD164" s="165">
        <f t="shared" si="87"/>
        <v>0</v>
      </c>
    </row>
    <row r="165" spans="1:108" s="164" customFormat="1">
      <c r="A165" s="150">
        <v>161</v>
      </c>
      <c r="B165" s="153" t="str">
        <f>IFERROR(INDEX(Lookups!$B$2:$B$38,MATCH('Project Info &amp; Summary'!$C$19,Lookups!$A$2:$A$38,0)),"")</f>
        <v/>
      </c>
      <c r="C165" s="153" t="str">
        <f>IFERROR(INDEX(Lookups!$C$2:$C$38,MATCH('Project Info &amp; Summary'!$C$19,Lookups!$A$2:$A$38,0)),"")</f>
        <v/>
      </c>
      <c r="D165" s="163"/>
      <c r="E165" s="160"/>
      <c r="F165" s="158"/>
      <c r="G165" s="158"/>
      <c r="H165" s="158"/>
      <c r="I165" s="158"/>
      <c r="J165" s="154" t="str">
        <f>IFERROR(INDEX(Lookups!$W$21:$W$26,MATCH(I165,Lookups!$V$21:$V$26,0)),"")</f>
        <v/>
      </c>
      <c r="K165" s="158"/>
      <c r="L165" s="162" t="str">
        <f>IFERROR(INDEX(Lookups!$Y$2:$Y$19,MATCH(_xlfn.CONCAT(I165,K165),Lookups!$X$2:$X$19,0)),"")</f>
        <v/>
      </c>
      <c r="M165" s="158"/>
      <c r="N165" s="153" t="str">
        <f>IFERROR(INDEX('Prescriptive Rebate Table'!$M$3:$M$20,MATCH(M165,'Prescriptive Rebate Table'!$L$3:$L$20,0)),"")</f>
        <v/>
      </c>
      <c r="O165" s="158"/>
      <c r="P165" s="154" t="str">
        <f>IFERROR(INDEX('Prescriptive Rebate Table'!$B$2:$H$64, MATCH(O165,'Prescriptive Rebate Table'!$C$2:$C$64,0),7),"")</f>
        <v/>
      </c>
      <c r="Q165" s="155" t="str">
        <f>IFERROR(INDEX('Prescriptive Rebate Table'!$B$2:$I$64, MATCH(O165,'Prescriptive Rebate Table'!$C$2:$C$64,0),8),"")</f>
        <v/>
      </c>
      <c r="R165" s="155" t="str">
        <f>IFERROR(INDEX('Prescriptive Rebate Table'!$B$2:$J$64, MATCH(O165,'Prescriptive Rebate Table'!$C$2:$C$64,0),9),"")</f>
        <v/>
      </c>
      <c r="S165" s="160"/>
      <c r="T165" s="145" t="str">
        <f>IFERROR(INDEX('Fixture Codes'!$M$8:$M$976,MATCH(S165,'Fixture Codes'!$B$8:$B$976,0)),"")</f>
        <v/>
      </c>
      <c r="U165" s="145" t="str">
        <f>IFERROR(INDEX('Fixture Codes'!$B$7:$M$976,MATCH(T165,'Fixture Codes'!$B$7:$B$976,0),5),"")</f>
        <v/>
      </c>
      <c r="V165" s="160"/>
      <c r="W165" s="145" t="str">
        <f>IFERROR(INDEX('Fixture Codes'!$L$8:$L$976,MATCH(T165,'Fixture Codes'!$B$8:$B$976,0)),"")</f>
        <v/>
      </c>
      <c r="X165" s="158"/>
      <c r="Y165" s="159"/>
      <c r="Z165" s="155" t="str">
        <f>IFERROR(INDEX(Lookups!B$68:B$87,MATCH($X165,Lookups!$A$68:$A$87,0)),"")</f>
        <v/>
      </c>
      <c r="AA165" s="150" t="str">
        <f>IFERROR(INDEX(Lookups!B$42:B$62,MATCH($X165,Lookups!$A$42:$A$62,0)),"")</f>
        <v/>
      </c>
      <c r="AB165" s="150" t="str">
        <f>IFERROR(INDEX(Lookups!C$42:C$62,MATCH($X165,Lookups!$A$42:$A$62,0)),"")</f>
        <v/>
      </c>
      <c r="AC165" s="160"/>
      <c r="AD165" s="160"/>
      <c r="AE165" s="150" t="str">
        <f>IFERROR(INDEX('Fixture Codes'!$B$7:$M$976,MATCH(AD165,'Fixture Codes'!$B$7:$B$976,0),5),"")</f>
        <v/>
      </c>
      <c r="AF165" s="160"/>
      <c r="AG165" s="145" t="str">
        <f>IFERROR(INDEX('Fixture Codes'!$L$8:$L$976,MATCH(AD165,'Fixture Codes'!$B$8:$B$976,0)),"")</f>
        <v/>
      </c>
      <c r="AH165" s="158"/>
      <c r="AI165" s="160"/>
      <c r="AJ165" s="150" t="str">
        <f>IFERROR(INDEX(Lookups!B$68:B$87,MATCH($AH165,Lookups!$A$68:$A$87,0)),"")</f>
        <v/>
      </c>
      <c r="AK165" s="150" t="str">
        <f>IFERROR(INDEX(Lookups!B$42:B$62,MATCH($AH165,Lookups!$A$42:$A$62,0)),"")</f>
        <v/>
      </c>
      <c r="AL165" s="150" t="str">
        <f>IFERROR(INDEX(Lookups!C$42:C$62,MATCH($AH165,Lookups!$A$42:$A$62,0)),"")</f>
        <v/>
      </c>
      <c r="AM165" s="150" t="str">
        <f>IFERROR(IF(M165="Exit Signs",8760,IF(INDEX('Fixture Codes'!$C$8:$C$976,MATCH(AD165,'Fixture Codes'!$B$8:$B$976,0))="Exit Sign",8760,INDEX(Lookups!$I$2:$I$428,MATCH(_xlfn.CONCAT(B165,H165),Lookups!$H$2:$H$428,0)))),"")</f>
        <v/>
      </c>
      <c r="AN165" s="153">
        <v>1</v>
      </c>
      <c r="AO165" s="150" t="str">
        <f>IF($D165="Interior",INDEX(Lookups!Q$2:Q$86,MATCH(_xlfn.CONCAT($C165,$L165),Lookups!$P$2:$P$86,0)),IF($D165="Exterior",1,""))</f>
        <v/>
      </c>
      <c r="AP165" s="150">
        <f t="shared" si="88"/>
        <v>1</v>
      </c>
      <c r="AQ165" s="150" t="str">
        <f>IF($D165="Interior",INDEX(Lookups!R$2:R$86,MATCH(_xlfn.CONCAT($C165,$L165),Lookups!$P$2:$P$86,0)),IF($D165="Exterior",1,""))</f>
        <v/>
      </c>
      <c r="AR165" s="150" t="str">
        <f>IF($D165="Interior",INDEX(Lookups!S$2:S$86,MATCH(_xlfn.CONCAT($C165,$L165),Lookups!$P$2:$P$86,0)),IF($D165="Exterior",1,""))</f>
        <v/>
      </c>
      <c r="AS165" s="150" t="str">
        <f>IF($D165="Interior",INDEX(Lookups!T$2:T$86,MATCH(_xlfn.CONCAT($C165,$L165),Lookups!$P$2:$P$86,0)),IF($D165="Exterior",1,""))</f>
        <v/>
      </c>
      <c r="AT165" s="150" t="str">
        <f>IFERROR(IF(M165="Exit Signs",1,IF(INDEX('Fixture Codes'!$C$8:$C$976,MATCH($AD165,'Fixture Codes'!$B$8:$B$976,0))="Exit Sign",1,INDEX(Lookups!J$2:J$428,MATCH(_xlfn.CONCAT($B165,$H165),Lookups!$H$2:$H$428,0)))),"")</f>
        <v/>
      </c>
      <c r="AU165" s="150" t="str">
        <f>IFERROR(IF(M165="Exit Signs",1,IF(INDEX('Fixture Codes'!$C$8:$C$976,MATCH($AD165,'Fixture Codes'!$B$8:$B$976,0))="Exit Sign",1,INDEX(Lookups!K$2:K$428,MATCH(_xlfn.CONCAT($B165,$H165),Lookups!$H$2:$H$428,0)))),"")</f>
        <v/>
      </c>
      <c r="AV165" s="150" t="str">
        <f>IFERROR(IF(M165="Exit Signs",1,IF(INDEX('Fixture Codes'!$C$8:$C$976,MATCH($AD165,'Fixture Codes'!$B$8:$B$976,0))="Exit Sign",1,INDEX(Lookups!L$2:L$428,MATCH(_xlfn.CONCAT($B165,$H165),Lookups!$H$2:$H$428,0)))),"")</f>
        <v/>
      </c>
      <c r="AW165" s="150" t="str">
        <f>IF(ISBLANK(K165),"",IF(K165="Gas",INDEX(Lookups!$AG$2:$AG$63,MATCH(O165,Lookups!$AD$2:$AD$63,0),0),0))</f>
        <v/>
      </c>
      <c r="AX165" s="150" t="str">
        <f>IF(ISBLANK(K165),"",IF(K165="Gas",INDEX(Lookups!$AF$2:$AF$63,MATCH(O165,Lookups!$AD$2:$AD$63,0),0),0))</f>
        <v/>
      </c>
      <c r="AY165" s="150" t="str">
        <f>IF(ISBLANK(K165),"",IF(K165="Gas",INDEX(Lookups!$AH$2:$AH$63,MATCH(O165,Lookups!$AD$2:$AD$63,0),0),0))</f>
        <v/>
      </c>
      <c r="AZ165" s="150" t="str">
        <f>IF(ISBLANK(K165),"",IF(K165="Gas",INDEX(Lookups!$AI$2:$AI$63,MATCH(O165,Lookups!$AD$2:$AD$63,0),0),0))</f>
        <v/>
      </c>
      <c r="BA165" s="150" t="str">
        <f t="shared" si="73"/>
        <v/>
      </c>
      <c r="BB165" s="156" t="str">
        <f>IF(ISBLANK(AH165),"",IF(AH165="None",0,IF(K165="Gas",INDEX(Lookups!$AF$51:$AF$69,MATCH(AH165,Lookups!$AD$51:$AD$69,0),0),0)))</f>
        <v/>
      </c>
      <c r="BC165" s="156" t="str">
        <f>IF(ISBLANK(AH165),"",IF(AH165="None",0,IF(K165="Gas",INDEX(Lookups!$AH$51:$AH$69,MATCH(AH165,Lookups!$AD$51:$AD$69,0),0),0)))</f>
        <v/>
      </c>
      <c r="BD165" s="156" t="str">
        <f>IF(ISBLANK(AH165),"",IF(AH165="None",0,IF(K165="Gas",INDEX(Lookups!$AI$51:$AI$69,MATCH(AH165,Lookups!$AD$51:$AD$69,0),0),0)))</f>
        <v/>
      </c>
      <c r="BE165" s="157"/>
      <c r="BF165" s="157"/>
      <c r="BG165" s="147" t="str">
        <f t="shared" si="89"/>
        <v/>
      </c>
      <c r="BH165" s="147" t="str">
        <f t="shared" si="90"/>
        <v/>
      </c>
      <c r="BI165" s="147" t="str">
        <f t="shared" si="74"/>
        <v/>
      </c>
      <c r="BJ165" s="147" t="str">
        <f t="shared" si="75"/>
        <v/>
      </c>
      <c r="BK165" s="148" t="str">
        <f t="shared" si="91"/>
        <v/>
      </c>
      <c r="BL165" s="147" t="str">
        <f t="shared" si="76"/>
        <v/>
      </c>
      <c r="BM165" s="148" t="str">
        <f t="shared" si="92"/>
        <v/>
      </c>
      <c r="BN165" s="147" t="str">
        <f t="shared" si="93"/>
        <v/>
      </c>
      <c r="BO165" s="147" t="str">
        <f t="shared" si="93"/>
        <v/>
      </c>
      <c r="BP165" s="147" t="str">
        <f t="shared" si="94"/>
        <v/>
      </c>
      <c r="BQ165" s="148" t="str">
        <f t="shared" si="95"/>
        <v/>
      </c>
      <c r="BR165" s="148" t="str">
        <f t="shared" si="96"/>
        <v/>
      </c>
      <c r="BS165" s="148" t="str">
        <f t="shared" si="97"/>
        <v/>
      </c>
      <c r="BT165" s="148" t="str">
        <f t="shared" si="77"/>
        <v/>
      </c>
      <c r="BU165" s="148" t="str">
        <f t="shared" si="78"/>
        <v/>
      </c>
      <c r="BV165" s="148" t="str">
        <f t="shared" si="79"/>
        <v/>
      </c>
      <c r="BW165" s="148" t="str">
        <f t="shared" si="80"/>
        <v/>
      </c>
      <c r="BX165" s="148" t="str">
        <f t="shared" si="81"/>
        <v/>
      </c>
      <c r="BY165" s="148" t="str">
        <f t="shared" si="82"/>
        <v/>
      </c>
      <c r="BZ165" s="149" t="str">
        <f>IFERROR(INDEX('Prescriptive Rebate Table'!$B$2:$E$64,MATCH(O165,'Prescriptive Rebate Table'!$C$2:$C$64,0),3),"")</f>
        <v/>
      </c>
      <c r="CA165" s="145" t="str">
        <f>IFERROR(INDEX('Prescriptive Rebate Table'!$B$2:$E$64,MATCH(O165,'Prescriptive Rebate Table'!$C$2:$C$64,0),4),"")</f>
        <v/>
      </c>
      <c r="CB165" s="149" t="str">
        <f t="shared" si="98"/>
        <v/>
      </c>
      <c r="CC165" s="145" t="str">
        <f t="shared" si="99"/>
        <v/>
      </c>
      <c r="CD165" s="149" t="str">
        <f t="shared" si="83"/>
        <v/>
      </c>
      <c r="CE165" s="149" t="str">
        <f t="shared" si="84"/>
        <v/>
      </c>
      <c r="CF165" s="149" t="str">
        <f>IF(BK165&lt;=0,0,IFERROR(IF(OR(ISBLANK(AC165),ISBLANK(CD165))=TRUE,"",IF(CA165="Per Foot",INDEX('Fixture Codes'!$I$8:$I$976,MATCH(AD165,'Fixture Codes'!$B$8:$B$976,0))/12*AF165*BZ165,IF(CA165="Lamp",INDEX('Fixture Codes'!$J$8:$J$976,MATCH(AD165,'Fixture Codes'!$B$8:$B$976,0))*AF165*BZ165,IF(CA165="Fixture",AF165*BZ165,IF(CA165="kWh",BK165*BZ165,0))))),""))</f>
        <v/>
      </c>
      <c r="CG165" s="149" t="str">
        <f t="shared" si="100"/>
        <v/>
      </c>
      <c r="CH165" s="149" t="str">
        <f t="shared" si="101"/>
        <v/>
      </c>
      <c r="CI165" s="152"/>
      <c r="CJ165" s="146"/>
      <c r="CK165" s="241">
        <f>IFERROR(IF(CL165="Yes",'Prescriptive Rebate Table'!$D$69,IF(ISBLANK(AI165),0,IF(AND(AH165=Lookups!$A$62,BK165&gt;0),'Prescriptive Rebate Table'!$D$68,IF(AND(BK165&gt;0,CJ165=AF165),'Prescriptive Rebate Table'!$D$67,IF(AND(BK165&gt;0,CJ165&lt;&gt;AF165),'Prescriptive Rebate Table'!D224,0))))),"")</f>
        <v>0</v>
      </c>
      <c r="CL165" s="240" t="s">
        <v>2712</v>
      </c>
      <c r="CM165" s="152"/>
      <c r="CN165" s="152"/>
      <c r="CO165" s="152"/>
      <c r="CP165" s="146">
        <f t="shared" si="85"/>
        <v>0</v>
      </c>
      <c r="CQ165" s="153">
        <f>IF(D165="Interior",ROUND(($AG165*AF165)/1000*$AM165*(Lookups!$B$54-$AA165)*$AN165*$AO165,3),0)</f>
        <v>0</v>
      </c>
      <c r="CR165" s="153">
        <f>IFERROR(IF(D165="Interior",ROUND(($AG165*$AF165)/1000*(Lookups!$C$54-$AB165)*$AN165*AQ165*AT165,6),0),"")</f>
        <v>0</v>
      </c>
      <c r="CS165" s="165">
        <f t="shared" si="102"/>
        <v>0</v>
      </c>
      <c r="CT165" s="165">
        <f t="shared" si="103"/>
        <v>0</v>
      </c>
      <c r="CV165" s="153"/>
      <c r="CW165" s="153"/>
      <c r="CX165" s="165"/>
      <c r="CY165" s="165"/>
      <c r="DA165" s="153">
        <f>IF(D165="Interior",ROUND(($AG165*AF165*(1-0.15))/1000*$AM165*(Lookups!$B$43+0.097-$AA165)*$AN165*$AO165+((W165*V165)/1000*AN165*AM165*AO165*0.15),3),0)</f>
        <v>0</v>
      </c>
      <c r="DB165" s="153">
        <f>IFERROR(IF(D165="Interior",ROUND(($AG165*$AF165)/1000*(Lookups!$C$43+0.097-$AB165)*$AN165*AQ165*AT165+(($AG165*$AF165)/1000*$AN165*AQ165*AT165*0.15),6),0),"")</f>
        <v>0</v>
      </c>
      <c r="DC165" s="165">
        <f t="shared" ref="DC165:DC197" si="104">IFERROR(IF(D165="Interior",IF(AF165*AG165&gt;200,AF165*AG165*0.6,AF165*50),0),0)</f>
        <v>0</v>
      </c>
      <c r="DD165" s="165">
        <f t="shared" ref="DD165:DD197" si="105">IF(D165="Interior",AF165*49,0)</f>
        <v>0</v>
      </c>
    </row>
    <row r="166" spans="1:108" s="164" customFormat="1">
      <c r="A166" s="150">
        <v>162</v>
      </c>
      <c r="B166" s="153" t="str">
        <f>IFERROR(INDEX(Lookups!$B$2:$B$38,MATCH('Project Info &amp; Summary'!$C$19,Lookups!$A$2:$A$38,0)),"")</f>
        <v/>
      </c>
      <c r="C166" s="153" t="str">
        <f>IFERROR(INDEX(Lookups!$C$2:$C$38,MATCH('Project Info &amp; Summary'!$C$19,Lookups!$A$2:$A$38,0)),"")</f>
        <v/>
      </c>
      <c r="D166" s="163"/>
      <c r="E166" s="160"/>
      <c r="F166" s="158"/>
      <c r="G166" s="158"/>
      <c r="H166" s="158"/>
      <c r="I166" s="158"/>
      <c r="J166" s="154" t="str">
        <f>IFERROR(INDEX(Lookups!$W$21:$W$26,MATCH(I166,Lookups!$V$21:$V$26,0)),"")</f>
        <v/>
      </c>
      <c r="K166" s="158"/>
      <c r="L166" s="162" t="str">
        <f>IFERROR(INDEX(Lookups!$Y$2:$Y$19,MATCH(_xlfn.CONCAT(I166,K166),Lookups!$X$2:$X$19,0)),"")</f>
        <v/>
      </c>
      <c r="M166" s="158"/>
      <c r="N166" s="153" t="str">
        <f>IFERROR(INDEX('Prescriptive Rebate Table'!$M$3:$M$20,MATCH(M166,'Prescriptive Rebate Table'!$L$3:$L$20,0)),"")</f>
        <v/>
      </c>
      <c r="O166" s="158"/>
      <c r="P166" s="154" t="str">
        <f>IFERROR(INDEX('Prescriptive Rebate Table'!$B$2:$H$64, MATCH(O166,'Prescriptive Rebate Table'!$C$2:$C$64,0),7),"")</f>
        <v/>
      </c>
      <c r="Q166" s="155" t="str">
        <f>IFERROR(INDEX('Prescriptive Rebate Table'!$B$2:$I$64, MATCH(O166,'Prescriptive Rebate Table'!$C$2:$C$64,0),8),"")</f>
        <v/>
      </c>
      <c r="R166" s="155" t="str">
        <f>IFERROR(INDEX('Prescriptive Rebate Table'!$B$2:$J$64, MATCH(O166,'Prescriptive Rebate Table'!$C$2:$C$64,0),9),"")</f>
        <v/>
      </c>
      <c r="S166" s="160"/>
      <c r="T166" s="145" t="str">
        <f>IFERROR(INDEX('Fixture Codes'!$M$8:$M$976,MATCH(S166,'Fixture Codes'!$B$8:$B$976,0)),"")</f>
        <v/>
      </c>
      <c r="U166" s="145" t="str">
        <f>IFERROR(INDEX('Fixture Codes'!$B$7:$M$976,MATCH(T166,'Fixture Codes'!$B$7:$B$976,0),5),"")</f>
        <v/>
      </c>
      <c r="V166" s="160"/>
      <c r="W166" s="145" t="str">
        <f>IFERROR(INDEX('Fixture Codes'!$L$8:$L$976,MATCH(T166,'Fixture Codes'!$B$8:$B$976,0)),"")</f>
        <v/>
      </c>
      <c r="X166" s="158"/>
      <c r="Y166" s="159"/>
      <c r="Z166" s="155" t="str">
        <f>IFERROR(INDEX(Lookups!B$68:B$87,MATCH($X166,Lookups!$A$68:$A$87,0)),"")</f>
        <v/>
      </c>
      <c r="AA166" s="150" t="str">
        <f>IFERROR(INDEX(Lookups!B$42:B$62,MATCH($X166,Lookups!$A$42:$A$62,0)),"")</f>
        <v/>
      </c>
      <c r="AB166" s="150" t="str">
        <f>IFERROR(INDEX(Lookups!C$42:C$62,MATCH($X166,Lookups!$A$42:$A$62,0)),"")</f>
        <v/>
      </c>
      <c r="AC166" s="160"/>
      <c r="AD166" s="160"/>
      <c r="AE166" s="150" t="str">
        <f>IFERROR(INDEX('Fixture Codes'!$B$7:$M$976,MATCH(AD166,'Fixture Codes'!$B$7:$B$976,0),5),"")</f>
        <v/>
      </c>
      <c r="AF166" s="160"/>
      <c r="AG166" s="145" t="str">
        <f>IFERROR(INDEX('Fixture Codes'!$L$8:$L$976,MATCH(AD166,'Fixture Codes'!$B$8:$B$976,0)),"")</f>
        <v/>
      </c>
      <c r="AH166" s="158"/>
      <c r="AI166" s="160"/>
      <c r="AJ166" s="150" t="str">
        <f>IFERROR(INDEX(Lookups!B$68:B$87,MATCH($AH166,Lookups!$A$68:$A$87,0)),"")</f>
        <v/>
      </c>
      <c r="AK166" s="150" t="str">
        <f>IFERROR(INDEX(Lookups!B$42:B$62,MATCH($AH166,Lookups!$A$42:$A$62,0)),"")</f>
        <v/>
      </c>
      <c r="AL166" s="150" t="str">
        <f>IFERROR(INDEX(Lookups!C$42:C$62,MATCH($AH166,Lookups!$A$42:$A$62,0)),"")</f>
        <v/>
      </c>
      <c r="AM166" s="150" t="str">
        <f>IFERROR(IF(M166="Exit Signs",8760,IF(INDEX('Fixture Codes'!$C$8:$C$976,MATCH(AD166,'Fixture Codes'!$B$8:$B$976,0))="Exit Sign",8760,INDEX(Lookups!$I$2:$I$428,MATCH(_xlfn.CONCAT(B166,H166),Lookups!$H$2:$H$428,0)))),"")</f>
        <v/>
      </c>
      <c r="AN166" s="153">
        <v>1</v>
      </c>
      <c r="AO166" s="150" t="str">
        <f>IF($D166="Interior",INDEX(Lookups!Q$2:Q$86,MATCH(_xlfn.CONCAT($C166,$L166),Lookups!$P$2:$P$86,0)),IF($D166="Exterior",1,""))</f>
        <v/>
      </c>
      <c r="AP166" s="150">
        <f t="shared" si="88"/>
        <v>1</v>
      </c>
      <c r="AQ166" s="150" t="str">
        <f>IF($D166="Interior",INDEX(Lookups!R$2:R$86,MATCH(_xlfn.CONCAT($C166,$L166),Lookups!$P$2:$P$86,0)),IF($D166="Exterior",1,""))</f>
        <v/>
      </c>
      <c r="AR166" s="150" t="str">
        <f>IF($D166="Interior",INDEX(Lookups!S$2:S$86,MATCH(_xlfn.CONCAT($C166,$L166),Lookups!$P$2:$P$86,0)),IF($D166="Exterior",1,""))</f>
        <v/>
      </c>
      <c r="AS166" s="150" t="str">
        <f>IF($D166="Interior",INDEX(Lookups!T$2:T$86,MATCH(_xlfn.CONCAT($C166,$L166),Lookups!$P$2:$P$86,0)),IF($D166="Exterior",1,""))</f>
        <v/>
      </c>
      <c r="AT166" s="150" t="str">
        <f>IFERROR(IF(M166="Exit Signs",1,IF(INDEX('Fixture Codes'!$C$8:$C$976,MATCH($AD166,'Fixture Codes'!$B$8:$B$976,0))="Exit Sign",1,INDEX(Lookups!J$2:J$428,MATCH(_xlfn.CONCAT($B166,$H166),Lookups!$H$2:$H$428,0)))),"")</f>
        <v/>
      </c>
      <c r="AU166" s="150" t="str">
        <f>IFERROR(IF(M166="Exit Signs",1,IF(INDEX('Fixture Codes'!$C$8:$C$976,MATCH($AD166,'Fixture Codes'!$B$8:$B$976,0))="Exit Sign",1,INDEX(Lookups!K$2:K$428,MATCH(_xlfn.CONCAT($B166,$H166),Lookups!$H$2:$H$428,0)))),"")</f>
        <v/>
      </c>
      <c r="AV166" s="150" t="str">
        <f>IFERROR(IF(M166="Exit Signs",1,IF(INDEX('Fixture Codes'!$C$8:$C$976,MATCH($AD166,'Fixture Codes'!$B$8:$B$976,0))="Exit Sign",1,INDEX(Lookups!L$2:L$428,MATCH(_xlfn.CONCAT($B166,$H166),Lookups!$H$2:$H$428,0)))),"")</f>
        <v/>
      </c>
      <c r="AW166" s="150" t="str">
        <f>IF(ISBLANK(K166),"",IF(K166="Gas",INDEX(Lookups!$AG$2:$AG$63,MATCH(O166,Lookups!$AD$2:$AD$63,0),0),0))</f>
        <v/>
      </c>
      <c r="AX166" s="150" t="str">
        <f>IF(ISBLANK(K166),"",IF(K166="Gas",INDEX(Lookups!$AF$2:$AF$63,MATCH(O166,Lookups!$AD$2:$AD$63,0),0),0))</f>
        <v/>
      </c>
      <c r="AY166" s="150" t="str">
        <f>IF(ISBLANK(K166),"",IF(K166="Gas",INDEX(Lookups!$AH$2:$AH$63,MATCH(O166,Lookups!$AD$2:$AD$63,0),0),0))</f>
        <v/>
      </c>
      <c r="AZ166" s="150" t="str">
        <f>IF(ISBLANK(K166),"",IF(K166="Gas",INDEX(Lookups!$AI$2:$AI$63,MATCH(O166,Lookups!$AD$2:$AD$63,0),0),0))</f>
        <v/>
      </c>
      <c r="BA166" s="150" t="str">
        <f t="shared" si="73"/>
        <v/>
      </c>
      <c r="BB166" s="156" t="str">
        <f>IF(ISBLANK(AH166),"",IF(AH166="None",0,IF(K166="Gas",INDEX(Lookups!$AF$51:$AF$69,MATCH(AH166,Lookups!$AD$51:$AD$69,0),0),0)))</f>
        <v/>
      </c>
      <c r="BC166" s="156" t="str">
        <f>IF(ISBLANK(AH166),"",IF(AH166="None",0,IF(K166="Gas",INDEX(Lookups!$AH$51:$AH$69,MATCH(AH166,Lookups!$AD$51:$AD$69,0),0),0)))</f>
        <v/>
      </c>
      <c r="BD166" s="156" t="str">
        <f>IF(ISBLANK(AH166),"",IF(AH166="None",0,IF(K166="Gas",INDEX(Lookups!$AI$51:$AI$69,MATCH(AH166,Lookups!$AD$51:$AD$69,0),0),0)))</f>
        <v/>
      </c>
      <c r="BE166" s="157"/>
      <c r="BF166" s="157"/>
      <c r="BG166" s="147" t="str">
        <f t="shared" si="89"/>
        <v/>
      </c>
      <c r="BH166" s="147" t="str">
        <f t="shared" si="90"/>
        <v/>
      </c>
      <c r="BI166" s="147" t="str">
        <f t="shared" si="74"/>
        <v/>
      </c>
      <c r="BJ166" s="147" t="str">
        <f t="shared" si="75"/>
        <v/>
      </c>
      <c r="BK166" s="148" t="str">
        <f t="shared" si="91"/>
        <v/>
      </c>
      <c r="BL166" s="147" t="str">
        <f t="shared" si="76"/>
        <v/>
      </c>
      <c r="BM166" s="148" t="str">
        <f t="shared" si="92"/>
        <v/>
      </c>
      <c r="BN166" s="147" t="str">
        <f t="shared" si="93"/>
        <v/>
      </c>
      <c r="BO166" s="147" t="str">
        <f t="shared" si="93"/>
        <v/>
      </c>
      <c r="BP166" s="147" t="str">
        <f t="shared" si="94"/>
        <v/>
      </c>
      <c r="BQ166" s="148" t="str">
        <f t="shared" si="95"/>
        <v/>
      </c>
      <c r="BR166" s="148" t="str">
        <f t="shared" si="96"/>
        <v/>
      </c>
      <c r="BS166" s="148" t="str">
        <f t="shared" si="97"/>
        <v/>
      </c>
      <c r="BT166" s="148" t="str">
        <f t="shared" si="77"/>
        <v/>
      </c>
      <c r="BU166" s="148" t="str">
        <f t="shared" si="78"/>
        <v/>
      </c>
      <c r="BV166" s="148" t="str">
        <f t="shared" si="79"/>
        <v/>
      </c>
      <c r="BW166" s="148" t="str">
        <f t="shared" si="80"/>
        <v/>
      </c>
      <c r="BX166" s="148" t="str">
        <f t="shared" si="81"/>
        <v/>
      </c>
      <c r="BY166" s="148" t="str">
        <f t="shared" si="82"/>
        <v/>
      </c>
      <c r="BZ166" s="149" t="str">
        <f>IFERROR(INDEX('Prescriptive Rebate Table'!$B$2:$E$64,MATCH(O166,'Prescriptive Rebate Table'!$C$2:$C$64,0),3),"")</f>
        <v/>
      </c>
      <c r="CA166" s="145" t="str">
        <f>IFERROR(INDEX('Prescriptive Rebate Table'!$B$2:$E$64,MATCH(O166,'Prescriptive Rebate Table'!$C$2:$C$64,0),4),"")</f>
        <v/>
      </c>
      <c r="CB166" s="149" t="str">
        <f t="shared" si="98"/>
        <v/>
      </c>
      <c r="CC166" s="145" t="str">
        <f t="shared" si="99"/>
        <v/>
      </c>
      <c r="CD166" s="149" t="str">
        <f t="shared" si="83"/>
        <v/>
      </c>
      <c r="CE166" s="149" t="str">
        <f t="shared" si="84"/>
        <v/>
      </c>
      <c r="CF166" s="149" t="str">
        <f>IF(BK166&lt;=0,0,IFERROR(IF(OR(ISBLANK(AC166),ISBLANK(CD166))=TRUE,"",IF(CA166="Per Foot",INDEX('Fixture Codes'!$I$8:$I$976,MATCH(AD166,'Fixture Codes'!$B$8:$B$976,0))/12*AF166*BZ166,IF(CA166="Lamp",INDEX('Fixture Codes'!$J$8:$J$976,MATCH(AD166,'Fixture Codes'!$B$8:$B$976,0))*AF166*BZ166,IF(CA166="Fixture",AF166*BZ166,IF(CA166="kWh",BK166*BZ166,0))))),""))</f>
        <v/>
      </c>
      <c r="CG166" s="149" t="str">
        <f t="shared" si="100"/>
        <v/>
      </c>
      <c r="CH166" s="149" t="str">
        <f t="shared" si="101"/>
        <v/>
      </c>
      <c r="CI166" s="152"/>
      <c r="CJ166" s="146"/>
      <c r="CK166" s="241">
        <f>IFERROR(IF(CL166="Yes",'Prescriptive Rebate Table'!$D$69,IF(ISBLANK(AI166),0,IF(AND(AH166=Lookups!$A$62,BK166&gt;0),'Prescriptive Rebate Table'!$D$68,IF(AND(BK166&gt;0,CJ166=AF166),'Prescriptive Rebate Table'!$D$67,IF(AND(BK166&gt;0,CJ166&lt;&gt;AF166),'Prescriptive Rebate Table'!D225,0))))),"")</f>
        <v>0</v>
      </c>
      <c r="CL166" s="240" t="s">
        <v>2712</v>
      </c>
      <c r="CM166" s="152"/>
      <c r="CN166" s="152"/>
      <c r="CO166" s="152"/>
      <c r="CP166" s="146">
        <f t="shared" si="85"/>
        <v>0</v>
      </c>
      <c r="CQ166" s="153">
        <f>IF(D166="Interior",ROUND(($AG166*AF166)/1000*$AM166*(Lookups!$B$54-$AA166)*$AN166*$AO166,3),0)</f>
        <v>0</v>
      </c>
      <c r="CR166" s="153">
        <f>IFERROR(IF(D166="Interior",ROUND(($AG166*$AF166)/1000*(Lookups!$C$54-$AB166)*$AN166*AQ166*AT166,6),0),"")</f>
        <v>0</v>
      </c>
      <c r="CS166" s="165">
        <f t="shared" si="102"/>
        <v>0</v>
      </c>
      <c r="CT166" s="165">
        <f t="shared" si="103"/>
        <v>0</v>
      </c>
      <c r="CV166" s="153"/>
      <c r="CW166" s="153"/>
      <c r="CX166" s="165"/>
      <c r="CY166" s="165"/>
      <c r="DA166" s="153">
        <f>IF(D166="Interior",ROUND(($AG166*AF166*(1-0.15))/1000*$AM166*(Lookups!$B$43+0.097-$AA166)*$AN166*$AO166+((W166*V166)/1000*AN166*AM166*AO166*0.15),3),0)</f>
        <v>0</v>
      </c>
      <c r="DB166" s="153">
        <f>IFERROR(IF(D166="Interior",ROUND(($AG166*$AF166)/1000*(Lookups!$C$43+0.097-$AB166)*$AN166*AQ166*AT166+(($AG166*$AF166)/1000*$AN166*AQ166*AT166*0.15),6),0),"")</f>
        <v>0</v>
      </c>
      <c r="DC166" s="165">
        <f t="shared" si="104"/>
        <v>0</v>
      </c>
      <c r="DD166" s="165">
        <f t="shared" si="105"/>
        <v>0</v>
      </c>
    </row>
    <row r="167" spans="1:108" s="164" customFormat="1">
      <c r="A167" s="150">
        <v>163</v>
      </c>
      <c r="B167" s="153" t="str">
        <f>IFERROR(INDEX(Lookups!$B$2:$B$38,MATCH('Project Info &amp; Summary'!$C$19,Lookups!$A$2:$A$38,0)),"")</f>
        <v/>
      </c>
      <c r="C167" s="153" t="str">
        <f>IFERROR(INDEX(Lookups!$C$2:$C$38,MATCH('Project Info &amp; Summary'!$C$19,Lookups!$A$2:$A$38,0)),"")</f>
        <v/>
      </c>
      <c r="D167" s="163"/>
      <c r="E167" s="160"/>
      <c r="F167" s="158"/>
      <c r="G167" s="158"/>
      <c r="H167" s="158"/>
      <c r="I167" s="158"/>
      <c r="J167" s="154" t="str">
        <f>IFERROR(INDEX(Lookups!$W$21:$W$26,MATCH(I167,Lookups!$V$21:$V$26,0)),"")</f>
        <v/>
      </c>
      <c r="K167" s="158"/>
      <c r="L167" s="162" t="str">
        <f>IFERROR(INDEX(Lookups!$Y$2:$Y$19,MATCH(_xlfn.CONCAT(I167,K167),Lookups!$X$2:$X$19,0)),"")</f>
        <v/>
      </c>
      <c r="M167" s="158"/>
      <c r="N167" s="153" t="str">
        <f>IFERROR(INDEX('Prescriptive Rebate Table'!$M$3:$M$20,MATCH(M167,'Prescriptive Rebate Table'!$L$3:$L$20,0)),"")</f>
        <v/>
      </c>
      <c r="O167" s="158"/>
      <c r="P167" s="154" t="str">
        <f>IFERROR(INDEX('Prescriptive Rebate Table'!$B$2:$H$64, MATCH(O167,'Prescriptive Rebate Table'!$C$2:$C$64,0),7),"")</f>
        <v/>
      </c>
      <c r="Q167" s="155" t="str">
        <f>IFERROR(INDEX('Prescriptive Rebate Table'!$B$2:$I$64, MATCH(O167,'Prescriptive Rebate Table'!$C$2:$C$64,0),8),"")</f>
        <v/>
      </c>
      <c r="R167" s="155" t="str">
        <f>IFERROR(INDEX('Prescriptive Rebate Table'!$B$2:$J$64, MATCH(O167,'Prescriptive Rebate Table'!$C$2:$C$64,0),9),"")</f>
        <v/>
      </c>
      <c r="S167" s="160"/>
      <c r="T167" s="145" t="str">
        <f>IFERROR(INDEX('Fixture Codes'!$M$8:$M$976,MATCH(S167,'Fixture Codes'!$B$8:$B$976,0)),"")</f>
        <v/>
      </c>
      <c r="U167" s="145" t="str">
        <f>IFERROR(INDEX('Fixture Codes'!$B$7:$M$976,MATCH(T167,'Fixture Codes'!$B$7:$B$976,0),5),"")</f>
        <v/>
      </c>
      <c r="V167" s="160"/>
      <c r="W167" s="145" t="str">
        <f>IFERROR(INDEX('Fixture Codes'!$L$8:$L$976,MATCH(T167,'Fixture Codes'!$B$8:$B$976,0)),"")</f>
        <v/>
      </c>
      <c r="X167" s="158"/>
      <c r="Y167" s="159"/>
      <c r="Z167" s="155" t="str">
        <f>IFERROR(INDEX(Lookups!B$68:B$87,MATCH($X167,Lookups!$A$68:$A$87,0)),"")</f>
        <v/>
      </c>
      <c r="AA167" s="150" t="str">
        <f>IFERROR(INDEX(Lookups!B$42:B$62,MATCH($X167,Lookups!$A$42:$A$62,0)),"")</f>
        <v/>
      </c>
      <c r="AB167" s="150" t="str">
        <f>IFERROR(INDEX(Lookups!C$42:C$62,MATCH($X167,Lookups!$A$42:$A$62,0)),"")</f>
        <v/>
      </c>
      <c r="AC167" s="160"/>
      <c r="AD167" s="160"/>
      <c r="AE167" s="150" t="str">
        <f>IFERROR(INDEX('Fixture Codes'!$B$7:$M$976,MATCH(AD167,'Fixture Codes'!$B$7:$B$976,0),5),"")</f>
        <v/>
      </c>
      <c r="AF167" s="160"/>
      <c r="AG167" s="145" t="str">
        <f>IFERROR(INDEX('Fixture Codes'!$L$8:$L$976,MATCH(AD167,'Fixture Codes'!$B$8:$B$976,0)),"")</f>
        <v/>
      </c>
      <c r="AH167" s="158"/>
      <c r="AI167" s="160"/>
      <c r="AJ167" s="150" t="str">
        <f>IFERROR(INDEX(Lookups!B$68:B$87,MATCH($AH167,Lookups!$A$68:$A$87,0)),"")</f>
        <v/>
      </c>
      <c r="AK167" s="150" t="str">
        <f>IFERROR(INDEX(Lookups!B$42:B$62,MATCH($AH167,Lookups!$A$42:$A$62,0)),"")</f>
        <v/>
      </c>
      <c r="AL167" s="150" t="str">
        <f>IFERROR(INDEX(Lookups!C$42:C$62,MATCH($AH167,Lookups!$A$42:$A$62,0)),"")</f>
        <v/>
      </c>
      <c r="AM167" s="150" t="str">
        <f>IFERROR(IF(M167="Exit Signs",8760,IF(INDEX('Fixture Codes'!$C$8:$C$976,MATCH(AD167,'Fixture Codes'!$B$8:$B$976,0))="Exit Sign",8760,INDEX(Lookups!$I$2:$I$428,MATCH(_xlfn.CONCAT(B167,H167),Lookups!$H$2:$H$428,0)))),"")</f>
        <v/>
      </c>
      <c r="AN167" s="153">
        <v>1</v>
      </c>
      <c r="AO167" s="150" t="str">
        <f>IF($D167="Interior",INDEX(Lookups!Q$2:Q$86,MATCH(_xlfn.CONCAT($C167,$L167),Lookups!$P$2:$P$86,0)),IF($D167="Exterior",1,""))</f>
        <v/>
      </c>
      <c r="AP167" s="150">
        <f t="shared" si="88"/>
        <v>1</v>
      </c>
      <c r="AQ167" s="150" t="str">
        <f>IF($D167="Interior",INDEX(Lookups!R$2:R$86,MATCH(_xlfn.CONCAT($C167,$L167),Lookups!$P$2:$P$86,0)),IF($D167="Exterior",1,""))</f>
        <v/>
      </c>
      <c r="AR167" s="150" t="str">
        <f>IF($D167="Interior",INDEX(Lookups!S$2:S$86,MATCH(_xlfn.CONCAT($C167,$L167),Lookups!$P$2:$P$86,0)),IF($D167="Exterior",1,""))</f>
        <v/>
      </c>
      <c r="AS167" s="150" t="str">
        <f>IF($D167="Interior",INDEX(Lookups!T$2:T$86,MATCH(_xlfn.CONCAT($C167,$L167),Lookups!$P$2:$P$86,0)),IF($D167="Exterior",1,""))</f>
        <v/>
      </c>
      <c r="AT167" s="150" t="str">
        <f>IFERROR(IF(M167="Exit Signs",1,IF(INDEX('Fixture Codes'!$C$8:$C$976,MATCH($AD167,'Fixture Codes'!$B$8:$B$976,0))="Exit Sign",1,INDEX(Lookups!J$2:J$428,MATCH(_xlfn.CONCAT($B167,$H167),Lookups!$H$2:$H$428,0)))),"")</f>
        <v/>
      </c>
      <c r="AU167" s="150" t="str">
        <f>IFERROR(IF(M167="Exit Signs",1,IF(INDEX('Fixture Codes'!$C$8:$C$976,MATCH($AD167,'Fixture Codes'!$B$8:$B$976,0))="Exit Sign",1,INDEX(Lookups!K$2:K$428,MATCH(_xlfn.CONCAT($B167,$H167),Lookups!$H$2:$H$428,0)))),"")</f>
        <v/>
      </c>
      <c r="AV167" s="150" t="str">
        <f>IFERROR(IF(M167="Exit Signs",1,IF(INDEX('Fixture Codes'!$C$8:$C$976,MATCH($AD167,'Fixture Codes'!$B$8:$B$976,0))="Exit Sign",1,INDEX(Lookups!L$2:L$428,MATCH(_xlfn.CONCAT($B167,$H167),Lookups!$H$2:$H$428,0)))),"")</f>
        <v/>
      </c>
      <c r="AW167" s="150" t="str">
        <f>IF(ISBLANK(K167),"",IF(K167="Gas",INDEX(Lookups!$AG$2:$AG$63,MATCH(O167,Lookups!$AD$2:$AD$63,0),0),0))</f>
        <v/>
      </c>
      <c r="AX167" s="150" t="str">
        <f>IF(ISBLANK(K167),"",IF(K167="Gas",INDEX(Lookups!$AF$2:$AF$63,MATCH(O167,Lookups!$AD$2:$AD$63,0),0),0))</f>
        <v/>
      </c>
      <c r="AY167" s="150" t="str">
        <f>IF(ISBLANK(K167),"",IF(K167="Gas",INDEX(Lookups!$AH$2:$AH$63,MATCH(O167,Lookups!$AD$2:$AD$63,0),0),0))</f>
        <v/>
      </c>
      <c r="AZ167" s="150" t="str">
        <f>IF(ISBLANK(K167),"",IF(K167="Gas",INDEX(Lookups!$AI$2:$AI$63,MATCH(O167,Lookups!$AD$2:$AD$63,0),0),0))</f>
        <v/>
      </c>
      <c r="BA167" s="150" t="str">
        <f t="shared" si="73"/>
        <v/>
      </c>
      <c r="BB167" s="156" t="str">
        <f>IF(ISBLANK(AH167),"",IF(AH167="None",0,IF(K167="Gas",INDEX(Lookups!$AF$51:$AF$69,MATCH(AH167,Lookups!$AD$51:$AD$69,0),0),0)))</f>
        <v/>
      </c>
      <c r="BC167" s="156" t="str">
        <f>IF(ISBLANK(AH167),"",IF(AH167="None",0,IF(K167="Gas",INDEX(Lookups!$AH$51:$AH$69,MATCH(AH167,Lookups!$AD$51:$AD$69,0),0),0)))</f>
        <v/>
      </c>
      <c r="BD167" s="156" t="str">
        <f>IF(ISBLANK(AH167),"",IF(AH167="None",0,IF(K167="Gas",INDEX(Lookups!$AI$51:$AI$69,MATCH(AH167,Lookups!$AD$51:$AD$69,0),0),0)))</f>
        <v/>
      </c>
      <c r="BE167" s="157"/>
      <c r="BF167" s="157"/>
      <c r="BG167" s="147" t="str">
        <f t="shared" si="89"/>
        <v/>
      </c>
      <c r="BH167" s="147" t="str">
        <f t="shared" si="90"/>
        <v/>
      </c>
      <c r="BI167" s="147" t="str">
        <f t="shared" si="74"/>
        <v/>
      </c>
      <c r="BJ167" s="147" t="str">
        <f t="shared" si="75"/>
        <v/>
      </c>
      <c r="BK167" s="148" t="str">
        <f t="shared" si="91"/>
        <v/>
      </c>
      <c r="BL167" s="147" t="str">
        <f t="shared" si="76"/>
        <v/>
      </c>
      <c r="BM167" s="148" t="str">
        <f t="shared" si="92"/>
        <v/>
      </c>
      <c r="BN167" s="147" t="str">
        <f t="shared" si="93"/>
        <v/>
      </c>
      <c r="BO167" s="147" t="str">
        <f t="shared" si="93"/>
        <v/>
      </c>
      <c r="BP167" s="147" t="str">
        <f t="shared" si="94"/>
        <v/>
      </c>
      <c r="BQ167" s="148" t="str">
        <f t="shared" si="95"/>
        <v/>
      </c>
      <c r="BR167" s="148" t="str">
        <f t="shared" si="96"/>
        <v/>
      </c>
      <c r="BS167" s="148" t="str">
        <f t="shared" si="97"/>
        <v/>
      </c>
      <c r="BT167" s="148" t="str">
        <f t="shared" si="77"/>
        <v/>
      </c>
      <c r="BU167" s="148" t="str">
        <f t="shared" si="78"/>
        <v/>
      </c>
      <c r="BV167" s="148" t="str">
        <f t="shared" si="79"/>
        <v/>
      </c>
      <c r="BW167" s="148" t="str">
        <f t="shared" si="80"/>
        <v/>
      </c>
      <c r="BX167" s="148" t="str">
        <f t="shared" si="81"/>
        <v/>
      </c>
      <c r="BY167" s="148" t="str">
        <f t="shared" si="82"/>
        <v/>
      </c>
      <c r="BZ167" s="149" t="str">
        <f>IFERROR(INDEX('Prescriptive Rebate Table'!$B$2:$E$64,MATCH(O167,'Prescriptive Rebate Table'!$C$2:$C$64,0),3),"")</f>
        <v/>
      </c>
      <c r="CA167" s="145" t="str">
        <f>IFERROR(INDEX('Prescriptive Rebate Table'!$B$2:$E$64,MATCH(O167,'Prescriptive Rebate Table'!$C$2:$C$64,0),4),"")</f>
        <v/>
      </c>
      <c r="CB167" s="149" t="str">
        <f t="shared" si="98"/>
        <v/>
      </c>
      <c r="CC167" s="145" t="str">
        <f t="shared" si="99"/>
        <v/>
      </c>
      <c r="CD167" s="149" t="str">
        <f t="shared" si="83"/>
        <v/>
      </c>
      <c r="CE167" s="149" t="str">
        <f t="shared" si="84"/>
        <v/>
      </c>
      <c r="CF167" s="149" t="str">
        <f>IF(BK167&lt;=0,0,IFERROR(IF(OR(ISBLANK(AC167),ISBLANK(CD167))=TRUE,"",IF(CA167="Per Foot",INDEX('Fixture Codes'!$I$8:$I$976,MATCH(AD167,'Fixture Codes'!$B$8:$B$976,0))/12*AF167*BZ167,IF(CA167="Lamp",INDEX('Fixture Codes'!$J$8:$J$976,MATCH(AD167,'Fixture Codes'!$B$8:$B$976,0))*AF167*BZ167,IF(CA167="Fixture",AF167*BZ167,IF(CA167="kWh",BK167*BZ167,0))))),""))</f>
        <v/>
      </c>
      <c r="CG167" s="149" t="str">
        <f t="shared" si="100"/>
        <v/>
      </c>
      <c r="CH167" s="149" t="str">
        <f t="shared" si="101"/>
        <v/>
      </c>
      <c r="CI167" s="152"/>
      <c r="CJ167" s="146"/>
      <c r="CK167" s="241">
        <f>IFERROR(IF(CL167="Yes",'Prescriptive Rebate Table'!$D$69,IF(ISBLANK(AI167),0,IF(AND(AH167=Lookups!$A$62,BK167&gt;0),'Prescriptive Rebate Table'!$D$68,IF(AND(BK167&gt;0,CJ167=AF167),'Prescriptive Rebate Table'!$D$67,IF(AND(BK167&gt;0,CJ167&lt;&gt;AF167),'Prescriptive Rebate Table'!D226,0))))),"")</f>
        <v>0</v>
      </c>
      <c r="CL167" s="240" t="s">
        <v>2712</v>
      </c>
      <c r="CM167" s="152"/>
      <c r="CN167" s="152"/>
      <c r="CO167" s="152"/>
      <c r="CP167" s="146">
        <f t="shared" si="85"/>
        <v>0</v>
      </c>
      <c r="CQ167" s="153">
        <f>IF(D167="Interior",ROUND(($AG167*AF167)/1000*$AM167*(Lookups!$B$54-$AA167)*$AN167*$AO167,3),0)</f>
        <v>0</v>
      </c>
      <c r="CR167" s="153">
        <f>IFERROR(IF(D167="Interior",ROUND(($AG167*$AF167)/1000*(Lookups!$C$54-$AB167)*$AN167*AQ167*AT167,6),0),"")</f>
        <v>0</v>
      </c>
      <c r="CS167" s="165">
        <f t="shared" si="102"/>
        <v>0</v>
      </c>
      <c r="CT167" s="165">
        <f t="shared" si="103"/>
        <v>0</v>
      </c>
      <c r="CV167" s="153"/>
      <c r="CW167" s="153"/>
      <c r="CX167" s="165"/>
      <c r="CY167" s="165"/>
      <c r="DA167" s="153">
        <f>IF(D167="Interior",ROUND(($AG167*AF167*(1-0.15))/1000*$AM167*(Lookups!$B$43+0.097-$AA167)*$AN167*$AO167+((W167*V167)/1000*AN167*AM167*AO167*0.15),3),0)</f>
        <v>0</v>
      </c>
      <c r="DB167" s="153">
        <f>IFERROR(IF(D167="Interior",ROUND(($AG167*$AF167)/1000*(Lookups!$C$43+0.097-$AB167)*$AN167*AQ167*AT167+(($AG167*$AF167)/1000*$AN167*AQ167*AT167*0.15),6),0),"")</f>
        <v>0</v>
      </c>
      <c r="DC167" s="165">
        <f t="shared" si="104"/>
        <v>0</v>
      </c>
      <c r="DD167" s="165">
        <f t="shared" si="105"/>
        <v>0</v>
      </c>
    </row>
    <row r="168" spans="1:108" s="164" customFormat="1">
      <c r="A168" s="150">
        <v>164</v>
      </c>
      <c r="B168" s="153" t="str">
        <f>IFERROR(INDEX(Lookups!$B$2:$B$38,MATCH('Project Info &amp; Summary'!$C$19,Lookups!$A$2:$A$38,0)),"")</f>
        <v/>
      </c>
      <c r="C168" s="153" t="str">
        <f>IFERROR(INDEX(Lookups!$C$2:$C$38,MATCH('Project Info &amp; Summary'!$C$19,Lookups!$A$2:$A$38,0)),"")</f>
        <v/>
      </c>
      <c r="D168" s="163"/>
      <c r="E168" s="160"/>
      <c r="F168" s="158"/>
      <c r="G168" s="158"/>
      <c r="H168" s="158"/>
      <c r="I168" s="158"/>
      <c r="J168" s="154" t="str">
        <f>IFERROR(INDEX(Lookups!$W$21:$W$26,MATCH(I168,Lookups!$V$21:$V$26,0)),"")</f>
        <v/>
      </c>
      <c r="K168" s="158"/>
      <c r="L168" s="162" t="str">
        <f>IFERROR(INDEX(Lookups!$Y$2:$Y$19,MATCH(_xlfn.CONCAT(I168,K168),Lookups!$X$2:$X$19,0)),"")</f>
        <v/>
      </c>
      <c r="M168" s="158"/>
      <c r="N168" s="153" t="str">
        <f>IFERROR(INDEX('Prescriptive Rebate Table'!$M$3:$M$20,MATCH(M168,'Prescriptive Rebate Table'!$L$3:$L$20,0)),"")</f>
        <v/>
      </c>
      <c r="O168" s="158"/>
      <c r="P168" s="154" t="str">
        <f>IFERROR(INDEX('Prescriptive Rebate Table'!$B$2:$H$64, MATCH(O168,'Prescriptive Rebate Table'!$C$2:$C$64,0),7),"")</f>
        <v/>
      </c>
      <c r="Q168" s="155" t="str">
        <f>IFERROR(INDEX('Prescriptive Rebate Table'!$B$2:$I$64, MATCH(O168,'Prescriptive Rebate Table'!$C$2:$C$64,0),8),"")</f>
        <v/>
      </c>
      <c r="R168" s="155" t="str">
        <f>IFERROR(INDEX('Prescriptive Rebate Table'!$B$2:$J$64, MATCH(O168,'Prescriptive Rebate Table'!$C$2:$C$64,0),9),"")</f>
        <v/>
      </c>
      <c r="S168" s="160"/>
      <c r="T168" s="145" t="str">
        <f>IFERROR(INDEX('Fixture Codes'!$M$8:$M$976,MATCH(S168,'Fixture Codes'!$B$8:$B$976,0)),"")</f>
        <v/>
      </c>
      <c r="U168" s="145" t="str">
        <f>IFERROR(INDEX('Fixture Codes'!$B$7:$M$976,MATCH(T168,'Fixture Codes'!$B$7:$B$976,0),5),"")</f>
        <v/>
      </c>
      <c r="V168" s="160"/>
      <c r="W168" s="145" t="str">
        <f>IFERROR(INDEX('Fixture Codes'!$L$8:$L$976,MATCH(T168,'Fixture Codes'!$B$8:$B$976,0)),"")</f>
        <v/>
      </c>
      <c r="X168" s="158"/>
      <c r="Y168" s="159"/>
      <c r="Z168" s="155" t="str">
        <f>IFERROR(INDEX(Lookups!B$68:B$87,MATCH($X168,Lookups!$A$68:$A$87,0)),"")</f>
        <v/>
      </c>
      <c r="AA168" s="150" t="str">
        <f>IFERROR(INDEX(Lookups!B$42:B$62,MATCH($X168,Lookups!$A$42:$A$62,0)),"")</f>
        <v/>
      </c>
      <c r="AB168" s="150" t="str">
        <f>IFERROR(INDEX(Lookups!C$42:C$62,MATCH($X168,Lookups!$A$42:$A$62,0)),"")</f>
        <v/>
      </c>
      <c r="AC168" s="160"/>
      <c r="AD168" s="160"/>
      <c r="AE168" s="150" t="str">
        <f>IFERROR(INDEX('Fixture Codes'!$B$7:$M$976,MATCH(AD168,'Fixture Codes'!$B$7:$B$976,0),5),"")</f>
        <v/>
      </c>
      <c r="AF168" s="160"/>
      <c r="AG168" s="145" t="str">
        <f>IFERROR(INDEX('Fixture Codes'!$L$8:$L$976,MATCH(AD168,'Fixture Codes'!$B$8:$B$976,0)),"")</f>
        <v/>
      </c>
      <c r="AH168" s="158"/>
      <c r="AI168" s="160"/>
      <c r="AJ168" s="150" t="str">
        <f>IFERROR(INDEX(Lookups!B$68:B$87,MATCH($AH168,Lookups!$A$68:$A$87,0)),"")</f>
        <v/>
      </c>
      <c r="AK168" s="150" t="str">
        <f>IFERROR(INDEX(Lookups!B$42:B$62,MATCH($AH168,Lookups!$A$42:$A$62,0)),"")</f>
        <v/>
      </c>
      <c r="AL168" s="150" t="str">
        <f>IFERROR(INDEX(Lookups!C$42:C$62,MATCH($AH168,Lookups!$A$42:$A$62,0)),"")</f>
        <v/>
      </c>
      <c r="AM168" s="150" t="str">
        <f>IFERROR(IF(M168="Exit Signs",8760,IF(INDEX('Fixture Codes'!$C$8:$C$976,MATCH(AD168,'Fixture Codes'!$B$8:$B$976,0))="Exit Sign",8760,INDEX(Lookups!$I$2:$I$428,MATCH(_xlfn.CONCAT(B168,H168),Lookups!$H$2:$H$428,0)))),"")</f>
        <v/>
      </c>
      <c r="AN168" s="153">
        <v>1</v>
      </c>
      <c r="AO168" s="150" t="str">
        <f>IF($D168="Interior",INDEX(Lookups!Q$2:Q$86,MATCH(_xlfn.CONCAT($C168,$L168),Lookups!$P$2:$P$86,0)),IF($D168="Exterior",1,""))</f>
        <v/>
      </c>
      <c r="AP168" s="150">
        <f t="shared" si="88"/>
        <v>1</v>
      </c>
      <c r="AQ168" s="150" t="str">
        <f>IF($D168="Interior",INDEX(Lookups!R$2:R$86,MATCH(_xlfn.CONCAT($C168,$L168),Lookups!$P$2:$P$86,0)),IF($D168="Exterior",1,""))</f>
        <v/>
      </c>
      <c r="AR168" s="150" t="str">
        <f>IF($D168="Interior",INDEX(Lookups!S$2:S$86,MATCH(_xlfn.CONCAT($C168,$L168),Lookups!$P$2:$P$86,0)),IF($D168="Exterior",1,""))</f>
        <v/>
      </c>
      <c r="AS168" s="150" t="str">
        <f>IF($D168="Interior",INDEX(Lookups!T$2:T$86,MATCH(_xlfn.CONCAT($C168,$L168),Lookups!$P$2:$P$86,0)),IF($D168="Exterior",1,""))</f>
        <v/>
      </c>
      <c r="AT168" s="150" t="str">
        <f>IFERROR(IF(M168="Exit Signs",1,IF(INDEX('Fixture Codes'!$C$8:$C$976,MATCH($AD168,'Fixture Codes'!$B$8:$B$976,0))="Exit Sign",1,INDEX(Lookups!J$2:J$428,MATCH(_xlfn.CONCAT($B168,$H168),Lookups!$H$2:$H$428,0)))),"")</f>
        <v/>
      </c>
      <c r="AU168" s="150" t="str">
        <f>IFERROR(IF(M168="Exit Signs",1,IF(INDEX('Fixture Codes'!$C$8:$C$976,MATCH($AD168,'Fixture Codes'!$B$8:$B$976,0))="Exit Sign",1,INDEX(Lookups!K$2:K$428,MATCH(_xlfn.CONCAT($B168,$H168),Lookups!$H$2:$H$428,0)))),"")</f>
        <v/>
      </c>
      <c r="AV168" s="150" t="str">
        <f>IFERROR(IF(M168="Exit Signs",1,IF(INDEX('Fixture Codes'!$C$8:$C$976,MATCH($AD168,'Fixture Codes'!$B$8:$B$976,0))="Exit Sign",1,INDEX(Lookups!L$2:L$428,MATCH(_xlfn.CONCAT($B168,$H168),Lookups!$H$2:$H$428,0)))),"")</f>
        <v/>
      </c>
      <c r="AW168" s="150" t="str">
        <f>IF(ISBLANK(K168),"",IF(K168="Gas",INDEX(Lookups!$AG$2:$AG$63,MATCH(O168,Lookups!$AD$2:$AD$63,0),0),0))</f>
        <v/>
      </c>
      <c r="AX168" s="150" t="str">
        <f>IF(ISBLANK(K168),"",IF(K168="Gas",INDEX(Lookups!$AF$2:$AF$63,MATCH(O168,Lookups!$AD$2:$AD$63,0),0),0))</f>
        <v/>
      </c>
      <c r="AY168" s="150" t="str">
        <f>IF(ISBLANK(K168),"",IF(K168="Gas",INDEX(Lookups!$AH$2:$AH$63,MATCH(O168,Lookups!$AD$2:$AD$63,0),0),0))</f>
        <v/>
      </c>
      <c r="AZ168" s="150" t="str">
        <f>IF(ISBLANK(K168),"",IF(K168="Gas",INDEX(Lookups!$AI$2:$AI$63,MATCH(O168,Lookups!$AD$2:$AD$63,0),0),0))</f>
        <v/>
      </c>
      <c r="BA168" s="150" t="str">
        <f t="shared" si="73"/>
        <v/>
      </c>
      <c r="BB168" s="156" t="str">
        <f>IF(ISBLANK(AH168),"",IF(AH168="None",0,IF(K168="Gas",INDEX(Lookups!$AF$51:$AF$69,MATCH(AH168,Lookups!$AD$51:$AD$69,0),0),0)))</f>
        <v/>
      </c>
      <c r="BC168" s="156" t="str">
        <f>IF(ISBLANK(AH168),"",IF(AH168="None",0,IF(K168="Gas",INDEX(Lookups!$AH$51:$AH$69,MATCH(AH168,Lookups!$AD$51:$AD$69,0),0),0)))</f>
        <v/>
      </c>
      <c r="BD168" s="156" t="str">
        <f>IF(ISBLANK(AH168),"",IF(AH168="None",0,IF(K168="Gas",INDEX(Lookups!$AI$51:$AI$69,MATCH(AH168,Lookups!$AD$51:$AD$69,0),0),0)))</f>
        <v/>
      </c>
      <c r="BE168" s="157"/>
      <c r="BF168" s="157"/>
      <c r="BG168" s="147" t="str">
        <f t="shared" si="89"/>
        <v/>
      </c>
      <c r="BH168" s="147" t="str">
        <f t="shared" si="90"/>
        <v/>
      </c>
      <c r="BI168" s="147" t="str">
        <f t="shared" si="74"/>
        <v/>
      </c>
      <c r="BJ168" s="147" t="str">
        <f t="shared" si="75"/>
        <v/>
      </c>
      <c r="BK168" s="148" t="str">
        <f t="shared" si="91"/>
        <v/>
      </c>
      <c r="BL168" s="147" t="str">
        <f t="shared" si="76"/>
        <v/>
      </c>
      <c r="BM168" s="148" t="str">
        <f t="shared" si="92"/>
        <v/>
      </c>
      <c r="BN168" s="147" t="str">
        <f t="shared" si="93"/>
        <v/>
      </c>
      <c r="BO168" s="147" t="str">
        <f t="shared" si="93"/>
        <v/>
      </c>
      <c r="BP168" s="147" t="str">
        <f t="shared" si="94"/>
        <v/>
      </c>
      <c r="BQ168" s="148" t="str">
        <f t="shared" si="95"/>
        <v/>
      </c>
      <c r="BR168" s="148" t="str">
        <f t="shared" si="96"/>
        <v/>
      </c>
      <c r="BS168" s="148" t="str">
        <f t="shared" si="97"/>
        <v/>
      </c>
      <c r="BT168" s="148" t="str">
        <f t="shared" si="77"/>
        <v/>
      </c>
      <c r="BU168" s="148" t="str">
        <f t="shared" si="78"/>
        <v/>
      </c>
      <c r="BV168" s="148" t="str">
        <f t="shared" si="79"/>
        <v/>
      </c>
      <c r="BW168" s="148" t="str">
        <f t="shared" si="80"/>
        <v/>
      </c>
      <c r="BX168" s="148" t="str">
        <f t="shared" si="81"/>
        <v/>
      </c>
      <c r="BY168" s="148" t="str">
        <f t="shared" si="82"/>
        <v/>
      </c>
      <c r="BZ168" s="149" t="str">
        <f>IFERROR(INDEX('Prescriptive Rebate Table'!$B$2:$E$64,MATCH(O168,'Prescriptive Rebate Table'!$C$2:$C$64,0),3),"")</f>
        <v/>
      </c>
      <c r="CA168" s="145" t="str">
        <f>IFERROR(INDEX('Prescriptive Rebate Table'!$B$2:$E$64,MATCH(O168,'Prescriptive Rebate Table'!$C$2:$C$64,0),4),"")</f>
        <v/>
      </c>
      <c r="CB168" s="149" t="str">
        <f t="shared" si="98"/>
        <v/>
      </c>
      <c r="CC168" s="145" t="str">
        <f t="shared" si="99"/>
        <v/>
      </c>
      <c r="CD168" s="149" t="str">
        <f t="shared" si="83"/>
        <v/>
      </c>
      <c r="CE168" s="149" t="str">
        <f t="shared" si="84"/>
        <v/>
      </c>
      <c r="CF168" s="149" t="str">
        <f>IF(BK168&lt;=0,0,IFERROR(IF(OR(ISBLANK(AC168),ISBLANK(CD168))=TRUE,"",IF(CA168="Per Foot",INDEX('Fixture Codes'!$I$8:$I$976,MATCH(AD168,'Fixture Codes'!$B$8:$B$976,0))/12*AF168*BZ168,IF(CA168="Lamp",INDEX('Fixture Codes'!$J$8:$J$976,MATCH(AD168,'Fixture Codes'!$B$8:$B$976,0))*AF168*BZ168,IF(CA168="Fixture",AF168*BZ168,IF(CA168="kWh",BK168*BZ168,0))))),""))</f>
        <v/>
      </c>
      <c r="CG168" s="149" t="str">
        <f t="shared" si="100"/>
        <v/>
      </c>
      <c r="CH168" s="149" t="str">
        <f t="shared" si="101"/>
        <v/>
      </c>
      <c r="CI168" s="152"/>
      <c r="CJ168" s="146"/>
      <c r="CK168" s="241">
        <f>IFERROR(IF(CL168="Yes",'Prescriptive Rebate Table'!$D$69,IF(ISBLANK(AI168),0,IF(AND(AH168=Lookups!$A$62,BK168&gt;0),'Prescriptive Rebate Table'!$D$68,IF(AND(BK168&gt;0,CJ168=AF168),'Prescriptive Rebate Table'!$D$67,IF(AND(BK168&gt;0,CJ168&lt;&gt;AF168),'Prescriptive Rebate Table'!D227,0))))),"")</f>
        <v>0</v>
      </c>
      <c r="CL168" s="240" t="s">
        <v>2712</v>
      </c>
      <c r="CM168" s="152"/>
      <c r="CN168" s="152"/>
      <c r="CO168" s="152"/>
      <c r="CP168" s="146">
        <f t="shared" si="85"/>
        <v>0</v>
      </c>
      <c r="CQ168" s="153">
        <f>IF(D168="Interior",ROUND(($AG168*AF168)/1000*$AM168*(Lookups!$B$54-$AA168)*$AN168*$AO168,3),0)</f>
        <v>0</v>
      </c>
      <c r="CR168" s="153">
        <f>IFERROR(IF(D168="Interior",ROUND(($AG168*$AF168)/1000*(Lookups!$C$54-$AB168)*$AN168*AQ168*AT168,6),0),"")</f>
        <v>0</v>
      </c>
      <c r="CS168" s="165">
        <f t="shared" si="102"/>
        <v>0</v>
      </c>
      <c r="CT168" s="165">
        <f t="shared" si="103"/>
        <v>0</v>
      </c>
      <c r="CV168" s="153"/>
      <c r="CW168" s="153"/>
      <c r="CX168" s="165"/>
      <c r="CY168" s="165"/>
      <c r="DA168" s="153">
        <f>IF(D168="Interior",ROUND(($AG168*AF168*(1-0.15))/1000*$AM168*(Lookups!$B$43+0.097-$AA168)*$AN168*$AO168+((W168*V168)/1000*AN168*AM168*AO168*0.15),3),0)</f>
        <v>0</v>
      </c>
      <c r="DB168" s="153">
        <f>IFERROR(IF(D168="Interior",ROUND(($AG168*$AF168)/1000*(Lookups!$C$43+0.097-$AB168)*$AN168*AQ168*AT168+(($AG168*$AF168)/1000*$AN168*AQ168*AT168*0.15),6),0),"")</f>
        <v>0</v>
      </c>
      <c r="DC168" s="165">
        <f t="shared" si="104"/>
        <v>0</v>
      </c>
      <c r="DD168" s="165">
        <f t="shared" si="105"/>
        <v>0</v>
      </c>
    </row>
    <row r="169" spans="1:108" s="164" customFormat="1">
      <c r="A169" s="150">
        <v>165</v>
      </c>
      <c r="B169" s="153" t="str">
        <f>IFERROR(INDEX(Lookups!$B$2:$B$38,MATCH('Project Info &amp; Summary'!$C$19,Lookups!$A$2:$A$38,0)),"")</f>
        <v/>
      </c>
      <c r="C169" s="153" t="str">
        <f>IFERROR(INDEX(Lookups!$C$2:$C$38,MATCH('Project Info &amp; Summary'!$C$19,Lookups!$A$2:$A$38,0)),"")</f>
        <v/>
      </c>
      <c r="D169" s="163"/>
      <c r="E169" s="160"/>
      <c r="F169" s="158"/>
      <c r="G169" s="158"/>
      <c r="H169" s="158"/>
      <c r="I169" s="158"/>
      <c r="J169" s="154" t="str">
        <f>IFERROR(INDEX(Lookups!$W$21:$W$26,MATCH(I169,Lookups!$V$21:$V$26,0)),"")</f>
        <v/>
      </c>
      <c r="K169" s="158"/>
      <c r="L169" s="162" t="str">
        <f>IFERROR(INDEX(Lookups!$Y$2:$Y$19,MATCH(_xlfn.CONCAT(I169,K169),Lookups!$X$2:$X$19,0)),"")</f>
        <v/>
      </c>
      <c r="M169" s="158"/>
      <c r="N169" s="153" t="str">
        <f>IFERROR(INDEX('Prescriptive Rebate Table'!$M$3:$M$20,MATCH(M169,'Prescriptive Rebate Table'!$L$3:$L$20,0)),"")</f>
        <v/>
      </c>
      <c r="O169" s="158"/>
      <c r="P169" s="154" t="str">
        <f>IFERROR(INDEX('Prescriptive Rebate Table'!$B$2:$H$64, MATCH(O169,'Prescriptive Rebate Table'!$C$2:$C$64,0),7),"")</f>
        <v/>
      </c>
      <c r="Q169" s="155" t="str">
        <f>IFERROR(INDEX('Prescriptive Rebate Table'!$B$2:$I$64, MATCH(O169,'Prescriptive Rebate Table'!$C$2:$C$64,0),8),"")</f>
        <v/>
      </c>
      <c r="R169" s="155" t="str">
        <f>IFERROR(INDEX('Prescriptive Rebate Table'!$B$2:$J$64, MATCH(O169,'Prescriptive Rebate Table'!$C$2:$C$64,0),9),"")</f>
        <v/>
      </c>
      <c r="S169" s="160"/>
      <c r="T169" s="145" t="str">
        <f>IFERROR(INDEX('Fixture Codes'!$M$8:$M$976,MATCH(S169,'Fixture Codes'!$B$8:$B$976,0)),"")</f>
        <v/>
      </c>
      <c r="U169" s="145" t="str">
        <f>IFERROR(INDEX('Fixture Codes'!$B$7:$M$976,MATCH(T169,'Fixture Codes'!$B$7:$B$976,0),5),"")</f>
        <v/>
      </c>
      <c r="V169" s="160"/>
      <c r="W169" s="145" t="str">
        <f>IFERROR(INDEX('Fixture Codes'!$L$8:$L$976,MATCH(T169,'Fixture Codes'!$B$8:$B$976,0)),"")</f>
        <v/>
      </c>
      <c r="X169" s="158"/>
      <c r="Y169" s="159"/>
      <c r="Z169" s="155" t="str">
        <f>IFERROR(INDEX(Lookups!B$68:B$87,MATCH($X169,Lookups!$A$68:$A$87,0)),"")</f>
        <v/>
      </c>
      <c r="AA169" s="150" t="str">
        <f>IFERROR(INDEX(Lookups!B$42:B$62,MATCH($X169,Lookups!$A$42:$A$62,0)),"")</f>
        <v/>
      </c>
      <c r="AB169" s="150" t="str">
        <f>IFERROR(INDEX(Lookups!C$42:C$62,MATCH($X169,Lookups!$A$42:$A$62,0)),"")</f>
        <v/>
      </c>
      <c r="AC169" s="160"/>
      <c r="AD169" s="160"/>
      <c r="AE169" s="150" t="str">
        <f>IFERROR(INDEX('Fixture Codes'!$B$7:$M$976,MATCH(AD169,'Fixture Codes'!$B$7:$B$976,0),5),"")</f>
        <v/>
      </c>
      <c r="AF169" s="160"/>
      <c r="AG169" s="145" t="str">
        <f>IFERROR(INDEX('Fixture Codes'!$L$8:$L$976,MATCH(AD169,'Fixture Codes'!$B$8:$B$976,0)),"")</f>
        <v/>
      </c>
      <c r="AH169" s="158"/>
      <c r="AI169" s="160"/>
      <c r="AJ169" s="150" t="str">
        <f>IFERROR(INDEX(Lookups!B$68:B$87,MATCH($AH169,Lookups!$A$68:$A$87,0)),"")</f>
        <v/>
      </c>
      <c r="AK169" s="150" t="str">
        <f>IFERROR(INDEX(Lookups!B$42:B$62,MATCH($AH169,Lookups!$A$42:$A$62,0)),"")</f>
        <v/>
      </c>
      <c r="AL169" s="150" t="str">
        <f>IFERROR(INDEX(Lookups!C$42:C$62,MATCH($AH169,Lookups!$A$42:$A$62,0)),"")</f>
        <v/>
      </c>
      <c r="AM169" s="150" t="str">
        <f>IFERROR(IF(M169="Exit Signs",8760,IF(INDEX('Fixture Codes'!$C$8:$C$976,MATCH(AD169,'Fixture Codes'!$B$8:$B$976,0))="Exit Sign",8760,INDEX(Lookups!$I$2:$I$428,MATCH(_xlfn.CONCAT(B169,H169),Lookups!$H$2:$H$428,0)))),"")</f>
        <v/>
      </c>
      <c r="AN169" s="153">
        <v>1</v>
      </c>
      <c r="AO169" s="150" t="str">
        <f>IF($D169="Interior",INDEX(Lookups!Q$2:Q$86,MATCH(_xlfn.CONCAT($C169,$L169),Lookups!$P$2:$P$86,0)),IF($D169="Exterior",1,""))</f>
        <v/>
      </c>
      <c r="AP169" s="150">
        <f t="shared" si="88"/>
        <v>1</v>
      </c>
      <c r="AQ169" s="150" t="str">
        <f>IF($D169="Interior",INDEX(Lookups!R$2:R$86,MATCH(_xlfn.CONCAT($C169,$L169),Lookups!$P$2:$P$86,0)),IF($D169="Exterior",1,""))</f>
        <v/>
      </c>
      <c r="AR169" s="150" t="str">
        <f>IF($D169="Interior",INDEX(Lookups!S$2:S$86,MATCH(_xlfn.CONCAT($C169,$L169),Lookups!$P$2:$P$86,0)),IF($D169="Exterior",1,""))</f>
        <v/>
      </c>
      <c r="AS169" s="150" t="str">
        <f>IF($D169="Interior",INDEX(Lookups!T$2:T$86,MATCH(_xlfn.CONCAT($C169,$L169),Lookups!$P$2:$P$86,0)),IF($D169="Exterior",1,""))</f>
        <v/>
      </c>
      <c r="AT169" s="150" t="str">
        <f>IFERROR(IF(M169="Exit Signs",1,IF(INDEX('Fixture Codes'!$C$8:$C$976,MATCH($AD169,'Fixture Codes'!$B$8:$B$976,0))="Exit Sign",1,INDEX(Lookups!J$2:J$428,MATCH(_xlfn.CONCAT($B169,$H169),Lookups!$H$2:$H$428,0)))),"")</f>
        <v/>
      </c>
      <c r="AU169" s="150" t="str">
        <f>IFERROR(IF(M169="Exit Signs",1,IF(INDEX('Fixture Codes'!$C$8:$C$976,MATCH($AD169,'Fixture Codes'!$B$8:$B$976,0))="Exit Sign",1,INDEX(Lookups!K$2:K$428,MATCH(_xlfn.CONCAT($B169,$H169),Lookups!$H$2:$H$428,0)))),"")</f>
        <v/>
      </c>
      <c r="AV169" s="150" t="str">
        <f>IFERROR(IF(M169="Exit Signs",1,IF(INDEX('Fixture Codes'!$C$8:$C$976,MATCH($AD169,'Fixture Codes'!$B$8:$B$976,0))="Exit Sign",1,INDEX(Lookups!L$2:L$428,MATCH(_xlfn.CONCAT($B169,$H169),Lookups!$H$2:$H$428,0)))),"")</f>
        <v/>
      </c>
      <c r="AW169" s="150" t="str">
        <f>IF(ISBLANK(K169),"",IF(K169="Gas",INDEX(Lookups!$AG$2:$AG$63,MATCH(O169,Lookups!$AD$2:$AD$63,0),0),0))</f>
        <v/>
      </c>
      <c r="AX169" s="150" t="str">
        <f>IF(ISBLANK(K169),"",IF(K169="Gas",INDEX(Lookups!$AF$2:$AF$63,MATCH(O169,Lookups!$AD$2:$AD$63,0),0),0))</f>
        <v/>
      </c>
      <c r="AY169" s="150" t="str">
        <f>IF(ISBLANK(K169),"",IF(K169="Gas",INDEX(Lookups!$AH$2:$AH$63,MATCH(O169,Lookups!$AD$2:$AD$63,0),0),0))</f>
        <v/>
      </c>
      <c r="AZ169" s="150" t="str">
        <f>IF(ISBLANK(K169),"",IF(K169="Gas",INDEX(Lookups!$AI$2:$AI$63,MATCH(O169,Lookups!$AD$2:$AD$63,0),0),0))</f>
        <v/>
      </c>
      <c r="BA169" s="150" t="str">
        <f t="shared" si="73"/>
        <v/>
      </c>
      <c r="BB169" s="156" t="str">
        <f>IF(ISBLANK(AH169),"",IF(AH169="None",0,IF(K169="Gas",INDEX(Lookups!$AF$51:$AF$69,MATCH(AH169,Lookups!$AD$51:$AD$69,0),0),0)))</f>
        <v/>
      </c>
      <c r="BC169" s="156" t="str">
        <f>IF(ISBLANK(AH169),"",IF(AH169="None",0,IF(K169="Gas",INDEX(Lookups!$AH$51:$AH$69,MATCH(AH169,Lookups!$AD$51:$AD$69,0),0),0)))</f>
        <v/>
      </c>
      <c r="BD169" s="156" t="str">
        <f>IF(ISBLANK(AH169),"",IF(AH169="None",0,IF(K169="Gas",INDEX(Lookups!$AI$51:$AI$69,MATCH(AH169,Lookups!$AD$51:$AD$69,0),0),0)))</f>
        <v/>
      </c>
      <c r="BE169" s="157"/>
      <c r="BF169" s="157"/>
      <c r="BG169" s="147" t="str">
        <f t="shared" si="89"/>
        <v/>
      </c>
      <c r="BH169" s="147" t="str">
        <f t="shared" si="90"/>
        <v/>
      </c>
      <c r="BI169" s="147" t="str">
        <f t="shared" si="74"/>
        <v/>
      </c>
      <c r="BJ169" s="147" t="str">
        <f t="shared" si="75"/>
        <v/>
      </c>
      <c r="BK169" s="148" t="str">
        <f t="shared" si="91"/>
        <v/>
      </c>
      <c r="BL169" s="147" t="str">
        <f t="shared" si="76"/>
        <v/>
      </c>
      <c r="BM169" s="148" t="str">
        <f t="shared" si="92"/>
        <v/>
      </c>
      <c r="BN169" s="147" t="str">
        <f t="shared" si="93"/>
        <v/>
      </c>
      <c r="BO169" s="147" t="str">
        <f t="shared" si="93"/>
        <v/>
      </c>
      <c r="BP169" s="147" t="str">
        <f t="shared" si="94"/>
        <v/>
      </c>
      <c r="BQ169" s="148" t="str">
        <f t="shared" si="95"/>
        <v/>
      </c>
      <c r="BR169" s="148" t="str">
        <f t="shared" si="96"/>
        <v/>
      </c>
      <c r="BS169" s="148" t="str">
        <f t="shared" si="97"/>
        <v/>
      </c>
      <c r="BT169" s="148" t="str">
        <f t="shared" si="77"/>
        <v/>
      </c>
      <c r="BU169" s="148" t="str">
        <f t="shared" si="78"/>
        <v/>
      </c>
      <c r="BV169" s="148" t="str">
        <f t="shared" si="79"/>
        <v/>
      </c>
      <c r="BW169" s="148" t="str">
        <f t="shared" si="80"/>
        <v/>
      </c>
      <c r="BX169" s="148" t="str">
        <f t="shared" si="81"/>
        <v/>
      </c>
      <c r="BY169" s="148" t="str">
        <f t="shared" si="82"/>
        <v/>
      </c>
      <c r="BZ169" s="149" t="str">
        <f>IFERROR(INDEX('Prescriptive Rebate Table'!$B$2:$E$64,MATCH(O169,'Prescriptive Rebate Table'!$C$2:$C$64,0),3),"")</f>
        <v/>
      </c>
      <c r="CA169" s="145" t="str">
        <f>IFERROR(INDEX('Prescriptive Rebate Table'!$B$2:$E$64,MATCH(O169,'Prescriptive Rebate Table'!$C$2:$C$64,0),4),"")</f>
        <v/>
      </c>
      <c r="CB169" s="149" t="str">
        <f t="shared" si="98"/>
        <v/>
      </c>
      <c r="CC169" s="145" t="str">
        <f t="shared" si="99"/>
        <v/>
      </c>
      <c r="CD169" s="149" t="str">
        <f t="shared" si="83"/>
        <v/>
      </c>
      <c r="CE169" s="149" t="str">
        <f t="shared" si="84"/>
        <v/>
      </c>
      <c r="CF169" s="149" t="str">
        <f>IF(BK169&lt;=0,0,IFERROR(IF(OR(ISBLANK(AC169),ISBLANK(CD169))=TRUE,"",IF(CA169="Per Foot",INDEX('Fixture Codes'!$I$8:$I$976,MATCH(AD169,'Fixture Codes'!$B$8:$B$976,0))/12*AF169*BZ169,IF(CA169="Lamp",INDEX('Fixture Codes'!$J$8:$J$976,MATCH(AD169,'Fixture Codes'!$B$8:$B$976,0))*AF169*BZ169,IF(CA169="Fixture",AF169*BZ169,IF(CA169="kWh",BK169*BZ169,0))))),""))</f>
        <v/>
      </c>
      <c r="CG169" s="149" t="str">
        <f t="shared" si="100"/>
        <v/>
      </c>
      <c r="CH169" s="149" t="str">
        <f t="shared" si="101"/>
        <v/>
      </c>
      <c r="CI169" s="152"/>
      <c r="CJ169" s="146"/>
      <c r="CK169" s="241">
        <f>IFERROR(IF(CL169="Yes",'Prescriptive Rebate Table'!$D$69,IF(ISBLANK(AI169),0,IF(AND(AH169=Lookups!$A$62,BK169&gt;0),'Prescriptive Rebate Table'!$D$68,IF(AND(BK169&gt;0,CJ169=AF169),'Prescriptive Rebate Table'!$D$67,IF(AND(BK169&gt;0,CJ169&lt;&gt;AF169),'Prescriptive Rebate Table'!D228,0))))),"")</f>
        <v>0</v>
      </c>
      <c r="CL169" s="240" t="s">
        <v>2712</v>
      </c>
      <c r="CM169" s="152"/>
      <c r="CN169" s="152"/>
      <c r="CO169" s="152"/>
      <c r="CP169" s="146">
        <f t="shared" si="85"/>
        <v>0</v>
      </c>
      <c r="CQ169" s="153">
        <f>IF(D169="Interior",ROUND(($AG169*AF169)/1000*$AM169*(Lookups!$B$54-$AA169)*$AN169*$AO169,3),0)</f>
        <v>0</v>
      </c>
      <c r="CR169" s="153">
        <f>IFERROR(IF(D169="Interior",ROUND(($AG169*$AF169)/1000*(Lookups!$C$54-$AB169)*$AN169*AQ169*AT169,6),0),"")</f>
        <v>0</v>
      </c>
      <c r="CS169" s="165">
        <f t="shared" si="102"/>
        <v>0</v>
      </c>
      <c r="CT169" s="165">
        <f t="shared" si="103"/>
        <v>0</v>
      </c>
      <c r="CV169" s="153"/>
      <c r="CW169" s="153"/>
      <c r="CX169" s="165"/>
      <c r="CY169" s="165"/>
      <c r="DA169" s="153">
        <f>IF(D169="Interior",ROUND(($AG169*AF169*(1-0.15))/1000*$AM169*(Lookups!$B$43+0.097-$AA169)*$AN169*$AO169+((W169*V169)/1000*AN169*AM169*AO169*0.15),3),0)</f>
        <v>0</v>
      </c>
      <c r="DB169" s="153">
        <f>IFERROR(IF(D169="Interior",ROUND(($AG169*$AF169)/1000*(Lookups!$C$43+0.097-$AB169)*$AN169*AQ169*AT169+(($AG169*$AF169)/1000*$AN169*AQ169*AT169*0.15),6),0),"")</f>
        <v>0</v>
      </c>
      <c r="DC169" s="165">
        <f t="shared" si="104"/>
        <v>0</v>
      </c>
      <c r="DD169" s="165">
        <f t="shared" si="105"/>
        <v>0</v>
      </c>
    </row>
    <row r="170" spans="1:108" s="164" customFormat="1">
      <c r="A170" s="150">
        <v>166</v>
      </c>
      <c r="B170" s="153" t="str">
        <f>IFERROR(INDEX(Lookups!$B$2:$B$38,MATCH('Project Info &amp; Summary'!$C$19,Lookups!$A$2:$A$38,0)),"")</f>
        <v/>
      </c>
      <c r="C170" s="153" t="str">
        <f>IFERROR(INDEX(Lookups!$C$2:$C$38,MATCH('Project Info &amp; Summary'!$C$19,Lookups!$A$2:$A$38,0)),"")</f>
        <v/>
      </c>
      <c r="D170" s="163"/>
      <c r="E170" s="160"/>
      <c r="F170" s="158"/>
      <c r="G170" s="158"/>
      <c r="H170" s="158"/>
      <c r="I170" s="158"/>
      <c r="J170" s="154" t="str">
        <f>IFERROR(INDEX(Lookups!$W$21:$W$26,MATCH(I170,Lookups!$V$21:$V$26,0)),"")</f>
        <v/>
      </c>
      <c r="K170" s="158"/>
      <c r="L170" s="162" t="str">
        <f>IFERROR(INDEX(Lookups!$Y$2:$Y$19,MATCH(_xlfn.CONCAT(I170,K170),Lookups!$X$2:$X$19,0)),"")</f>
        <v/>
      </c>
      <c r="M170" s="158"/>
      <c r="N170" s="153" t="str">
        <f>IFERROR(INDEX('Prescriptive Rebate Table'!$M$3:$M$20,MATCH(M170,'Prescriptive Rebate Table'!$L$3:$L$20,0)),"")</f>
        <v/>
      </c>
      <c r="O170" s="158"/>
      <c r="P170" s="154" t="str">
        <f>IFERROR(INDEX('Prescriptive Rebate Table'!$B$2:$H$64, MATCH(O170,'Prescriptive Rebate Table'!$C$2:$C$64,0),7),"")</f>
        <v/>
      </c>
      <c r="Q170" s="155" t="str">
        <f>IFERROR(INDEX('Prescriptive Rebate Table'!$B$2:$I$64, MATCH(O170,'Prescriptive Rebate Table'!$C$2:$C$64,0),8),"")</f>
        <v/>
      </c>
      <c r="R170" s="155" t="str">
        <f>IFERROR(INDEX('Prescriptive Rebate Table'!$B$2:$J$64, MATCH(O170,'Prescriptive Rebate Table'!$C$2:$C$64,0),9),"")</f>
        <v/>
      </c>
      <c r="S170" s="160"/>
      <c r="T170" s="145" t="str">
        <f>IFERROR(INDEX('Fixture Codes'!$M$8:$M$976,MATCH(S170,'Fixture Codes'!$B$8:$B$976,0)),"")</f>
        <v/>
      </c>
      <c r="U170" s="145" t="str">
        <f>IFERROR(INDEX('Fixture Codes'!$B$7:$M$976,MATCH(T170,'Fixture Codes'!$B$7:$B$976,0),5),"")</f>
        <v/>
      </c>
      <c r="V170" s="160"/>
      <c r="W170" s="145" t="str">
        <f>IFERROR(INDEX('Fixture Codes'!$L$8:$L$976,MATCH(T170,'Fixture Codes'!$B$8:$B$976,0)),"")</f>
        <v/>
      </c>
      <c r="X170" s="158"/>
      <c r="Y170" s="159"/>
      <c r="Z170" s="155" t="str">
        <f>IFERROR(INDEX(Lookups!B$68:B$87,MATCH($X170,Lookups!$A$68:$A$87,0)),"")</f>
        <v/>
      </c>
      <c r="AA170" s="150" t="str">
        <f>IFERROR(INDEX(Lookups!B$42:B$62,MATCH($X170,Lookups!$A$42:$A$62,0)),"")</f>
        <v/>
      </c>
      <c r="AB170" s="150" t="str">
        <f>IFERROR(INDEX(Lookups!C$42:C$62,MATCH($X170,Lookups!$A$42:$A$62,0)),"")</f>
        <v/>
      </c>
      <c r="AC170" s="160"/>
      <c r="AD170" s="160"/>
      <c r="AE170" s="150" t="str">
        <f>IFERROR(INDEX('Fixture Codes'!$B$7:$M$976,MATCH(AD170,'Fixture Codes'!$B$7:$B$976,0),5),"")</f>
        <v/>
      </c>
      <c r="AF170" s="160"/>
      <c r="AG170" s="145" t="str">
        <f>IFERROR(INDEX('Fixture Codes'!$L$8:$L$976,MATCH(AD170,'Fixture Codes'!$B$8:$B$976,0)),"")</f>
        <v/>
      </c>
      <c r="AH170" s="158"/>
      <c r="AI170" s="160"/>
      <c r="AJ170" s="150" t="str">
        <f>IFERROR(INDEX(Lookups!B$68:B$87,MATCH($AH170,Lookups!$A$68:$A$87,0)),"")</f>
        <v/>
      </c>
      <c r="AK170" s="150" t="str">
        <f>IFERROR(INDEX(Lookups!B$42:B$62,MATCH($AH170,Lookups!$A$42:$A$62,0)),"")</f>
        <v/>
      </c>
      <c r="AL170" s="150" t="str">
        <f>IFERROR(INDEX(Lookups!C$42:C$62,MATCH($AH170,Lookups!$A$42:$A$62,0)),"")</f>
        <v/>
      </c>
      <c r="AM170" s="150" t="str">
        <f>IFERROR(IF(M170="Exit Signs",8760,IF(INDEX('Fixture Codes'!$C$8:$C$976,MATCH(AD170,'Fixture Codes'!$B$8:$B$976,0))="Exit Sign",8760,INDEX(Lookups!$I$2:$I$428,MATCH(_xlfn.CONCAT(B170,H170),Lookups!$H$2:$H$428,0)))),"")</f>
        <v/>
      </c>
      <c r="AN170" s="153">
        <v>1</v>
      </c>
      <c r="AO170" s="150" t="str">
        <f>IF($D170="Interior",INDEX(Lookups!Q$2:Q$86,MATCH(_xlfn.CONCAT($C170,$L170),Lookups!$P$2:$P$86,0)),IF($D170="Exterior",1,""))</f>
        <v/>
      </c>
      <c r="AP170" s="150">
        <f t="shared" si="88"/>
        <v>1</v>
      </c>
      <c r="AQ170" s="150" t="str">
        <f>IF($D170="Interior",INDEX(Lookups!R$2:R$86,MATCH(_xlfn.CONCAT($C170,$L170),Lookups!$P$2:$P$86,0)),IF($D170="Exterior",1,""))</f>
        <v/>
      </c>
      <c r="AR170" s="150" t="str">
        <f>IF($D170="Interior",INDEX(Lookups!S$2:S$86,MATCH(_xlfn.CONCAT($C170,$L170),Lookups!$P$2:$P$86,0)),IF($D170="Exterior",1,""))</f>
        <v/>
      </c>
      <c r="AS170" s="150" t="str">
        <f>IF($D170="Interior",INDEX(Lookups!T$2:T$86,MATCH(_xlfn.CONCAT($C170,$L170),Lookups!$P$2:$P$86,0)),IF($D170="Exterior",1,""))</f>
        <v/>
      </c>
      <c r="AT170" s="150" t="str">
        <f>IFERROR(IF(M170="Exit Signs",1,IF(INDEX('Fixture Codes'!$C$8:$C$976,MATCH($AD170,'Fixture Codes'!$B$8:$B$976,0))="Exit Sign",1,INDEX(Lookups!J$2:J$428,MATCH(_xlfn.CONCAT($B170,$H170),Lookups!$H$2:$H$428,0)))),"")</f>
        <v/>
      </c>
      <c r="AU170" s="150" t="str">
        <f>IFERROR(IF(M170="Exit Signs",1,IF(INDEX('Fixture Codes'!$C$8:$C$976,MATCH($AD170,'Fixture Codes'!$B$8:$B$976,0))="Exit Sign",1,INDEX(Lookups!K$2:K$428,MATCH(_xlfn.CONCAT($B170,$H170),Lookups!$H$2:$H$428,0)))),"")</f>
        <v/>
      </c>
      <c r="AV170" s="150" t="str">
        <f>IFERROR(IF(M170="Exit Signs",1,IF(INDEX('Fixture Codes'!$C$8:$C$976,MATCH($AD170,'Fixture Codes'!$B$8:$B$976,0))="Exit Sign",1,INDEX(Lookups!L$2:L$428,MATCH(_xlfn.CONCAT($B170,$H170),Lookups!$H$2:$H$428,0)))),"")</f>
        <v/>
      </c>
      <c r="AW170" s="150" t="str">
        <f>IF(ISBLANK(K170),"",IF(K170="Gas",INDEX(Lookups!$AG$2:$AG$63,MATCH(O170,Lookups!$AD$2:$AD$63,0),0),0))</f>
        <v/>
      </c>
      <c r="AX170" s="150" t="str">
        <f>IF(ISBLANK(K170),"",IF(K170="Gas",INDEX(Lookups!$AF$2:$AF$63,MATCH(O170,Lookups!$AD$2:$AD$63,0),0),0))</f>
        <v/>
      </c>
      <c r="AY170" s="150" t="str">
        <f>IF(ISBLANK(K170),"",IF(K170="Gas",INDEX(Lookups!$AH$2:$AH$63,MATCH(O170,Lookups!$AD$2:$AD$63,0),0),0))</f>
        <v/>
      </c>
      <c r="AZ170" s="150" t="str">
        <f>IF(ISBLANK(K170),"",IF(K170="Gas",INDEX(Lookups!$AI$2:$AI$63,MATCH(O170,Lookups!$AD$2:$AD$63,0),0),0))</f>
        <v/>
      </c>
      <c r="BA170" s="150" t="str">
        <f t="shared" si="73"/>
        <v/>
      </c>
      <c r="BB170" s="156" t="str">
        <f>IF(ISBLANK(AH170),"",IF(AH170="None",0,IF(K170="Gas",INDEX(Lookups!$AF$51:$AF$69,MATCH(AH170,Lookups!$AD$51:$AD$69,0),0),0)))</f>
        <v/>
      </c>
      <c r="BC170" s="156" t="str">
        <f>IF(ISBLANK(AH170),"",IF(AH170="None",0,IF(K170="Gas",INDEX(Lookups!$AH$51:$AH$69,MATCH(AH170,Lookups!$AD$51:$AD$69,0),0),0)))</f>
        <v/>
      </c>
      <c r="BD170" s="156" t="str">
        <f>IF(ISBLANK(AH170),"",IF(AH170="None",0,IF(K170="Gas",INDEX(Lookups!$AI$51:$AI$69,MATCH(AH170,Lookups!$AD$51:$AD$69,0),0),0)))</f>
        <v/>
      </c>
      <c r="BE170" s="157"/>
      <c r="BF170" s="157"/>
      <c r="BG170" s="147" t="str">
        <f t="shared" si="89"/>
        <v/>
      </c>
      <c r="BH170" s="147" t="str">
        <f t="shared" si="90"/>
        <v/>
      </c>
      <c r="BI170" s="147" t="str">
        <f t="shared" si="74"/>
        <v/>
      </c>
      <c r="BJ170" s="147" t="str">
        <f t="shared" si="75"/>
        <v/>
      </c>
      <c r="BK170" s="148" t="str">
        <f t="shared" si="91"/>
        <v/>
      </c>
      <c r="BL170" s="147" t="str">
        <f t="shared" si="76"/>
        <v/>
      </c>
      <c r="BM170" s="148" t="str">
        <f t="shared" si="92"/>
        <v/>
      </c>
      <c r="BN170" s="147" t="str">
        <f t="shared" si="93"/>
        <v/>
      </c>
      <c r="BO170" s="147" t="str">
        <f t="shared" si="93"/>
        <v/>
      </c>
      <c r="BP170" s="147" t="str">
        <f t="shared" si="94"/>
        <v/>
      </c>
      <c r="BQ170" s="148" t="str">
        <f t="shared" si="95"/>
        <v/>
      </c>
      <c r="BR170" s="148" t="str">
        <f t="shared" si="96"/>
        <v/>
      </c>
      <c r="BS170" s="148" t="str">
        <f t="shared" si="97"/>
        <v/>
      </c>
      <c r="BT170" s="148" t="str">
        <f t="shared" si="77"/>
        <v/>
      </c>
      <c r="BU170" s="148" t="str">
        <f t="shared" si="78"/>
        <v/>
      </c>
      <c r="BV170" s="148" t="str">
        <f t="shared" si="79"/>
        <v/>
      </c>
      <c r="BW170" s="148" t="str">
        <f t="shared" si="80"/>
        <v/>
      </c>
      <c r="BX170" s="148" t="str">
        <f t="shared" si="81"/>
        <v/>
      </c>
      <c r="BY170" s="148" t="str">
        <f t="shared" si="82"/>
        <v/>
      </c>
      <c r="BZ170" s="149" t="str">
        <f>IFERROR(INDEX('Prescriptive Rebate Table'!$B$2:$E$64,MATCH(O170,'Prescriptive Rebate Table'!$C$2:$C$64,0),3),"")</f>
        <v/>
      </c>
      <c r="CA170" s="145" t="str">
        <f>IFERROR(INDEX('Prescriptive Rebate Table'!$B$2:$E$64,MATCH(O170,'Prescriptive Rebate Table'!$C$2:$C$64,0),4),"")</f>
        <v/>
      </c>
      <c r="CB170" s="149" t="str">
        <f t="shared" si="98"/>
        <v/>
      </c>
      <c r="CC170" s="145" t="str">
        <f t="shared" si="99"/>
        <v/>
      </c>
      <c r="CD170" s="149" t="str">
        <f t="shared" si="83"/>
        <v/>
      </c>
      <c r="CE170" s="149" t="str">
        <f t="shared" si="84"/>
        <v/>
      </c>
      <c r="CF170" s="149" t="str">
        <f>IF(BK170&lt;=0,0,IFERROR(IF(OR(ISBLANK(AC170),ISBLANK(CD170))=TRUE,"",IF(CA170="Per Foot",INDEX('Fixture Codes'!$I$8:$I$976,MATCH(AD170,'Fixture Codes'!$B$8:$B$976,0))/12*AF170*BZ170,IF(CA170="Lamp",INDEX('Fixture Codes'!$J$8:$J$976,MATCH(AD170,'Fixture Codes'!$B$8:$B$976,0))*AF170*BZ170,IF(CA170="Fixture",AF170*BZ170,IF(CA170="kWh",BK170*BZ170,0))))),""))</f>
        <v/>
      </c>
      <c r="CG170" s="149" t="str">
        <f t="shared" si="100"/>
        <v/>
      </c>
      <c r="CH170" s="149" t="str">
        <f t="shared" si="101"/>
        <v/>
      </c>
      <c r="CI170" s="152"/>
      <c r="CJ170" s="146"/>
      <c r="CK170" s="241">
        <f>IFERROR(IF(CL170="Yes",'Prescriptive Rebate Table'!$D$69,IF(ISBLANK(AI170),0,IF(AND(AH170=Lookups!$A$62,BK170&gt;0),'Prescriptive Rebate Table'!$D$68,IF(AND(BK170&gt;0,CJ170=AF170),'Prescriptive Rebate Table'!$D$67,IF(AND(BK170&gt;0,CJ170&lt;&gt;AF170),'Prescriptive Rebate Table'!D229,0))))),"")</f>
        <v>0</v>
      </c>
      <c r="CL170" s="240" t="s">
        <v>2712</v>
      </c>
      <c r="CM170" s="152"/>
      <c r="CN170" s="152"/>
      <c r="CO170" s="152"/>
      <c r="CP170" s="146">
        <f t="shared" si="85"/>
        <v>0</v>
      </c>
      <c r="CQ170" s="153">
        <f>IF(D170="Interior",ROUND(($AG170*AF170)/1000*$AM170*(Lookups!$B$54-$AA170)*$AN170*$AO170,3),0)</f>
        <v>0</v>
      </c>
      <c r="CR170" s="153">
        <f>IFERROR(IF(D170="Interior",ROUND(($AG170*$AF170)/1000*(Lookups!$C$54-$AB170)*$AN170*AQ170*AT170,6),0),"")</f>
        <v>0</v>
      </c>
      <c r="CS170" s="165">
        <f t="shared" si="102"/>
        <v>0</v>
      </c>
      <c r="CT170" s="165">
        <f t="shared" si="103"/>
        <v>0</v>
      </c>
      <c r="CV170" s="153"/>
      <c r="CW170" s="153"/>
      <c r="CX170" s="165"/>
      <c r="CY170" s="165"/>
      <c r="DA170" s="153">
        <f>IF(D170="Interior",ROUND(($AG170*AF170*(1-0.15))/1000*$AM170*(Lookups!$B$43+0.097-$AA170)*$AN170*$AO170+((W170*V170)/1000*AN170*AM170*AO170*0.15),3),0)</f>
        <v>0</v>
      </c>
      <c r="DB170" s="153">
        <f>IFERROR(IF(D170="Interior",ROUND(($AG170*$AF170)/1000*(Lookups!$C$43+0.097-$AB170)*$AN170*AQ170*AT170+(($AG170*$AF170)/1000*$AN170*AQ170*AT170*0.15),6),0),"")</f>
        <v>0</v>
      </c>
      <c r="DC170" s="165">
        <f t="shared" si="104"/>
        <v>0</v>
      </c>
      <c r="DD170" s="165">
        <f t="shared" si="105"/>
        <v>0</v>
      </c>
    </row>
    <row r="171" spans="1:108" s="164" customFormat="1">
      <c r="A171" s="150">
        <v>167</v>
      </c>
      <c r="B171" s="153" t="str">
        <f>IFERROR(INDEX(Lookups!$B$2:$B$38,MATCH('Project Info &amp; Summary'!$C$19,Lookups!$A$2:$A$38,0)),"")</f>
        <v/>
      </c>
      <c r="C171" s="153" t="str">
        <f>IFERROR(INDEX(Lookups!$C$2:$C$38,MATCH('Project Info &amp; Summary'!$C$19,Lookups!$A$2:$A$38,0)),"")</f>
        <v/>
      </c>
      <c r="D171" s="163"/>
      <c r="E171" s="160"/>
      <c r="F171" s="158"/>
      <c r="G171" s="158"/>
      <c r="H171" s="158"/>
      <c r="I171" s="158"/>
      <c r="J171" s="154" t="str">
        <f>IFERROR(INDEX(Lookups!$W$21:$W$26,MATCH(I171,Lookups!$V$21:$V$26,0)),"")</f>
        <v/>
      </c>
      <c r="K171" s="158"/>
      <c r="L171" s="162" t="str">
        <f>IFERROR(INDEX(Lookups!$Y$2:$Y$19,MATCH(_xlfn.CONCAT(I171,K171),Lookups!$X$2:$X$19,0)),"")</f>
        <v/>
      </c>
      <c r="M171" s="158"/>
      <c r="N171" s="153" t="str">
        <f>IFERROR(INDEX('Prescriptive Rebate Table'!$M$3:$M$20,MATCH(M171,'Prescriptive Rebate Table'!$L$3:$L$20,0)),"")</f>
        <v/>
      </c>
      <c r="O171" s="158"/>
      <c r="P171" s="154" t="str">
        <f>IFERROR(INDEX('Prescriptive Rebate Table'!$B$2:$H$64, MATCH(O171,'Prescriptive Rebate Table'!$C$2:$C$64,0),7),"")</f>
        <v/>
      </c>
      <c r="Q171" s="155" t="str">
        <f>IFERROR(INDEX('Prescriptive Rebate Table'!$B$2:$I$64, MATCH(O171,'Prescriptive Rebate Table'!$C$2:$C$64,0),8),"")</f>
        <v/>
      </c>
      <c r="R171" s="155" t="str">
        <f>IFERROR(INDEX('Prescriptive Rebate Table'!$B$2:$J$64, MATCH(O171,'Prescriptive Rebate Table'!$C$2:$C$64,0),9),"")</f>
        <v/>
      </c>
      <c r="S171" s="160"/>
      <c r="T171" s="145" t="str">
        <f>IFERROR(INDEX('Fixture Codes'!$M$8:$M$976,MATCH(S171,'Fixture Codes'!$B$8:$B$976,0)),"")</f>
        <v/>
      </c>
      <c r="U171" s="145" t="str">
        <f>IFERROR(INDEX('Fixture Codes'!$B$7:$M$976,MATCH(T171,'Fixture Codes'!$B$7:$B$976,0),5),"")</f>
        <v/>
      </c>
      <c r="V171" s="160"/>
      <c r="W171" s="145" t="str">
        <f>IFERROR(INDEX('Fixture Codes'!$L$8:$L$976,MATCH(T171,'Fixture Codes'!$B$8:$B$976,0)),"")</f>
        <v/>
      </c>
      <c r="X171" s="158"/>
      <c r="Y171" s="159"/>
      <c r="Z171" s="155" t="str">
        <f>IFERROR(INDEX(Lookups!B$68:B$87,MATCH($X171,Lookups!$A$68:$A$87,0)),"")</f>
        <v/>
      </c>
      <c r="AA171" s="150" t="str">
        <f>IFERROR(INDEX(Lookups!B$42:B$62,MATCH($X171,Lookups!$A$42:$A$62,0)),"")</f>
        <v/>
      </c>
      <c r="AB171" s="150" t="str">
        <f>IFERROR(INDEX(Lookups!C$42:C$62,MATCH($X171,Lookups!$A$42:$A$62,0)),"")</f>
        <v/>
      </c>
      <c r="AC171" s="160"/>
      <c r="AD171" s="160"/>
      <c r="AE171" s="150" t="str">
        <f>IFERROR(INDEX('Fixture Codes'!$B$7:$M$976,MATCH(AD171,'Fixture Codes'!$B$7:$B$976,0),5),"")</f>
        <v/>
      </c>
      <c r="AF171" s="160"/>
      <c r="AG171" s="145" t="str">
        <f>IFERROR(INDEX('Fixture Codes'!$L$8:$L$976,MATCH(AD171,'Fixture Codes'!$B$8:$B$976,0)),"")</f>
        <v/>
      </c>
      <c r="AH171" s="158"/>
      <c r="AI171" s="160"/>
      <c r="AJ171" s="150" t="str">
        <f>IFERROR(INDEX(Lookups!B$68:B$87,MATCH($AH171,Lookups!$A$68:$A$87,0)),"")</f>
        <v/>
      </c>
      <c r="AK171" s="150" t="str">
        <f>IFERROR(INDEX(Lookups!B$42:B$62,MATCH($AH171,Lookups!$A$42:$A$62,0)),"")</f>
        <v/>
      </c>
      <c r="AL171" s="150" t="str">
        <f>IFERROR(INDEX(Lookups!C$42:C$62,MATCH($AH171,Lookups!$A$42:$A$62,0)),"")</f>
        <v/>
      </c>
      <c r="AM171" s="150" t="str">
        <f>IFERROR(IF(M171="Exit Signs",8760,IF(INDEX('Fixture Codes'!$C$8:$C$976,MATCH(AD171,'Fixture Codes'!$B$8:$B$976,0))="Exit Sign",8760,INDEX(Lookups!$I$2:$I$428,MATCH(_xlfn.CONCAT(B171,H171),Lookups!$H$2:$H$428,0)))),"")</f>
        <v/>
      </c>
      <c r="AN171" s="153">
        <v>1</v>
      </c>
      <c r="AO171" s="150" t="str">
        <f>IF($D171="Interior",INDEX(Lookups!Q$2:Q$86,MATCH(_xlfn.CONCAT($C171,$L171),Lookups!$P$2:$P$86,0)),IF($D171="Exterior",1,""))</f>
        <v/>
      </c>
      <c r="AP171" s="150">
        <f t="shared" si="88"/>
        <v>1</v>
      </c>
      <c r="AQ171" s="150" t="str">
        <f>IF($D171="Interior",INDEX(Lookups!R$2:R$86,MATCH(_xlfn.CONCAT($C171,$L171),Lookups!$P$2:$P$86,0)),IF($D171="Exterior",1,""))</f>
        <v/>
      </c>
      <c r="AR171" s="150" t="str">
        <f>IF($D171="Interior",INDEX(Lookups!S$2:S$86,MATCH(_xlfn.CONCAT($C171,$L171),Lookups!$P$2:$P$86,0)),IF($D171="Exterior",1,""))</f>
        <v/>
      </c>
      <c r="AS171" s="150" t="str">
        <f>IF($D171="Interior",INDEX(Lookups!T$2:T$86,MATCH(_xlfn.CONCAT($C171,$L171),Lookups!$P$2:$P$86,0)),IF($D171="Exterior",1,""))</f>
        <v/>
      </c>
      <c r="AT171" s="150" t="str">
        <f>IFERROR(IF(M171="Exit Signs",1,IF(INDEX('Fixture Codes'!$C$8:$C$976,MATCH($AD171,'Fixture Codes'!$B$8:$B$976,0))="Exit Sign",1,INDEX(Lookups!J$2:J$428,MATCH(_xlfn.CONCAT($B171,$H171),Lookups!$H$2:$H$428,0)))),"")</f>
        <v/>
      </c>
      <c r="AU171" s="150" t="str">
        <f>IFERROR(IF(M171="Exit Signs",1,IF(INDEX('Fixture Codes'!$C$8:$C$976,MATCH($AD171,'Fixture Codes'!$B$8:$B$976,0))="Exit Sign",1,INDEX(Lookups!K$2:K$428,MATCH(_xlfn.CONCAT($B171,$H171),Lookups!$H$2:$H$428,0)))),"")</f>
        <v/>
      </c>
      <c r="AV171" s="150" t="str">
        <f>IFERROR(IF(M171="Exit Signs",1,IF(INDEX('Fixture Codes'!$C$8:$C$976,MATCH($AD171,'Fixture Codes'!$B$8:$B$976,0))="Exit Sign",1,INDEX(Lookups!L$2:L$428,MATCH(_xlfn.CONCAT($B171,$H171),Lookups!$H$2:$H$428,0)))),"")</f>
        <v/>
      </c>
      <c r="AW171" s="150" t="str">
        <f>IF(ISBLANK(K171),"",IF(K171="Gas",INDEX(Lookups!$AG$2:$AG$63,MATCH(O171,Lookups!$AD$2:$AD$63,0),0),0))</f>
        <v/>
      </c>
      <c r="AX171" s="150" t="str">
        <f>IF(ISBLANK(K171),"",IF(K171="Gas",INDEX(Lookups!$AF$2:$AF$63,MATCH(O171,Lookups!$AD$2:$AD$63,0),0),0))</f>
        <v/>
      </c>
      <c r="AY171" s="150" t="str">
        <f>IF(ISBLANK(K171),"",IF(K171="Gas",INDEX(Lookups!$AH$2:$AH$63,MATCH(O171,Lookups!$AD$2:$AD$63,0),0),0))</f>
        <v/>
      </c>
      <c r="AZ171" s="150" t="str">
        <f>IF(ISBLANK(K171),"",IF(K171="Gas",INDEX(Lookups!$AI$2:$AI$63,MATCH(O171,Lookups!$AD$2:$AD$63,0),0),0))</f>
        <v/>
      </c>
      <c r="BA171" s="150" t="str">
        <f t="shared" si="73"/>
        <v/>
      </c>
      <c r="BB171" s="156" t="str">
        <f>IF(ISBLANK(AH171),"",IF(AH171="None",0,IF(K171="Gas",INDEX(Lookups!$AF$51:$AF$69,MATCH(AH171,Lookups!$AD$51:$AD$69,0),0),0)))</f>
        <v/>
      </c>
      <c r="BC171" s="156" t="str">
        <f>IF(ISBLANK(AH171),"",IF(AH171="None",0,IF(K171="Gas",INDEX(Lookups!$AH$51:$AH$69,MATCH(AH171,Lookups!$AD$51:$AD$69,0),0),0)))</f>
        <v/>
      </c>
      <c r="BD171" s="156" t="str">
        <f>IF(ISBLANK(AH171),"",IF(AH171="None",0,IF(K171="Gas",INDEX(Lookups!$AI$51:$AI$69,MATCH(AH171,Lookups!$AD$51:$AD$69,0),0),0)))</f>
        <v/>
      </c>
      <c r="BE171" s="157"/>
      <c r="BF171" s="157"/>
      <c r="BG171" s="147" t="str">
        <f t="shared" si="89"/>
        <v/>
      </c>
      <c r="BH171" s="147" t="str">
        <f t="shared" si="90"/>
        <v/>
      </c>
      <c r="BI171" s="147" t="str">
        <f t="shared" si="74"/>
        <v/>
      </c>
      <c r="BJ171" s="147" t="str">
        <f t="shared" si="75"/>
        <v/>
      </c>
      <c r="BK171" s="148" t="str">
        <f t="shared" si="91"/>
        <v/>
      </c>
      <c r="BL171" s="147" t="str">
        <f t="shared" si="76"/>
        <v/>
      </c>
      <c r="BM171" s="148" t="str">
        <f t="shared" si="92"/>
        <v/>
      </c>
      <c r="BN171" s="147" t="str">
        <f t="shared" si="93"/>
        <v/>
      </c>
      <c r="BO171" s="147" t="str">
        <f t="shared" si="93"/>
        <v/>
      </c>
      <c r="BP171" s="147" t="str">
        <f t="shared" si="94"/>
        <v/>
      </c>
      <c r="BQ171" s="148" t="str">
        <f t="shared" si="95"/>
        <v/>
      </c>
      <c r="BR171" s="148" t="str">
        <f t="shared" si="96"/>
        <v/>
      </c>
      <c r="BS171" s="148" t="str">
        <f t="shared" si="97"/>
        <v/>
      </c>
      <c r="BT171" s="148" t="str">
        <f t="shared" si="77"/>
        <v/>
      </c>
      <c r="BU171" s="148" t="str">
        <f t="shared" si="78"/>
        <v/>
      </c>
      <c r="BV171" s="148" t="str">
        <f t="shared" si="79"/>
        <v/>
      </c>
      <c r="BW171" s="148" t="str">
        <f t="shared" si="80"/>
        <v/>
      </c>
      <c r="BX171" s="148" t="str">
        <f t="shared" si="81"/>
        <v/>
      </c>
      <c r="BY171" s="148" t="str">
        <f t="shared" si="82"/>
        <v/>
      </c>
      <c r="BZ171" s="149" t="str">
        <f>IFERROR(INDEX('Prescriptive Rebate Table'!$B$2:$E$64,MATCH(O171,'Prescriptive Rebate Table'!$C$2:$C$64,0),3),"")</f>
        <v/>
      </c>
      <c r="CA171" s="145" t="str">
        <f>IFERROR(INDEX('Prescriptive Rebate Table'!$B$2:$E$64,MATCH(O171,'Prescriptive Rebate Table'!$C$2:$C$64,0),4),"")</f>
        <v/>
      </c>
      <c r="CB171" s="149" t="str">
        <f t="shared" si="98"/>
        <v/>
      </c>
      <c r="CC171" s="145" t="str">
        <f t="shared" si="99"/>
        <v/>
      </c>
      <c r="CD171" s="149" t="str">
        <f t="shared" si="83"/>
        <v/>
      </c>
      <c r="CE171" s="149" t="str">
        <f t="shared" si="84"/>
        <v/>
      </c>
      <c r="CF171" s="149" t="str">
        <f>IF(BK171&lt;=0,0,IFERROR(IF(OR(ISBLANK(AC171),ISBLANK(CD171))=TRUE,"",IF(CA171="Per Foot",INDEX('Fixture Codes'!$I$8:$I$976,MATCH(AD171,'Fixture Codes'!$B$8:$B$976,0))/12*AF171*BZ171,IF(CA171="Lamp",INDEX('Fixture Codes'!$J$8:$J$976,MATCH(AD171,'Fixture Codes'!$B$8:$B$976,0))*AF171*BZ171,IF(CA171="Fixture",AF171*BZ171,IF(CA171="kWh",BK171*BZ171,0))))),""))</f>
        <v/>
      </c>
      <c r="CG171" s="149" t="str">
        <f t="shared" si="100"/>
        <v/>
      </c>
      <c r="CH171" s="149" t="str">
        <f t="shared" si="101"/>
        <v/>
      </c>
      <c r="CI171" s="152"/>
      <c r="CJ171" s="146"/>
      <c r="CK171" s="241">
        <f>IFERROR(IF(CL171="Yes",'Prescriptive Rebate Table'!$D$69,IF(ISBLANK(AI171),0,IF(AND(AH171=Lookups!$A$62,BK171&gt;0),'Prescriptive Rebate Table'!$D$68,IF(AND(BK171&gt;0,CJ171=AF171),'Prescriptive Rebate Table'!$D$67,IF(AND(BK171&gt;0,CJ171&lt;&gt;AF171),'Prescriptive Rebate Table'!D230,0))))),"")</f>
        <v>0</v>
      </c>
      <c r="CL171" s="240" t="s">
        <v>2712</v>
      </c>
      <c r="CM171" s="152"/>
      <c r="CN171" s="152"/>
      <c r="CO171" s="152"/>
      <c r="CP171" s="146">
        <f t="shared" si="85"/>
        <v>0</v>
      </c>
      <c r="CQ171" s="153">
        <f>IF(D171="Interior",ROUND(($AG171*AF171)/1000*$AM171*(Lookups!$B$54-$AA171)*$AN171*$AO171,3),0)</f>
        <v>0</v>
      </c>
      <c r="CR171" s="153">
        <f>IFERROR(IF(D171="Interior",ROUND(($AG171*$AF171)/1000*(Lookups!$C$54-$AB171)*$AN171*AQ171*AT171,6),0),"")</f>
        <v>0</v>
      </c>
      <c r="CS171" s="165">
        <f t="shared" si="102"/>
        <v>0</v>
      </c>
      <c r="CT171" s="165">
        <f t="shared" si="103"/>
        <v>0</v>
      </c>
      <c r="CV171" s="153"/>
      <c r="CW171" s="153"/>
      <c r="CX171" s="165"/>
      <c r="CY171" s="165"/>
      <c r="DA171" s="153">
        <f>IF(D171="Interior",ROUND(($AG171*AF171*(1-0.15))/1000*$AM171*(Lookups!$B$43+0.097-$AA171)*$AN171*$AO171+((W171*V171)/1000*AN171*AM171*AO171*0.15),3),0)</f>
        <v>0</v>
      </c>
      <c r="DB171" s="153">
        <f>IFERROR(IF(D171="Interior",ROUND(($AG171*$AF171)/1000*(Lookups!$C$43+0.097-$AB171)*$AN171*AQ171*AT171+(($AG171*$AF171)/1000*$AN171*AQ171*AT171*0.15),6),0),"")</f>
        <v>0</v>
      </c>
      <c r="DC171" s="165">
        <f t="shared" si="104"/>
        <v>0</v>
      </c>
      <c r="DD171" s="165">
        <f t="shared" si="105"/>
        <v>0</v>
      </c>
    </row>
    <row r="172" spans="1:108" s="164" customFormat="1">
      <c r="A172" s="150">
        <v>168</v>
      </c>
      <c r="B172" s="153" t="str">
        <f>IFERROR(INDEX(Lookups!$B$2:$B$38,MATCH('Project Info &amp; Summary'!$C$19,Lookups!$A$2:$A$38,0)),"")</f>
        <v/>
      </c>
      <c r="C172" s="153" t="str">
        <f>IFERROR(INDEX(Lookups!$C$2:$C$38,MATCH('Project Info &amp; Summary'!$C$19,Lookups!$A$2:$A$38,0)),"")</f>
        <v/>
      </c>
      <c r="D172" s="163"/>
      <c r="E172" s="160"/>
      <c r="F172" s="158"/>
      <c r="G172" s="158"/>
      <c r="H172" s="158"/>
      <c r="I172" s="158"/>
      <c r="J172" s="154" t="str">
        <f>IFERROR(INDEX(Lookups!$W$21:$W$26,MATCH(I172,Lookups!$V$21:$V$26,0)),"")</f>
        <v/>
      </c>
      <c r="K172" s="158"/>
      <c r="L172" s="162" t="str">
        <f>IFERROR(INDEX(Lookups!$Y$2:$Y$19,MATCH(_xlfn.CONCAT(I172,K172),Lookups!$X$2:$X$19,0)),"")</f>
        <v/>
      </c>
      <c r="M172" s="158"/>
      <c r="N172" s="153" t="str">
        <f>IFERROR(INDEX('Prescriptive Rebate Table'!$M$3:$M$20,MATCH(M172,'Prescriptive Rebate Table'!$L$3:$L$20,0)),"")</f>
        <v/>
      </c>
      <c r="O172" s="158"/>
      <c r="P172" s="154" t="str">
        <f>IFERROR(INDEX('Prescriptive Rebate Table'!$B$2:$H$64, MATCH(O172,'Prescriptive Rebate Table'!$C$2:$C$64,0),7),"")</f>
        <v/>
      </c>
      <c r="Q172" s="155" t="str">
        <f>IFERROR(INDEX('Prescriptive Rebate Table'!$B$2:$I$64, MATCH(O172,'Prescriptive Rebate Table'!$C$2:$C$64,0),8),"")</f>
        <v/>
      </c>
      <c r="R172" s="155" t="str">
        <f>IFERROR(INDEX('Prescriptive Rebate Table'!$B$2:$J$64, MATCH(O172,'Prescriptive Rebate Table'!$C$2:$C$64,0),9),"")</f>
        <v/>
      </c>
      <c r="S172" s="160"/>
      <c r="T172" s="145" t="str">
        <f>IFERROR(INDEX('Fixture Codes'!$M$8:$M$976,MATCH(S172,'Fixture Codes'!$B$8:$B$976,0)),"")</f>
        <v/>
      </c>
      <c r="U172" s="145" t="str">
        <f>IFERROR(INDEX('Fixture Codes'!$B$7:$M$976,MATCH(T172,'Fixture Codes'!$B$7:$B$976,0),5),"")</f>
        <v/>
      </c>
      <c r="V172" s="160"/>
      <c r="W172" s="145" t="str">
        <f>IFERROR(INDEX('Fixture Codes'!$L$8:$L$976,MATCH(T172,'Fixture Codes'!$B$8:$B$976,0)),"")</f>
        <v/>
      </c>
      <c r="X172" s="158"/>
      <c r="Y172" s="159"/>
      <c r="Z172" s="155" t="str">
        <f>IFERROR(INDEX(Lookups!B$68:B$87,MATCH($X172,Lookups!$A$68:$A$87,0)),"")</f>
        <v/>
      </c>
      <c r="AA172" s="150" t="str">
        <f>IFERROR(INDEX(Lookups!B$42:B$62,MATCH($X172,Lookups!$A$42:$A$62,0)),"")</f>
        <v/>
      </c>
      <c r="AB172" s="150" t="str">
        <f>IFERROR(INDEX(Lookups!C$42:C$62,MATCH($X172,Lookups!$A$42:$A$62,0)),"")</f>
        <v/>
      </c>
      <c r="AC172" s="160"/>
      <c r="AD172" s="160"/>
      <c r="AE172" s="150" t="str">
        <f>IFERROR(INDEX('Fixture Codes'!$B$7:$M$976,MATCH(AD172,'Fixture Codes'!$B$7:$B$976,0),5),"")</f>
        <v/>
      </c>
      <c r="AF172" s="160"/>
      <c r="AG172" s="145" t="str">
        <f>IFERROR(INDEX('Fixture Codes'!$L$8:$L$976,MATCH(AD172,'Fixture Codes'!$B$8:$B$976,0)),"")</f>
        <v/>
      </c>
      <c r="AH172" s="158"/>
      <c r="AI172" s="160"/>
      <c r="AJ172" s="150" t="str">
        <f>IFERROR(INDEX(Lookups!B$68:B$87,MATCH($AH172,Lookups!$A$68:$A$87,0)),"")</f>
        <v/>
      </c>
      <c r="AK172" s="150" t="str">
        <f>IFERROR(INDEX(Lookups!B$42:B$62,MATCH($AH172,Lookups!$A$42:$A$62,0)),"")</f>
        <v/>
      </c>
      <c r="AL172" s="150" t="str">
        <f>IFERROR(INDEX(Lookups!C$42:C$62,MATCH($AH172,Lookups!$A$42:$A$62,0)),"")</f>
        <v/>
      </c>
      <c r="AM172" s="150" t="str">
        <f>IFERROR(IF(M172="Exit Signs",8760,IF(INDEX('Fixture Codes'!$C$8:$C$976,MATCH(AD172,'Fixture Codes'!$B$8:$B$976,0))="Exit Sign",8760,INDEX(Lookups!$I$2:$I$428,MATCH(_xlfn.CONCAT(B172,H172),Lookups!$H$2:$H$428,0)))),"")</f>
        <v/>
      </c>
      <c r="AN172" s="153">
        <v>1</v>
      </c>
      <c r="AO172" s="150" t="str">
        <f>IF($D172="Interior",INDEX(Lookups!Q$2:Q$86,MATCH(_xlfn.CONCAT($C172,$L172),Lookups!$P$2:$P$86,0)),IF($D172="Exterior",1,""))</f>
        <v/>
      </c>
      <c r="AP172" s="150">
        <f t="shared" si="88"/>
        <v>1</v>
      </c>
      <c r="AQ172" s="150" t="str">
        <f>IF($D172="Interior",INDEX(Lookups!R$2:R$86,MATCH(_xlfn.CONCAT($C172,$L172),Lookups!$P$2:$P$86,0)),IF($D172="Exterior",1,""))</f>
        <v/>
      </c>
      <c r="AR172" s="150" t="str">
        <f>IF($D172="Interior",INDEX(Lookups!S$2:S$86,MATCH(_xlfn.CONCAT($C172,$L172),Lookups!$P$2:$P$86,0)),IF($D172="Exterior",1,""))</f>
        <v/>
      </c>
      <c r="AS172" s="150" t="str">
        <f>IF($D172="Interior",INDEX(Lookups!T$2:T$86,MATCH(_xlfn.CONCAT($C172,$L172),Lookups!$P$2:$P$86,0)),IF($D172="Exterior",1,""))</f>
        <v/>
      </c>
      <c r="AT172" s="150" t="str">
        <f>IFERROR(IF(M172="Exit Signs",1,IF(INDEX('Fixture Codes'!$C$8:$C$976,MATCH($AD172,'Fixture Codes'!$B$8:$B$976,0))="Exit Sign",1,INDEX(Lookups!J$2:J$428,MATCH(_xlfn.CONCAT($B172,$H172),Lookups!$H$2:$H$428,0)))),"")</f>
        <v/>
      </c>
      <c r="AU172" s="150" t="str">
        <f>IFERROR(IF(M172="Exit Signs",1,IF(INDEX('Fixture Codes'!$C$8:$C$976,MATCH($AD172,'Fixture Codes'!$B$8:$B$976,0))="Exit Sign",1,INDEX(Lookups!K$2:K$428,MATCH(_xlfn.CONCAT($B172,$H172),Lookups!$H$2:$H$428,0)))),"")</f>
        <v/>
      </c>
      <c r="AV172" s="150" t="str">
        <f>IFERROR(IF(M172="Exit Signs",1,IF(INDEX('Fixture Codes'!$C$8:$C$976,MATCH($AD172,'Fixture Codes'!$B$8:$B$976,0))="Exit Sign",1,INDEX(Lookups!L$2:L$428,MATCH(_xlfn.CONCAT($B172,$H172),Lookups!$H$2:$H$428,0)))),"")</f>
        <v/>
      </c>
      <c r="AW172" s="150" t="str">
        <f>IF(ISBLANK(K172),"",IF(K172="Gas",INDEX(Lookups!$AG$2:$AG$63,MATCH(O172,Lookups!$AD$2:$AD$63,0),0),0))</f>
        <v/>
      </c>
      <c r="AX172" s="150" t="str">
        <f>IF(ISBLANK(K172),"",IF(K172="Gas",INDEX(Lookups!$AF$2:$AF$63,MATCH(O172,Lookups!$AD$2:$AD$63,0),0),0))</f>
        <v/>
      </c>
      <c r="AY172" s="150" t="str">
        <f>IF(ISBLANK(K172),"",IF(K172="Gas",INDEX(Lookups!$AH$2:$AH$63,MATCH(O172,Lookups!$AD$2:$AD$63,0),0),0))</f>
        <v/>
      </c>
      <c r="AZ172" s="150" t="str">
        <f>IF(ISBLANK(K172),"",IF(K172="Gas",INDEX(Lookups!$AI$2:$AI$63,MATCH(O172,Lookups!$AD$2:$AD$63,0),0),0))</f>
        <v/>
      </c>
      <c r="BA172" s="150" t="str">
        <f t="shared" si="73"/>
        <v/>
      </c>
      <c r="BB172" s="156" t="str">
        <f>IF(ISBLANK(AH172),"",IF(AH172="None",0,IF(K172="Gas",INDEX(Lookups!$AF$51:$AF$69,MATCH(AH172,Lookups!$AD$51:$AD$69,0),0),0)))</f>
        <v/>
      </c>
      <c r="BC172" s="156" t="str">
        <f>IF(ISBLANK(AH172),"",IF(AH172="None",0,IF(K172="Gas",INDEX(Lookups!$AH$51:$AH$69,MATCH(AH172,Lookups!$AD$51:$AD$69,0),0),0)))</f>
        <v/>
      </c>
      <c r="BD172" s="156" t="str">
        <f>IF(ISBLANK(AH172),"",IF(AH172="None",0,IF(K172="Gas",INDEX(Lookups!$AI$51:$AI$69,MATCH(AH172,Lookups!$AD$51:$AD$69,0),0),0)))</f>
        <v/>
      </c>
      <c r="BE172" s="157"/>
      <c r="BF172" s="157"/>
      <c r="BG172" s="147" t="str">
        <f t="shared" si="89"/>
        <v/>
      </c>
      <c r="BH172" s="147" t="str">
        <f t="shared" si="90"/>
        <v/>
      </c>
      <c r="BI172" s="147" t="str">
        <f t="shared" si="74"/>
        <v/>
      </c>
      <c r="BJ172" s="147" t="str">
        <f t="shared" si="75"/>
        <v/>
      </c>
      <c r="BK172" s="148" t="str">
        <f t="shared" si="91"/>
        <v/>
      </c>
      <c r="BL172" s="147" t="str">
        <f t="shared" si="76"/>
        <v/>
      </c>
      <c r="BM172" s="148" t="str">
        <f t="shared" si="92"/>
        <v/>
      </c>
      <c r="BN172" s="147" t="str">
        <f t="shared" si="93"/>
        <v/>
      </c>
      <c r="BO172" s="147" t="str">
        <f t="shared" si="93"/>
        <v/>
      </c>
      <c r="BP172" s="147" t="str">
        <f t="shared" si="94"/>
        <v/>
      </c>
      <c r="BQ172" s="148" t="str">
        <f t="shared" si="95"/>
        <v/>
      </c>
      <c r="BR172" s="148" t="str">
        <f t="shared" si="96"/>
        <v/>
      </c>
      <c r="BS172" s="148" t="str">
        <f t="shared" si="97"/>
        <v/>
      </c>
      <c r="BT172" s="148" t="str">
        <f t="shared" si="77"/>
        <v/>
      </c>
      <c r="BU172" s="148" t="str">
        <f t="shared" si="78"/>
        <v/>
      </c>
      <c r="BV172" s="148" t="str">
        <f t="shared" si="79"/>
        <v/>
      </c>
      <c r="BW172" s="148" t="str">
        <f t="shared" si="80"/>
        <v/>
      </c>
      <c r="BX172" s="148" t="str">
        <f t="shared" si="81"/>
        <v/>
      </c>
      <c r="BY172" s="148" t="str">
        <f t="shared" si="82"/>
        <v/>
      </c>
      <c r="BZ172" s="149" t="str">
        <f>IFERROR(INDEX('Prescriptive Rebate Table'!$B$2:$E$64,MATCH(O172,'Prescriptive Rebate Table'!$C$2:$C$64,0),3),"")</f>
        <v/>
      </c>
      <c r="CA172" s="145" t="str">
        <f>IFERROR(INDEX('Prescriptive Rebate Table'!$B$2:$E$64,MATCH(O172,'Prescriptive Rebate Table'!$C$2:$C$64,0),4),"")</f>
        <v/>
      </c>
      <c r="CB172" s="149" t="str">
        <f t="shared" si="98"/>
        <v/>
      </c>
      <c r="CC172" s="145" t="str">
        <f t="shared" si="99"/>
        <v/>
      </c>
      <c r="CD172" s="149" t="str">
        <f t="shared" si="83"/>
        <v/>
      </c>
      <c r="CE172" s="149" t="str">
        <f t="shared" si="84"/>
        <v/>
      </c>
      <c r="CF172" s="149" t="str">
        <f>IF(BK172&lt;=0,0,IFERROR(IF(OR(ISBLANK(AC172),ISBLANK(CD172))=TRUE,"",IF(CA172="Per Foot",INDEX('Fixture Codes'!$I$8:$I$976,MATCH(AD172,'Fixture Codes'!$B$8:$B$976,0))/12*AF172*BZ172,IF(CA172="Lamp",INDEX('Fixture Codes'!$J$8:$J$976,MATCH(AD172,'Fixture Codes'!$B$8:$B$976,0))*AF172*BZ172,IF(CA172="Fixture",AF172*BZ172,IF(CA172="kWh",BK172*BZ172,0))))),""))</f>
        <v/>
      </c>
      <c r="CG172" s="149" t="str">
        <f t="shared" si="100"/>
        <v/>
      </c>
      <c r="CH172" s="149" t="str">
        <f t="shared" si="101"/>
        <v/>
      </c>
      <c r="CI172" s="152"/>
      <c r="CJ172" s="146"/>
      <c r="CK172" s="241">
        <f>IFERROR(IF(CL172="Yes",'Prescriptive Rebate Table'!$D$69,IF(ISBLANK(AI172),0,IF(AND(AH172=Lookups!$A$62,BK172&gt;0),'Prescriptive Rebate Table'!$D$68,IF(AND(BK172&gt;0,CJ172=AF172),'Prescriptive Rebate Table'!$D$67,IF(AND(BK172&gt;0,CJ172&lt;&gt;AF172),'Prescriptive Rebate Table'!D231,0))))),"")</f>
        <v>0</v>
      </c>
      <c r="CL172" s="240" t="s">
        <v>2712</v>
      </c>
      <c r="CM172" s="152"/>
      <c r="CN172" s="152"/>
      <c r="CO172" s="152"/>
      <c r="CP172" s="146">
        <f t="shared" si="85"/>
        <v>0</v>
      </c>
      <c r="CQ172" s="153">
        <f>IF(D172="Interior",ROUND(($AG172*AF172)/1000*$AM172*(Lookups!$B$54-$AA172)*$AN172*$AO172,3),0)</f>
        <v>0</v>
      </c>
      <c r="CR172" s="153">
        <f>IFERROR(IF(D172="Interior",ROUND(($AG172*$AF172)/1000*(Lookups!$C$54-$AB172)*$AN172*AQ172*AT172,6),0),"")</f>
        <v>0</v>
      </c>
      <c r="CS172" s="165">
        <f t="shared" si="102"/>
        <v>0</v>
      </c>
      <c r="CT172" s="165">
        <f t="shared" si="103"/>
        <v>0</v>
      </c>
      <c r="CV172" s="153"/>
      <c r="CW172" s="153"/>
      <c r="CX172" s="165"/>
      <c r="CY172" s="165"/>
      <c r="DA172" s="153">
        <f>IF(D172="Interior",ROUND(($AG172*AF172*(1-0.15))/1000*$AM172*(Lookups!$B$43+0.097-$AA172)*$AN172*$AO172+((W172*V172)/1000*AN172*AM172*AO172*0.15),3),0)</f>
        <v>0</v>
      </c>
      <c r="DB172" s="153">
        <f>IFERROR(IF(D172="Interior",ROUND(($AG172*$AF172)/1000*(Lookups!$C$43+0.097-$AB172)*$AN172*AQ172*AT172+(($AG172*$AF172)/1000*$AN172*AQ172*AT172*0.15),6),0),"")</f>
        <v>0</v>
      </c>
      <c r="DC172" s="165">
        <f t="shared" si="104"/>
        <v>0</v>
      </c>
      <c r="DD172" s="165">
        <f t="shared" si="105"/>
        <v>0</v>
      </c>
    </row>
    <row r="173" spans="1:108" s="164" customFormat="1">
      <c r="A173" s="150">
        <v>169</v>
      </c>
      <c r="B173" s="153" t="str">
        <f>IFERROR(INDEX(Lookups!$B$2:$B$38,MATCH('Project Info &amp; Summary'!$C$19,Lookups!$A$2:$A$38,0)),"")</f>
        <v/>
      </c>
      <c r="C173" s="153" t="str">
        <f>IFERROR(INDEX(Lookups!$C$2:$C$38,MATCH('Project Info &amp; Summary'!$C$19,Lookups!$A$2:$A$38,0)),"")</f>
        <v/>
      </c>
      <c r="D173" s="163"/>
      <c r="E173" s="160"/>
      <c r="F173" s="158"/>
      <c r="G173" s="158"/>
      <c r="H173" s="158"/>
      <c r="I173" s="158"/>
      <c r="J173" s="154" t="str">
        <f>IFERROR(INDEX(Lookups!$W$21:$W$26,MATCH(I173,Lookups!$V$21:$V$26,0)),"")</f>
        <v/>
      </c>
      <c r="K173" s="158"/>
      <c r="L173" s="162" t="str">
        <f>IFERROR(INDEX(Lookups!$Y$2:$Y$19,MATCH(_xlfn.CONCAT(I173,K173),Lookups!$X$2:$X$19,0)),"")</f>
        <v/>
      </c>
      <c r="M173" s="158"/>
      <c r="N173" s="153" t="str">
        <f>IFERROR(INDEX('Prescriptive Rebate Table'!$M$3:$M$20,MATCH(M173,'Prescriptive Rebate Table'!$L$3:$L$20,0)),"")</f>
        <v/>
      </c>
      <c r="O173" s="158"/>
      <c r="P173" s="154" t="str">
        <f>IFERROR(INDEX('Prescriptive Rebate Table'!$B$2:$H$64, MATCH(O173,'Prescriptive Rebate Table'!$C$2:$C$64,0),7),"")</f>
        <v/>
      </c>
      <c r="Q173" s="155" t="str">
        <f>IFERROR(INDEX('Prescriptive Rebate Table'!$B$2:$I$64, MATCH(O173,'Prescriptive Rebate Table'!$C$2:$C$64,0),8),"")</f>
        <v/>
      </c>
      <c r="R173" s="155" t="str">
        <f>IFERROR(INDEX('Prescriptive Rebate Table'!$B$2:$J$64, MATCH(O173,'Prescriptive Rebate Table'!$C$2:$C$64,0),9),"")</f>
        <v/>
      </c>
      <c r="S173" s="160"/>
      <c r="T173" s="145" t="str">
        <f>IFERROR(INDEX('Fixture Codes'!$M$8:$M$976,MATCH(S173,'Fixture Codes'!$B$8:$B$976,0)),"")</f>
        <v/>
      </c>
      <c r="U173" s="145" t="str">
        <f>IFERROR(INDEX('Fixture Codes'!$B$7:$M$976,MATCH(T173,'Fixture Codes'!$B$7:$B$976,0),5),"")</f>
        <v/>
      </c>
      <c r="V173" s="160"/>
      <c r="W173" s="145" t="str">
        <f>IFERROR(INDEX('Fixture Codes'!$L$8:$L$976,MATCH(T173,'Fixture Codes'!$B$8:$B$976,0)),"")</f>
        <v/>
      </c>
      <c r="X173" s="158"/>
      <c r="Y173" s="159"/>
      <c r="Z173" s="155" t="str">
        <f>IFERROR(INDEX(Lookups!B$68:B$87,MATCH($X173,Lookups!$A$68:$A$87,0)),"")</f>
        <v/>
      </c>
      <c r="AA173" s="150" t="str">
        <f>IFERROR(INDEX(Lookups!B$42:B$62,MATCH($X173,Lookups!$A$42:$A$62,0)),"")</f>
        <v/>
      </c>
      <c r="AB173" s="150" t="str">
        <f>IFERROR(INDEX(Lookups!C$42:C$62,MATCH($X173,Lookups!$A$42:$A$62,0)),"")</f>
        <v/>
      </c>
      <c r="AC173" s="160"/>
      <c r="AD173" s="160"/>
      <c r="AE173" s="150" t="str">
        <f>IFERROR(INDEX('Fixture Codes'!$B$7:$M$976,MATCH(AD173,'Fixture Codes'!$B$7:$B$976,0),5),"")</f>
        <v/>
      </c>
      <c r="AF173" s="160"/>
      <c r="AG173" s="145" t="str">
        <f>IFERROR(INDEX('Fixture Codes'!$L$8:$L$976,MATCH(AD173,'Fixture Codes'!$B$8:$B$976,0)),"")</f>
        <v/>
      </c>
      <c r="AH173" s="158"/>
      <c r="AI173" s="160"/>
      <c r="AJ173" s="150" t="str">
        <f>IFERROR(INDEX(Lookups!B$68:B$87,MATCH($AH173,Lookups!$A$68:$A$87,0)),"")</f>
        <v/>
      </c>
      <c r="AK173" s="150" t="str">
        <f>IFERROR(INDEX(Lookups!B$42:B$62,MATCH($AH173,Lookups!$A$42:$A$62,0)),"")</f>
        <v/>
      </c>
      <c r="AL173" s="150" t="str">
        <f>IFERROR(INDEX(Lookups!C$42:C$62,MATCH($AH173,Lookups!$A$42:$A$62,0)),"")</f>
        <v/>
      </c>
      <c r="AM173" s="150" t="str">
        <f>IFERROR(IF(M173="Exit Signs",8760,IF(INDEX('Fixture Codes'!$C$8:$C$976,MATCH(AD173,'Fixture Codes'!$B$8:$B$976,0))="Exit Sign",8760,INDEX(Lookups!$I$2:$I$428,MATCH(_xlfn.CONCAT(B173,H173),Lookups!$H$2:$H$428,0)))),"")</f>
        <v/>
      </c>
      <c r="AN173" s="153">
        <v>1</v>
      </c>
      <c r="AO173" s="150" t="str">
        <f>IF($D173="Interior",INDEX(Lookups!Q$2:Q$86,MATCH(_xlfn.CONCAT($C173,$L173),Lookups!$P$2:$P$86,0)),IF($D173="Exterior",1,""))</f>
        <v/>
      </c>
      <c r="AP173" s="150">
        <f t="shared" si="88"/>
        <v>1</v>
      </c>
      <c r="AQ173" s="150" t="str">
        <f>IF($D173="Interior",INDEX(Lookups!R$2:R$86,MATCH(_xlfn.CONCAT($C173,$L173),Lookups!$P$2:$P$86,0)),IF($D173="Exterior",1,""))</f>
        <v/>
      </c>
      <c r="AR173" s="150" t="str">
        <f>IF($D173="Interior",INDEX(Lookups!S$2:S$86,MATCH(_xlfn.CONCAT($C173,$L173),Lookups!$P$2:$P$86,0)),IF($D173="Exterior",1,""))</f>
        <v/>
      </c>
      <c r="AS173" s="150" t="str">
        <f>IF($D173="Interior",INDEX(Lookups!T$2:T$86,MATCH(_xlfn.CONCAT($C173,$L173),Lookups!$P$2:$P$86,0)),IF($D173="Exterior",1,""))</f>
        <v/>
      </c>
      <c r="AT173" s="150" t="str">
        <f>IFERROR(IF(M173="Exit Signs",1,IF(INDEX('Fixture Codes'!$C$8:$C$976,MATCH($AD173,'Fixture Codes'!$B$8:$B$976,0))="Exit Sign",1,INDEX(Lookups!J$2:J$428,MATCH(_xlfn.CONCAT($B173,$H173),Lookups!$H$2:$H$428,0)))),"")</f>
        <v/>
      </c>
      <c r="AU173" s="150" t="str">
        <f>IFERROR(IF(M173="Exit Signs",1,IF(INDEX('Fixture Codes'!$C$8:$C$976,MATCH($AD173,'Fixture Codes'!$B$8:$B$976,0))="Exit Sign",1,INDEX(Lookups!K$2:K$428,MATCH(_xlfn.CONCAT($B173,$H173),Lookups!$H$2:$H$428,0)))),"")</f>
        <v/>
      </c>
      <c r="AV173" s="150" t="str">
        <f>IFERROR(IF(M173="Exit Signs",1,IF(INDEX('Fixture Codes'!$C$8:$C$976,MATCH($AD173,'Fixture Codes'!$B$8:$B$976,0))="Exit Sign",1,INDEX(Lookups!L$2:L$428,MATCH(_xlfn.CONCAT($B173,$H173),Lookups!$H$2:$H$428,0)))),"")</f>
        <v/>
      </c>
      <c r="AW173" s="150" t="str">
        <f>IF(ISBLANK(K173),"",IF(K173="Gas",INDEX(Lookups!$AG$2:$AG$63,MATCH(O173,Lookups!$AD$2:$AD$63,0),0),0))</f>
        <v/>
      </c>
      <c r="AX173" s="150" t="str">
        <f>IF(ISBLANK(K173),"",IF(K173="Gas",INDEX(Lookups!$AF$2:$AF$63,MATCH(O173,Lookups!$AD$2:$AD$63,0),0),0))</f>
        <v/>
      </c>
      <c r="AY173" s="150" t="str">
        <f>IF(ISBLANK(K173),"",IF(K173="Gas",INDEX(Lookups!$AH$2:$AH$63,MATCH(O173,Lookups!$AD$2:$AD$63,0),0),0))</f>
        <v/>
      </c>
      <c r="AZ173" s="150" t="str">
        <f>IF(ISBLANK(K173),"",IF(K173="Gas",INDEX(Lookups!$AI$2:$AI$63,MATCH(O173,Lookups!$AD$2:$AD$63,0),0),0))</f>
        <v/>
      </c>
      <c r="BA173" s="150" t="str">
        <f t="shared" si="73"/>
        <v/>
      </c>
      <c r="BB173" s="156" t="str">
        <f>IF(ISBLANK(AH173),"",IF(AH173="None",0,IF(K173="Gas",INDEX(Lookups!$AF$51:$AF$69,MATCH(AH173,Lookups!$AD$51:$AD$69,0),0),0)))</f>
        <v/>
      </c>
      <c r="BC173" s="156" t="str">
        <f>IF(ISBLANK(AH173),"",IF(AH173="None",0,IF(K173="Gas",INDEX(Lookups!$AH$51:$AH$69,MATCH(AH173,Lookups!$AD$51:$AD$69,0),0),0)))</f>
        <v/>
      </c>
      <c r="BD173" s="156" t="str">
        <f>IF(ISBLANK(AH173),"",IF(AH173="None",0,IF(K173="Gas",INDEX(Lookups!$AI$51:$AI$69,MATCH(AH173,Lookups!$AD$51:$AD$69,0),0),0)))</f>
        <v/>
      </c>
      <c r="BE173" s="157"/>
      <c r="BF173" s="157"/>
      <c r="BG173" s="147" t="str">
        <f t="shared" si="89"/>
        <v/>
      </c>
      <c r="BH173" s="147" t="str">
        <f t="shared" si="90"/>
        <v/>
      </c>
      <c r="BI173" s="147" t="str">
        <f t="shared" si="74"/>
        <v/>
      </c>
      <c r="BJ173" s="147" t="str">
        <f t="shared" si="75"/>
        <v/>
      </c>
      <c r="BK173" s="148" t="str">
        <f t="shared" si="91"/>
        <v/>
      </c>
      <c r="BL173" s="147" t="str">
        <f t="shared" si="76"/>
        <v/>
      </c>
      <c r="BM173" s="148" t="str">
        <f t="shared" si="92"/>
        <v/>
      </c>
      <c r="BN173" s="147" t="str">
        <f t="shared" si="93"/>
        <v/>
      </c>
      <c r="BO173" s="147" t="str">
        <f t="shared" si="93"/>
        <v/>
      </c>
      <c r="BP173" s="147" t="str">
        <f t="shared" si="94"/>
        <v/>
      </c>
      <c r="BQ173" s="148" t="str">
        <f t="shared" si="95"/>
        <v/>
      </c>
      <c r="BR173" s="148" t="str">
        <f t="shared" si="96"/>
        <v/>
      </c>
      <c r="BS173" s="148" t="str">
        <f t="shared" si="97"/>
        <v/>
      </c>
      <c r="BT173" s="148" t="str">
        <f t="shared" si="77"/>
        <v/>
      </c>
      <c r="BU173" s="148" t="str">
        <f t="shared" si="78"/>
        <v/>
      </c>
      <c r="BV173" s="148" t="str">
        <f t="shared" si="79"/>
        <v/>
      </c>
      <c r="BW173" s="148" t="str">
        <f t="shared" si="80"/>
        <v/>
      </c>
      <c r="BX173" s="148" t="str">
        <f t="shared" si="81"/>
        <v/>
      </c>
      <c r="BY173" s="148" t="str">
        <f t="shared" si="82"/>
        <v/>
      </c>
      <c r="BZ173" s="149" t="str">
        <f>IFERROR(INDEX('Prescriptive Rebate Table'!$B$2:$E$64,MATCH(O173,'Prescriptive Rebate Table'!$C$2:$C$64,0),3),"")</f>
        <v/>
      </c>
      <c r="CA173" s="145" t="str">
        <f>IFERROR(INDEX('Prescriptive Rebate Table'!$B$2:$E$64,MATCH(O173,'Prescriptive Rebate Table'!$C$2:$C$64,0),4),"")</f>
        <v/>
      </c>
      <c r="CB173" s="149" t="str">
        <f t="shared" si="98"/>
        <v/>
      </c>
      <c r="CC173" s="145" t="str">
        <f t="shared" si="99"/>
        <v/>
      </c>
      <c r="CD173" s="149" t="str">
        <f t="shared" si="83"/>
        <v/>
      </c>
      <c r="CE173" s="149" t="str">
        <f t="shared" si="84"/>
        <v/>
      </c>
      <c r="CF173" s="149" t="str">
        <f>IF(BK173&lt;=0,0,IFERROR(IF(OR(ISBLANK(AC173),ISBLANK(CD173))=TRUE,"",IF(CA173="Per Foot",INDEX('Fixture Codes'!$I$8:$I$976,MATCH(AD173,'Fixture Codes'!$B$8:$B$976,0))/12*AF173*BZ173,IF(CA173="Lamp",INDEX('Fixture Codes'!$J$8:$J$976,MATCH(AD173,'Fixture Codes'!$B$8:$B$976,0))*AF173*BZ173,IF(CA173="Fixture",AF173*BZ173,IF(CA173="kWh",BK173*BZ173,0))))),""))</f>
        <v/>
      </c>
      <c r="CG173" s="149" t="str">
        <f t="shared" si="100"/>
        <v/>
      </c>
      <c r="CH173" s="149" t="str">
        <f t="shared" si="101"/>
        <v/>
      </c>
      <c r="CI173" s="152"/>
      <c r="CJ173" s="146"/>
      <c r="CK173" s="241">
        <f>IFERROR(IF(CL173="Yes",'Prescriptive Rebate Table'!$D$69,IF(ISBLANK(AI173),0,IF(AND(AH173=Lookups!$A$62,BK173&gt;0),'Prescriptive Rebate Table'!$D$68,IF(AND(BK173&gt;0,CJ173=AF173),'Prescriptive Rebate Table'!$D$67,IF(AND(BK173&gt;0,CJ173&lt;&gt;AF173),'Prescriptive Rebate Table'!D232,0))))),"")</f>
        <v>0</v>
      </c>
      <c r="CL173" s="240" t="s">
        <v>2712</v>
      </c>
      <c r="CM173" s="152"/>
      <c r="CN173" s="152"/>
      <c r="CO173" s="152"/>
      <c r="CP173" s="146">
        <f t="shared" si="85"/>
        <v>0</v>
      </c>
      <c r="CQ173" s="153">
        <f>IF(D173="Interior",ROUND(($AG173*AF173)/1000*$AM173*(Lookups!$B$54-$AA173)*$AN173*$AO173,3),0)</f>
        <v>0</v>
      </c>
      <c r="CR173" s="153">
        <f>IFERROR(IF(D173="Interior",ROUND(($AG173*$AF173)/1000*(Lookups!$C$54-$AB173)*$AN173*AQ173*AT173,6),0),"")</f>
        <v>0</v>
      </c>
      <c r="CS173" s="165">
        <f t="shared" si="102"/>
        <v>0</v>
      </c>
      <c r="CT173" s="165">
        <f t="shared" si="103"/>
        <v>0</v>
      </c>
      <c r="CV173" s="153"/>
      <c r="CW173" s="153"/>
      <c r="CX173" s="165"/>
      <c r="CY173" s="165"/>
      <c r="DA173" s="153">
        <f>IF(D173="Interior",ROUND(($AG173*AF173*(1-0.15))/1000*$AM173*(Lookups!$B$43+0.097-$AA173)*$AN173*$AO173+((W173*V173)/1000*AN173*AM173*AO173*0.15),3),0)</f>
        <v>0</v>
      </c>
      <c r="DB173" s="153">
        <f>IFERROR(IF(D173="Interior",ROUND(($AG173*$AF173)/1000*(Lookups!$C$43+0.097-$AB173)*$AN173*AQ173*AT173+(($AG173*$AF173)/1000*$AN173*AQ173*AT173*0.15),6),0),"")</f>
        <v>0</v>
      </c>
      <c r="DC173" s="165">
        <f t="shared" si="104"/>
        <v>0</v>
      </c>
      <c r="DD173" s="165">
        <f t="shared" si="105"/>
        <v>0</v>
      </c>
    </row>
    <row r="174" spans="1:108" s="164" customFormat="1">
      <c r="A174" s="150">
        <v>170</v>
      </c>
      <c r="B174" s="153" t="str">
        <f>IFERROR(INDEX(Lookups!$B$2:$B$38,MATCH('Project Info &amp; Summary'!$C$19,Lookups!$A$2:$A$38,0)),"")</f>
        <v/>
      </c>
      <c r="C174" s="153" t="str">
        <f>IFERROR(INDEX(Lookups!$C$2:$C$38,MATCH('Project Info &amp; Summary'!$C$19,Lookups!$A$2:$A$38,0)),"")</f>
        <v/>
      </c>
      <c r="D174" s="163"/>
      <c r="E174" s="160"/>
      <c r="F174" s="158"/>
      <c r="G174" s="158"/>
      <c r="H174" s="158"/>
      <c r="I174" s="158"/>
      <c r="J174" s="154" t="str">
        <f>IFERROR(INDEX(Lookups!$W$21:$W$26,MATCH(I174,Lookups!$V$21:$V$26,0)),"")</f>
        <v/>
      </c>
      <c r="K174" s="158"/>
      <c r="L174" s="162" t="str">
        <f>IFERROR(INDEX(Lookups!$Y$2:$Y$19,MATCH(_xlfn.CONCAT(I174,K174),Lookups!$X$2:$X$19,0)),"")</f>
        <v/>
      </c>
      <c r="M174" s="158"/>
      <c r="N174" s="153" t="str">
        <f>IFERROR(INDEX('Prescriptive Rebate Table'!$M$3:$M$20,MATCH(M174,'Prescriptive Rebate Table'!$L$3:$L$20,0)),"")</f>
        <v/>
      </c>
      <c r="O174" s="158"/>
      <c r="P174" s="154" t="str">
        <f>IFERROR(INDEX('Prescriptive Rebate Table'!$B$2:$H$64, MATCH(O174,'Prescriptive Rebate Table'!$C$2:$C$64,0),7),"")</f>
        <v/>
      </c>
      <c r="Q174" s="155" t="str">
        <f>IFERROR(INDEX('Prescriptive Rebate Table'!$B$2:$I$64, MATCH(O174,'Prescriptive Rebate Table'!$C$2:$C$64,0),8),"")</f>
        <v/>
      </c>
      <c r="R174" s="155" t="str">
        <f>IFERROR(INDEX('Prescriptive Rebate Table'!$B$2:$J$64, MATCH(O174,'Prescriptive Rebate Table'!$C$2:$C$64,0),9),"")</f>
        <v/>
      </c>
      <c r="S174" s="160"/>
      <c r="T174" s="145" t="str">
        <f>IFERROR(INDEX('Fixture Codes'!$M$8:$M$976,MATCH(S174,'Fixture Codes'!$B$8:$B$976,0)),"")</f>
        <v/>
      </c>
      <c r="U174" s="145" t="str">
        <f>IFERROR(INDEX('Fixture Codes'!$B$7:$M$976,MATCH(T174,'Fixture Codes'!$B$7:$B$976,0),5),"")</f>
        <v/>
      </c>
      <c r="V174" s="160"/>
      <c r="W174" s="145" t="str">
        <f>IFERROR(INDEX('Fixture Codes'!$L$8:$L$976,MATCH(T174,'Fixture Codes'!$B$8:$B$976,0)),"")</f>
        <v/>
      </c>
      <c r="X174" s="158"/>
      <c r="Y174" s="159"/>
      <c r="Z174" s="155" t="str">
        <f>IFERROR(INDEX(Lookups!B$68:B$87,MATCH($X174,Lookups!$A$68:$A$87,0)),"")</f>
        <v/>
      </c>
      <c r="AA174" s="150" t="str">
        <f>IFERROR(INDEX(Lookups!B$42:B$62,MATCH($X174,Lookups!$A$42:$A$62,0)),"")</f>
        <v/>
      </c>
      <c r="AB174" s="150" t="str">
        <f>IFERROR(INDEX(Lookups!C$42:C$62,MATCH($X174,Lookups!$A$42:$A$62,0)),"")</f>
        <v/>
      </c>
      <c r="AC174" s="160"/>
      <c r="AD174" s="160"/>
      <c r="AE174" s="150" t="str">
        <f>IFERROR(INDEX('Fixture Codes'!$B$7:$M$976,MATCH(AD174,'Fixture Codes'!$B$7:$B$976,0),5),"")</f>
        <v/>
      </c>
      <c r="AF174" s="160"/>
      <c r="AG174" s="145" t="str">
        <f>IFERROR(INDEX('Fixture Codes'!$L$8:$L$976,MATCH(AD174,'Fixture Codes'!$B$8:$B$976,0)),"")</f>
        <v/>
      </c>
      <c r="AH174" s="158"/>
      <c r="AI174" s="160"/>
      <c r="AJ174" s="150" t="str">
        <f>IFERROR(INDEX(Lookups!B$68:B$87,MATCH($AH174,Lookups!$A$68:$A$87,0)),"")</f>
        <v/>
      </c>
      <c r="AK174" s="150" t="str">
        <f>IFERROR(INDEX(Lookups!B$42:B$62,MATCH($AH174,Lookups!$A$42:$A$62,0)),"")</f>
        <v/>
      </c>
      <c r="AL174" s="150" t="str">
        <f>IFERROR(INDEX(Lookups!C$42:C$62,MATCH($AH174,Lookups!$A$42:$A$62,0)),"")</f>
        <v/>
      </c>
      <c r="AM174" s="150" t="str">
        <f>IFERROR(IF(M174="Exit Signs",8760,IF(INDEX('Fixture Codes'!$C$8:$C$976,MATCH(AD174,'Fixture Codes'!$B$8:$B$976,0))="Exit Sign",8760,INDEX(Lookups!$I$2:$I$428,MATCH(_xlfn.CONCAT(B174,H174),Lookups!$H$2:$H$428,0)))),"")</f>
        <v/>
      </c>
      <c r="AN174" s="153">
        <v>1</v>
      </c>
      <c r="AO174" s="150" t="str">
        <f>IF($D174="Interior",INDEX(Lookups!Q$2:Q$86,MATCH(_xlfn.CONCAT($C174,$L174),Lookups!$P$2:$P$86,0)),IF($D174="Exterior",1,""))</f>
        <v/>
      </c>
      <c r="AP174" s="150">
        <f t="shared" si="88"/>
        <v>1</v>
      </c>
      <c r="AQ174" s="150" t="str">
        <f>IF($D174="Interior",INDEX(Lookups!R$2:R$86,MATCH(_xlfn.CONCAT($C174,$L174),Lookups!$P$2:$P$86,0)),IF($D174="Exterior",1,""))</f>
        <v/>
      </c>
      <c r="AR174" s="150" t="str">
        <f>IF($D174="Interior",INDEX(Lookups!S$2:S$86,MATCH(_xlfn.CONCAT($C174,$L174),Lookups!$P$2:$P$86,0)),IF($D174="Exterior",1,""))</f>
        <v/>
      </c>
      <c r="AS174" s="150" t="str">
        <f>IF($D174="Interior",INDEX(Lookups!T$2:T$86,MATCH(_xlfn.CONCAT($C174,$L174),Lookups!$P$2:$P$86,0)),IF($D174="Exterior",1,""))</f>
        <v/>
      </c>
      <c r="AT174" s="150" t="str">
        <f>IFERROR(IF(M174="Exit Signs",1,IF(INDEX('Fixture Codes'!$C$8:$C$976,MATCH($AD174,'Fixture Codes'!$B$8:$B$976,0))="Exit Sign",1,INDEX(Lookups!J$2:J$428,MATCH(_xlfn.CONCAT($B174,$H174),Lookups!$H$2:$H$428,0)))),"")</f>
        <v/>
      </c>
      <c r="AU174" s="150" t="str">
        <f>IFERROR(IF(M174="Exit Signs",1,IF(INDEX('Fixture Codes'!$C$8:$C$976,MATCH($AD174,'Fixture Codes'!$B$8:$B$976,0))="Exit Sign",1,INDEX(Lookups!K$2:K$428,MATCH(_xlfn.CONCAT($B174,$H174),Lookups!$H$2:$H$428,0)))),"")</f>
        <v/>
      </c>
      <c r="AV174" s="150" t="str">
        <f>IFERROR(IF(M174="Exit Signs",1,IF(INDEX('Fixture Codes'!$C$8:$C$976,MATCH($AD174,'Fixture Codes'!$B$8:$B$976,0))="Exit Sign",1,INDEX(Lookups!L$2:L$428,MATCH(_xlfn.CONCAT($B174,$H174),Lookups!$H$2:$H$428,0)))),"")</f>
        <v/>
      </c>
      <c r="AW174" s="150" t="str">
        <f>IF(ISBLANK(K174),"",IF(K174="Gas",INDEX(Lookups!$AG$2:$AG$63,MATCH(O174,Lookups!$AD$2:$AD$63,0),0),0))</f>
        <v/>
      </c>
      <c r="AX174" s="150" t="str">
        <f>IF(ISBLANK(K174),"",IF(K174="Gas",INDEX(Lookups!$AF$2:$AF$63,MATCH(O174,Lookups!$AD$2:$AD$63,0),0),0))</f>
        <v/>
      </c>
      <c r="AY174" s="150" t="str">
        <f>IF(ISBLANK(K174),"",IF(K174="Gas",INDEX(Lookups!$AH$2:$AH$63,MATCH(O174,Lookups!$AD$2:$AD$63,0),0),0))</f>
        <v/>
      </c>
      <c r="AZ174" s="150" t="str">
        <f>IF(ISBLANK(K174),"",IF(K174="Gas",INDEX(Lookups!$AI$2:$AI$63,MATCH(O174,Lookups!$AD$2:$AD$63,0),0),0))</f>
        <v/>
      </c>
      <c r="BA174" s="150" t="str">
        <f t="shared" si="73"/>
        <v/>
      </c>
      <c r="BB174" s="156" t="str">
        <f>IF(ISBLANK(AH174),"",IF(AH174="None",0,IF(K174="Gas",INDEX(Lookups!$AF$51:$AF$69,MATCH(AH174,Lookups!$AD$51:$AD$69,0),0),0)))</f>
        <v/>
      </c>
      <c r="BC174" s="156" t="str">
        <f>IF(ISBLANK(AH174),"",IF(AH174="None",0,IF(K174="Gas",INDEX(Lookups!$AH$51:$AH$69,MATCH(AH174,Lookups!$AD$51:$AD$69,0),0),0)))</f>
        <v/>
      </c>
      <c r="BD174" s="156" t="str">
        <f>IF(ISBLANK(AH174),"",IF(AH174="None",0,IF(K174="Gas",INDEX(Lookups!$AI$51:$AI$69,MATCH(AH174,Lookups!$AD$51:$AD$69,0),0),0)))</f>
        <v/>
      </c>
      <c r="BE174" s="157"/>
      <c r="BF174" s="157"/>
      <c r="BG174" s="147" t="str">
        <f t="shared" si="89"/>
        <v/>
      </c>
      <c r="BH174" s="147" t="str">
        <f t="shared" si="90"/>
        <v/>
      </c>
      <c r="BI174" s="147" t="str">
        <f t="shared" si="74"/>
        <v/>
      </c>
      <c r="BJ174" s="147" t="str">
        <f t="shared" si="75"/>
        <v/>
      </c>
      <c r="BK174" s="148" t="str">
        <f t="shared" si="91"/>
        <v/>
      </c>
      <c r="BL174" s="147" t="str">
        <f t="shared" si="76"/>
        <v/>
      </c>
      <c r="BM174" s="148" t="str">
        <f t="shared" si="92"/>
        <v/>
      </c>
      <c r="BN174" s="147" t="str">
        <f t="shared" si="93"/>
        <v/>
      </c>
      <c r="BO174" s="147" t="str">
        <f t="shared" si="93"/>
        <v/>
      </c>
      <c r="BP174" s="147" t="str">
        <f t="shared" si="94"/>
        <v/>
      </c>
      <c r="BQ174" s="148" t="str">
        <f t="shared" si="95"/>
        <v/>
      </c>
      <c r="BR174" s="148" t="str">
        <f t="shared" si="96"/>
        <v/>
      </c>
      <c r="BS174" s="148" t="str">
        <f t="shared" si="97"/>
        <v/>
      </c>
      <c r="BT174" s="148" t="str">
        <f t="shared" si="77"/>
        <v/>
      </c>
      <c r="BU174" s="148" t="str">
        <f t="shared" si="78"/>
        <v/>
      </c>
      <c r="BV174" s="148" t="str">
        <f t="shared" si="79"/>
        <v/>
      </c>
      <c r="BW174" s="148" t="str">
        <f t="shared" si="80"/>
        <v/>
      </c>
      <c r="BX174" s="148" t="str">
        <f t="shared" si="81"/>
        <v/>
      </c>
      <c r="BY174" s="148" t="str">
        <f t="shared" si="82"/>
        <v/>
      </c>
      <c r="BZ174" s="149" t="str">
        <f>IFERROR(INDEX('Prescriptive Rebate Table'!$B$2:$E$64,MATCH(O174,'Prescriptive Rebate Table'!$C$2:$C$64,0),3),"")</f>
        <v/>
      </c>
      <c r="CA174" s="145" t="str">
        <f>IFERROR(INDEX('Prescriptive Rebate Table'!$B$2:$E$64,MATCH(O174,'Prescriptive Rebate Table'!$C$2:$C$64,0),4),"")</f>
        <v/>
      </c>
      <c r="CB174" s="149" t="str">
        <f t="shared" si="98"/>
        <v/>
      </c>
      <c r="CC174" s="145" t="str">
        <f t="shared" si="99"/>
        <v/>
      </c>
      <c r="CD174" s="149" t="str">
        <f t="shared" si="83"/>
        <v/>
      </c>
      <c r="CE174" s="149" t="str">
        <f t="shared" si="84"/>
        <v/>
      </c>
      <c r="CF174" s="149" t="str">
        <f>IF(BK174&lt;=0,0,IFERROR(IF(OR(ISBLANK(AC174),ISBLANK(CD174))=TRUE,"",IF(CA174="Per Foot",INDEX('Fixture Codes'!$I$8:$I$976,MATCH(AD174,'Fixture Codes'!$B$8:$B$976,0))/12*AF174*BZ174,IF(CA174="Lamp",INDEX('Fixture Codes'!$J$8:$J$976,MATCH(AD174,'Fixture Codes'!$B$8:$B$976,0))*AF174*BZ174,IF(CA174="Fixture",AF174*BZ174,IF(CA174="kWh",BK174*BZ174,0))))),""))</f>
        <v/>
      </c>
      <c r="CG174" s="149" t="str">
        <f t="shared" si="100"/>
        <v/>
      </c>
      <c r="CH174" s="149" t="str">
        <f t="shared" si="101"/>
        <v/>
      </c>
      <c r="CI174" s="152"/>
      <c r="CJ174" s="146"/>
      <c r="CK174" s="241">
        <f>IFERROR(IF(CL174="Yes",'Prescriptive Rebate Table'!$D$69,IF(ISBLANK(AI174),0,IF(AND(AH174=Lookups!$A$62,BK174&gt;0),'Prescriptive Rebate Table'!$D$68,IF(AND(BK174&gt;0,CJ174=AF174),'Prescriptive Rebate Table'!$D$67,IF(AND(BK174&gt;0,CJ174&lt;&gt;AF174),'Prescriptive Rebate Table'!D233,0))))),"")</f>
        <v>0</v>
      </c>
      <c r="CL174" s="240" t="s">
        <v>2712</v>
      </c>
      <c r="CM174" s="152"/>
      <c r="CN174" s="152"/>
      <c r="CO174" s="152"/>
      <c r="CP174" s="146">
        <f t="shared" si="85"/>
        <v>0</v>
      </c>
      <c r="CQ174" s="153">
        <f>IF(D174="Interior",ROUND(($AG174*AF174)/1000*$AM174*(Lookups!$B$54-$AA174)*$AN174*$AO174,3),0)</f>
        <v>0</v>
      </c>
      <c r="CR174" s="153">
        <f>IFERROR(IF(D174="Interior",ROUND(($AG174*$AF174)/1000*(Lookups!$C$54-$AB174)*$AN174*AQ174*AT174,6),0),"")</f>
        <v>0</v>
      </c>
      <c r="CS174" s="165">
        <f t="shared" si="102"/>
        <v>0</v>
      </c>
      <c r="CT174" s="165">
        <f t="shared" si="103"/>
        <v>0</v>
      </c>
      <c r="CV174" s="153"/>
      <c r="CW174" s="153"/>
      <c r="CX174" s="165"/>
      <c r="CY174" s="165"/>
      <c r="DA174" s="153">
        <f>IF(D174="Interior",ROUND(($AG174*AF174*(1-0.15))/1000*$AM174*(Lookups!$B$43+0.097-$AA174)*$AN174*$AO174+((W174*V174)/1000*AN174*AM174*AO174*0.15),3),0)</f>
        <v>0</v>
      </c>
      <c r="DB174" s="153">
        <f>IFERROR(IF(D174="Interior",ROUND(($AG174*$AF174)/1000*(Lookups!$C$43+0.097-$AB174)*$AN174*AQ174*AT174+(($AG174*$AF174)/1000*$AN174*AQ174*AT174*0.15),6),0),"")</f>
        <v>0</v>
      </c>
      <c r="DC174" s="165">
        <f t="shared" si="104"/>
        <v>0</v>
      </c>
      <c r="DD174" s="165">
        <f t="shared" si="105"/>
        <v>0</v>
      </c>
    </row>
    <row r="175" spans="1:108" s="164" customFormat="1">
      <c r="A175" s="150">
        <v>171</v>
      </c>
      <c r="B175" s="153" t="str">
        <f>IFERROR(INDEX(Lookups!$B$2:$B$38,MATCH('Project Info &amp; Summary'!$C$19,Lookups!$A$2:$A$38,0)),"")</f>
        <v/>
      </c>
      <c r="C175" s="153" t="str">
        <f>IFERROR(INDEX(Lookups!$C$2:$C$38,MATCH('Project Info &amp; Summary'!$C$19,Lookups!$A$2:$A$38,0)),"")</f>
        <v/>
      </c>
      <c r="D175" s="163"/>
      <c r="E175" s="160"/>
      <c r="F175" s="158"/>
      <c r="G175" s="158"/>
      <c r="H175" s="158"/>
      <c r="I175" s="158"/>
      <c r="J175" s="154" t="str">
        <f>IFERROR(INDEX(Lookups!$W$21:$W$26,MATCH(I175,Lookups!$V$21:$V$26,0)),"")</f>
        <v/>
      </c>
      <c r="K175" s="158"/>
      <c r="L175" s="162" t="str">
        <f>IFERROR(INDEX(Lookups!$Y$2:$Y$19,MATCH(_xlfn.CONCAT(I175,K175),Lookups!$X$2:$X$19,0)),"")</f>
        <v/>
      </c>
      <c r="M175" s="158"/>
      <c r="N175" s="153" t="str">
        <f>IFERROR(INDEX('Prescriptive Rebate Table'!$M$3:$M$20,MATCH(M175,'Prescriptive Rebate Table'!$L$3:$L$20,0)),"")</f>
        <v/>
      </c>
      <c r="O175" s="158"/>
      <c r="P175" s="154" t="str">
        <f>IFERROR(INDEX('Prescriptive Rebate Table'!$B$2:$H$64, MATCH(O175,'Prescriptive Rebate Table'!$C$2:$C$64,0),7),"")</f>
        <v/>
      </c>
      <c r="Q175" s="155" t="str">
        <f>IFERROR(INDEX('Prescriptive Rebate Table'!$B$2:$I$64, MATCH(O175,'Prescriptive Rebate Table'!$C$2:$C$64,0),8),"")</f>
        <v/>
      </c>
      <c r="R175" s="155" t="str">
        <f>IFERROR(INDEX('Prescriptive Rebate Table'!$B$2:$J$64, MATCH(O175,'Prescriptive Rebate Table'!$C$2:$C$64,0),9),"")</f>
        <v/>
      </c>
      <c r="S175" s="160"/>
      <c r="T175" s="145" t="str">
        <f>IFERROR(INDEX('Fixture Codes'!$M$8:$M$976,MATCH(S175,'Fixture Codes'!$B$8:$B$976,0)),"")</f>
        <v/>
      </c>
      <c r="U175" s="145" t="str">
        <f>IFERROR(INDEX('Fixture Codes'!$B$7:$M$976,MATCH(T175,'Fixture Codes'!$B$7:$B$976,0),5),"")</f>
        <v/>
      </c>
      <c r="V175" s="160"/>
      <c r="W175" s="145" t="str">
        <f>IFERROR(INDEX('Fixture Codes'!$L$8:$L$976,MATCH(T175,'Fixture Codes'!$B$8:$B$976,0)),"")</f>
        <v/>
      </c>
      <c r="X175" s="158"/>
      <c r="Y175" s="159"/>
      <c r="Z175" s="155" t="str">
        <f>IFERROR(INDEX(Lookups!B$68:B$87,MATCH($X175,Lookups!$A$68:$A$87,0)),"")</f>
        <v/>
      </c>
      <c r="AA175" s="150" t="str">
        <f>IFERROR(INDEX(Lookups!B$42:B$62,MATCH($X175,Lookups!$A$42:$A$62,0)),"")</f>
        <v/>
      </c>
      <c r="AB175" s="150" t="str">
        <f>IFERROR(INDEX(Lookups!C$42:C$62,MATCH($X175,Lookups!$A$42:$A$62,0)),"")</f>
        <v/>
      </c>
      <c r="AC175" s="160"/>
      <c r="AD175" s="160"/>
      <c r="AE175" s="150" t="str">
        <f>IFERROR(INDEX('Fixture Codes'!$B$7:$M$976,MATCH(AD175,'Fixture Codes'!$B$7:$B$976,0),5),"")</f>
        <v/>
      </c>
      <c r="AF175" s="160"/>
      <c r="AG175" s="145" t="str">
        <f>IFERROR(INDEX('Fixture Codes'!$L$8:$L$976,MATCH(AD175,'Fixture Codes'!$B$8:$B$976,0)),"")</f>
        <v/>
      </c>
      <c r="AH175" s="158"/>
      <c r="AI175" s="160"/>
      <c r="AJ175" s="150" t="str">
        <f>IFERROR(INDEX(Lookups!B$68:B$87,MATCH($AH175,Lookups!$A$68:$A$87,0)),"")</f>
        <v/>
      </c>
      <c r="AK175" s="150" t="str">
        <f>IFERROR(INDEX(Lookups!B$42:B$62,MATCH($AH175,Lookups!$A$42:$A$62,0)),"")</f>
        <v/>
      </c>
      <c r="AL175" s="150" t="str">
        <f>IFERROR(INDEX(Lookups!C$42:C$62,MATCH($AH175,Lookups!$A$42:$A$62,0)),"")</f>
        <v/>
      </c>
      <c r="AM175" s="150" t="str">
        <f>IFERROR(IF(M175="Exit Signs",8760,IF(INDEX('Fixture Codes'!$C$8:$C$976,MATCH(AD175,'Fixture Codes'!$B$8:$B$976,0))="Exit Sign",8760,INDEX(Lookups!$I$2:$I$428,MATCH(_xlfn.CONCAT(B175,H175),Lookups!$H$2:$H$428,0)))),"")</f>
        <v/>
      </c>
      <c r="AN175" s="153">
        <v>1</v>
      </c>
      <c r="AO175" s="150" t="str">
        <f>IF($D175="Interior",INDEX(Lookups!Q$2:Q$86,MATCH(_xlfn.CONCAT($C175,$L175),Lookups!$P$2:$P$86,0)),IF($D175="Exterior",1,""))</f>
        <v/>
      </c>
      <c r="AP175" s="150">
        <f t="shared" si="88"/>
        <v>1</v>
      </c>
      <c r="AQ175" s="150" t="str">
        <f>IF($D175="Interior",INDEX(Lookups!R$2:R$86,MATCH(_xlfn.CONCAT($C175,$L175),Lookups!$P$2:$P$86,0)),IF($D175="Exterior",1,""))</f>
        <v/>
      </c>
      <c r="AR175" s="150" t="str">
        <f>IF($D175="Interior",INDEX(Lookups!S$2:S$86,MATCH(_xlfn.CONCAT($C175,$L175),Lookups!$P$2:$P$86,0)),IF($D175="Exterior",1,""))</f>
        <v/>
      </c>
      <c r="AS175" s="150" t="str">
        <f>IF($D175="Interior",INDEX(Lookups!T$2:T$86,MATCH(_xlfn.CONCAT($C175,$L175),Lookups!$P$2:$P$86,0)),IF($D175="Exterior",1,""))</f>
        <v/>
      </c>
      <c r="AT175" s="150" t="str">
        <f>IFERROR(IF(M175="Exit Signs",1,IF(INDEX('Fixture Codes'!$C$8:$C$976,MATCH($AD175,'Fixture Codes'!$B$8:$B$976,0))="Exit Sign",1,INDEX(Lookups!J$2:J$428,MATCH(_xlfn.CONCAT($B175,$H175),Lookups!$H$2:$H$428,0)))),"")</f>
        <v/>
      </c>
      <c r="AU175" s="150" t="str">
        <f>IFERROR(IF(M175="Exit Signs",1,IF(INDEX('Fixture Codes'!$C$8:$C$976,MATCH($AD175,'Fixture Codes'!$B$8:$B$976,0))="Exit Sign",1,INDEX(Lookups!K$2:K$428,MATCH(_xlfn.CONCAT($B175,$H175),Lookups!$H$2:$H$428,0)))),"")</f>
        <v/>
      </c>
      <c r="AV175" s="150" t="str">
        <f>IFERROR(IF(M175="Exit Signs",1,IF(INDEX('Fixture Codes'!$C$8:$C$976,MATCH($AD175,'Fixture Codes'!$B$8:$B$976,0))="Exit Sign",1,INDEX(Lookups!L$2:L$428,MATCH(_xlfn.CONCAT($B175,$H175),Lookups!$H$2:$H$428,0)))),"")</f>
        <v/>
      </c>
      <c r="AW175" s="150" t="str">
        <f>IF(ISBLANK(K175),"",IF(K175="Gas",INDEX(Lookups!$AG$2:$AG$63,MATCH(O175,Lookups!$AD$2:$AD$63,0),0),0))</f>
        <v/>
      </c>
      <c r="AX175" s="150" t="str">
        <f>IF(ISBLANK(K175),"",IF(K175="Gas",INDEX(Lookups!$AF$2:$AF$63,MATCH(O175,Lookups!$AD$2:$AD$63,0),0),0))</f>
        <v/>
      </c>
      <c r="AY175" s="150" t="str">
        <f>IF(ISBLANK(K175),"",IF(K175="Gas",INDEX(Lookups!$AH$2:$AH$63,MATCH(O175,Lookups!$AD$2:$AD$63,0),0),0))</f>
        <v/>
      </c>
      <c r="AZ175" s="150" t="str">
        <f>IF(ISBLANK(K175),"",IF(K175="Gas",INDEX(Lookups!$AI$2:$AI$63,MATCH(O175,Lookups!$AD$2:$AD$63,0),0),0))</f>
        <v/>
      </c>
      <c r="BA175" s="150" t="str">
        <f t="shared" si="73"/>
        <v/>
      </c>
      <c r="BB175" s="156" t="str">
        <f>IF(ISBLANK(AH175),"",IF(AH175="None",0,IF(K175="Gas",INDEX(Lookups!$AF$51:$AF$69,MATCH(AH175,Lookups!$AD$51:$AD$69,0),0),0)))</f>
        <v/>
      </c>
      <c r="BC175" s="156" t="str">
        <f>IF(ISBLANK(AH175),"",IF(AH175="None",0,IF(K175="Gas",INDEX(Lookups!$AH$51:$AH$69,MATCH(AH175,Lookups!$AD$51:$AD$69,0),0),0)))</f>
        <v/>
      </c>
      <c r="BD175" s="156" t="str">
        <f>IF(ISBLANK(AH175),"",IF(AH175="None",0,IF(K175="Gas",INDEX(Lookups!$AI$51:$AI$69,MATCH(AH175,Lookups!$AD$51:$AD$69,0),0),0)))</f>
        <v/>
      </c>
      <c r="BE175" s="157"/>
      <c r="BF175" s="157"/>
      <c r="BG175" s="147" t="str">
        <f t="shared" si="89"/>
        <v/>
      </c>
      <c r="BH175" s="147" t="str">
        <f t="shared" si="90"/>
        <v/>
      </c>
      <c r="BI175" s="147" t="str">
        <f t="shared" si="74"/>
        <v/>
      </c>
      <c r="BJ175" s="147" t="str">
        <f t="shared" si="75"/>
        <v/>
      </c>
      <c r="BK175" s="148" t="str">
        <f t="shared" si="91"/>
        <v/>
      </c>
      <c r="BL175" s="147" t="str">
        <f t="shared" si="76"/>
        <v/>
      </c>
      <c r="BM175" s="148" t="str">
        <f t="shared" si="92"/>
        <v/>
      </c>
      <c r="BN175" s="147" t="str">
        <f t="shared" si="93"/>
        <v/>
      </c>
      <c r="BO175" s="147" t="str">
        <f t="shared" si="93"/>
        <v/>
      </c>
      <c r="BP175" s="147" t="str">
        <f t="shared" si="94"/>
        <v/>
      </c>
      <c r="BQ175" s="148" t="str">
        <f t="shared" si="95"/>
        <v/>
      </c>
      <c r="BR175" s="148" t="str">
        <f t="shared" si="96"/>
        <v/>
      </c>
      <c r="BS175" s="148" t="str">
        <f t="shared" si="97"/>
        <v/>
      </c>
      <c r="BT175" s="148" t="str">
        <f t="shared" si="77"/>
        <v/>
      </c>
      <c r="BU175" s="148" t="str">
        <f t="shared" si="78"/>
        <v/>
      </c>
      <c r="BV175" s="148" t="str">
        <f t="shared" si="79"/>
        <v/>
      </c>
      <c r="BW175" s="148" t="str">
        <f t="shared" si="80"/>
        <v/>
      </c>
      <c r="BX175" s="148" t="str">
        <f t="shared" si="81"/>
        <v/>
      </c>
      <c r="BY175" s="148" t="str">
        <f t="shared" si="82"/>
        <v/>
      </c>
      <c r="BZ175" s="149" t="str">
        <f>IFERROR(INDEX('Prescriptive Rebate Table'!$B$2:$E$64,MATCH(O175,'Prescriptive Rebate Table'!$C$2:$C$64,0),3),"")</f>
        <v/>
      </c>
      <c r="CA175" s="145" t="str">
        <f>IFERROR(INDEX('Prescriptive Rebate Table'!$B$2:$E$64,MATCH(O175,'Prescriptive Rebate Table'!$C$2:$C$64,0),4),"")</f>
        <v/>
      </c>
      <c r="CB175" s="149" t="str">
        <f t="shared" si="98"/>
        <v/>
      </c>
      <c r="CC175" s="145" t="str">
        <f t="shared" si="99"/>
        <v/>
      </c>
      <c r="CD175" s="149" t="str">
        <f t="shared" si="83"/>
        <v/>
      </c>
      <c r="CE175" s="149" t="str">
        <f t="shared" si="84"/>
        <v/>
      </c>
      <c r="CF175" s="149" t="str">
        <f>IF(BK175&lt;=0,0,IFERROR(IF(OR(ISBLANK(AC175),ISBLANK(CD175))=TRUE,"",IF(CA175="Per Foot",INDEX('Fixture Codes'!$I$8:$I$976,MATCH(AD175,'Fixture Codes'!$B$8:$B$976,0))/12*AF175*BZ175,IF(CA175="Lamp",INDEX('Fixture Codes'!$J$8:$J$976,MATCH(AD175,'Fixture Codes'!$B$8:$B$976,0))*AF175*BZ175,IF(CA175="Fixture",AF175*BZ175,IF(CA175="kWh",BK175*BZ175,0))))),""))</f>
        <v/>
      </c>
      <c r="CG175" s="149" t="str">
        <f t="shared" si="100"/>
        <v/>
      </c>
      <c r="CH175" s="149" t="str">
        <f t="shared" si="101"/>
        <v/>
      </c>
      <c r="CI175" s="152"/>
      <c r="CJ175" s="146"/>
      <c r="CK175" s="241">
        <f>IFERROR(IF(CL175="Yes",'Prescriptive Rebate Table'!$D$69,IF(ISBLANK(AI175),0,IF(AND(AH175=Lookups!$A$62,BK175&gt;0),'Prescriptive Rebate Table'!$D$68,IF(AND(BK175&gt;0,CJ175=AF175),'Prescriptive Rebate Table'!$D$67,IF(AND(BK175&gt;0,CJ175&lt;&gt;AF175),'Prescriptive Rebate Table'!D234,0))))),"")</f>
        <v>0</v>
      </c>
      <c r="CL175" s="240" t="s">
        <v>2712</v>
      </c>
      <c r="CM175" s="152"/>
      <c r="CN175" s="152"/>
      <c r="CO175" s="152"/>
      <c r="CP175" s="146">
        <f t="shared" si="85"/>
        <v>0</v>
      </c>
      <c r="CQ175" s="153">
        <f>IF(D175="Interior",ROUND(($AG175*AF175)/1000*$AM175*(Lookups!$B$54-$AA175)*$AN175*$AO175,3),0)</f>
        <v>0</v>
      </c>
      <c r="CR175" s="153">
        <f>IFERROR(IF(D175="Interior",ROUND(($AG175*$AF175)/1000*(Lookups!$C$54-$AB175)*$AN175*AQ175*AT175,6),0),"")</f>
        <v>0</v>
      </c>
      <c r="CS175" s="165">
        <f t="shared" si="102"/>
        <v>0</v>
      </c>
      <c r="CT175" s="165">
        <f t="shared" si="103"/>
        <v>0</v>
      </c>
      <c r="CV175" s="153"/>
      <c r="CW175" s="153"/>
      <c r="CX175" s="165"/>
      <c r="CY175" s="165"/>
      <c r="DA175" s="153">
        <f>IF(D175="Interior",ROUND(($AG175*AF175*(1-0.15))/1000*$AM175*(Lookups!$B$43+0.097-$AA175)*$AN175*$AO175+((W175*V175)/1000*AN175*AM175*AO175*0.15),3),0)</f>
        <v>0</v>
      </c>
      <c r="DB175" s="153">
        <f>IFERROR(IF(D175="Interior",ROUND(($AG175*$AF175)/1000*(Lookups!$C$43+0.097-$AB175)*$AN175*AQ175*AT175+(($AG175*$AF175)/1000*$AN175*AQ175*AT175*0.15),6),0),"")</f>
        <v>0</v>
      </c>
      <c r="DC175" s="165">
        <f t="shared" si="104"/>
        <v>0</v>
      </c>
      <c r="DD175" s="165">
        <f t="shared" si="105"/>
        <v>0</v>
      </c>
    </row>
    <row r="176" spans="1:108" s="164" customFormat="1">
      <c r="A176" s="150">
        <v>172</v>
      </c>
      <c r="B176" s="153" t="str">
        <f>IFERROR(INDEX(Lookups!$B$2:$B$38,MATCH('Project Info &amp; Summary'!$C$19,Lookups!$A$2:$A$38,0)),"")</f>
        <v/>
      </c>
      <c r="C176" s="153" t="str">
        <f>IFERROR(INDEX(Lookups!$C$2:$C$38,MATCH('Project Info &amp; Summary'!$C$19,Lookups!$A$2:$A$38,0)),"")</f>
        <v/>
      </c>
      <c r="D176" s="163"/>
      <c r="E176" s="160"/>
      <c r="F176" s="158"/>
      <c r="G176" s="158"/>
      <c r="H176" s="158"/>
      <c r="I176" s="158"/>
      <c r="J176" s="154" t="str">
        <f>IFERROR(INDEX(Lookups!$W$21:$W$26,MATCH(I176,Lookups!$V$21:$V$26,0)),"")</f>
        <v/>
      </c>
      <c r="K176" s="158"/>
      <c r="L176" s="162" t="str">
        <f>IFERROR(INDEX(Lookups!$Y$2:$Y$19,MATCH(_xlfn.CONCAT(I176,K176),Lookups!$X$2:$X$19,0)),"")</f>
        <v/>
      </c>
      <c r="M176" s="158"/>
      <c r="N176" s="153" t="str">
        <f>IFERROR(INDEX('Prescriptive Rebate Table'!$M$3:$M$20,MATCH(M176,'Prescriptive Rebate Table'!$L$3:$L$20,0)),"")</f>
        <v/>
      </c>
      <c r="O176" s="158"/>
      <c r="P176" s="154" t="str">
        <f>IFERROR(INDEX('Prescriptive Rebate Table'!$B$2:$H$64, MATCH(O176,'Prescriptive Rebate Table'!$C$2:$C$64,0),7),"")</f>
        <v/>
      </c>
      <c r="Q176" s="155" t="str">
        <f>IFERROR(INDEX('Prescriptive Rebate Table'!$B$2:$I$64, MATCH(O176,'Prescriptive Rebate Table'!$C$2:$C$64,0),8),"")</f>
        <v/>
      </c>
      <c r="R176" s="155" t="str">
        <f>IFERROR(INDEX('Prescriptive Rebate Table'!$B$2:$J$64, MATCH(O176,'Prescriptive Rebate Table'!$C$2:$C$64,0),9),"")</f>
        <v/>
      </c>
      <c r="S176" s="160"/>
      <c r="T176" s="145" t="str">
        <f>IFERROR(INDEX('Fixture Codes'!$M$8:$M$976,MATCH(S176,'Fixture Codes'!$B$8:$B$976,0)),"")</f>
        <v/>
      </c>
      <c r="U176" s="145" t="str">
        <f>IFERROR(INDEX('Fixture Codes'!$B$7:$M$976,MATCH(T176,'Fixture Codes'!$B$7:$B$976,0),5),"")</f>
        <v/>
      </c>
      <c r="V176" s="160"/>
      <c r="W176" s="145" t="str">
        <f>IFERROR(INDEX('Fixture Codes'!$L$8:$L$976,MATCH(T176,'Fixture Codes'!$B$8:$B$976,0)),"")</f>
        <v/>
      </c>
      <c r="X176" s="158"/>
      <c r="Y176" s="159"/>
      <c r="Z176" s="155" t="str">
        <f>IFERROR(INDEX(Lookups!B$68:B$87,MATCH($X176,Lookups!$A$68:$A$87,0)),"")</f>
        <v/>
      </c>
      <c r="AA176" s="150" t="str">
        <f>IFERROR(INDEX(Lookups!B$42:B$62,MATCH($X176,Lookups!$A$42:$A$62,0)),"")</f>
        <v/>
      </c>
      <c r="AB176" s="150" t="str">
        <f>IFERROR(INDEX(Lookups!C$42:C$62,MATCH($X176,Lookups!$A$42:$A$62,0)),"")</f>
        <v/>
      </c>
      <c r="AC176" s="160"/>
      <c r="AD176" s="160"/>
      <c r="AE176" s="150" t="str">
        <f>IFERROR(INDEX('Fixture Codes'!$B$7:$M$976,MATCH(AD176,'Fixture Codes'!$B$7:$B$976,0),5),"")</f>
        <v/>
      </c>
      <c r="AF176" s="160"/>
      <c r="AG176" s="145" t="str">
        <f>IFERROR(INDEX('Fixture Codes'!$L$8:$L$976,MATCH(AD176,'Fixture Codes'!$B$8:$B$976,0)),"")</f>
        <v/>
      </c>
      <c r="AH176" s="158"/>
      <c r="AI176" s="160"/>
      <c r="AJ176" s="150" t="str">
        <f>IFERROR(INDEX(Lookups!B$68:B$87,MATCH($AH176,Lookups!$A$68:$A$87,0)),"")</f>
        <v/>
      </c>
      <c r="AK176" s="150" t="str">
        <f>IFERROR(INDEX(Lookups!B$42:B$62,MATCH($AH176,Lookups!$A$42:$A$62,0)),"")</f>
        <v/>
      </c>
      <c r="AL176" s="150" t="str">
        <f>IFERROR(INDEX(Lookups!C$42:C$62,MATCH($AH176,Lookups!$A$42:$A$62,0)),"")</f>
        <v/>
      </c>
      <c r="AM176" s="150" t="str">
        <f>IFERROR(IF(M176="Exit Signs",8760,IF(INDEX('Fixture Codes'!$C$8:$C$976,MATCH(AD176,'Fixture Codes'!$B$8:$B$976,0))="Exit Sign",8760,INDEX(Lookups!$I$2:$I$428,MATCH(_xlfn.CONCAT(B176,H176),Lookups!$H$2:$H$428,0)))),"")</f>
        <v/>
      </c>
      <c r="AN176" s="153">
        <v>1</v>
      </c>
      <c r="AO176" s="150" t="str">
        <f>IF($D176="Interior",INDEX(Lookups!Q$2:Q$86,MATCH(_xlfn.CONCAT($C176,$L176),Lookups!$P$2:$P$86,0)),IF($D176="Exterior",1,""))</f>
        <v/>
      </c>
      <c r="AP176" s="150">
        <f t="shared" si="88"/>
        <v>1</v>
      </c>
      <c r="AQ176" s="150" t="str">
        <f>IF($D176="Interior",INDEX(Lookups!R$2:R$86,MATCH(_xlfn.CONCAT($C176,$L176),Lookups!$P$2:$P$86,0)),IF($D176="Exterior",1,""))</f>
        <v/>
      </c>
      <c r="AR176" s="150" t="str">
        <f>IF($D176="Interior",INDEX(Lookups!S$2:S$86,MATCH(_xlfn.CONCAT($C176,$L176),Lookups!$P$2:$P$86,0)),IF($D176="Exterior",1,""))</f>
        <v/>
      </c>
      <c r="AS176" s="150" t="str">
        <f>IF($D176="Interior",INDEX(Lookups!T$2:T$86,MATCH(_xlfn.CONCAT($C176,$L176),Lookups!$P$2:$P$86,0)),IF($D176="Exterior",1,""))</f>
        <v/>
      </c>
      <c r="AT176" s="150" t="str">
        <f>IFERROR(IF(M176="Exit Signs",1,IF(INDEX('Fixture Codes'!$C$8:$C$976,MATCH($AD176,'Fixture Codes'!$B$8:$B$976,0))="Exit Sign",1,INDEX(Lookups!J$2:J$428,MATCH(_xlfn.CONCAT($B176,$H176),Lookups!$H$2:$H$428,0)))),"")</f>
        <v/>
      </c>
      <c r="AU176" s="150" t="str">
        <f>IFERROR(IF(M176="Exit Signs",1,IF(INDEX('Fixture Codes'!$C$8:$C$976,MATCH($AD176,'Fixture Codes'!$B$8:$B$976,0))="Exit Sign",1,INDEX(Lookups!K$2:K$428,MATCH(_xlfn.CONCAT($B176,$H176),Lookups!$H$2:$H$428,0)))),"")</f>
        <v/>
      </c>
      <c r="AV176" s="150" t="str">
        <f>IFERROR(IF(M176="Exit Signs",1,IF(INDEX('Fixture Codes'!$C$8:$C$976,MATCH($AD176,'Fixture Codes'!$B$8:$B$976,0))="Exit Sign",1,INDEX(Lookups!L$2:L$428,MATCH(_xlfn.CONCAT($B176,$H176),Lookups!$H$2:$H$428,0)))),"")</f>
        <v/>
      </c>
      <c r="AW176" s="150" t="str">
        <f>IF(ISBLANK(K176),"",IF(K176="Gas",INDEX(Lookups!$AG$2:$AG$63,MATCH(O176,Lookups!$AD$2:$AD$63,0),0),0))</f>
        <v/>
      </c>
      <c r="AX176" s="150" t="str">
        <f>IF(ISBLANK(K176),"",IF(K176="Gas",INDEX(Lookups!$AF$2:$AF$63,MATCH(O176,Lookups!$AD$2:$AD$63,0),0),0))</f>
        <v/>
      </c>
      <c r="AY176" s="150" t="str">
        <f>IF(ISBLANK(K176),"",IF(K176="Gas",INDEX(Lookups!$AH$2:$AH$63,MATCH(O176,Lookups!$AD$2:$AD$63,0),0),0))</f>
        <v/>
      </c>
      <c r="AZ176" s="150" t="str">
        <f>IF(ISBLANK(K176),"",IF(K176="Gas",INDEX(Lookups!$AI$2:$AI$63,MATCH(O176,Lookups!$AD$2:$AD$63,0),0),0))</f>
        <v/>
      </c>
      <c r="BA176" s="150" t="str">
        <f t="shared" si="73"/>
        <v/>
      </c>
      <c r="BB176" s="156" t="str">
        <f>IF(ISBLANK(AH176),"",IF(AH176="None",0,IF(K176="Gas",INDEX(Lookups!$AF$51:$AF$69,MATCH(AH176,Lookups!$AD$51:$AD$69,0),0),0)))</f>
        <v/>
      </c>
      <c r="BC176" s="156" t="str">
        <f>IF(ISBLANK(AH176),"",IF(AH176="None",0,IF(K176="Gas",INDEX(Lookups!$AH$51:$AH$69,MATCH(AH176,Lookups!$AD$51:$AD$69,0),0),0)))</f>
        <v/>
      </c>
      <c r="BD176" s="156" t="str">
        <f>IF(ISBLANK(AH176),"",IF(AH176="None",0,IF(K176="Gas",INDEX(Lookups!$AI$51:$AI$69,MATCH(AH176,Lookups!$AD$51:$AD$69,0),0),0)))</f>
        <v/>
      </c>
      <c r="BE176" s="157"/>
      <c r="BF176" s="157"/>
      <c r="BG176" s="147" t="str">
        <f t="shared" si="89"/>
        <v/>
      </c>
      <c r="BH176" s="147" t="str">
        <f t="shared" si="90"/>
        <v/>
      </c>
      <c r="BI176" s="147" t="str">
        <f t="shared" si="74"/>
        <v/>
      </c>
      <c r="BJ176" s="147" t="str">
        <f t="shared" si="75"/>
        <v/>
      </c>
      <c r="BK176" s="148" t="str">
        <f t="shared" si="91"/>
        <v/>
      </c>
      <c r="BL176" s="147" t="str">
        <f t="shared" si="76"/>
        <v/>
      </c>
      <c r="BM176" s="148" t="str">
        <f t="shared" si="92"/>
        <v/>
      </c>
      <c r="BN176" s="147" t="str">
        <f t="shared" si="93"/>
        <v/>
      </c>
      <c r="BO176" s="147" t="str">
        <f t="shared" si="93"/>
        <v/>
      </c>
      <c r="BP176" s="147" t="str">
        <f t="shared" si="94"/>
        <v/>
      </c>
      <c r="BQ176" s="148" t="str">
        <f t="shared" si="95"/>
        <v/>
      </c>
      <c r="BR176" s="148" t="str">
        <f t="shared" si="96"/>
        <v/>
      </c>
      <c r="BS176" s="148" t="str">
        <f t="shared" si="97"/>
        <v/>
      </c>
      <c r="BT176" s="148" t="str">
        <f t="shared" si="77"/>
        <v/>
      </c>
      <c r="BU176" s="148" t="str">
        <f t="shared" si="78"/>
        <v/>
      </c>
      <c r="BV176" s="148" t="str">
        <f t="shared" si="79"/>
        <v/>
      </c>
      <c r="BW176" s="148" t="str">
        <f t="shared" si="80"/>
        <v/>
      </c>
      <c r="BX176" s="148" t="str">
        <f t="shared" si="81"/>
        <v/>
      </c>
      <c r="BY176" s="148" t="str">
        <f t="shared" si="82"/>
        <v/>
      </c>
      <c r="BZ176" s="149" t="str">
        <f>IFERROR(INDEX('Prescriptive Rebate Table'!$B$2:$E$64,MATCH(O176,'Prescriptive Rebate Table'!$C$2:$C$64,0),3),"")</f>
        <v/>
      </c>
      <c r="CA176" s="145" t="str">
        <f>IFERROR(INDEX('Prescriptive Rebate Table'!$B$2:$E$64,MATCH(O176,'Prescriptive Rebate Table'!$C$2:$C$64,0),4),"")</f>
        <v/>
      </c>
      <c r="CB176" s="149" t="str">
        <f t="shared" si="98"/>
        <v/>
      </c>
      <c r="CC176" s="145" t="str">
        <f t="shared" si="99"/>
        <v/>
      </c>
      <c r="CD176" s="149" t="str">
        <f t="shared" si="83"/>
        <v/>
      </c>
      <c r="CE176" s="149" t="str">
        <f t="shared" si="84"/>
        <v/>
      </c>
      <c r="CF176" s="149" t="str">
        <f>IF(BK176&lt;=0,0,IFERROR(IF(OR(ISBLANK(AC176),ISBLANK(CD176))=TRUE,"",IF(CA176="Per Foot",INDEX('Fixture Codes'!$I$8:$I$976,MATCH(AD176,'Fixture Codes'!$B$8:$B$976,0))/12*AF176*BZ176,IF(CA176="Lamp",INDEX('Fixture Codes'!$J$8:$J$976,MATCH(AD176,'Fixture Codes'!$B$8:$B$976,0))*AF176*BZ176,IF(CA176="Fixture",AF176*BZ176,IF(CA176="kWh",BK176*BZ176,0))))),""))</f>
        <v/>
      </c>
      <c r="CG176" s="149" t="str">
        <f t="shared" si="100"/>
        <v/>
      </c>
      <c r="CH176" s="149" t="str">
        <f t="shared" si="101"/>
        <v/>
      </c>
      <c r="CI176" s="152"/>
      <c r="CJ176" s="146"/>
      <c r="CK176" s="241">
        <f>IFERROR(IF(CL176="Yes",'Prescriptive Rebate Table'!$D$69,IF(ISBLANK(AI176),0,IF(AND(AH176=Lookups!$A$62,BK176&gt;0),'Prescriptive Rebate Table'!$D$68,IF(AND(BK176&gt;0,CJ176=AF176),'Prescriptive Rebate Table'!$D$67,IF(AND(BK176&gt;0,CJ176&lt;&gt;AF176),'Prescriptive Rebate Table'!D235,0))))),"")</f>
        <v>0</v>
      </c>
      <c r="CL176" s="240" t="s">
        <v>2712</v>
      </c>
      <c r="CM176" s="152"/>
      <c r="CN176" s="152"/>
      <c r="CO176" s="152"/>
      <c r="CP176" s="146">
        <f t="shared" si="85"/>
        <v>0</v>
      </c>
      <c r="CQ176" s="153">
        <f>IF(D176="Interior",ROUND(($AG176*AF176)/1000*$AM176*(Lookups!$B$54-$AA176)*$AN176*$AO176,3),0)</f>
        <v>0</v>
      </c>
      <c r="CR176" s="153">
        <f>IFERROR(IF(D176="Interior",ROUND(($AG176*$AF176)/1000*(Lookups!$C$54-$AB176)*$AN176*AQ176*AT176,6),0),"")</f>
        <v>0</v>
      </c>
      <c r="CS176" s="165">
        <f t="shared" si="102"/>
        <v>0</v>
      </c>
      <c r="CT176" s="165">
        <f t="shared" si="103"/>
        <v>0</v>
      </c>
      <c r="CV176" s="153"/>
      <c r="CW176" s="153"/>
      <c r="CX176" s="165"/>
      <c r="CY176" s="165"/>
      <c r="DA176" s="153">
        <f>IF(D176="Interior",ROUND(($AG176*AF176*(1-0.15))/1000*$AM176*(Lookups!$B$43+0.097-$AA176)*$AN176*$AO176+((W176*V176)/1000*AN176*AM176*AO176*0.15),3),0)</f>
        <v>0</v>
      </c>
      <c r="DB176" s="153">
        <f>IFERROR(IF(D176="Interior",ROUND(($AG176*$AF176)/1000*(Lookups!$C$43+0.097-$AB176)*$AN176*AQ176*AT176+(($AG176*$AF176)/1000*$AN176*AQ176*AT176*0.15),6),0),"")</f>
        <v>0</v>
      </c>
      <c r="DC176" s="165">
        <f t="shared" si="104"/>
        <v>0</v>
      </c>
      <c r="DD176" s="165">
        <f t="shared" si="105"/>
        <v>0</v>
      </c>
    </row>
    <row r="177" spans="1:108" s="164" customFormat="1">
      <c r="A177" s="150">
        <v>173</v>
      </c>
      <c r="B177" s="153" t="str">
        <f>IFERROR(INDEX(Lookups!$B$2:$B$38,MATCH('Project Info &amp; Summary'!$C$19,Lookups!$A$2:$A$38,0)),"")</f>
        <v/>
      </c>
      <c r="C177" s="153" t="str">
        <f>IFERROR(INDEX(Lookups!$C$2:$C$38,MATCH('Project Info &amp; Summary'!$C$19,Lookups!$A$2:$A$38,0)),"")</f>
        <v/>
      </c>
      <c r="D177" s="163"/>
      <c r="E177" s="160"/>
      <c r="F177" s="158"/>
      <c r="G177" s="158"/>
      <c r="H177" s="158"/>
      <c r="I177" s="158"/>
      <c r="J177" s="154" t="str">
        <f>IFERROR(INDEX(Lookups!$W$21:$W$26,MATCH(I177,Lookups!$V$21:$V$26,0)),"")</f>
        <v/>
      </c>
      <c r="K177" s="158"/>
      <c r="L177" s="162" t="str">
        <f>IFERROR(INDEX(Lookups!$Y$2:$Y$19,MATCH(_xlfn.CONCAT(I177,K177),Lookups!$X$2:$X$19,0)),"")</f>
        <v/>
      </c>
      <c r="M177" s="158"/>
      <c r="N177" s="153" t="str">
        <f>IFERROR(INDEX('Prescriptive Rebate Table'!$M$3:$M$20,MATCH(M177,'Prescriptive Rebate Table'!$L$3:$L$20,0)),"")</f>
        <v/>
      </c>
      <c r="O177" s="158"/>
      <c r="P177" s="154" t="str">
        <f>IFERROR(INDEX('Prescriptive Rebate Table'!$B$2:$H$64, MATCH(O177,'Prescriptive Rebate Table'!$C$2:$C$64,0),7),"")</f>
        <v/>
      </c>
      <c r="Q177" s="155" t="str">
        <f>IFERROR(INDEX('Prescriptive Rebate Table'!$B$2:$I$64, MATCH(O177,'Prescriptive Rebate Table'!$C$2:$C$64,0),8),"")</f>
        <v/>
      </c>
      <c r="R177" s="155" t="str">
        <f>IFERROR(INDEX('Prescriptive Rebate Table'!$B$2:$J$64, MATCH(O177,'Prescriptive Rebate Table'!$C$2:$C$64,0),9),"")</f>
        <v/>
      </c>
      <c r="S177" s="160"/>
      <c r="T177" s="145" t="str">
        <f>IFERROR(INDEX('Fixture Codes'!$M$8:$M$976,MATCH(S177,'Fixture Codes'!$B$8:$B$976,0)),"")</f>
        <v/>
      </c>
      <c r="U177" s="145" t="str">
        <f>IFERROR(INDEX('Fixture Codes'!$B$7:$M$976,MATCH(T177,'Fixture Codes'!$B$7:$B$976,0),5),"")</f>
        <v/>
      </c>
      <c r="V177" s="160"/>
      <c r="W177" s="145" t="str">
        <f>IFERROR(INDEX('Fixture Codes'!$L$8:$L$976,MATCH(T177,'Fixture Codes'!$B$8:$B$976,0)),"")</f>
        <v/>
      </c>
      <c r="X177" s="158"/>
      <c r="Y177" s="159"/>
      <c r="Z177" s="155" t="str">
        <f>IFERROR(INDEX(Lookups!B$68:B$87,MATCH($X177,Lookups!$A$68:$A$87,0)),"")</f>
        <v/>
      </c>
      <c r="AA177" s="150" t="str">
        <f>IFERROR(INDEX(Lookups!B$42:B$62,MATCH($X177,Lookups!$A$42:$A$62,0)),"")</f>
        <v/>
      </c>
      <c r="AB177" s="150" t="str">
        <f>IFERROR(INDEX(Lookups!C$42:C$62,MATCH($X177,Lookups!$A$42:$A$62,0)),"")</f>
        <v/>
      </c>
      <c r="AC177" s="160"/>
      <c r="AD177" s="160"/>
      <c r="AE177" s="150" t="str">
        <f>IFERROR(INDEX('Fixture Codes'!$B$7:$M$976,MATCH(AD177,'Fixture Codes'!$B$7:$B$976,0),5),"")</f>
        <v/>
      </c>
      <c r="AF177" s="160"/>
      <c r="AG177" s="145" t="str">
        <f>IFERROR(INDEX('Fixture Codes'!$L$8:$L$976,MATCH(AD177,'Fixture Codes'!$B$8:$B$976,0)),"")</f>
        <v/>
      </c>
      <c r="AH177" s="158"/>
      <c r="AI177" s="160"/>
      <c r="AJ177" s="150" t="str">
        <f>IFERROR(INDEX(Lookups!B$68:B$87,MATCH($AH177,Lookups!$A$68:$A$87,0)),"")</f>
        <v/>
      </c>
      <c r="AK177" s="150" t="str">
        <f>IFERROR(INDEX(Lookups!B$42:B$62,MATCH($AH177,Lookups!$A$42:$A$62,0)),"")</f>
        <v/>
      </c>
      <c r="AL177" s="150" t="str">
        <f>IFERROR(INDEX(Lookups!C$42:C$62,MATCH($AH177,Lookups!$A$42:$A$62,0)),"")</f>
        <v/>
      </c>
      <c r="AM177" s="150" t="str">
        <f>IFERROR(IF(M177="Exit Signs",8760,IF(INDEX('Fixture Codes'!$C$8:$C$976,MATCH(AD177,'Fixture Codes'!$B$8:$B$976,0))="Exit Sign",8760,INDEX(Lookups!$I$2:$I$428,MATCH(_xlfn.CONCAT(B177,H177),Lookups!$H$2:$H$428,0)))),"")</f>
        <v/>
      </c>
      <c r="AN177" s="153">
        <v>1</v>
      </c>
      <c r="AO177" s="150" t="str">
        <f>IF($D177="Interior",INDEX(Lookups!Q$2:Q$86,MATCH(_xlfn.CONCAT($C177,$L177),Lookups!$P$2:$P$86,0)),IF($D177="Exterior",1,""))</f>
        <v/>
      </c>
      <c r="AP177" s="150">
        <f t="shared" si="88"/>
        <v>1</v>
      </c>
      <c r="AQ177" s="150" t="str">
        <f>IF($D177="Interior",INDEX(Lookups!R$2:R$86,MATCH(_xlfn.CONCAT($C177,$L177),Lookups!$P$2:$P$86,0)),IF($D177="Exterior",1,""))</f>
        <v/>
      </c>
      <c r="AR177" s="150" t="str">
        <f>IF($D177="Interior",INDEX(Lookups!S$2:S$86,MATCH(_xlfn.CONCAT($C177,$L177),Lookups!$P$2:$P$86,0)),IF($D177="Exterior",1,""))</f>
        <v/>
      </c>
      <c r="AS177" s="150" t="str">
        <f>IF($D177="Interior",INDEX(Lookups!T$2:T$86,MATCH(_xlfn.CONCAT($C177,$L177),Lookups!$P$2:$P$86,0)),IF($D177="Exterior",1,""))</f>
        <v/>
      </c>
      <c r="AT177" s="150" t="str">
        <f>IFERROR(IF(M177="Exit Signs",1,IF(INDEX('Fixture Codes'!$C$8:$C$976,MATCH($AD177,'Fixture Codes'!$B$8:$B$976,0))="Exit Sign",1,INDEX(Lookups!J$2:J$428,MATCH(_xlfn.CONCAT($B177,$H177),Lookups!$H$2:$H$428,0)))),"")</f>
        <v/>
      </c>
      <c r="AU177" s="150" t="str">
        <f>IFERROR(IF(M177="Exit Signs",1,IF(INDEX('Fixture Codes'!$C$8:$C$976,MATCH($AD177,'Fixture Codes'!$B$8:$B$976,0))="Exit Sign",1,INDEX(Lookups!K$2:K$428,MATCH(_xlfn.CONCAT($B177,$H177),Lookups!$H$2:$H$428,0)))),"")</f>
        <v/>
      </c>
      <c r="AV177" s="150" t="str">
        <f>IFERROR(IF(M177="Exit Signs",1,IF(INDEX('Fixture Codes'!$C$8:$C$976,MATCH($AD177,'Fixture Codes'!$B$8:$B$976,0))="Exit Sign",1,INDEX(Lookups!L$2:L$428,MATCH(_xlfn.CONCAT($B177,$H177),Lookups!$H$2:$H$428,0)))),"")</f>
        <v/>
      </c>
      <c r="AW177" s="150" t="str">
        <f>IF(ISBLANK(K177),"",IF(K177="Gas",INDEX(Lookups!$AG$2:$AG$63,MATCH(O177,Lookups!$AD$2:$AD$63,0),0),0))</f>
        <v/>
      </c>
      <c r="AX177" s="150" t="str">
        <f>IF(ISBLANK(K177),"",IF(K177="Gas",INDEX(Lookups!$AF$2:$AF$63,MATCH(O177,Lookups!$AD$2:$AD$63,0),0),0))</f>
        <v/>
      </c>
      <c r="AY177" s="150" t="str">
        <f>IF(ISBLANK(K177),"",IF(K177="Gas",INDEX(Lookups!$AH$2:$AH$63,MATCH(O177,Lookups!$AD$2:$AD$63,0),0),0))</f>
        <v/>
      </c>
      <c r="AZ177" s="150" t="str">
        <f>IF(ISBLANK(K177),"",IF(K177="Gas",INDEX(Lookups!$AI$2:$AI$63,MATCH(O177,Lookups!$AD$2:$AD$63,0),0),0))</f>
        <v/>
      </c>
      <c r="BA177" s="150" t="str">
        <f t="shared" si="73"/>
        <v/>
      </c>
      <c r="BB177" s="156" t="str">
        <f>IF(ISBLANK(AH177),"",IF(AH177="None",0,IF(K177="Gas",INDEX(Lookups!$AF$51:$AF$69,MATCH(AH177,Lookups!$AD$51:$AD$69,0),0),0)))</f>
        <v/>
      </c>
      <c r="BC177" s="156" t="str">
        <f>IF(ISBLANK(AH177),"",IF(AH177="None",0,IF(K177="Gas",INDEX(Lookups!$AH$51:$AH$69,MATCH(AH177,Lookups!$AD$51:$AD$69,0),0),0)))</f>
        <v/>
      </c>
      <c r="BD177" s="156" t="str">
        <f>IF(ISBLANK(AH177),"",IF(AH177="None",0,IF(K177="Gas",INDEX(Lookups!$AI$51:$AI$69,MATCH(AH177,Lookups!$AD$51:$AD$69,0),0),0)))</f>
        <v/>
      </c>
      <c r="BE177" s="157"/>
      <c r="BF177" s="157"/>
      <c r="BG177" s="147" t="str">
        <f t="shared" si="89"/>
        <v/>
      </c>
      <c r="BH177" s="147" t="str">
        <f t="shared" si="90"/>
        <v/>
      </c>
      <c r="BI177" s="147" t="str">
        <f t="shared" si="74"/>
        <v/>
      </c>
      <c r="BJ177" s="147" t="str">
        <f t="shared" si="75"/>
        <v/>
      </c>
      <c r="BK177" s="148" t="str">
        <f t="shared" si="91"/>
        <v/>
      </c>
      <c r="BL177" s="147" t="str">
        <f t="shared" si="76"/>
        <v/>
      </c>
      <c r="BM177" s="148" t="str">
        <f t="shared" si="92"/>
        <v/>
      </c>
      <c r="BN177" s="147" t="str">
        <f t="shared" si="93"/>
        <v/>
      </c>
      <c r="BO177" s="147" t="str">
        <f t="shared" si="93"/>
        <v/>
      </c>
      <c r="BP177" s="147" t="str">
        <f t="shared" si="94"/>
        <v/>
      </c>
      <c r="BQ177" s="148" t="str">
        <f t="shared" si="95"/>
        <v/>
      </c>
      <c r="BR177" s="148" t="str">
        <f t="shared" si="96"/>
        <v/>
      </c>
      <c r="BS177" s="148" t="str">
        <f t="shared" si="97"/>
        <v/>
      </c>
      <c r="BT177" s="148" t="str">
        <f t="shared" si="77"/>
        <v/>
      </c>
      <c r="BU177" s="148" t="str">
        <f t="shared" si="78"/>
        <v/>
      </c>
      <c r="BV177" s="148" t="str">
        <f t="shared" si="79"/>
        <v/>
      </c>
      <c r="BW177" s="148" t="str">
        <f t="shared" si="80"/>
        <v/>
      </c>
      <c r="BX177" s="148" t="str">
        <f t="shared" si="81"/>
        <v/>
      </c>
      <c r="BY177" s="148" t="str">
        <f t="shared" si="82"/>
        <v/>
      </c>
      <c r="BZ177" s="149" t="str">
        <f>IFERROR(INDEX('Prescriptive Rebate Table'!$B$2:$E$64,MATCH(O177,'Prescriptive Rebate Table'!$C$2:$C$64,0),3),"")</f>
        <v/>
      </c>
      <c r="CA177" s="145" t="str">
        <f>IFERROR(INDEX('Prescriptive Rebate Table'!$B$2:$E$64,MATCH(O177,'Prescriptive Rebate Table'!$C$2:$C$64,0),4),"")</f>
        <v/>
      </c>
      <c r="CB177" s="149" t="str">
        <f t="shared" si="98"/>
        <v/>
      </c>
      <c r="CC177" s="145" t="str">
        <f t="shared" si="99"/>
        <v/>
      </c>
      <c r="CD177" s="149" t="str">
        <f t="shared" si="83"/>
        <v/>
      </c>
      <c r="CE177" s="149" t="str">
        <f t="shared" si="84"/>
        <v/>
      </c>
      <c r="CF177" s="149" t="str">
        <f>IF(BK177&lt;=0,0,IFERROR(IF(OR(ISBLANK(AC177),ISBLANK(CD177))=TRUE,"",IF(CA177="Per Foot",INDEX('Fixture Codes'!$I$8:$I$976,MATCH(AD177,'Fixture Codes'!$B$8:$B$976,0))/12*AF177*BZ177,IF(CA177="Lamp",INDEX('Fixture Codes'!$J$8:$J$976,MATCH(AD177,'Fixture Codes'!$B$8:$B$976,0))*AF177*BZ177,IF(CA177="Fixture",AF177*BZ177,IF(CA177="kWh",BK177*BZ177,0))))),""))</f>
        <v/>
      </c>
      <c r="CG177" s="149" t="str">
        <f t="shared" si="100"/>
        <v/>
      </c>
      <c r="CH177" s="149" t="str">
        <f t="shared" si="101"/>
        <v/>
      </c>
      <c r="CI177" s="152"/>
      <c r="CJ177" s="146"/>
      <c r="CK177" s="241">
        <f>IFERROR(IF(CL177="Yes",'Prescriptive Rebate Table'!$D$69,IF(ISBLANK(AI177),0,IF(AND(AH177=Lookups!$A$62,BK177&gt;0),'Prescriptive Rebate Table'!$D$68,IF(AND(BK177&gt;0,CJ177=AF177),'Prescriptive Rebate Table'!$D$67,IF(AND(BK177&gt;0,CJ177&lt;&gt;AF177),'Prescriptive Rebate Table'!D236,0))))),"")</f>
        <v>0</v>
      </c>
      <c r="CL177" s="240" t="s">
        <v>2712</v>
      </c>
      <c r="CM177" s="152"/>
      <c r="CN177" s="152"/>
      <c r="CO177" s="152"/>
      <c r="CP177" s="146">
        <f t="shared" si="85"/>
        <v>0</v>
      </c>
      <c r="CQ177" s="153">
        <f>IF(D177="Interior",ROUND(($AG177*AF177)/1000*$AM177*(Lookups!$B$54-$AA177)*$AN177*$AO177,3),0)</f>
        <v>0</v>
      </c>
      <c r="CR177" s="153">
        <f>IFERROR(IF(D177="Interior",ROUND(($AG177*$AF177)/1000*(Lookups!$C$54-$AB177)*$AN177*AQ177*AT177,6),0),"")</f>
        <v>0</v>
      </c>
      <c r="CS177" s="165">
        <f t="shared" si="102"/>
        <v>0</v>
      </c>
      <c r="CT177" s="165">
        <f t="shared" si="103"/>
        <v>0</v>
      </c>
      <c r="CV177" s="153"/>
      <c r="CW177" s="153"/>
      <c r="CX177" s="165"/>
      <c r="CY177" s="165"/>
      <c r="DA177" s="153">
        <f>IF(D177="Interior",ROUND(($AG177*AF177*(1-0.15))/1000*$AM177*(Lookups!$B$43+0.097-$AA177)*$AN177*$AO177+((W177*V177)/1000*AN177*AM177*AO177*0.15),3),0)</f>
        <v>0</v>
      </c>
      <c r="DB177" s="153">
        <f>IFERROR(IF(D177="Interior",ROUND(($AG177*$AF177)/1000*(Lookups!$C$43+0.097-$AB177)*$AN177*AQ177*AT177+(($AG177*$AF177)/1000*$AN177*AQ177*AT177*0.15),6),0),"")</f>
        <v>0</v>
      </c>
      <c r="DC177" s="165">
        <f t="shared" si="104"/>
        <v>0</v>
      </c>
      <c r="DD177" s="165">
        <f t="shared" si="105"/>
        <v>0</v>
      </c>
    </row>
    <row r="178" spans="1:108" s="164" customFormat="1">
      <c r="A178" s="150">
        <v>174</v>
      </c>
      <c r="B178" s="153" t="str">
        <f>IFERROR(INDEX(Lookups!$B$2:$B$38,MATCH('Project Info &amp; Summary'!$C$19,Lookups!$A$2:$A$38,0)),"")</f>
        <v/>
      </c>
      <c r="C178" s="153" t="str">
        <f>IFERROR(INDEX(Lookups!$C$2:$C$38,MATCH('Project Info &amp; Summary'!$C$19,Lookups!$A$2:$A$38,0)),"")</f>
        <v/>
      </c>
      <c r="D178" s="163"/>
      <c r="E178" s="160"/>
      <c r="F178" s="158"/>
      <c r="G178" s="158"/>
      <c r="H178" s="158"/>
      <c r="I178" s="158"/>
      <c r="J178" s="154" t="str">
        <f>IFERROR(INDEX(Lookups!$W$21:$W$26,MATCH(I178,Lookups!$V$21:$V$26,0)),"")</f>
        <v/>
      </c>
      <c r="K178" s="158"/>
      <c r="L178" s="162" t="str">
        <f>IFERROR(INDEX(Lookups!$Y$2:$Y$19,MATCH(_xlfn.CONCAT(I178,K178),Lookups!$X$2:$X$19,0)),"")</f>
        <v/>
      </c>
      <c r="M178" s="158"/>
      <c r="N178" s="153" t="str">
        <f>IFERROR(INDEX('Prescriptive Rebate Table'!$M$3:$M$20,MATCH(M178,'Prescriptive Rebate Table'!$L$3:$L$20,0)),"")</f>
        <v/>
      </c>
      <c r="O178" s="158"/>
      <c r="P178" s="154" t="str">
        <f>IFERROR(INDEX('Prescriptive Rebate Table'!$B$2:$H$64, MATCH(O178,'Prescriptive Rebate Table'!$C$2:$C$64,0),7),"")</f>
        <v/>
      </c>
      <c r="Q178" s="155" t="str">
        <f>IFERROR(INDEX('Prescriptive Rebate Table'!$B$2:$I$64, MATCH(O178,'Prescriptive Rebate Table'!$C$2:$C$64,0),8),"")</f>
        <v/>
      </c>
      <c r="R178" s="155" t="str">
        <f>IFERROR(INDEX('Prescriptive Rebate Table'!$B$2:$J$64, MATCH(O178,'Prescriptive Rebate Table'!$C$2:$C$64,0),9),"")</f>
        <v/>
      </c>
      <c r="S178" s="160"/>
      <c r="T178" s="145" t="str">
        <f>IFERROR(INDEX('Fixture Codes'!$M$8:$M$976,MATCH(S178,'Fixture Codes'!$B$8:$B$976,0)),"")</f>
        <v/>
      </c>
      <c r="U178" s="145" t="str">
        <f>IFERROR(INDEX('Fixture Codes'!$B$7:$M$976,MATCH(T178,'Fixture Codes'!$B$7:$B$976,0),5),"")</f>
        <v/>
      </c>
      <c r="V178" s="160"/>
      <c r="W178" s="145" t="str">
        <f>IFERROR(INDEX('Fixture Codes'!$L$8:$L$976,MATCH(T178,'Fixture Codes'!$B$8:$B$976,0)),"")</f>
        <v/>
      </c>
      <c r="X178" s="158"/>
      <c r="Y178" s="159"/>
      <c r="Z178" s="155" t="str">
        <f>IFERROR(INDEX(Lookups!B$68:B$87,MATCH($X178,Lookups!$A$68:$A$87,0)),"")</f>
        <v/>
      </c>
      <c r="AA178" s="150" t="str">
        <f>IFERROR(INDEX(Lookups!B$42:B$62,MATCH($X178,Lookups!$A$42:$A$62,0)),"")</f>
        <v/>
      </c>
      <c r="AB178" s="150" t="str">
        <f>IFERROR(INDEX(Lookups!C$42:C$62,MATCH($X178,Lookups!$A$42:$A$62,0)),"")</f>
        <v/>
      </c>
      <c r="AC178" s="160"/>
      <c r="AD178" s="160"/>
      <c r="AE178" s="150" t="str">
        <f>IFERROR(INDEX('Fixture Codes'!$B$7:$M$976,MATCH(AD178,'Fixture Codes'!$B$7:$B$976,0),5),"")</f>
        <v/>
      </c>
      <c r="AF178" s="160"/>
      <c r="AG178" s="145" t="str">
        <f>IFERROR(INDEX('Fixture Codes'!$L$8:$L$976,MATCH(AD178,'Fixture Codes'!$B$8:$B$976,0)),"")</f>
        <v/>
      </c>
      <c r="AH178" s="158"/>
      <c r="AI178" s="160"/>
      <c r="AJ178" s="150" t="str">
        <f>IFERROR(INDEX(Lookups!B$68:B$87,MATCH($AH178,Lookups!$A$68:$A$87,0)),"")</f>
        <v/>
      </c>
      <c r="AK178" s="150" t="str">
        <f>IFERROR(INDEX(Lookups!B$42:B$62,MATCH($AH178,Lookups!$A$42:$A$62,0)),"")</f>
        <v/>
      </c>
      <c r="AL178" s="150" t="str">
        <f>IFERROR(INDEX(Lookups!C$42:C$62,MATCH($AH178,Lookups!$A$42:$A$62,0)),"")</f>
        <v/>
      </c>
      <c r="AM178" s="150" t="str">
        <f>IFERROR(IF(M178="Exit Signs",8760,IF(INDEX('Fixture Codes'!$C$8:$C$976,MATCH(AD178,'Fixture Codes'!$B$8:$B$976,0))="Exit Sign",8760,INDEX(Lookups!$I$2:$I$428,MATCH(_xlfn.CONCAT(B178,H178),Lookups!$H$2:$H$428,0)))),"")</f>
        <v/>
      </c>
      <c r="AN178" s="153">
        <v>1</v>
      </c>
      <c r="AO178" s="150" t="str">
        <f>IF($D178="Interior",INDEX(Lookups!Q$2:Q$86,MATCH(_xlfn.CONCAT($C178,$L178),Lookups!$P$2:$P$86,0)),IF($D178="Exterior",1,""))</f>
        <v/>
      </c>
      <c r="AP178" s="150">
        <f t="shared" si="88"/>
        <v>1</v>
      </c>
      <c r="AQ178" s="150" t="str">
        <f>IF($D178="Interior",INDEX(Lookups!R$2:R$86,MATCH(_xlfn.CONCAT($C178,$L178),Lookups!$P$2:$P$86,0)),IF($D178="Exterior",1,""))</f>
        <v/>
      </c>
      <c r="AR178" s="150" t="str">
        <f>IF($D178="Interior",INDEX(Lookups!S$2:S$86,MATCH(_xlfn.CONCAT($C178,$L178),Lookups!$P$2:$P$86,0)),IF($D178="Exterior",1,""))</f>
        <v/>
      </c>
      <c r="AS178" s="150" t="str">
        <f>IF($D178="Interior",INDEX(Lookups!T$2:T$86,MATCH(_xlfn.CONCAT($C178,$L178),Lookups!$P$2:$P$86,0)),IF($D178="Exterior",1,""))</f>
        <v/>
      </c>
      <c r="AT178" s="150" t="str">
        <f>IFERROR(IF(M178="Exit Signs",1,IF(INDEX('Fixture Codes'!$C$8:$C$976,MATCH($AD178,'Fixture Codes'!$B$8:$B$976,0))="Exit Sign",1,INDEX(Lookups!J$2:J$428,MATCH(_xlfn.CONCAT($B178,$H178),Lookups!$H$2:$H$428,0)))),"")</f>
        <v/>
      </c>
      <c r="AU178" s="150" t="str">
        <f>IFERROR(IF(M178="Exit Signs",1,IF(INDEX('Fixture Codes'!$C$8:$C$976,MATCH($AD178,'Fixture Codes'!$B$8:$B$976,0))="Exit Sign",1,INDEX(Lookups!K$2:K$428,MATCH(_xlfn.CONCAT($B178,$H178),Lookups!$H$2:$H$428,0)))),"")</f>
        <v/>
      </c>
      <c r="AV178" s="150" t="str">
        <f>IFERROR(IF(M178="Exit Signs",1,IF(INDEX('Fixture Codes'!$C$8:$C$976,MATCH($AD178,'Fixture Codes'!$B$8:$B$976,0))="Exit Sign",1,INDEX(Lookups!L$2:L$428,MATCH(_xlfn.CONCAT($B178,$H178),Lookups!$H$2:$H$428,0)))),"")</f>
        <v/>
      </c>
      <c r="AW178" s="150" t="str">
        <f>IF(ISBLANK(K178),"",IF(K178="Gas",INDEX(Lookups!$AG$2:$AG$63,MATCH(O178,Lookups!$AD$2:$AD$63,0),0),0))</f>
        <v/>
      </c>
      <c r="AX178" s="150" t="str">
        <f>IF(ISBLANK(K178),"",IF(K178="Gas",INDEX(Lookups!$AF$2:$AF$63,MATCH(O178,Lookups!$AD$2:$AD$63,0),0),0))</f>
        <v/>
      </c>
      <c r="AY178" s="150" t="str">
        <f>IF(ISBLANK(K178),"",IF(K178="Gas",INDEX(Lookups!$AH$2:$AH$63,MATCH(O178,Lookups!$AD$2:$AD$63,0),0),0))</f>
        <v/>
      </c>
      <c r="AZ178" s="150" t="str">
        <f>IF(ISBLANK(K178),"",IF(K178="Gas",INDEX(Lookups!$AI$2:$AI$63,MATCH(O178,Lookups!$AD$2:$AD$63,0),0),0))</f>
        <v/>
      </c>
      <c r="BA178" s="150" t="str">
        <f t="shared" si="73"/>
        <v/>
      </c>
      <c r="BB178" s="156" t="str">
        <f>IF(ISBLANK(AH178),"",IF(AH178="None",0,IF(K178="Gas",INDEX(Lookups!$AF$51:$AF$69,MATCH(AH178,Lookups!$AD$51:$AD$69,0),0),0)))</f>
        <v/>
      </c>
      <c r="BC178" s="156" t="str">
        <f>IF(ISBLANK(AH178),"",IF(AH178="None",0,IF(K178="Gas",INDEX(Lookups!$AH$51:$AH$69,MATCH(AH178,Lookups!$AD$51:$AD$69,0),0),0)))</f>
        <v/>
      </c>
      <c r="BD178" s="156" t="str">
        <f>IF(ISBLANK(AH178),"",IF(AH178="None",0,IF(K178="Gas",INDEX(Lookups!$AI$51:$AI$69,MATCH(AH178,Lookups!$AD$51:$AD$69,0),0),0)))</f>
        <v/>
      </c>
      <c r="BE178" s="157"/>
      <c r="BF178" s="157"/>
      <c r="BG178" s="147" t="str">
        <f t="shared" si="89"/>
        <v/>
      </c>
      <c r="BH178" s="147" t="str">
        <f t="shared" si="90"/>
        <v/>
      </c>
      <c r="BI178" s="147" t="str">
        <f t="shared" si="74"/>
        <v/>
      </c>
      <c r="BJ178" s="147" t="str">
        <f t="shared" si="75"/>
        <v/>
      </c>
      <c r="BK178" s="148" t="str">
        <f t="shared" si="91"/>
        <v/>
      </c>
      <c r="BL178" s="147" t="str">
        <f t="shared" si="76"/>
        <v/>
      </c>
      <c r="BM178" s="148" t="str">
        <f t="shared" si="92"/>
        <v/>
      </c>
      <c r="BN178" s="147" t="str">
        <f t="shared" si="93"/>
        <v/>
      </c>
      <c r="BO178" s="147" t="str">
        <f t="shared" si="93"/>
        <v/>
      </c>
      <c r="BP178" s="147" t="str">
        <f t="shared" si="94"/>
        <v/>
      </c>
      <c r="BQ178" s="148" t="str">
        <f t="shared" si="95"/>
        <v/>
      </c>
      <c r="BR178" s="148" t="str">
        <f t="shared" si="96"/>
        <v/>
      </c>
      <c r="BS178" s="148" t="str">
        <f t="shared" si="97"/>
        <v/>
      </c>
      <c r="BT178" s="148" t="str">
        <f t="shared" si="77"/>
        <v/>
      </c>
      <c r="BU178" s="148" t="str">
        <f t="shared" si="78"/>
        <v/>
      </c>
      <c r="BV178" s="148" t="str">
        <f t="shared" si="79"/>
        <v/>
      </c>
      <c r="BW178" s="148" t="str">
        <f t="shared" si="80"/>
        <v/>
      </c>
      <c r="BX178" s="148" t="str">
        <f t="shared" si="81"/>
        <v/>
      </c>
      <c r="BY178" s="148" t="str">
        <f t="shared" si="82"/>
        <v/>
      </c>
      <c r="BZ178" s="149" t="str">
        <f>IFERROR(INDEX('Prescriptive Rebate Table'!$B$2:$E$64,MATCH(O178,'Prescriptive Rebate Table'!$C$2:$C$64,0),3),"")</f>
        <v/>
      </c>
      <c r="CA178" s="145" t="str">
        <f>IFERROR(INDEX('Prescriptive Rebate Table'!$B$2:$E$64,MATCH(O178,'Prescriptive Rebate Table'!$C$2:$C$64,0),4),"")</f>
        <v/>
      </c>
      <c r="CB178" s="149" t="str">
        <f t="shared" si="98"/>
        <v/>
      </c>
      <c r="CC178" s="145" t="str">
        <f t="shared" si="99"/>
        <v/>
      </c>
      <c r="CD178" s="149" t="str">
        <f t="shared" si="83"/>
        <v/>
      </c>
      <c r="CE178" s="149" t="str">
        <f t="shared" si="84"/>
        <v/>
      </c>
      <c r="CF178" s="149" t="str">
        <f>IF(BK178&lt;=0,0,IFERROR(IF(OR(ISBLANK(AC178),ISBLANK(CD178))=TRUE,"",IF(CA178="Per Foot",INDEX('Fixture Codes'!$I$8:$I$976,MATCH(AD178,'Fixture Codes'!$B$8:$B$976,0))/12*AF178*BZ178,IF(CA178="Lamp",INDEX('Fixture Codes'!$J$8:$J$976,MATCH(AD178,'Fixture Codes'!$B$8:$B$976,0))*AF178*BZ178,IF(CA178="Fixture",AF178*BZ178,IF(CA178="kWh",BK178*BZ178,0))))),""))</f>
        <v/>
      </c>
      <c r="CG178" s="149" t="str">
        <f t="shared" si="100"/>
        <v/>
      </c>
      <c r="CH178" s="149" t="str">
        <f t="shared" si="101"/>
        <v/>
      </c>
      <c r="CI178" s="152"/>
      <c r="CJ178" s="146"/>
      <c r="CK178" s="241">
        <f>IFERROR(IF(CL178="Yes",'Prescriptive Rebate Table'!$D$69,IF(ISBLANK(AI178),0,IF(AND(AH178=Lookups!$A$62,BK178&gt;0),'Prescriptive Rebate Table'!$D$68,IF(AND(BK178&gt;0,CJ178=AF178),'Prescriptive Rebate Table'!$D$67,IF(AND(BK178&gt;0,CJ178&lt;&gt;AF178),'Prescriptive Rebate Table'!D237,0))))),"")</f>
        <v>0</v>
      </c>
      <c r="CL178" s="240" t="s">
        <v>2712</v>
      </c>
      <c r="CM178" s="152"/>
      <c r="CN178" s="152"/>
      <c r="CO178" s="152"/>
      <c r="CP178" s="146">
        <f t="shared" si="85"/>
        <v>0</v>
      </c>
      <c r="CQ178" s="153">
        <f>IF(D178="Interior",ROUND(($AG178*AF178)/1000*$AM178*(Lookups!$B$54-$AA178)*$AN178*$AO178,3),0)</f>
        <v>0</v>
      </c>
      <c r="CR178" s="153">
        <f>IFERROR(IF(D178="Interior",ROUND(($AG178*$AF178)/1000*(Lookups!$C$54-$AB178)*$AN178*AQ178*AT178,6),0),"")</f>
        <v>0</v>
      </c>
      <c r="CS178" s="165">
        <f t="shared" si="102"/>
        <v>0</v>
      </c>
      <c r="CT178" s="165">
        <f t="shared" si="103"/>
        <v>0</v>
      </c>
      <c r="CV178" s="153"/>
      <c r="CW178" s="153"/>
      <c r="CX178" s="165"/>
      <c r="CY178" s="165"/>
      <c r="DA178" s="153">
        <f>IF(D178="Interior",ROUND(($AG178*AF178*(1-0.15))/1000*$AM178*(Lookups!$B$43+0.097-$AA178)*$AN178*$AO178+((W178*V178)/1000*AN178*AM178*AO178*0.15),3),0)</f>
        <v>0</v>
      </c>
      <c r="DB178" s="153">
        <f>IFERROR(IF(D178="Interior",ROUND(($AG178*$AF178)/1000*(Lookups!$C$43+0.097-$AB178)*$AN178*AQ178*AT178+(($AG178*$AF178)/1000*$AN178*AQ178*AT178*0.15),6),0),"")</f>
        <v>0</v>
      </c>
      <c r="DC178" s="165">
        <f t="shared" si="104"/>
        <v>0</v>
      </c>
      <c r="DD178" s="165">
        <f t="shared" si="105"/>
        <v>0</v>
      </c>
    </row>
    <row r="179" spans="1:108" s="164" customFormat="1">
      <c r="A179" s="150">
        <v>175</v>
      </c>
      <c r="B179" s="153" t="str">
        <f>IFERROR(INDEX(Lookups!$B$2:$B$38,MATCH('Project Info &amp; Summary'!$C$19,Lookups!$A$2:$A$38,0)),"")</f>
        <v/>
      </c>
      <c r="C179" s="153" t="str">
        <f>IFERROR(INDEX(Lookups!$C$2:$C$38,MATCH('Project Info &amp; Summary'!$C$19,Lookups!$A$2:$A$38,0)),"")</f>
        <v/>
      </c>
      <c r="D179" s="163"/>
      <c r="E179" s="160"/>
      <c r="F179" s="158"/>
      <c r="G179" s="158"/>
      <c r="H179" s="158"/>
      <c r="I179" s="158"/>
      <c r="J179" s="154" t="str">
        <f>IFERROR(INDEX(Lookups!$W$21:$W$26,MATCH(I179,Lookups!$V$21:$V$26,0)),"")</f>
        <v/>
      </c>
      <c r="K179" s="158"/>
      <c r="L179" s="162" t="str">
        <f>IFERROR(INDEX(Lookups!$Y$2:$Y$19,MATCH(_xlfn.CONCAT(I179,K179),Lookups!$X$2:$X$19,0)),"")</f>
        <v/>
      </c>
      <c r="M179" s="158"/>
      <c r="N179" s="153" t="str">
        <f>IFERROR(INDEX('Prescriptive Rebate Table'!$M$3:$M$20,MATCH(M179,'Prescriptive Rebate Table'!$L$3:$L$20,0)),"")</f>
        <v/>
      </c>
      <c r="O179" s="158"/>
      <c r="P179" s="154" t="str">
        <f>IFERROR(INDEX('Prescriptive Rebate Table'!$B$2:$H$64, MATCH(O179,'Prescriptive Rebate Table'!$C$2:$C$64,0),7),"")</f>
        <v/>
      </c>
      <c r="Q179" s="155" t="str">
        <f>IFERROR(INDEX('Prescriptive Rebate Table'!$B$2:$I$64, MATCH(O179,'Prescriptive Rebate Table'!$C$2:$C$64,0),8),"")</f>
        <v/>
      </c>
      <c r="R179" s="155" t="str">
        <f>IFERROR(INDEX('Prescriptive Rebate Table'!$B$2:$J$64, MATCH(O179,'Prescriptive Rebate Table'!$C$2:$C$64,0),9),"")</f>
        <v/>
      </c>
      <c r="S179" s="160"/>
      <c r="T179" s="145" t="str">
        <f>IFERROR(INDEX('Fixture Codes'!$M$8:$M$976,MATCH(S179,'Fixture Codes'!$B$8:$B$976,0)),"")</f>
        <v/>
      </c>
      <c r="U179" s="145" t="str">
        <f>IFERROR(INDEX('Fixture Codes'!$B$7:$M$976,MATCH(T179,'Fixture Codes'!$B$7:$B$976,0),5),"")</f>
        <v/>
      </c>
      <c r="V179" s="160"/>
      <c r="W179" s="145" t="str">
        <f>IFERROR(INDEX('Fixture Codes'!$L$8:$L$976,MATCH(T179,'Fixture Codes'!$B$8:$B$976,0)),"")</f>
        <v/>
      </c>
      <c r="X179" s="158"/>
      <c r="Y179" s="159"/>
      <c r="Z179" s="155" t="str">
        <f>IFERROR(INDEX(Lookups!B$68:B$87,MATCH($X179,Lookups!$A$68:$A$87,0)),"")</f>
        <v/>
      </c>
      <c r="AA179" s="150" t="str">
        <f>IFERROR(INDEX(Lookups!B$42:B$62,MATCH($X179,Lookups!$A$42:$A$62,0)),"")</f>
        <v/>
      </c>
      <c r="AB179" s="150" t="str">
        <f>IFERROR(INDEX(Lookups!C$42:C$62,MATCH($X179,Lookups!$A$42:$A$62,0)),"")</f>
        <v/>
      </c>
      <c r="AC179" s="160"/>
      <c r="AD179" s="160"/>
      <c r="AE179" s="150" t="str">
        <f>IFERROR(INDEX('Fixture Codes'!$B$7:$M$976,MATCH(AD179,'Fixture Codes'!$B$7:$B$976,0),5),"")</f>
        <v/>
      </c>
      <c r="AF179" s="160"/>
      <c r="AG179" s="145" t="str">
        <f>IFERROR(INDEX('Fixture Codes'!$L$8:$L$976,MATCH(AD179,'Fixture Codes'!$B$8:$B$976,0)),"")</f>
        <v/>
      </c>
      <c r="AH179" s="158"/>
      <c r="AI179" s="160"/>
      <c r="AJ179" s="150" t="str">
        <f>IFERROR(INDEX(Lookups!B$68:B$87,MATCH($AH179,Lookups!$A$68:$A$87,0)),"")</f>
        <v/>
      </c>
      <c r="AK179" s="150" t="str">
        <f>IFERROR(INDEX(Lookups!B$42:B$62,MATCH($AH179,Lookups!$A$42:$A$62,0)),"")</f>
        <v/>
      </c>
      <c r="AL179" s="150" t="str">
        <f>IFERROR(INDEX(Lookups!C$42:C$62,MATCH($AH179,Lookups!$A$42:$A$62,0)),"")</f>
        <v/>
      </c>
      <c r="AM179" s="150" t="str">
        <f>IFERROR(IF(M179="Exit Signs",8760,IF(INDEX('Fixture Codes'!$C$8:$C$976,MATCH(AD179,'Fixture Codes'!$B$8:$B$976,0))="Exit Sign",8760,INDEX(Lookups!$I$2:$I$428,MATCH(_xlfn.CONCAT(B179,H179),Lookups!$H$2:$H$428,0)))),"")</f>
        <v/>
      </c>
      <c r="AN179" s="153">
        <v>1</v>
      </c>
      <c r="AO179" s="150" t="str">
        <f>IF($D179="Interior",INDEX(Lookups!Q$2:Q$86,MATCH(_xlfn.CONCAT($C179,$L179),Lookups!$P$2:$P$86,0)),IF($D179="Exterior",1,""))</f>
        <v/>
      </c>
      <c r="AP179" s="150">
        <f t="shared" si="88"/>
        <v>1</v>
      </c>
      <c r="AQ179" s="150" t="str">
        <f>IF($D179="Interior",INDEX(Lookups!R$2:R$86,MATCH(_xlfn.CONCAT($C179,$L179),Lookups!$P$2:$P$86,0)),IF($D179="Exterior",1,""))</f>
        <v/>
      </c>
      <c r="AR179" s="150" t="str">
        <f>IF($D179="Interior",INDEX(Lookups!S$2:S$86,MATCH(_xlfn.CONCAT($C179,$L179),Lookups!$P$2:$P$86,0)),IF($D179="Exterior",1,""))</f>
        <v/>
      </c>
      <c r="AS179" s="150" t="str">
        <f>IF($D179="Interior",INDEX(Lookups!T$2:T$86,MATCH(_xlfn.CONCAT($C179,$L179),Lookups!$P$2:$P$86,0)),IF($D179="Exterior",1,""))</f>
        <v/>
      </c>
      <c r="AT179" s="150" t="str">
        <f>IFERROR(IF(M179="Exit Signs",1,IF(INDEX('Fixture Codes'!$C$8:$C$976,MATCH($AD179,'Fixture Codes'!$B$8:$B$976,0))="Exit Sign",1,INDEX(Lookups!J$2:J$428,MATCH(_xlfn.CONCAT($B179,$H179),Lookups!$H$2:$H$428,0)))),"")</f>
        <v/>
      </c>
      <c r="AU179" s="150" t="str">
        <f>IFERROR(IF(M179="Exit Signs",1,IF(INDEX('Fixture Codes'!$C$8:$C$976,MATCH($AD179,'Fixture Codes'!$B$8:$B$976,0))="Exit Sign",1,INDEX(Lookups!K$2:K$428,MATCH(_xlfn.CONCAT($B179,$H179),Lookups!$H$2:$H$428,0)))),"")</f>
        <v/>
      </c>
      <c r="AV179" s="150" t="str">
        <f>IFERROR(IF(M179="Exit Signs",1,IF(INDEX('Fixture Codes'!$C$8:$C$976,MATCH($AD179,'Fixture Codes'!$B$8:$B$976,0))="Exit Sign",1,INDEX(Lookups!L$2:L$428,MATCH(_xlfn.CONCAT($B179,$H179),Lookups!$H$2:$H$428,0)))),"")</f>
        <v/>
      </c>
      <c r="AW179" s="150" t="str">
        <f>IF(ISBLANK(K179),"",IF(K179="Gas",INDEX(Lookups!$AG$2:$AG$63,MATCH(O179,Lookups!$AD$2:$AD$63,0),0),0))</f>
        <v/>
      </c>
      <c r="AX179" s="150" t="str">
        <f>IF(ISBLANK(K179),"",IF(K179="Gas",INDEX(Lookups!$AF$2:$AF$63,MATCH(O179,Lookups!$AD$2:$AD$63,0),0),0))</f>
        <v/>
      </c>
      <c r="AY179" s="150" t="str">
        <f>IF(ISBLANK(K179),"",IF(K179="Gas",INDEX(Lookups!$AH$2:$AH$63,MATCH(O179,Lookups!$AD$2:$AD$63,0),0),0))</f>
        <v/>
      </c>
      <c r="AZ179" s="150" t="str">
        <f>IF(ISBLANK(K179),"",IF(K179="Gas",INDEX(Lookups!$AI$2:$AI$63,MATCH(O179,Lookups!$AD$2:$AD$63,0),0),0))</f>
        <v/>
      </c>
      <c r="BA179" s="150" t="str">
        <f t="shared" si="73"/>
        <v/>
      </c>
      <c r="BB179" s="156" t="str">
        <f>IF(ISBLANK(AH179),"",IF(AH179="None",0,IF(K179="Gas",INDEX(Lookups!$AF$51:$AF$69,MATCH(AH179,Lookups!$AD$51:$AD$69,0),0),0)))</f>
        <v/>
      </c>
      <c r="BC179" s="156" t="str">
        <f>IF(ISBLANK(AH179),"",IF(AH179="None",0,IF(K179="Gas",INDEX(Lookups!$AH$51:$AH$69,MATCH(AH179,Lookups!$AD$51:$AD$69,0),0),0)))</f>
        <v/>
      </c>
      <c r="BD179" s="156" t="str">
        <f>IF(ISBLANK(AH179),"",IF(AH179="None",0,IF(K179="Gas",INDEX(Lookups!$AI$51:$AI$69,MATCH(AH179,Lookups!$AD$51:$AD$69,0),0),0)))</f>
        <v/>
      </c>
      <c r="BE179" s="157"/>
      <c r="BF179" s="157"/>
      <c r="BG179" s="147" t="str">
        <f t="shared" si="89"/>
        <v/>
      </c>
      <c r="BH179" s="147" t="str">
        <f t="shared" si="90"/>
        <v/>
      </c>
      <c r="BI179" s="147" t="str">
        <f t="shared" si="74"/>
        <v/>
      </c>
      <c r="BJ179" s="147" t="str">
        <f t="shared" si="75"/>
        <v/>
      </c>
      <c r="BK179" s="148" t="str">
        <f t="shared" si="91"/>
        <v/>
      </c>
      <c r="BL179" s="147" t="str">
        <f t="shared" si="76"/>
        <v/>
      </c>
      <c r="BM179" s="148" t="str">
        <f t="shared" si="92"/>
        <v/>
      </c>
      <c r="BN179" s="147" t="str">
        <f t="shared" si="93"/>
        <v/>
      </c>
      <c r="BO179" s="147" t="str">
        <f t="shared" si="93"/>
        <v/>
      </c>
      <c r="BP179" s="147" t="str">
        <f t="shared" si="94"/>
        <v/>
      </c>
      <c r="BQ179" s="148" t="str">
        <f t="shared" si="95"/>
        <v/>
      </c>
      <c r="BR179" s="148" t="str">
        <f t="shared" si="96"/>
        <v/>
      </c>
      <c r="BS179" s="148" t="str">
        <f t="shared" si="97"/>
        <v/>
      </c>
      <c r="BT179" s="148" t="str">
        <f t="shared" si="77"/>
        <v/>
      </c>
      <c r="BU179" s="148" t="str">
        <f t="shared" si="78"/>
        <v/>
      </c>
      <c r="BV179" s="148" t="str">
        <f t="shared" si="79"/>
        <v/>
      </c>
      <c r="BW179" s="148" t="str">
        <f t="shared" si="80"/>
        <v/>
      </c>
      <c r="BX179" s="148" t="str">
        <f t="shared" si="81"/>
        <v/>
      </c>
      <c r="BY179" s="148" t="str">
        <f t="shared" si="82"/>
        <v/>
      </c>
      <c r="BZ179" s="149" t="str">
        <f>IFERROR(INDEX('Prescriptive Rebate Table'!$B$2:$E$64,MATCH(O179,'Prescriptive Rebate Table'!$C$2:$C$64,0),3),"")</f>
        <v/>
      </c>
      <c r="CA179" s="145" t="str">
        <f>IFERROR(INDEX('Prescriptive Rebate Table'!$B$2:$E$64,MATCH(O179,'Prescriptive Rebate Table'!$C$2:$C$64,0),4),"")</f>
        <v/>
      </c>
      <c r="CB179" s="149" t="str">
        <f t="shared" si="98"/>
        <v/>
      </c>
      <c r="CC179" s="145" t="str">
        <f t="shared" si="99"/>
        <v/>
      </c>
      <c r="CD179" s="149" t="str">
        <f t="shared" si="83"/>
        <v/>
      </c>
      <c r="CE179" s="149" t="str">
        <f t="shared" si="84"/>
        <v/>
      </c>
      <c r="CF179" s="149" t="str">
        <f>IF(BK179&lt;=0,0,IFERROR(IF(OR(ISBLANK(AC179),ISBLANK(CD179))=TRUE,"",IF(CA179="Per Foot",INDEX('Fixture Codes'!$I$8:$I$976,MATCH(AD179,'Fixture Codes'!$B$8:$B$976,0))/12*AF179*BZ179,IF(CA179="Lamp",INDEX('Fixture Codes'!$J$8:$J$976,MATCH(AD179,'Fixture Codes'!$B$8:$B$976,0))*AF179*BZ179,IF(CA179="Fixture",AF179*BZ179,IF(CA179="kWh",BK179*BZ179,0))))),""))</f>
        <v/>
      </c>
      <c r="CG179" s="149" t="str">
        <f t="shared" si="100"/>
        <v/>
      </c>
      <c r="CH179" s="149" t="str">
        <f t="shared" si="101"/>
        <v/>
      </c>
      <c r="CI179" s="152"/>
      <c r="CJ179" s="146"/>
      <c r="CK179" s="241">
        <f>IFERROR(IF(CL179="Yes",'Prescriptive Rebate Table'!$D$69,IF(ISBLANK(AI179),0,IF(AND(AH179=Lookups!$A$62,BK179&gt;0),'Prescriptive Rebate Table'!$D$68,IF(AND(BK179&gt;0,CJ179=AF179),'Prescriptive Rebate Table'!$D$67,IF(AND(BK179&gt;0,CJ179&lt;&gt;AF179),'Prescriptive Rebate Table'!D238,0))))),"")</f>
        <v>0</v>
      </c>
      <c r="CL179" s="240" t="s">
        <v>2712</v>
      </c>
      <c r="CM179" s="152"/>
      <c r="CN179" s="152"/>
      <c r="CO179" s="152"/>
      <c r="CP179" s="146">
        <f t="shared" si="85"/>
        <v>0</v>
      </c>
      <c r="CQ179" s="153">
        <f>IF(D179="Interior",ROUND(($AG179*AF179)/1000*$AM179*(Lookups!$B$54-$AA179)*$AN179*$AO179,3),0)</f>
        <v>0</v>
      </c>
      <c r="CR179" s="153">
        <f>IFERROR(IF(D179="Interior",ROUND(($AG179*$AF179)/1000*(Lookups!$C$54-$AB179)*$AN179*AQ179*AT179,6),0),"")</f>
        <v>0</v>
      </c>
      <c r="CS179" s="165">
        <f t="shared" si="102"/>
        <v>0</v>
      </c>
      <c r="CT179" s="165">
        <f t="shared" si="103"/>
        <v>0</v>
      </c>
      <c r="CV179" s="153"/>
      <c r="CW179" s="153"/>
      <c r="CX179" s="165"/>
      <c r="CY179" s="165"/>
      <c r="DA179" s="153">
        <f>IF(D179="Interior",ROUND(($AG179*AF179*(1-0.15))/1000*$AM179*(Lookups!$B$43+0.097-$AA179)*$AN179*$AO179+((W179*V179)/1000*AN179*AM179*AO179*0.15),3),0)</f>
        <v>0</v>
      </c>
      <c r="DB179" s="153">
        <f>IFERROR(IF(D179="Interior",ROUND(($AG179*$AF179)/1000*(Lookups!$C$43+0.097-$AB179)*$AN179*AQ179*AT179+(($AG179*$AF179)/1000*$AN179*AQ179*AT179*0.15),6),0),"")</f>
        <v>0</v>
      </c>
      <c r="DC179" s="165">
        <f t="shared" si="104"/>
        <v>0</v>
      </c>
      <c r="DD179" s="165">
        <f t="shared" si="105"/>
        <v>0</v>
      </c>
    </row>
    <row r="180" spans="1:108" s="164" customFormat="1">
      <c r="A180" s="150">
        <v>176</v>
      </c>
      <c r="B180" s="153" t="str">
        <f>IFERROR(INDEX(Lookups!$B$2:$B$38,MATCH('Project Info &amp; Summary'!$C$19,Lookups!$A$2:$A$38,0)),"")</f>
        <v/>
      </c>
      <c r="C180" s="153" t="str">
        <f>IFERROR(INDEX(Lookups!$C$2:$C$38,MATCH('Project Info &amp; Summary'!$C$19,Lookups!$A$2:$A$38,0)),"")</f>
        <v/>
      </c>
      <c r="D180" s="163"/>
      <c r="E180" s="160"/>
      <c r="F180" s="158"/>
      <c r="G180" s="158"/>
      <c r="H180" s="158"/>
      <c r="I180" s="158"/>
      <c r="J180" s="154" t="str">
        <f>IFERROR(INDEX(Lookups!$W$21:$W$26,MATCH(I180,Lookups!$V$21:$V$26,0)),"")</f>
        <v/>
      </c>
      <c r="K180" s="158"/>
      <c r="L180" s="162" t="str">
        <f>IFERROR(INDEX(Lookups!$Y$2:$Y$19,MATCH(_xlfn.CONCAT(I180,K180),Lookups!$X$2:$X$19,0)),"")</f>
        <v/>
      </c>
      <c r="M180" s="158"/>
      <c r="N180" s="153" t="str">
        <f>IFERROR(INDEX('Prescriptive Rebate Table'!$M$3:$M$20,MATCH(M180,'Prescriptive Rebate Table'!$L$3:$L$20,0)),"")</f>
        <v/>
      </c>
      <c r="O180" s="158"/>
      <c r="P180" s="154" t="str">
        <f>IFERROR(INDEX('Prescriptive Rebate Table'!$B$2:$H$64, MATCH(O180,'Prescriptive Rebate Table'!$C$2:$C$64,0),7),"")</f>
        <v/>
      </c>
      <c r="Q180" s="155" t="str">
        <f>IFERROR(INDEX('Prescriptive Rebate Table'!$B$2:$I$64, MATCH(O180,'Prescriptive Rebate Table'!$C$2:$C$64,0),8),"")</f>
        <v/>
      </c>
      <c r="R180" s="155" t="str">
        <f>IFERROR(INDEX('Prescriptive Rebate Table'!$B$2:$J$64, MATCH(O180,'Prescriptive Rebate Table'!$C$2:$C$64,0),9),"")</f>
        <v/>
      </c>
      <c r="S180" s="160"/>
      <c r="T180" s="145" t="str">
        <f>IFERROR(INDEX('Fixture Codes'!$M$8:$M$976,MATCH(S180,'Fixture Codes'!$B$8:$B$976,0)),"")</f>
        <v/>
      </c>
      <c r="U180" s="145" t="str">
        <f>IFERROR(INDEX('Fixture Codes'!$B$7:$M$976,MATCH(T180,'Fixture Codes'!$B$7:$B$976,0),5),"")</f>
        <v/>
      </c>
      <c r="V180" s="160"/>
      <c r="W180" s="145" t="str">
        <f>IFERROR(INDEX('Fixture Codes'!$L$8:$L$976,MATCH(T180,'Fixture Codes'!$B$8:$B$976,0)),"")</f>
        <v/>
      </c>
      <c r="X180" s="158"/>
      <c r="Y180" s="159"/>
      <c r="Z180" s="155" t="str">
        <f>IFERROR(INDEX(Lookups!B$68:B$87,MATCH($X180,Lookups!$A$68:$A$87,0)),"")</f>
        <v/>
      </c>
      <c r="AA180" s="150" t="str">
        <f>IFERROR(INDEX(Lookups!B$42:B$62,MATCH($X180,Lookups!$A$42:$A$62,0)),"")</f>
        <v/>
      </c>
      <c r="AB180" s="150" t="str">
        <f>IFERROR(INDEX(Lookups!C$42:C$62,MATCH($X180,Lookups!$A$42:$A$62,0)),"")</f>
        <v/>
      </c>
      <c r="AC180" s="160"/>
      <c r="AD180" s="160"/>
      <c r="AE180" s="150" t="str">
        <f>IFERROR(INDEX('Fixture Codes'!$B$7:$M$976,MATCH(AD180,'Fixture Codes'!$B$7:$B$976,0),5),"")</f>
        <v/>
      </c>
      <c r="AF180" s="160"/>
      <c r="AG180" s="145" t="str">
        <f>IFERROR(INDEX('Fixture Codes'!$L$8:$L$976,MATCH(AD180,'Fixture Codes'!$B$8:$B$976,0)),"")</f>
        <v/>
      </c>
      <c r="AH180" s="158"/>
      <c r="AI180" s="160"/>
      <c r="AJ180" s="150" t="str">
        <f>IFERROR(INDEX(Lookups!B$68:B$87,MATCH($AH180,Lookups!$A$68:$A$87,0)),"")</f>
        <v/>
      </c>
      <c r="AK180" s="150" t="str">
        <f>IFERROR(INDEX(Lookups!B$42:B$62,MATCH($AH180,Lookups!$A$42:$A$62,0)),"")</f>
        <v/>
      </c>
      <c r="AL180" s="150" t="str">
        <f>IFERROR(INDEX(Lookups!C$42:C$62,MATCH($AH180,Lookups!$A$42:$A$62,0)),"")</f>
        <v/>
      </c>
      <c r="AM180" s="150" t="str">
        <f>IFERROR(IF(M180="Exit Signs",8760,IF(INDEX('Fixture Codes'!$C$8:$C$976,MATCH(AD180,'Fixture Codes'!$B$8:$B$976,0))="Exit Sign",8760,INDEX(Lookups!$I$2:$I$428,MATCH(_xlfn.CONCAT(B180,H180),Lookups!$H$2:$H$428,0)))),"")</f>
        <v/>
      </c>
      <c r="AN180" s="153">
        <v>1</v>
      </c>
      <c r="AO180" s="150" t="str">
        <f>IF($D180="Interior",INDEX(Lookups!Q$2:Q$86,MATCH(_xlfn.CONCAT($C180,$L180),Lookups!$P$2:$P$86,0)),IF($D180="Exterior",1,""))</f>
        <v/>
      </c>
      <c r="AP180" s="150">
        <f t="shared" si="88"/>
        <v>1</v>
      </c>
      <c r="AQ180" s="150" t="str">
        <f>IF($D180="Interior",INDEX(Lookups!R$2:R$86,MATCH(_xlfn.CONCAT($C180,$L180),Lookups!$P$2:$P$86,0)),IF($D180="Exterior",1,""))</f>
        <v/>
      </c>
      <c r="AR180" s="150" t="str">
        <f>IF($D180="Interior",INDEX(Lookups!S$2:S$86,MATCH(_xlfn.CONCAT($C180,$L180),Lookups!$P$2:$P$86,0)),IF($D180="Exterior",1,""))</f>
        <v/>
      </c>
      <c r="AS180" s="150" t="str">
        <f>IF($D180="Interior",INDEX(Lookups!T$2:T$86,MATCH(_xlfn.CONCAT($C180,$L180),Lookups!$P$2:$P$86,0)),IF($D180="Exterior",1,""))</f>
        <v/>
      </c>
      <c r="AT180" s="150" t="str">
        <f>IFERROR(IF(M180="Exit Signs",1,IF(INDEX('Fixture Codes'!$C$8:$C$976,MATCH($AD180,'Fixture Codes'!$B$8:$B$976,0))="Exit Sign",1,INDEX(Lookups!J$2:J$428,MATCH(_xlfn.CONCAT($B180,$H180),Lookups!$H$2:$H$428,0)))),"")</f>
        <v/>
      </c>
      <c r="AU180" s="150" t="str">
        <f>IFERROR(IF(M180="Exit Signs",1,IF(INDEX('Fixture Codes'!$C$8:$C$976,MATCH($AD180,'Fixture Codes'!$B$8:$B$976,0))="Exit Sign",1,INDEX(Lookups!K$2:K$428,MATCH(_xlfn.CONCAT($B180,$H180),Lookups!$H$2:$H$428,0)))),"")</f>
        <v/>
      </c>
      <c r="AV180" s="150" t="str">
        <f>IFERROR(IF(M180="Exit Signs",1,IF(INDEX('Fixture Codes'!$C$8:$C$976,MATCH($AD180,'Fixture Codes'!$B$8:$B$976,0))="Exit Sign",1,INDEX(Lookups!L$2:L$428,MATCH(_xlfn.CONCAT($B180,$H180),Lookups!$H$2:$H$428,0)))),"")</f>
        <v/>
      </c>
      <c r="AW180" s="150" t="str">
        <f>IF(ISBLANK(K180),"",IF(K180="Gas",INDEX(Lookups!$AG$2:$AG$63,MATCH(O180,Lookups!$AD$2:$AD$63,0),0),0))</f>
        <v/>
      </c>
      <c r="AX180" s="150" t="str">
        <f>IF(ISBLANK(K180),"",IF(K180="Gas",INDEX(Lookups!$AF$2:$AF$63,MATCH(O180,Lookups!$AD$2:$AD$63,0),0),0))</f>
        <v/>
      </c>
      <c r="AY180" s="150" t="str">
        <f>IF(ISBLANK(K180),"",IF(K180="Gas",INDEX(Lookups!$AH$2:$AH$63,MATCH(O180,Lookups!$AD$2:$AD$63,0),0),0))</f>
        <v/>
      </c>
      <c r="AZ180" s="150" t="str">
        <f>IF(ISBLANK(K180),"",IF(K180="Gas",INDEX(Lookups!$AI$2:$AI$63,MATCH(O180,Lookups!$AD$2:$AD$63,0),0),0))</f>
        <v/>
      </c>
      <c r="BA180" s="150" t="str">
        <f t="shared" si="73"/>
        <v/>
      </c>
      <c r="BB180" s="156" t="str">
        <f>IF(ISBLANK(AH180),"",IF(AH180="None",0,IF(K180="Gas",INDEX(Lookups!$AF$51:$AF$69,MATCH(AH180,Lookups!$AD$51:$AD$69,0),0),0)))</f>
        <v/>
      </c>
      <c r="BC180" s="156" t="str">
        <f>IF(ISBLANK(AH180),"",IF(AH180="None",0,IF(K180="Gas",INDEX(Lookups!$AH$51:$AH$69,MATCH(AH180,Lookups!$AD$51:$AD$69,0),0),0)))</f>
        <v/>
      </c>
      <c r="BD180" s="156" t="str">
        <f>IF(ISBLANK(AH180),"",IF(AH180="None",0,IF(K180="Gas",INDEX(Lookups!$AI$51:$AI$69,MATCH(AH180,Lookups!$AD$51:$AD$69,0),0),0)))</f>
        <v/>
      </c>
      <c r="BE180" s="157"/>
      <c r="BF180" s="157"/>
      <c r="BG180" s="147" t="str">
        <f t="shared" si="89"/>
        <v/>
      </c>
      <c r="BH180" s="147" t="str">
        <f t="shared" si="90"/>
        <v/>
      </c>
      <c r="BI180" s="147" t="str">
        <f t="shared" si="74"/>
        <v/>
      </c>
      <c r="BJ180" s="147" t="str">
        <f t="shared" si="75"/>
        <v/>
      </c>
      <c r="BK180" s="148" t="str">
        <f t="shared" si="91"/>
        <v/>
      </c>
      <c r="BL180" s="147" t="str">
        <f t="shared" si="76"/>
        <v/>
      </c>
      <c r="BM180" s="148" t="str">
        <f t="shared" si="92"/>
        <v/>
      </c>
      <c r="BN180" s="147" t="str">
        <f t="shared" si="93"/>
        <v/>
      </c>
      <c r="BO180" s="147" t="str">
        <f t="shared" si="93"/>
        <v/>
      </c>
      <c r="BP180" s="147" t="str">
        <f t="shared" si="94"/>
        <v/>
      </c>
      <c r="BQ180" s="148" t="str">
        <f t="shared" si="95"/>
        <v/>
      </c>
      <c r="BR180" s="148" t="str">
        <f t="shared" si="96"/>
        <v/>
      </c>
      <c r="BS180" s="148" t="str">
        <f t="shared" si="97"/>
        <v/>
      </c>
      <c r="BT180" s="148" t="str">
        <f t="shared" si="77"/>
        <v/>
      </c>
      <c r="BU180" s="148" t="str">
        <f t="shared" si="78"/>
        <v/>
      </c>
      <c r="BV180" s="148" t="str">
        <f t="shared" si="79"/>
        <v/>
      </c>
      <c r="BW180" s="148" t="str">
        <f t="shared" si="80"/>
        <v/>
      </c>
      <c r="BX180" s="148" t="str">
        <f t="shared" si="81"/>
        <v/>
      </c>
      <c r="BY180" s="148" t="str">
        <f t="shared" si="82"/>
        <v/>
      </c>
      <c r="BZ180" s="149" t="str">
        <f>IFERROR(INDEX('Prescriptive Rebate Table'!$B$2:$E$64,MATCH(O180,'Prescriptive Rebate Table'!$C$2:$C$64,0),3),"")</f>
        <v/>
      </c>
      <c r="CA180" s="145" t="str">
        <f>IFERROR(INDEX('Prescriptive Rebate Table'!$B$2:$E$64,MATCH(O180,'Prescriptive Rebate Table'!$C$2:$C$64,0),4),"")</f>
        <v/>
      </c>
      <c r="CB180" s="149" t="str">
        <f t="shared" si="98"/>
        <v/>
      </c>
      <c r="CC180" s="145" t="str">
        <f t="shared" si="99"/>
        <v/>
      </c>
      <c r="CD180" s="149" t="str">
        <f t="shared" si="83"/>
        <v/>
      </c>
      <c r="CE180" s="149" t="str">
        <f t="shared" si="84"/>
        <v/>
      </c>
      <c r="CF180" s="149" t="str">
        <f>IF(BK180&lt;=0,0,IFERROR(IF(OR(ISBLANK(AC180),ISBLANK(CD180))=TRUE,"",IF(CA180="Per Foot",INDEX('Fixture Codes'!$I$8:$I$976,MATCH(AD180,'Fixture Codes'!$B$8:$B$976,0))/12*AF180*BZ180,IF(CA180="Lamp",INDEX('Fixture Codes'!$J$8:$J$976,MATCH(AD180,'Fixture Codes'!$B$8:$B$976,0))*AF180*BZ180,IF(CA180="Fixture",AF180*BZ180,IF(CA180="kWh",BK180*BZ180,0))))),""))</f>
        <v/>
      </c>
      <c r="CG180" s="149" t="str">
        <f t="shared" si="100"/>
        <v/>
      </c>
      <c r="CH180" s="149" t="str">
        <f t="shared" si="101"/>
        <v/>
      </c>
      <c r="CI180" s="152"/>
      <c r="CJ180" s="146"/>
      <c r="CK180" s="241">
        <f>IFERROR(IF(CL180="Yes",'Prescriptive Rebate Table'!$D$69,IF(ISBLANK(AI180),0,IF(AND(AH180=Lookups!$A$62,BK180&gt;0),'Prescriptive Rebate Table'!$D$68,IF(AND(BK180&gt;0,CJ180=AF180),'Prescriptive Rebate Table'!$D$67,IF(AND(BK180&gt;0,CJ180&lt;&gt;AF180),'Prescriptive Rebate Table'!D239,0))))),"")</f>
        <v>0</v>
      </c>
      <c r="CL180" s="240" t="s">
        <v>2712</v>
      </c>
      <c r="CM180" s="152"/>
      <c r="CN180" s="152"/>
      <c r="CO180" s="152"/>
      <c r="CP180" s="146">
        <f t="shared" si="85"/>
        <v>0</v>
      </c>
      <c r="CQ180" s="153">
        <f>IF(D180="Interior",ROUND(($AG180*AF180)/1000*$AM180*(Lookups!$B$54-$AA180)*$AN180*$AO180,3),0)</f>
        <v>0</v>
      </c>
      <c r="CR180" s="153">
        <f>IFERROR(IF(D180="Interior",ROUND(($AG180*$AF180)/1000*(Lookups!$C$54-$AB180)*$AN180*AQ180*AT180,6),0),"")</f>
        <v>0</v>
      </c>
      <c r="CS180" s="165">
        <f t="shared" si="102"/>
        <v>0</v>
      </c>
      <c r="CT180" s="165">
        <f t="shared" si="103"/>
        <v>0</v>
      </c>
      <c r="CV180" s="153"/>
      <c r="CW180" s="153"/>
      <c r="CX180" s="165"/>
      <c r="CY180" s="165"/>
      <c r="DA180" s="153">
        <f>IF(D180="Interior",ROUND(($AG180*AF180*(1-0.15))/1000*$AM180*(Lookups!$B$43+0.097-$AA180)*$AN180*$AO180+((W180*V180)/1000*AN180*AM180*AO180*0.15),3),0)</f>
        <v>0</v>
      </c>
      <c r="DB180" s="153">
        <f>IFERROR(IF(D180="Interior",ROUND(($AG180*$AF180)/1000*(Lookups!$C$43+0.097-$AB180)*$AN180*AQ180*AT180+(($AG180*$AF180)/1000*$AN180*AQ180*AT180*0.15),6),0),"")</f>
        <v>0</v>
      </c>
      <c r="DC180" s="165">
        <f t="shared" si="104"/>
        <v>0</v>
      </c>
      <c r="DD180" s="165">
        <f t="shared" si="105"/>
        <v>0</v>
      </c>
    </row>
    <row r="181" spans="1:108" s="164" customFormat="1">
      <c r="A181" s="150">
        <v>177</v>
      </c>
      <c r="B181" s="153" t="str">
        <f>IFERROR(INDEX(Lookups!$B$2:$B$38,MATCH('Project Info &amp; Summary'!$C$19,Lookups!$A$2:$A$38,0)),"")</f>
        <v/>
      </c>
      <c r="C181" s="153" t="str">
        <f>IFERROR(INDEX(Lookups!$C$2:$C$38,MATCH('Project Info &amp; Summary'!$C$19,Lookups!$A$2:$A$38,0)),"")</f>
        <v/>
      </c>
      <c r="D181" s="163"/>
      <c r="E181" s="160"/>
      <c r="F181" s="158"/>
      <c r="G181" s="158"/>
      <c r="H181" s="158"/>
      <c r="I181" s="158"/>
      <c r="J181" s="154" t="str">
        <f>IFERROR(INDEX(Lookups!$W$21:$W$26,MATCH(I181,Lookups!$V$21:$V$26,0)),"")</f>
        <v/>
      </c>
      <c r="K181" s="158"/>
      <c r="L181" s="162" t="str">
        <f>IFERROR(INDEX(Lookups!$Y$2:$Y$19,MATCH(_xlfn.CONCAT(I181,K181),Lookups!$X$2:$X$19,0)),"")</f>
        <v/>
      </c>
      <c r="M181" s="158"/>
      <c r="N181" s="153" t="str">
        <f>IFERROR(INDEX('Prescriptive Rebate Table'!$M$3:$M$20,MATCH(M181,'Prescriptive Rebate Table'!$L$3:$L$20,0)),"")</f>
        <v/>
      </c>
      <c r="O181" s="158"/>
      <c r="P181" s="154" t="str">
        <f>IFERROR(INDEX('Prescriptive Rebate Table'!$B$2:$H$64, MATCH(O181,'Prescriptive Rebate Table'!$C$2:$C$64,0),7),"")</f>
        <v/>
      </c>
      <c r="Q181" s="155" t="str">
        <f>IFERROR(INDEX('Prescriptive Rebate Table'!$B$2:$I$64, MATCH(O181,'Prescriptive Rebate Table'!$C$2:$C$64,0),8),"")</f>
        <v/>
      </c>
      <c r="R181" s="155" t="str">
        <f>IFERROR(INDEX('Prescriptive Rebate Table'!$B$2:$J$64, MATCH(O181,'Prescriptive Rebate Table'!$C$2:$C$64,0),9),"")</f>
        <v/>
      </c>
      <c r="S181" s="160"/>
      <c r="T181" s="145" t="str">
        <f>IFERROR(INDEX('Fixture Codes'!$M$8:$M$976,MATCH(S181,'Fixture Codes'!$B$8:$B$976,0)),"")</f>
        <v/>
      </c>
      <c r="U181" s="145" t="str">
        <f>IFERROR(INDEX('Fixture Codes'!$B$7:$M$976,MATCH(T181,'Fixture Codes'!$B$7:$B$976,0),5),"")</f>
        <v/>
      </c>
      <c r="V181" s="160"/>
      <c r="W181" s="145" t="str">
        <f>IFERROR(INDEX('Fixture Codes'!$L$8:$L$976,MATCH(T181,'Fixture Codes'!$B$8:$B$976,0)),"")</f>
        <v/>
      </c>
      <c r="X181" s="158"/>
      <c r="Y181" s="159"/>
      <c r="Z181" s="155" t="str">
        <f>IFERROR(INDEX(Lookups!B$68:B$87,MATCH($X181,Lookups!$A$68:$A$87,0)),"")</f>
        <v/>
      </c>
      <c r="AA181" s="150" t="str">
        <f>IFERROR(INDEX(Lookups!B$42:B$62,MATCH($X181,Lookups!$A$42:$A$62,0)),"")</f>
        <v/>
      </c>
      <c r="AB181" s="150" t="str">
        <f>IFERROR(INDEX(Lookups!C$42:C$62,MATCH($X181,Lookups!$A$42:$A$62,0)),"")</f>
        <v/>
      </c>
      <c r="AC181" s="160"/>
      <c r="AD181" s="160"/>
      <c r="AE181" s="150" t="str">
        <f>IFERROR(INDEX('Fixture Codes'!$B$7:$M$976,MATCH(AD181,'Fixture Codes'!$B$7:$B$976,0),5),"")</f>
        <v/>
      </c>
      <c r="AF181" s="160"/>
      <c r="AG181" s="145" t="str">
        <f>IFERROR(INDEX('Fixture Codes'!$L$8:$L$976,MATCH(AD181,'Fixture Codes'!$B$8:$B$976,0)),"")</f>
        <v/>
      </c>
      <c r="AH181" s="158"/>
      <c r="AI181" s="160"/>
      <c r="AJ181" s="150" t="str">
        <f>IFERROR(INDEX(Lookups!B$68:B$87,MATCH($AH181,Lookups!$A$68:$A$87,0)),"")</f>
        <v/>
      </c>
      <c r="AK181" s="150" t="str">
        <f>IFERROR(INDEX(Lookups!B$42:B$62,MATCH($AH181,Lookups!$A$42:$A$62,0)),"")</f>
        <v/>
      </c>
      <c r="AL181" s="150" t="str">
        <f>IFERROR(INDEX(Lookups!C$42:C$62,MATCH($AH181,Lookups!$A$42:$A$62,0)),"")</f>
        <v/>
      </c>
      <c r="AM181" s="150" t="str">
        <f>IFERROR(IF(M181="Exit Signs",8760,IF(INDEX('Fixture Codes'!$C$8:$C$976,MATCH(AD181,'Fixture Codes'!$B$8:$B$976,0))="Exit Sign",8760,INDEX(Lookups!$I$2:$I$428,MATCH(_xlfn.CONCAT(B181,H181),Lookups!$H$2:$H$428,0)))),"")</f>
        <v/>
      </c>
      <c r="AN181" s="153">
        <v>1</v>
      </c>
      <c r="AO181" s="150" t="str">
        <f>IF($D181="Interior",INDEX(Lookups!Q$2:Q$86,MATCH(_xlfn.CONCAT($C181,$L181),Lookups!$P$2:$P$86,0)),IF($D181="Exterior",1,""))</f>
        <v/>
      </c>
      <c r="AP181" s="150">
        <f t="shared" si="88"/>
        <v>1</v>
      </c>
      <c r="AQ181" s="150" t="str">
        <f>IF($D181="Interior",INDEX(Lookups!R$2:R$86,MATCH(_xlfn.CONCAT($C181,$L181),Lookups!$P$2:$P$86,0)),IF($D181="Exterior",1,""))</f>
        <v/>
      </c>
      <c r="AR181" s="150" t="str">
        <f>IF($D181="Interior",INDEX(Lookups!S$2:S$86,MATCH(_xlfn.CONCAT($C181,$L181),Lookups!$P$2:$P$86,0)),IF($D181="Exterior",1,""))</f>
        <v/>
      </c>
      <c r="AS181" s="150" t="str">
        <f>IF($D181="Interior",INDEX(Lookups!T$2:T$86,MATCH(_xlfn.CONCAT($C181,$L181),Lookups!$P$2:$P$86,0)),IF($D181="Exterior",1,""))</f>
        <v/>
      </c>
      <c r="AT181" s="150" t="str">
        <f>IFERROR(IF(M181="Exit Signs",1,IF(INDEX('Fixture Codes'!$C$8:$C$976,MATCH($AD181,'Fixture Codes'!$B$8:$B$976,0))="Exit Sign",1,INDEX(Lookups!J$2:J$428,MATCH(_xlfn.CONCAT($B181,$H181),Lookups!$H$2:$H$428,0)))),"")</f>
        <v/>
      </c>
      <c r="AU181" s="150" t="str">
        <f>IFERROR(IF(M181="Exit Signs",1,IF(INDEX('Fixture Codes'!$C$8:$C$976,MATCH($AD181,'Fixture Codes'!$B$8:$B$976,0))="Exit Sign",1,INDEX(Lookups!K$2:K$428,MATCH(_xlfn.CONCAT($B181,$H181),Lookups!$H$2:$H$428,0)))),"")</f>
        <v/>
      </c>
      <c r="AV181" s="150" t="str">
        <f>IFERROR(IF(M181="Exit Signs",1,IF(INDEX('Fixture Codes'!$C$8:$C$976,MATCH($AD181,'Fixture Codes'!$B$8:$B$976,0))="Exit Sign",1,INDEX(Lookups!L$2:L$428,MATCH(_xlfn.CONCAT($B181,$H181),Lookups!$H$2:$H$428,0)))),"")</f>
        <v/>
      </c>
      <c r="AW181" s="150" t="str">
        <f>IF(ISBLANK(K181),"",IF(K181="Gas",INDEX(Lookups!$AG$2:$AG$63,MATCH(O181,Lookups!$AD$2:$AD$63,0),0),0))</f>
        <v/>
      </c>
      <c r="AX181" s="150" t="str">
        <f>IF(ISBLANK(K181),"",IF(K181="Gas",INDEX(Lookups!$AF$2:$AF$63,MATCH(O181,Lookups!$AD$2:$AD$63,0),0),0))</f>
        <v/>
      </c>
      <c r="AY181" s="150" t="str">
        <f>IF(ISBLANK(K181),"",IF(K181="Gas",INDEX(Lookups!$AH$2:$AH$63,MATCH(O181,Lookups!$AD$2:$AD$63,0),0),0))</f>
        <v/>
      </c>
      <c r="AZ181" s="150" t="str">
        <f>IF(ISBLANK(K181),"",IF(K181="Gas",INDEX(Lookups!$AI$2:$AI$63,MATCH(O181,Lookups!$AD$2:$AD$63,0),0),0))</f>
        <v/>
      </c>
      <c r="BA181" s="150" t="str">
        <f t="shared" si="73"/>
        <v/>
      </c>
      <c r="BB181" s="156" t="str">
        <f>IF(ISBLANK(AH181),"",IF(AH181="None",0,IF(K181="Gas",INDEX(Lookups!$AF$51:$AF$69,MATCH(AH181,Lookups!$AD$51:$AD$69,0),0),0)))</f>
        <v/>
      </c>
      <c r="BC181" s="156" t="str">
        <f>IF(ISBLANK(AH181),"",IF(AH181="None",0,IF(K181="Gas",INDEX(Lookups!$AH$51:$AH$69,MATCH(AH181,Lookups!$AD$51:$AD$69,0),0),0)))</f>
        <v/>
      </c>
      <c r="BD181" s="156" t="str">
        <f>IF(ISBLANK(AH181),"",IF(AH181="None",0,IF(K181="Gas",INDEX(Lookups!$AI$51:$AI$69,MATCH(AH181,Lookups!$AD$51:$AD$69,0),0),0)))</f>
        <v/>
      </c>
      <c r="BE181" s="157"/>
      <c r="BF181" s="157"/>
      <c r="BG181" s="147" t="str">
        <f t="shared" si="89"/>
        <v/>
      </c>
      <c r="BH181" s="147" t="str">
        <f t="shared" si="90"/>
        <v/>
      </c>
      <c r="BI181" s="147" t="str">
        <f t="shared" si="74"/>
        <v/>
      </c>
      <c r="BJ181" s="147" t="str">
        <f t="shared" si="75"/>
        <v/>
      </c>
      <c r="BK181" s="148" t="str">
        <f t="shared" si="91"/>
        <v/>
      </c>
      <c r="BL181" s="147" t="str">
        <f t="shared" si="76"/>
        <v/>
      </c>
      <c r="BM181" s="148" t="str">
        <f t="shared" si="92"/>
        <v/>
      </c>
      <c r="BN181" s="147" t="str">
        <f t="shared" si="93"/>
        <v/>
      </c>
      <c r="BO181" s="147" t="str">
        <f t="shared" si="93"/>
        <v/>
      </c>
      <c r="BP181" s="147" t="str">
        <f t="shared" si="94"/>
        <v/>
      </c>
      <c r="BQ181" s="148" t="str">
        <f t="shared" si="95"/>
        <v/>
      </c>
      <c r="BR181" s="148" t="str">
        <f t="shared" si="96"/>
        <v/>
      </c>
      <c r="BS181" s="148" t="str">
        <f t="shared" si="97"/>
        <v/>
      </c>
      <c r="BT181" s="148" t="str">
        <f t="shared" si="77"/>
        <v/>
      </c>
      <c r="BU181" s="148" t="str">
        <f t="shared" si="78"/>
        <v/>
      </c>
      <c r="BV181" s="148" t="str">
        <f t="shared" si="79"/>
        <v/>
      </c>
      <c r="BW181" s="148" t="str">
        <f t="shared" si="80"/>
        <v/>
      </c>
      <c r="BX181" s="148" t="str">
        <f t="shared" si="81"/>
        <v/>
      </c>
      <c r="BY181" s="148" t="str">
        <f t="shared" si="82"/>
        <v/>
      </c>
      <c r="BZ181" s="149" t="str">
        <f>IFERROR(INDEX('Prescriptive Rebate Table'!$B$2:$E$64,MATCH(O181,'Prescriptive Rebate Table'!$C$2:$C$64,0),3),"")</f>
        <v/>
      </c>
      <c r="CA181" s="145" t="str">
        <f>IFERROR(INDEX('Prescriptive Rebate Table'!$B$2:$E$64,MATCH(O181,'Prescriptive Rebate Table'!$C$2:$C$64,0),4),"")</f>
        <v/>
      </c>
      <c r="CB181" s="149" t="str">
        <f t="shared" si="98"/>
        <v/>
      </c>
      <c r="CC181" s="145" t="str">
        <f t="shared" si="99"/>
        <v/>
      </c>
      <c r="CD181" s="149" t="str">
        <f t="shared" si="83"/>
        <v/>
      </c>
      <c r="CE181" s="149" t="str">
        <f t="shared" si="84"/>
        <v/>
      </c>
      <c r="CF181" s="149" t="str">
        <f>IF(BK181&lt;=0,0,IFERROR(IF(OR(ISBLANK(AC181),ISBLANK(CD181))=TRUE,"",IF(CA181="Per Foot",INDEX('Fixture Codes'!$I$8:$I$976,MATCH(AD181,'Fixture Codes'!$B$8:$B$976,0))/12*AF181*BZ181,IF(CA181="Lamp",INDEX('Fixture Codes'!$J$8:$J$976,MATCH(AD181,'Fixture Codes'!$B$8:$B$976,0))*AF181*BZ181,IF(CA181="Fixture",AF181*BZ181,IF(CA181="kWh",BK181*BZ181,0))))),""))</f>
        <v/>
      </c>
      <c r="CG181" s="149" t="str">
        <f t="shared" si="100"/>
        <v/>
      </c>
      <c r="CH181" s="149" t="str">
        <f t="shared" si="101"/>
        <v/>
      </c>
      <c r="CI181" s="152"/>
      <c r="CJ181" s="146"/>
      <c r="CK181" s="241">
        <f>IFERROR(IF(CL181="Yes",'Prescriptive Rebate Table'!$D$69,IF(ISBLANK(AI181),0,IF(AND(AH181=Lookups!$A$62,BK181&gt;0),'Prescriptive Rebate Table'!$D$68,IF(AND(BK181&gt;0,CJ181=AF181),'Prescriptive Rebate Table'!$D$67,IF(AND(BK181&gt;0,CJ181&lt;&gt;AF181),'Prescriptive Rebate Table'!D240,0))))),"")</f>
        <v>0</v>
      </c>
      <c r="CL181" s="240" t="s">
        <v>2712</v>
      </c>
      <c r="CM181" s="152"/>
      <c r="CN181" s="152"/>
      <c r="CO181" s="152"/>
      <c r="CP181" s="146">
        <f t="shared" si="85"/>
        <v>0</v>
      </c>
      <c r="CQ181" s="153">
        <f>IF(D181="Interior",ROUND(($AG181*AF181)/1000*$AM181*(Lookups!$B$54-$AA181)*$AN181*$AO181,3),0)</f>
        <v>0</v>
      </c>
      <c r="CR181" s="153">
        <f>IFERROR(IF(D181="Interior",ROUND(($AG181*$AF181)/1000*(Lookups!$C$54-$AB181)*$AN181*AQ181*AT181,6),0),"")</f>
        <v>0</v>
      </c>
      <c r="CS181" s="165">
        <f t="shared" si="102"/>
        <v>0</v>
      </c>
      <c r="CT181" s="165">
        <f t="shared" si="103"/>
        <v>0</v>
      </c>
      <c r="CV181" s="153"/>
      <c r="CW181" s="153"/>
      <c r="CX181" s="165"/>
      <c r="CY181" s="165"/>
      <c r="DA181" s="153">
        <f>IF(D181="Interior",ROUND(($AG181*AF181*(1-0.15))/1000*$AM181*(Lookups!$B$43+0.097-$AA181)*$AN181*$AO181+((W181*V181)/1000*AN181*AM181*AO181*0.15),3),0)</f>
        <v>0</v>
      </c>
      <c r="DB181" s="153">
        <f>IFERROR(IF(D181="Interior",ROUND(($AG181*$AF181)/1000*(Lookups!$C$43+0.097-$AB181)*$AN181*AQ181*AT181+(($AG181*$AF181)/1000*$AN181*AQ181*AT181*0.15),6),0),"")</f>
        <v>0</v>
      </c>
      <c r="DC181" s="165">
        <f t="shared" si="104"/>
        <v>0</v>
      </c>
      <c r="DD181" s="165">
        <f t="shared" si="105"/>
        <v>0</v>
      </c>
    </row>
    <row r="182" spans="1:108" s="164" customFormat="1">
      <c r="A182" s="150">
        <v>178</v>
      </c>
      <c r="B182" s="153" t="str">
        <f>IFERROR(INDEX(Lookups!$B$2:$B$38,MATCH('Project Info &amp; Summary'!$C$19,Lookups!$A$2:$A$38,0)),"")</f>
        <v/>
      </c>
      <c r="C182" s="153" t="str">
        <f>IFERROR(INDEX(Lookups!$C$2:$C$38,MATCH('Project Info &amp; Summary'!$C$19,Lookups!$A$2:$A$38,0)),"")</f>
        <v/>
      </c>
      <c r="D182" s="163"/>
      <c r="E182" s="160"/>
      <c r="F182" s="158"/>
      <c r="G182" s="158"/>
      <c r="H182" s="158"/>
      <c r="I182" s="158"/>
      <c r="J182" s="154" t="str">
        <f>IFERROR(INDEX(Lookups!$W$21:$W$26,MATCH(I182,Lookups!$V$21:$V$26,0)),"")</f>
        <v/>
      </c>
      <c r="K182" s="158"/>
      <c r="L182" s="162" t="str">
        <f>IFERROR(INDEX(Lookups!$Y$2:$Y$19,MATCH(_xlfn.CONCAT(I182,K182),Lookups!$X$2:$X$19,0)),"")</f>
        <v/>
      </c>
      <c r="M182" s="158"/>
      <c r="N182" s="153" t="str">
        <f>IFERROR(INDEX('Prescriptive Rebate Table'!$M$3:$M$20,MATCH(M182,'Prescriptive Rebate Table'!$L$3:$L$20,0)),"")</f>
        <v/>
      </c>
      <c r="O182" s="158"/>
      <c r="P182" s="154" t="str">
        <f>IFERROR(INDEX('Prescriptive Rebate Table'!$B$2:$H$64, MATCH(O182,'Prescriptive Rebate Table'!$C$2:$C$64,0),7),"")</f>
        <v/>
      </c>
      <c r="Q182" s="155" t="str">
        <f>IFERROR(INDEX('Prescriptive Rebate Table'!$B$2:$I$64, MATCH(O182,'Prescriptive Rebate Table'!$C$2:$C$64,0),8),"")</f>
        <v/>
      </c>
      <c r="R182" s="155" t="str">
        <f>IFERROR(INDEX('Prescriptive Rebate Table'!$B$2:$J$64, MATCH(O182,'Prescriptive Rebate Table'!$C$2:$C$64,0),9),"")</f>
        <v/>
      </c>
      <c r="S182" s="160"/>
      <c r="T182" s="145" t="str">
        <f>IFERROR(INDEX('Fixture Codes'!$M$8:$M$976,MATCH(S182,'Fixture Codes'!$B$8:$B$976,0)),"")</f>
        <v/>
      </c>
      <c r="U182" s="145" t="str">
        <f>IFERROR(INDEX('Fixture Codes'!$B$7:$M$976,MATCH(T182,'Fixture Codes'!$B$7:$B$976,0),5),"")</f>
        <v/>
      </c>
      <c r="V182" s="160"/>
      <c r="W182" s="145" t="str">
        <f>IFERROR(INDEX('Fixture Codes'!$L$8:$L$976,MATCH(T182,'Fixture Codes'!$B$8:$B$976,0)),"")</f>
        <v/>
      </c>
      <c r="X182" s="158"/>
      <c r="Y182" s="159"/>
      <c r="Z182" s="155" t="str">
        <f>IFERROR(INDEX(Lookups!B$68:B$87,MATCH($X182,Lookups!$A$68:$A$87,0)),"")</f>
        <v/>
      </c>
      <c r="AA182" s="150" t="str">
        <f>IFERROR(INDEX(Lookups!B$42:B$62,MATCH($X182,Lookups!$A$42:$A$62,0)),"")</f>
        <v/>
      </c>
      <c r="AB182" s="150" t="str">
        <f>IFERROR(INDEX(Lookups!C$42:C$62,MATCH($X182,Lookups!$A$42:$A$62,0)),"")</f>
        <v/>
      </c>
      <c r="AC182" s="160"/>
      <c r="AD182" s="160"/>
      <c r="AE182" s="150" t="str">
        <f>IFERROR(INDEX('Fixture Codes'!$B$7:$M$976,MATCH(AD182,'Fixture Codes'!$B$7:$B$976,0),5),"")</f>
        <v/>
      </c>
      <c r="AF182" s="160"/>
      <c r="AG182" s="145" t="str">
        <f>IFERROR(INDEX('Fixture Codes'!$L$8:$L$976,MATCH(AD182,'Fixture Codes'!$B$8:$B$976,0)),"")</f>
        <v/>
      </c>
      <c r="AH182" s="158"/>
      <c r="AI182" s="160"/>
      <c r="AJ182" s="150" t="str">
        <f>IFERROR(INDEX(Lookups!B$68:B$87,MATCH($AH182,Lookups!$A$68:$A$87,0)),"")</f>
        <v/>
      </c>
      <c r="AK182" s="150" t="str">
        <f>IFERROR(INDEX(Lookups!B$42:B$62,MATCH($AH182,Lookups!$A$42:$A$62,0)),"")</f>
        <v/>
      </c>
      <c r="AL182" s="150" t="str">
        <f>IFERROR(INDEX(Lookups!C$42:C$62,MATCH($AH182,Lookups!$A$42:$A$62,0)),"")</f>
        <v/>
      </c>
      <c r="AM182" s="150" t="str">
        <f>IFERROR(IF(M182="Exit Signs",8760,IF(INDEX('Fixture Codes'!$C$8:$C$976,MATCH(AD182,'Fixture Codes'!$B$8:$B$976,0))="Exit Sign",8760,INDEX(Lookups!$I$2:$I$428,MATCH(_xlfn.CONCAT(B182,H182),Lookups!$H$2:$H$428,0)))),"")</f>
        <v/>
      </c>
      <c r="AN182" s="153">
        <v>1</v>
      </c>
      <c r="AO182" s="150" t="str">
        <f>IF($D182="Interior",INDEX(Lookups!Q$2:Q$86,MATCH(_xlfn.CONCAT($C182,$L182),Lookups!$P$2:$P$86,0)),IF($D182="Exterior",1,""))</f>
        <v/>
      </c>
      <c r="AP182" s="150">
        <f t="shared" si="88"/>
        <v>1</v>
      </c>
      <c r="AQ182" s="150" t="str">
        <f>IF($D182="Interior",INDEX(Lookups!R$2:R$86,MATCH(_xlfn.CONCAT($C182,$L182),Lookups!$P$2:$P$86,0)),IF($D182="Exterior",1,""))</f>
        <v/>
      </c>
      <c r="AR182" s="150" t="str">
        <f>IF($D182="Interior",INDEX(Lookups!S$2:S$86,MATCH(_xlfn.CONCAT($C182,$L182),Lookups!$P$2:$P$86,0)),IF($D182="Exterior",1,""))</f>
        <v/>
      </c>
      <c r="AS182" s="150" t="str">
        <f>IF($D182="Interior",INDEX(Lookups!T$2:T$86,MATCH(_xlfn.CONCAT($C182,$L182),Lookups!$P$2:$P$86,0)),IF($D182="Exterior",1,""))</f>
        <v/>
      </c>
      <c r="AT182" s="150" t="str">
        <f>IFERROR(IF(M182="Exit Signs",1,IF(INDEX('Fixture Codes'!$C$8:$C$976,MATCH($AD182,'Fixture Codes'!$B$8:$B$976,0))="Exit Sign",1,INDEX(Lookups!J$2:J$428,MATCH(_xlfn.CONCAT($B182,$H182),Lookups!$H$2:$H$428,0)))),"")</f>
        <v/>
      </c>
      <c r="AU182" s="150" t="str">
        <f>IFERROR(IF(M182="Exit Signs",1,IF(INDEX('Fixture Codes'!$C$8:$C$976,MATCH($AD182,'Fixture Codes'!$B$8:$B$976,0))="Exit Sign",1,INDEX(Lookups!K$2:K$428,MATCH(_xlfn.CONCAT($B182,$H182),Lookups!$H$2:$H$428,0)))),"")</f>
        <v/>
      </c>
      <c r="AV182" s="150" t="str">
        <f>IFERROR(IF(M182="Exit Signs",1,IF(INDEX('Fixture Codes'!$C$8:$C$976,MATCH($AD182,'Fixture Codes'!$B$8:$B$976,0))="Exit Sign",1,INDEX(Lookups!L$2:L$428,MATCH(_xlfn.CONCAT($B182,$H182),Lookups!$H$2:$H$428,0)))),"")</f>
        <v/>
      </c>
      <c r="AW182" s="150" t="str">
        <f>IF(ISBLANK(K182),"",IF(K182="Gas",INDEX(Lookups!$AG$2:$AG$63,MATCH(O182,Lookups!$AD$2:$AD$63,0),0),0))</f>
        <v/>
      </c>
      <c r="AX182" s="150" t="str">
        <f>IF(ISBLANK(K182),"",IF(K182="Gas",INDEX(Lookups!$AF$2:$AF$63,MATCH(O182,Lookups!$AD$2:$AD$63,0),0),0))</f>
        <v/>
      </c>
      <c r="AY182" s="150" t="str">
        <f>IF(ISBLANK(K182),"",IF(K182="Gas",INDEX(Lookups!$AH$2:$AH$63,MATCH(O182,Lookups!$AD$2:$AD$63,0),0),0))</f>
        <v/>
      </c>
      <c r="AZ182" s="150" t="str">
        <f>IF(ISBLANK(K182),"",IF(K182="Gas",INDEX(Lookups!$AI$2:$AI$63,MATCH(O182,Lookups!$AD$2:$AD$63,0),0),0))</f>
        <v/>
      </c>
      <c r="BA182" s="150" t="str">
        <f t="shared" si="73"/>
        <v/>
      </c>
      <c r="BB182" s="156" t="str">
        <f>IF(ISBLANK(AH182),"",IF(AH182="None",0,IF(K182="Gas",INDEX(Lookups!$AF$51:$AF$69,MATCH(AH182,Lookups!$AD$51:$AD$69,0),0),0)))</f>
        <v/>
      </c>
      <c r="BC182" s="156" t="str">
        <f>IF(ISBLANK(AH182),"",IF(AH182="None",0,IF(K182="Gas",INDEX(Lookups!$AH$51:$AH$69,MATCH(AH182,Lookups!$AD$51:$AD$69,0),0),0)))</f>
        <v/>
      </c>
      <c r="BD182" s="156" t="str">
        <f>IF(ISBLANK(AH182),"",IF(AH182="None",0,IF(K182="Gas",INDEX(Lookups!$AI$51:$AI$69,MATCH(AH182,Lookups!$AD$51:$AD$69,0),0),0)))</f>
        <v/>
      </c>
      <c r="BE182" s="157"/>
      <c r="BF182" s="157"/>
      <c r="BG182" s="147" t="str">
        <f t="shared" si="89"/>
        <v/>
      </c>
      <c r="BH182" s="147" t="str">
        <f t="shared" si="90"/>
        <v/>
      </c>
      <c r="BI182" s="147" t="str">
        <f t="shared" si="74"/>
        <v/>
      </c>
      <c r="BJ182" s="147" t="str">
        <f t="shared" si="75"/>
        <v/>
      </c>
      <c r="BK182" s="148" t="str">
        <f t="shared" si="91"/>
        <v/>
      </c>
      <c r="BL182" s="147" t="str">
        <f t="shared" si="76"/>
        <v/>
      </c>
      <c r="BM182" s="148" t="str">
        <f t="shared" si="92"/>
        <v/>
      </c>
      <c r="BN182" s="147" t="str">
        <f t="shared" si="93"/>
        <v/>
      </c>
      <c r="BO182" s="147" t="str">
        <f t="shared" si="93"/>
        <v/>
      </c>
      <c r="BP182" s="147" t="str">
        <f t="shared" si="94"/>
        <v/>
      </c>
      <c r="BQ182" s="148" t="str">
        <f t="shared" si="95"/>
        <v/>
      </c>
      <c r="BR182" s="148" t="str">
        <f t="shared" si="96"/>
        <v/>
      </c>
      <c r="BS182" s="148" t="str">
        <f t="shared" si="97"/>
        <v/>
      </c>
      <c r="BT182" s="148" t="str">
        <f t="shared" si="77"/>
        <v/>
      </c>
      <c r="BU182" s="148" t="str">
        <f t="shared" si="78"/>
        <v/>
      </c>
      <c r="BV182" s="148" t="str">
        <f t="shared" si="79"/>
        <v/>
      </c>
      <c r="BW182" s="148" t="str">
        <f t="shared" si="80"/>
        <v/>
      </c>
      <c r="BX182" s="148" t="str">
        <f t="shared" si="81"/>
        <v/>
      </c>
      <c r="BY182" s="148" t="str">
        <f t="shared" si="82"/>
        <v/>
      </c>
      <c r="BZ182" s="149" t="str">
        <f>IFERROR(INDEX('Prescriptive Rebate Table'!$B$2:$E$64,MATCH(O182,'Prescriptive Rebate Table'!$C$2:$C$64,0),3),"")</f>
        <v/>
      </c>
      <c r="CA182" s="145" t="str">
        <f>IFERROR(INDEX('Prescriptive Rebate Table'!$B$2:$E$64,MATCH(O182,'Prescriptive Rebate Table'!$C$2:$C$64,0),4),"")</f>
        <v/>
      </c>
      <c r="CB182" s="149" t="str">
        <f t="shared" si="98"/>
        <v/>
      </c>
      <c r="CC182" s="145" t="str">
        <f t="shared" si="99"/>
        <v/>
      </c>
      <c r="CD182" s="149" t="str">
        <f t="shared" si="83"/>
        <v/>
      </c>
      <c r="CE182" s="149" t="str">
        <f t="shared" si="84"/>
        <v/>
      </c>
      <c r="CF182" s="149" t="str">
        <f>IF(BK182&lt;=0,0,IFERROR(IF(OR(ISBLANK(AC182),ISBLANK(CD182))=TRUE,"",IF(CA182="Per Foot",INDEX('Fixture Codes'!$I$8:$I$976,MATCH(AD182,'Fixture Codes'!$B$8:$B$976,0))/12*AF182*BZ182,IF(CA182="Lamp",INDEX('Fixture Codes'!$J$8:$J$976,MATCH(AD182,'Fixture Codes'!$B$8:$B$976,0))*AF182*BZ182,IF(CA182="Fixture",AF182*BZ182,IF(CA182="kWh",BK182*BZ182,0))))),""))</f>
        <v/>
      </c>
      <c r="CG182" s="149" t="str">
        <f t="shared" si="100"/>
        <v/>
      </c>
      <c r="CH182" s="149" t="str">
        <f t="shared" si="101"/>
        <v/>
      </c>
      <c r="CI182" s="152"/>
      <c r="CJ182" s="146"/>
      <c r="CK182" s="241">
        <f>IFERROR(IF(CL182="Yes",'Prescriptive Rebate Table'!$D$69,IF(ISBLANK(AI182),0,IF(AND(AH182=Lookups!$A$62,BK182&gt;0),'Prescriptive Rebate Table'!$D$68,IF(AND(BK182&gt;0,CJ182=AF182),'Prescriptive Rebate Table'!$D$67,IF(AND(BK182&gt;0,CJ182&lt;&gt;AF182),'Prescriptive Rebate Table'!D241,0))))),"")</f>
        <v>0</v>
      </c>
      <c r="CL182" s="240" t="s">
        <v>2712</v>
      </c>
      <c r="CM182" s="152"/>
      <c r="CN182" s="152"/>
      <c r="CO182" s="152"/>
      <c r="CP182" s="146">
        <f t="shared" si="85"/>
        <v>0</v>
      </c>
      <c r="CQ182" s="153">
        <f>IF(D182="Interior",ROUND(($AG182*AF182)/1000*$AM182*(Lookups!$B$54-$AA182)*$AN182*$AO182,3),0)</f>
        <v>0</v>
      </c>
      <c r="CR182" s="153">
        <f>IFERROR(IF(D182="Interior",ROUND(($AG182*$AF182)/1000*(Lookups!$C$54-$AB182)*$AN182*AQ182*AT182,6),0),"")</f>
        <v>0</v>
      </c>
      <c r="CS182" s="165">
        <f t="shared" si="102"/>
        <v>0</v>
      </c>
      <c r="CT182" s="165">
        <f t="shared" si="103"/>
        <v>0</v>
      </c>
      <c r="CV182" s="153"/>
      <c r="CW182" s="153"/>
      <c r="CX182" s="165"/>
      <c r="CY182" s="165"/>
      <c r="DA182" s="153">
        <f>IF(D182="Interior",ROUND(($AG182*AF182*(1-0.15))/1000*$AM182*(Lookups!$B$43+0.097-$AA182)*$AN182*$AO182+((W182*V182)/1000*AN182*AM182*AO182*0.15),3),0)</f>
        <v>0</v>
      </c>
      <c r="DB182" s="153">
        <f>IFERROR(IF(D182="Interior",ROUND(($AG182*$AF182)/1000*(Lookups!$C$43+0.097-$AB182)*$AN182*AQ182*AT182+(($AG182*$AF182)/1000*$AN182*AQ182*AT182*0.15),6),0),"")</f>
        <v>0</v>
      </c>
      <c r="DC182" s="165">
        <f t="shared" si="104"/>
        <v>0</v>
      </c>
      <c r="DD182" s="165">
        <f t="shared" si="105"/>
        <v>0</v>
      </c>
    </row>
    <row r="183" spans="1:108" s="164" customFormat="1">
      <c r="A183" s="150">
        <v>179</v>
      </c>
      <c r="B183" s="153" t="str">
        <f>IFERROR(INDEX(Lookups!$B$2:$B$38,MATCH('Project Info &amp; Summary'!$C$19,Lookups!$A$2:$A$38,0)),"")</f>
        <v/>
      </c>
      <c r="C183" s="153" t="str">
        <f>IFERROR(INDEX(Lookups!$C$2:$C$38,MATCH('Project Info &amp; Summary'!$C$19,Lookups!$A$2:$A$38,0)),"")</f>
        <v/>
      </c>
      <c r="D183" s="163"/>
      <c r="E183" s="160"/>
      <c r="F183" s="158"/>
      <c r="G183" s="158"/>
      <c r="H183" s="158"/>
      <c r="I183" s="158"/>
      <c r="J183" s="154" t="str">
        <f>IFERROR(INDEX(Lookups!$W$21:$W$26,MATCH(I183,Lookups!$V$21:$V$26,0)),"")</f>
        <v/>
      </c>
      <c r="K183" s="158"/>
      <c r="L183" s="162" t="str">
        <f>IFERROR(INDEX(Lookups!$Y$2:$Y$19,MATCH(_xlfn.CONCAT(I183,K183),Lookups!$X$2:$X$19,0)),"")</f>
        <v/>
      </c>
      <c r="M183" s="158"/>
      <c r="N183" s="153" t="str">
        <f>IFERROR(INDEX('Prescriptive Rebate Table'!$M$3:$M$20,MATCH(M183,'Prescriptive Rebate Table'!$L$3:$L$20,0)),"")</f>
        <v/>
      </c>
      <c r="O183" s="158"/>
      <c r="P183" s="154" t="str">
        <f>IFERROR(INDEX('Prescriptive Rebate Table'!$B$2:$H$64, MATCH(O183,'Prescriptive Rebate Table'!$C$2:$C$64,0),7),"")</f>
        <v/>
      </c>
      <c r="Q183" s="155" t="str">
        <f>IFERROR(INDEX('Prescriptive Rebate Table'!$B$2:$I$64, MATCH(O183,'Prescriptive Rebate Table'!$C$2:$C$64,0),8),"")</f>
        <v/>
      </c>
      <c r="R183" s="155" t="str">
        <f>IFERROR(INDEX('Prescriptive Rebate Table'!$B$2:$J$64, MATCH(O183,'Prescriptive Rebate Table'!$C$2:$C$64,0),9),"")</f>
        <v/>
      </c>
      <c r="S183" s="160"/>
      <c r="T183" s="145" t="str">
        <f>IFERROR(INDEX('Fixture Codes'!$M$8:$M$976,MATCH(S183,'Fixture Codes'!$B$8:$B$976,0)),"")</f>
        <v/>
      </c>
      <c r="U183" s="145" t="str">
        <f>IFERROR(INDEX('Fixture Codes'!$B$7:$M$976,MATCH(T183,'Fixture Codes'!$B$7:$B$976,0),5),"")</f>
        <v/>
      </c>
      <c r="V183" s="160"/>
      <c r="W183" s="145" t="str">
        <f>IFERROR(INDEX('Fixture Codes'!$L$8:$L$976,MATCH(T183,'Fixture Codes'!$B$8:$B$976,0)),"")</f>
        <v/>
      </c>
      <c r="X183" s="158"/>
      <c r="Y183" s="159"/>
      <c r="Z183" s="155" t="str">
        <f>IFERROR(INDEX(Lookups!B$68:B$87,MATCH($X183,Lookups!$A$68:$A$87,0)),"")</f>
        <v/>
      </c>
      <c r="AA183" s="150" t="str">
        <f>IFERROR(INDEX(Lookups!B$42:B$62,MATCH($X183,Lookups!$A$42:$A$62,0)),"")</f>
        <v/>
      </c>
      <c r="AB183" s="150" t="str">
        <f>IFERROR(INDEX(Lookups!C$42:C$62,MATCH($X183,Lookups!$A$42:$A$62,0)),"")</f>
        <v/>
      </c>
      <c r="AC183" s="160"/>
      <c r="AD183" s="160"/>
      <c r="AE183" s="150" t="str">
        <f>IFERROR(INDEX('Fixture Codes'!$B$7:$M$976,MATCH(AD183,'Fixture Codes'!$B$7:$B$976,0),5),"")</f>
        <v/>
      </c>
      <c r="AF183" s="160"/>
      <c r="AG183" s="145" t="str">
        <f>IFERROR(INDEX('Fixture Codes'!$L$8:$L$976,MATCH(AD183,'Fixture Codes'!$B$8:$B$976,0)),"")</f>
        <v/>
      </c>
      <c r="AH183" s="158"/>
      <c r="AI183" s="160"/>
      <c r="AJ183" s="150" t="str">
        <f>IFERROR(INDEX(Lookups!B$68:B$87,MATCH($AH183,Lookups!$A$68:$A$87,0)),"")</f>
        <v/>
      </c>
      <c r="AK183" s="150" t="str">
        <f>IFERROR(INDEX(Lookups!B$42:B$62,MATCH($AH183,Lookups!$A$42:$A$62,0)),"")</f>
        <v/>
      </c>
      <c r="AL183" s="150" t="str">
        <f>IFERROR(INDEX(Lookups!C$42:C$62,MATCH($AH183,Lookups!$A$42:$A$62,0)),"")</f>
        <v/>
      </c>
      <c r="AM183" s="150" t="str">
        <f>IFERROR(IF(M183="Exit Signs",8760,IF(INDEX('Fixture Codes'!$C$8:$C$976,MATCH(AD183,'Fixture Codes'!$B$8:$B$976,0))="Exit Sign",8760,INDEX(Lookups!$I$2:$I$428,MATCH(_xlfn.CONCAT(B183,H183),Lookups!$H$2:$H$428,0)))),"")</f>
        <v/>
      </c>
      <c r="AN183" s="153">
        <v>1</v>
      </c>
      <c r="AO183" s="150" t="str">
        <f>IF($D183="Interior",INDEX(Lookups!Q$2:Q$86,MATCH(_xlfn.CONCAT($C183,$L183),Lookups!$P$2:$P$86,0)),IF($D183="Exterior",1,""))</f>
        <v/>
      </c>
      <c r="AP183" s="150">
        <f t="shared" si="88"/>
        <v>1</v>
      </c>
      <c r="AQ183" s="150" t="str">
        <f>IF($D183="Interior",INDEX(Lookups!R$2:R$86,MATCH(_xlfn.CONCAT($C183,$L183),Lookups!$P$2:$P$86,0)),IF($D183="Exterior",1,""))</f>
        <v/>
      </c>
      <c r="AR183" s="150" t="str">
        <f>IF($D183="Interior",INDEX(Lookups!S$2:S$86,MATCH(_xlfn.CONCAT($C183,$L183),Lookups!$P$2:$P$86,0)),IF($D183="Exterior",1,""))</f>
        <v/>
      </c>
      <c r="AS183" s="150" t="str">
        <f>IF($D183="Interior",INDEX(Lookups!T$2:T$86,MATCH(_xlfn.CONCAT($C183,$L183),Lookups!$P$2:$P$86,0)),IF($D183="Exterior",1,""))</f>
        <v/>
      </c>
      <c r="AT183" s="150" t="str">
        <f>IFERROR(IF(M183="Exit Signs",1,IF(INDEX('Fixture Codes'!$C$8:$C$976,MATCH($AD183,'Fixture Codes'!$B$8:$B$976,0))="Exit Sign",1,INDEX(Lookups!J$2:J$428,MATCH(_xlfn.CONCAT($B183,$H183),Lookups!$H$2:$H$428,0)))),"")</f>
        <v/>
      </c>
      <c r="AU183" s="150" t="str">
        <f>IFERROR(IF(M183="Exit Signs",1,IF(INDEX('Fixture Codes'!$C$8:$C$976,MATCH($AD183,'Fixture Codes'!$B$8:$B$976,0))="Exit Sign",1,INDEX(Lookups!K$2:K$428,MATCH(_xlfn.CONCAT($B183,$H183),Lookups!$H$2:$H$428,0)))),"")</f>
        <v/>
      </c>
      <c r="AV183" s="150" t="str">
        <f>IFERROR(IF(M183="Exit Signs",1,IF(INDEX('Fixture Codes'!$C$8:$C$976,MATCH($AD183,'Fixture Codes'!$B$8:$B$976,0))="Exit Sign",1,INDEX(Lookups!L$2:L$428,MATCH(_xlfn.CONCAT($B183,$H183),Lookups!$H$2:$H$428,0)))),"")</f>
        <v/>
      </c>
      <c r="AW183" s="150" t="str">
        <f>IF(ISBLANK(K183),"",IF(K183="Gas",INDEX(Lookups!$AG$2:$AG$63,MATCH(O183,Lookups!$AD$2:$AD$63,0),0),0))</f>
        <v/>
      </c>
      <c r="AX183" s="150" t="str">
        <f>IF(ISBLANK(K183),"",IF(K183="Gas",INDEX(Lookups!$AF$2:$AF$63,MATCH(O183,Lookups!$AD$2:$AD$63,0),0),0))</f>
        <v/>
      </c>
      <c r="AY183" s="150" t="str">
        <f>IF(ISBLANK(K183),"",IF(K183="Gas",INDEX(Lookups!$AH$2:$AH$63,MATCH(O183,Lookups!$AD$2:$AD$63,0),0),0))</f>
        <v/>
      </c>
      <c r="AZ183" s="150" t="str">
        <f>IF(ISBLANK(K183),"",IF(K183="Gas",INDEX(Lookups!$AI$2:$AI$63,MATCH(O183,Lookups!$AD$2:$AD$63,0),0),0))</f>
        <v/>
      </c>
      <c r="BA183" s="150" t="str">
        <f t="shared" si="73"/>
        <v/>
      </c>
      <c r="BB183" s="156" t="str">
        <f>IF(ISBLANK(AH183),"",IF(AH183="None",0,IF(K183="Gas",INDEX(Lookups!$AF$51:$AF$69,MATCH(AH183,Lookups!$AD$51:$AD$69,0),0),0)))</f>
        <v/>
      </c>
      <c r="BC183" s="156" t="str">
        <f>IF(ISBLANK(AH183),"",IF(AH183="None",0,IF(K183="Gas",INDEX(Lookups!$AH$51:$AH$69,MATCH(AH183,Lookups!$AD$51:$AD$69,0),0),0)))</f>
        <v/>
      </c>
      <c r="BD183" s="156" t="str">
        <f>IF(ISBLANK(AH183),"",IF(AH183="None",0,IF(K183="Gas",INDEX(Lookups!$AI$51:$AI$69,MATCH(AH183,Lookups!$AD$51:$AD$69,0),0),0)))</f>
        <v/>
      </c>
      <c r="BE183" s="157"/>
      <c r="BF183" s="157"/>
      <c r="BG183" s="147" t="str">
        <f t="shared" si="89"/>
        <v/>
      </c>
      <c r="BH183" s="147" t="str">
        <f t="shared" si="90"/>
        <v/>
      </c>
      <c r="BI183" s="147" t="str">
        <f t="shared" si="74"/>
        <v/>
      </c>
      <c r="BJ183" s="147" t="str">
        <f t="shared" si="75"/>
        <v/>
      </c>
      <c r="BK183" s="148" t="str">
        <f t="shared" si="91"/>
        <v/>
      </c>
      <c r="BL183" s="147" t="str">
        <f t="shared" si="76"/>
        <v/>
      </c>
      <c r="BM183" s="148" t="str">
        <f t="shared" si="92"/>
        <v/>
      </c>
      <c r="BN183" s="147" t="str">
        <f t="shared" si="93"/>
        <v/>
      </c>
      <c r="BO183" s="147" t="str">
        <f t="shared" si="93"/>
        <v/>
      </c>
      <c r="BP183" s="147" t="str">
        <f t="shared" si="94"/>
        <v/>
      </c>
      <c r="BQ183" s="148" t="str">
        <f t="shared" si="95"/>
        <v/>
      </c>
      <c r="BR183" s="148" t="str">
        <f t="shared" si="96"/>
        <v/>
      </c>
      <c r="BS183" s="148" t="str">
        <f t="shared" si="97"/>
        <v/>
      </c>
      <c r="BT183" s="148" t="str">
        <f t="shared" si="77"/>
        <v/>
      </c>
      <c r="BU183" s="148" t="str">
        <f t="shared" si="78"/>
        <v/>
      </c>
      <c r="BV183" s="148" t="str">
        <f t="shared" si="79"/>
        <v/>
      </c>
      <c r="BW183" s="148" t="str">
        <f t="shared" si="80"/>
        <v/>
      </c>
      <c r="BX183" s="148" t="str">
        <f t="shared" si="81"/>
        <v/>
      </c>
      <c r="BY183" s="148" t="str">
        <f t="shared" si="82"/>
        <v/>
      </c>
      <c r="BZ183" s="149" t="str">
        <f>IFERROR(INDEX('Prescriptive Rebate Table'!$B$2:$E$64,MATCH(O183,'Prescriptive Rebate Table'!$C$2:$C$64,0),3),"")</f>
        <v/>
      </c>
      <c r="CA183" s="145" t="str">
        <f>IFERROR(INDEX('Prescriptive Rebate Table'!$B$2:$E$64,MATCH(O183,'Prescriptive Rebate Table'!$C$2:$C$64,0),4),"")</f>
        <v/>
      </c>
      <c r="CB183" s="149" t="str">
        <f t="shared" si="98"/>
        <v/>
      </c>
      <c r="CC183" s="145" t="str">
        <f t="shared" si="99"/>
        <v/>
      </c>
      <c r="CD183" s="149" t="str">
        <f t="shared" si="83"/>
        <v/>
      </c>
      <c r="CE183" s="149" t="str">
        <f t="shared" si="84"/>
        <v/>
      </c>
      <c r="CF183" s="149" t="str">
        <f>IF(BK183&lt;=0,0,IFERROR(IF(OR(ISBLANK(AC183),ISBLANK(CD183))=TRUE,"",IF(CA183="Per Foot",INDEX('Fixture Codes'!$I$8:$I$976,MATCH(AD183,'Fixture Codes'!$B$8:$B$976,0))/12*AF183*BZ183,IF(CA183="Lamp",INDEX('Fixture Codes'!$J$8:$J$976,MATCH(AD183,'Fixture Codes'!$B$8:$B$976,0))*AF183*BZ183,IF(CA183="Fixture",AF183*BZ183,IF(CA183="kWh",BK183*BZ183,0))))),""))</f>
        <v/>
      </c>
      <c r="CG183" s="149" t="str">
        <f t="shared" si="100"/>
        <v/>
      </c>
      <c r="CH183" s="149" t="str">
        <f t="shared" si="101"/>
        <v/>
      </c>
      <c r="CI183" s="152"/>
      <c r="CJ183" s="146"/>
      <c r="CK183" s="241">
        <f>IFERROR(IF(CL183="Yes",'Prescriptive Rebate Table'!$D$69,IF(ISBLANK(AI183),0,IF(AND(AH183=Lookups!$A$62,BK183&gt;0),'Prescriptive Rebate Table'!$D$68,IF(AND(BK183&gt;0,CJ183=AF183),'Prescriptive Rebate Table'!$D$67,IF(AND(BK183&gt;0,CJ183&lt;&gt;AF183),'Prescriptive Rebate Table'!D242,0))))),"")</f>
        <v>0</v>
      </c>
      <c r="CL183" s="240" t="s">
        <v>2712</v>
      </c>
      <c r="CM183" s="152"/>
      <c r="CN183" s="152"/>
      <c r="CO183" s="152"/>
      <c r="CP183" s="146">
        <f t="shared" si="85"/>
        <v>0</v>
      </c>
      <c r="CQ183" s="153">
        <f>IF(D183="Interior",ROUND(($AG183*AF183)/1000*$AM183*(Lookups!$B$54-$AA183)*$AN183*$AO183,3),0)</f>
        <v>0</v>
      </c>
      <c r="CR183" s="153">
        <f>IFERROR(IF(D183="Interior",ROUND(($AG183*$AF183)/1000*(Lookups!$C$54-$AB183)*$AN183*AQ183*AT183,6),0),"")</f>
        <v>0</v>
      </c>
      <c r="CS183" s="165">
        <f t="shared" si="102"/>
        <v>0</v>
      </c>
      <c r="CT183" s="165">
        <f t="shared" si="103"/>
        <v>0</v>
      </c>
      <c r="CV183" s="153"/>
      <c r="CW183" s="153"/>
      <c r="CX183" s="165"/>
      <c r="CY183" s="165"/>
      <c r="DA183" s="153">
        <f>IF(D183="Interior",ROUND(($AG183*AF183*(1-0.15))/1000*$AM183*(Lookups!$B$43+0.097-$AA183)*$AN183*$AO183+((W183*V183)/1000*AN183*AM183*AO183*0.15),3),0)</f>
        <v>0</v>
      </c>
      <c r="DB183" s="153">
        <f>IFERROR(IF(D183="Interior",ROUND(($AG183*$AF183)/1000*(Lookups!$C$43+0.097-$AB183)*$AN183*AQ183*AT183+(($AG183*$AF183)/1000*$AN183*AQ183*AT183*0.15),6),0),"")</f>
        <v>0</v>
      </c>
      <c r="DC183" s="165">
        <f t="shared" si="104"/>
        <v>0</v>
      </c>
      <c r="DD183" s="165">
        <f t="shared" si="105"/>
        <v>0</v>
      </c>
    </row>
    <row r="184" spans="1:108" s="164" customFormat="1">
      <c r="A184" s="150">
        <v>180</v>
      </c>
      <c r="B184" s="153" t="str">
        <f>IFERROR(INDEX(Lookups!$B$2:$B$38,MATCH('Project Info &amp; Summary'!$C$19,Lookups!$A$2:$A$38,0)),"")</f>
        <v/>
      </c>
      <c r="C184" s="153" t="str">
        <f>IFERROR(INDEX(Lookups!$C$2:$C$38,MATCH('Project Info &amp; Summary'!$C$19,Lookups!$A$2:$A$38,0)),"")</f>
        <v/>
      </c>
      <c r="D184" s="163"/>
      <c r="E184" s="160"/>
      <c r="F184" s="158"/>
      <c r="G184" s="158"/>
      <c r="H184" s="158"/>
      <c r="I184" s="158"/>
      <c r="J184" s="154" t="str">
        <f>IFERROR(INDEX(Lookups!$W$21:$W$26,MATCH(I184,Lookups!$V$21:$V$26,0)),"")</f>
        <v/>
      </c>
      <c r="K184" s="158"/>
      <c r="L184" s="162" t="str">
        <f>IFERROR(INDEX(Lookups!$Y$2:$Y$19,MATCH(_xlfn.CONCAT(I184,K184),Lookups!$X$2:$X$19,0)),"")</f>
        <v/>
      </c>
      <c r="M184" s="158"/>
      <c r="N184" s="153" t="str">
        <f>IFERROR(INDEX('Prescriptive Rebate Table'!$M$3:$M$20,MATCH(M184,'Prescriptive Rebate Table'!$L$3:$L$20,0)),"")</f>
        <v/>
      </c>
      <c r="O184" s="158"/>
      <c r="P184" s="154" t="str">
        <f>IFERROR(INDEX('Prescriptive Rebate Table'!$B$2:$H$64, MATCH(O184,'Prescriptive Rebate Table'!$C$2:$C$64,0),7),"")</f>
        <v/>
      </c>
      <c r="Q184" s="155" t="str">
        <f>IFERROR(INDEX('Prescriptive Rebate Table'!$B$2:$I$64, MATCH(O184,'Prescriptive Rebate Table'!$C$2:$C$64,0),8),"")</f>
        <v/>
      </c>
      <c r="R184" s="155" t="str">
        <f>IFERROR(INDEX('Prescriptive Rebate Table'!$B$2:$J$64, MATCH(O184,'Prescriptive Rebate Table'!$C$2:$C$64,0),9),"")</f>
        <v/>
      </c>
      <c r="S184" s="160"/>
      <c r="T184" s="145" t="str">
        <f>IFERROR(INDEX('Fixture Codes'!$M$8:$M$976,MATCH(S184,'Fixture Codes'!$B$8:$B$976,0)),"")</f>
        <v/>
      </c>
      <c r="U184" s="145" t="str">
        <f>IFERROR(INDEX('Fixture Codes'!$B$7:$M$976,MATCH(T184,'Fixture Codes'!$B$7:$B$976,0),5),"")</f>
        <v/>
      </c>
      <c r="V184" s="160"/>
      <c r="W184" s="145" t="str">
        <f>IFERROR(INDEX('Fixture Codes'!$L$8:$L$976,MATCH(T184,'Fixture Codes'!$B$8:$B$976,0)),"")</f>
        <v/>
      </c>
      <c r="X184" s="158"/>
      <c r="Y184" s="159"/>
      <c r="Z184" s="155" t="str">
        <f>IFERROR(INDEX(Lookups!B$68:B$87,MATCH($X184,Lookups!$A$68:$A$87,0)),"")</f>
        <v/>
      </c>
      <c r="AA184" s="150" t="str">
        <f>IFERROR(INDEX(Lookups!B$42:B$62,MATCH($X184,Lookups!$A$42:$A$62,0)),"")</f>
        <v/>
      </c>
      <c r="AB184" s="150" t="str">
        <f>IFERROR(INDEX(Lookups!C$42:C$62,MATCH($X184,Lookups!$A$42:$A$62,0)),"")</f>
        <v/>
      </c>
      <c r="AC184" s="160"/>
      <c r="AD184" s="160"/>
      <c r="AE184" s="150" t="str">
        <f>IFERROR(INDEX('Fixture Codes'!$B$7:$M$976,MATCH(AD184,'Fixture Codes'!$B$7:$B$976,0),5),"")</f>
        <v/>
      </c>
      <c r="AF184" s="160"/>
      <c r="AG184" s="145" t="str">
        <f>IFERROR(INDEX('Fixture Codes'!$L$8:$L$976,MATCH(AD184,'Fixture Codes'!$B$8:$B$976,0)),"")</f>
        <v/>
      </c>
      <c r="AH184" s="158"/>
      <c r="AI184" s="160"/>
      <c r="AJ184" s="150" t="str">
        <f>IFERROR(INDEX(Lookups!B$68:B$87,MATCH($AH184,Lookups!$A$68:$A$87,0)),"")</f>
        <v/>
      </c>
      <c r="AK184" s="150" t="str">
        <f>IFERROR(INDEX(Lookups!B$42:B$62,MATCH($AH184,Lookups!$A$42:$A$62,0)),"")</f>
        <v/>
      </c>
      <c r="AL184" s="150" t="str">
        <f>IFERROR(INDEX(Lookups!C$42:C$62,MATCH($AH184,Lookups!$A$42:$A$62,0)),"")</f>
        <v/>
      </c>
      <c r="AM184" s="150" t="str">
        <f>IFERROR(IF(M184="Exit Signs",8760,IF(INDEX('Fixture Codes'!$C$8:$C$976,MATCH(AD184,'Fixture Codes'!$B$8:$B$976,0))="Exit Sign",8760,INDEX(Lookups!$I$2:$I$428,MATCH(_xlfn.CONCAT(B184,H184),Lookups!$H$2:$H$428,0)))),"")</f>
        <v/>
      </c>
      <c r="AN184" s="153">
        <v>1</v>
      </c>
      <c r="AO184" s="150" t="str">
        <f>IF($D184="Interior",INDEX(Lookups!Q$2:Q$86,MATCH(_xlfn.CONCAT($C184,$L184),Lookups!$P$2:$P$86,0)),IF($D184="Exterior",1,""))</f>
        <v/>
      </c>
      <c r="AP184" s="150">
        <f t="shared" si="88"/>
        <v>1</v>
      </c>
      <c r="AQ184" s="150" t="str">
        <f>IF($D184="Interior",INDEX(Lookups!R$2:R$86,MATCH(_xlfn.CONCAT($C184,$L184),Lookups!$P$2:$P$86,0)),IF($D184="Exterior",1,""))</f>
        <v/>
      </c>
      <c r="AR184" s="150" t="str">
        <f>IF($D184="Interior",INDEX(Lookups!S$2:S$86,MATCH(_xlfn.CONCAT($C184,$L184),Lookups!$P$2:$P$86,0)),IF($D184="Exterior",1,""))</f>
        <v/>
      </c>
      <c r="AS184" s="150" t="str">
        <f>IF($D184="Interior",INDEX(Lookups!T$2:T$86,MATCH(_xlfn.CONCAT($C184,$L184),Lookups!$P$2:$P$86,0)),IF($D184="Exterior",1,""))</f>
        <v/>
      </c>
      <c r="AT184" s="150" t="str">
        <f>IFERROR(IF(M184="Exit Signs",1,IF(INDEX('Fixture Codes'!$C$8:$C$976,MATCH($AD184,'Fixture Codes'!$B$8:$B$976,0))="Exit Sign",1,INDEX(Lookups!J$2:J$428,MATCH(_xlfn.CONCAT($B184,$H184),Lookups!$H$2:$H$428,0)))),"")</f>
        <v/>
      </c>
      <c r="AU184" s="150" t="str">
        <f>IFERROR(IF(M184="Exit Signs",1,IF(INDEX('Fixture Codes'!$C$8:$C$976,MATCH($AD184,'Fixture Codes'!$B$8:$B$976,0))="Exit Sign",1,INDEX(Lookups!K$2:K$428,MATCH(_xlfn.CONCAT($B184,$H184),Lookups!$H$2:$H$428,0)))),"")</f>
        <v/>
      </c>
      <c r="AV184" s="150" t="str">
        <f>IFERROR(IF(M184="Exit Signs",1,IF(INDEX('Fixture Codes'!$C$8:$C$976,MATCH($AD184,'Fixture Codes'!$B$8:$B$976,0))="Exit Sign",1,INDEX(Lookups!L$2:L$428,MATCH(_xlfn.CONCAT($B184,$H184),Lookups!$H$2:$H$428,0)))),"")</f>
        <v/>
      </c>
      <c r="AW184" s="150" t="str">
        <f>IF(ISBLANK(K184),"",IF(K184="Gas",INDEX(Lookups!$AG$2:$AG$63,MATCH(O184,Lookups!$AD$2:$AD$63,0),0),0))</f>
        <v/>
      </c>
      <c r="AX184" s="150" t="str">
        <f>IF(ISBLANK(K184),"",IF(K184="Gas",INDEX(Lookups!$AF$2:$AF$63,MATCH(O184,Lookups!$AD$2:$AD$63,0),0),0))</f>
        <v/>
      </c>
      <c r="AY184" s="150" t="str">
        <f>IF(ISBLANK(K184),"",IF(K184="Gas",INDEX(Lookups!$AH$2:$AH$63,MATCH(O184,Lookups!$AD$2:$AD$63,0),0),0))</f>
        <v/>
      </c>
      <c r="AZ184" s="150" t="str">
        <f>IF(ISBLANK(K184),"",IF(K184="Gas",INDEX(Lookups!$AI$2:$AI$63,MATCH(O184,Lookups!$AD$2:$AD$63,0),0),0))</f>
        <v/>
      </c>
      <c r="BA184" s="150" t="str">
        <f t="shared" si="73"/>
        <v/>
      </c>
      <c r="BB184" s="156" t="str">
        <f>IF(ISBLANK(AH184),"",IF(AH184="None",0,IF(K184="Gas",INDEX(Lookups!$AF$51:$AF$69,MATCH(AH184,Lookups!$AD$51:$AD$69,0),0),0)))</f>
        <v/>
      </c>
      <c r="BC184" s="156" t="str">
        <f>IF(ISBLANK(AH184),"",IF(AH184="None",0,IF(K184="Gas",INDEX(Lookups!$AH$51:$AH$69,MATCH(AH184,Lookups!$AD$51:$AD$69,0),0),0)))</f>
        <v/>
      </c>
      <c r="BD184" s="156" t="str">
        <f>IF(ISBLANK(AH184),"",IF(AH184="None",0,IF(K184="Gas",INDEX(Lookups!$AI$51:$AI$69,MATCH(AH184,Lookups!$AD$51:$AD$69,0),0),0)))</f>
        <v/>
      </c>
      <c r="BE184" s="157"/>
      <c r="BF184" s="157"/>
      <c r="BG184" s="147" t="str">
        <f t="shared" si="89"/>
        <v/>
      </c>
      <c r="BH184" s="147" t="str">
        <f t="shared" si="90"/>
        <v/>
      </c>
      <c r="BI184" s="147" t="str">
        <f t="shared" si="74"/>
        <v/>
      </c>
      <c r="BJ184" s="147" t="str">
        <f t="shared" si="75"/>
        <v/>
      </c>
      <c r="BK184" s="148" t="str">
        <f t="shared" si="91"/>
        <v/>
      </c>
      <c r="BL184" s="147" t="str">
        <f t="shared" si="76"/>
        <v/>
      </c>
      <c r="BM184" s="148" t="str">
        <f t="shared" si="92"/>
        <v/>
      </c>
      <c r="BN184" s="147" t="str">
        <f t="shared" si="93"/>
        <v/>
      </c>
      <c r="BO184" s="147" t="str">
        <f t="shared" si="93"/>
        <v/>
      </c>
      <c r="BP184" s="147" t="str">
        <f t="shared" si="94"/>
        <v/>
      </c>
      <c r="BQ184" s="148" t="str">
        <f t="shared" si="95"/>
        <v/>
      </c>
      <c r="BR184" s="148" t="str">
        <f t="shared" si="96"/>
        <v/>
      </c>
      <c r="BS184" s="148" t="str">
        <f t="shared" si="97"/>
        <v/>
      </c>
      <c r="BT184" s="148" t="str">
        <f t="shared" si="77"/>
        <v/>
      </c>
      <c r="BU184" s="148" t="str">
        <f t="shared" si="78"/>
        <v/>
      </c>
      <c r="BV184" s="148" t="str">
        <f t="shared" si="79"/>
        <v/>
      </c>
      <c r="BW184" s="148" t="str">
        <f t="shared" si="80"/>
        <v/>
      </c>
      <c r="BX184" s="148" t="str">
        <f t="shared" si="81"/>
        <v/>
      </c>
      <c r="BY184" s="148" t="str">
        <f t="shared" si="82"/>
        <v/>
      </c>
      <c r="BZ184" s="149" t="str">
        <f>IFERROR(INDEX('Prescriptive Rebate Table'!$B$2:$E$64,MATCH(O184,'Prescriptive Rebate Table'!$C$2:$C$64,0),3),"")</f>
        <v/>
      </c>
      <c r="CA184" s="145" t="str">
        <f>IFERROR(INDEX('Prescriptive Rebate Table'!$B$2:$E$64,MATCH(O184,'Prescriptive Rebate Table'!$C$2:$C$64,0),4),"")</f>
        <v/>
      </c>
      <c r="CB184" s="149" t="str">
        <f t="shared" si="98"/>
        <v/>
      </c>
      <c r="CC184" s="145" t="str">
        <f t="shared" si="99"/>
        <v/>
      </c>
      <c r="CD184" s="149" t="str">
        <f t="shared" si="83"/>
        <v/>
      </c>
      <c r="CE184" s="149" t="str">
        <f t="shared" si="84"/>
        <v/>
      </c>
      <c r="CF184" s="149" t="str">
        <f>IF(BK184&lt;=0,0,IFERROR(IF(OR(ISBLANK(AC184),ISBLANK(CD184))=TRUE,"",IF(CA184="Per Foot",INDEX('Fixture Codes'!$I$8:$I$976,MATCH(AD184,'Fixture Codes'!$B$8:$B$976,0))/12*AF184*BZ184,IF(CA184="Lamp",INDEX('Fixture Codes'!$J$8:$J$976,MATCH(AD184,'Fixture Codes'!$B$8:$B$976,0))*AF184*BZ184,IF(CA184="Fixture",AF184*BZ184,IF(CA184="kWh",BK184*BZ184,0))))),""))</f>
        <v/>
      </c>
      <c r="CG184" s="149" t="str">
        <f t="shared" si="100"/>
        <v/>
      </c>
      <c r="CH184" s="149" t="str">
        <f t="shared" si="101"/>
        <v/>
      </c>
      <c r="CI184" s="152"/>
      <c r="CJ184" s="146"/>
      <c r="CK184" s="241">
        <f>IFERROR(IF(CL184="Yes",'Prescriptive Rebate Table'!$D$69,IF(ISBLANK(AI184),0,IF(AND(AH184=Lookups!$A$62,BK184&gt;0),'Prescriptive Rebate Table'!$D$68,IF(AND(BK184&gt;0,CJ184=AF184),'Prescriptive Rebate Table'!$D$67,IF(AND(BK184&gt;0,CJ184&lt;&gt;AF184),'Prescriptive Rebate Table'!D243,0))))),"")</f>
        <v>0</v>
      </c>
      <c r="CL184" s="240" t="s">
        <v>2712</v>
      </c>
      <c r="CM184" s="152"/>
      <c r="CN184" s="152"/>
      <c r="CO184" s="152"/>
      <c r="CP184" s="146">
        <f t="shared" si="85"/>
        <v>0</v>
      </c>
      <c r="CQ184" s="153">
        <f>IF(D184="Interior",ROUND(($AG184*AF184)/1000*$AM184*(Lookups!$B$54-$AA184)*$AN184*$AO184,3),0)</f>
        <v>0</v>
      </c>
      <c r="CR184" s="153">
        <f>IFERROR(IF(D184="Interior",ROUND(($AG184*$AF184)/1000*(Lookups!$C$54-$AB184)*$AN184*AQ184*AT184,6),0),"")</f>
        <v>0</v>
      </c>
      <c r="CS184" s="165">
        <f t="shared" si="102"/>
        <v>0</v>
      </c>
      <c r="CT184" s="165">
        <f t="shared" si="103"/>
        <v>0</v>
      </c>
      <c r="CV184" s="153"/>
      <c r="CW184" s="153"/>
      <c r="CX184" s="165"/>
      <c r="CY184" s="165"/>
      <c r="DA184" s="153">
        <f>IF(D184="Interior",ROUND(($AG184*AF184*(1-0.15))/1000*$AM184*(Lookups!$B$43+0.097-$AA184)*$AN184*$AO184+((W184*V184)/1000*AN184*AM184*AO184*0.15),3),0)</f>
        <v>0</v>
      </c>
      <c r="DB184" s="153">
        <f>IFERROR(IF(D184="Interior",ROUND(($AG184*$AF184)/1000*(Lookups!$C$43+0.097-$AB184)*$AN184*AQ184*AT184+(($AG184*$AF184)/1000*$AN184*AQ184*AT184*0.15),6),0),"")</f>
        <v>0</v>
      </c>
      <c r="DC184" s="165">
        <f t="shared" si="104"/>
        <v>0</v>
      </c>
      <c r="DD184" s="165">
        <f t="shared" si="105"/>
        <v>0</v>
      </c>
    </row>
    <row r="185" spans="1:108" s="164" customFormat="1">
      <c r="A185" s="150">
        <v>181</v>
      </c>
      <c r="B185" s="153" t="str">
        <f>IFERROR(INDEX(Lookups!$B$2:$B$38,MATCH('Project Info &amp; Summary'!$C$19,Lookups!$A$2:$A$38,0)),"")</f>
        <v/>
      </c>
      <c r="C185" s="153" t="str">
        <f>IFERROR(INDEX(Lookups!$C$2:$C$38,MATCH('Project Info &amp; Summary'!$C$19,Lookups!$A$2:$A$38,0)),"")</f>
        <v/>
      </c>
      <c r="D185" s="163"/>
      <c r="E185" s="160"/>
      <c r="F185" s="158"/>
      <c r="G185" s="158"/>
      <c r="H185" s="158"/>
      <c r="I185" s="158"/>
      <c r="J185" s="154" t="str">
        <f>IFERROR(INDEX(Lookups!$W$21:$W$26,MATCH(I185,Lookups!$V$21:$V$26,0)),"")</f>
        <v/>
      </c>
      <c r="K185" s="158"/>
      <c r="L185" s="162" t="str">
        <f>IFERROR(INDEX(Lookups!$Y$2:$Y$19,MATCH(_xlfn.CONCAT(I185,K185),Lookups!$X$2:$X$19,0)),"")</f>
        <v/>
      </c>
      <c r="M185" s="158"/>
      <c r="N185" s="153" t="str">
        <f>IFERROR(INDEX('Prescriptive Rebate Table'!$M$3:$M$20,MATCH(M185,'Prescriptive Rebate Table'!$L$3:$L$20,0)),"")</f>
        <v/>
      </c>
      <c r="O185" s="158"/>
      <c r="P185" s="154" t="str">
        <f>IFERROR(INDEX('Prescriptive Rebate Table'!$B$2:$H$64, MATCH(O185,'Prescriptive Rebate Table'!$C$2:$C$64,0),7),"")</f>
        <v/>
      </c>
      <c r="Q185" s="155" t="str">
        <f>IFERROR(INDEX('Prescriptive Rebate Table'!$B$2:$I$64, MATCH(O185,'Prescriptive Rebate Table'!$C$2:$C$64,0),8),"")</f>
        <v/>
      </c>
      <c r="R185" s="155" t="str">
        <f>IFERROR(INDEX('Prescriptive Rebate Table'!$B$2:$J$64, MATCH(O185,'Prescriptive Rebate Table'!$C$2:$C$64,0),9),"")</f>
        <v/>
      </c>
      <c r="S185" s="160"/>
      <c r="T185" s="145" t="str">
        <f>IFERROR(INDEX('Fixture Codes'!$M$8:$M$976,MATCH(S185,'Fixture Codes'!$B$8:$B$976,0)),"")</f>
        <v/>
      </c>
      <c r="U185" s="145" t="str">
        <f>IFERROR(INDEX('Fixture Codes'!$B$7:$M$976,MATCH(T185,'Fixture Codes'!$B$7:$B$976,0),5),"")</f>
        <v/>
      </c>
      <c r="V185" s="160"/>
      <c r="W185" s="145" t="str">
        <f>IFERROR(INDEX('Fixture Codes'!$L$8:$L$976,MATCH(T185,'Fixture Codes'!$B$8:$B$976,0)),"")</f>
        <v/>
      </c>
      <c r="X185" s="158"/>
      <c r="Y185" s="159"/>
      <c r="Z185" s="155" t="str">
        <f>IFERROR(INDEX(Lookups!B$68:B$87,MATCH($X185,Lookups!$A$68:$A$87,0)),"")</f>
        <v/>
      </c>
      <c r="AA185" s="150" t="str">
        <f>IFERROR(INDEX(Lookups!B$42:B$62,MATCH($X185,Lookups!$A$42:$A$62,0)),"")</f>
        <v/>
      </c>
      <c r="AB185" s="150" t="str">
        <f>IFERROR(INDEX(Lookups!C$42:C$62,MATCH($X185,Lookups!$A$42:$A$62,0)),"")</f>
        <v/>
      </c>
      <c r="AC185" s="160"/>
      <c r="AD185" s="160"/>
      <c r="AE185" s="150" t="str">
        <f>IFERROR(INDEX('Fixture Codes'!$B$7:$M$976,MATCH(AD185,'Fixture Codes'!$B$7:$B$976,0),5),"")</f>
        <v/>
      </c>
      <c r="AF185" s="160"/>
      <c r="AG185" s="145" t="str">
        <f>IFERROR(INDEX('Fixture Codes'!$L$8:$L$976,MATCH(AD185,'Fixture Codes'!$B$8:$B$976,0)),"")</f>
        <v/>
      </c>
      <c r="AH185" s="158"/>
      <c r="AI185" s="160"/>
      <c r="AJ185" s="150" t="str">
        <f>IFERROR(INDEX(Lookups!B$68:B$87,MATCH($AH185,Lookups!$A$68:$A$87,0)),"")</f>
        <v/>
      </c>
      <c r="AK185" s="150" t="str">
        <f>IFERROR(INDEX(Lookups!B$42:B$62,MATCH($AH185,Lookups!$A$42:$A$62,0)),"")</f>
        <v/>
      </c>
      <c r="AL185" s="150" t="str">
        <f>IFERROR(INDEX(Lookups!C$42:C$62,MATCH($AH185,Lookups!$A$42:$A$62,0)),"")</f>
        <v/>
      </c>
      <c r="AM185" s="150" t="str">
        <f>IFERROR(IF(M185="Exit Signs",8760,IF(INDEX('Fixture Codes'!$C$8:$C$976,MATCH(AD185,'Fixture Codes'!$B$8:$B$976,0))="Exit Sign",8760,INDEX(Lookups!$I$2:$I$428,MATCH(_xlfn.CONCAT(B185,H185),Lookups!$H$2:$H$428,0)))),"")</f>
        <v/>
      </c>
      <c r="AN185" s="153">
        <v>1</v>
      </c>
      <c r="AO185" s="150" t="str">
        <f>IF($D185="Interior",INDEX(Lookups!Q$2:Q$86,MATCH(_xlfn.CONCAT($C185,$L185),Lookups!$P$2:$P$86,0)),IF($D185="Exterior",1,""))</f>
        <v/>
      </c>
      <c r="AP185" s="150">
        <f t="shared" si="88"/>
        <v>1</v>
      </c>
      <c r="AQ185" s="150" t="str">
        <f>IF($D185="Interior",INDEX(Lookups!R$2:R$86,MATCH(_xlfn.CONCAT($C185,$L185),Lookups!$P$2:$P$86,0)),IF($D185="Exterior",1,""))</f>
        <v/>
      </c>
      <c r="AR185" s="150" t="str">
        <f>IF($D185="Interior",INDEX(Lookups!S$2:S$86,MATCH(_xlfn.CONCAT($C185,$L185),Lookups!$P$2:$P$86,0)),IF($D185="Exterior",1,""))</f>
        <v/>
      </c>
      <c r="AS185" s="150" t="str">
        <f>IF($D185="Interior",INDEX(Lookups!T$2:T$86,MATCH(_xlfn.CONCAT($C185,$L185),Lookups!$P$2:$P$86,0)),IF($D185="Exterior",1,""))</f>
        <v/>
      </c>
      <c r="AT185" s="150" t="str">
        <f>IFERROR(IF(M185="Exit Signs",1,IF(INDEX('Fixture Codes'!$C$8:$C$976,MATCH($AD185,'Fixture Codes'!$B$8:$B$976,0))="Exit Sign",1,INDEX(Lookups!J$2:J$428,MATCH(_xlfn.CONCAT($B185,$H185),Lookups!$H$2:$H$428,0)))),"")</f>
        <v/>
      </c>
      <c r="AU185" s="150" t="str">
        <f>IFERROR(IF(M185="Exit Signs",1,IF(INDEX('Fixture Codes'!$C$8:$C$976,MATCH($AD185,'Fixture Codes'!$B$8:$B$976,0))="Exit Sign",1,INDEX(Lookups!K$2:K$428,MATCH(_xlfn.CONCAT($B185,$H185),Lookups!$H$2:$H$428,0)))),"")</f>
        <v/>
      </c>
      <c r="AV185" s="150" t="str">
        <f>IFERROR(IF(M185="Exit Signs",1,IF(INDEX('Fixture Codes'!$C$8:$C$976,MATCH($AD185,'Fixture Codes'!$B$8:$B$976,0))="Exit Sign",1,INDEX(Lookups!L$2:L$428,MATCH(_xlfn.CONCAT($B185,$H185),Lookups!$H$2:$H$428,0)))),"")</f>
        <v/>
      </c>
      <c r="AW185" s="150" t="str">
        <f>IF(ISBLANK(K185),"",IF(K185="Gas",INDEX(Lookups!$AG$2:$AG$63,MATCH(O185,Lookups!$AD$2:$AD$63,0),0),0))</f>
        <v/>
      </c>
      <c r="AX185" s="150" t="str">
        <f>IF(ISBLANK(K185),"",IF(K185="Gas",INDEX(Lookups!$AF$2:$AF$63,MATCH(O185,Lookups!$AD$2:$AD$63,0),0),0))</f>
        <v/>
      </c>
      <c r="AY185" s="150" t="str">
        <f>IF(ISBLANK(K185),"",IF(K185="Gas",INDEX(Lookups!$AH$2:$AH$63,MATCH(O185,Lookups!$AD$2:$AD$63,0),0),0))</f>
        <v/>
      </c>
      <c r="AZ185" s="150" t="str">
        <f>IF(ISBLANK(K185),"",IF(K185="Gas",INDEX(Lookups!$AI$2:$AI$63,MATCH(O185,Lookups!$AD$2:$AD$63,0),0),0))</f>
        <v/>
      </c>
      <c r="BA185" s="150" t="str">
        <f t="shared" si="73"/>
        <v/>
      </c>
      <c r="BB185" s="156" t="str">
        <f>IF(ISBLANK(AH185),"",IF(AH185="None",0,IF(K185="Gas",INDEX(Lookups!$AF$51:$AF$69,MATCH(AH185,Lookups!$AD$51:$AD$69,0),0),0)))</f>
        <v/>
      </c>
      <c r="BC185" s="156" t="str">
        <f>IF(ISBLANK(AH185),"",IF(AH185="None",0,IF(K185="Gas",INDEX(Lookups!$AH$51:$AH$69,MATCH(AH185,Lookups!$AD$51:$AD$69,0),0),0)))</f>
        <v/>
      </c>
      <c r="BD185" s="156" t="str">
        <f>IF(ISBLANK(AH185),"",IF(AH185="None",0,IF(K185="Gas",INDEX(Lookups!$AI$51:$AI$69,MATCH(AH185,Lookups!$AD$51:$AD$69,0),0),0)))</f>
        <v/>
      </c>
      <c r="BE185" s="157"/>
      <c r="BF185" s="157"/>
      <c r="BG185" s="147" t="str">
        <f t="shared" si="89"/>
        <v/>
      </c>
      <c r="BH185" s="147" t="str">
        <f t="shared" si="90"/>
        <v/>
      </c>
      <c r="BI185" s="147" t="str">
        <f t="shared" si="74"/>
        <v/>
      </c>
      <c r="BJ185" s="147" t="str">
        <f t="shared" si="75"/>
        <v/>
      </c>
      <c r="BK185" s="148" t="str">
        <f t="shared" si="91"/>
        <v/>
      </c>
      <c r="BL185" s="147" t="str">
        <f t="shared" si="76"/>
        <v/>
      </c>
      <c r="BM185" s="148" t="str">
        <f t="shared" si="92"/>
        <v/>
      </c>
      <c r="BN185" s="147" t="str">
        <f t="shared" si="93"/>
        <v/>
      </c>
      <c r="BO185" s="147" t="str">
        <f t="shared" si="93"/>
        <v/>
      </c>
      <c r="BP185" s="147" t="str">
        <f t="shared" si="94"/>
        <v/>
      </c>
      <c r="BQ185" s="148" t="str">
        <f t="shared" si="95"/>
        <v/>
      </c>
      <c r="BR185" s="148" t="str">
        <f t="shared" si="96"/>
        <v/>
      </c>
      <c r="BS185" s="148" t="str">
        <f t="shared" si="97"/>
        <v/>
      </c>
      <c r="BT185" s="148" t="str">
        <f t="shared" si="77"/>
        <v/>
      </c>
      <c r="BU185" s="148" t="str">
        <f t="shared" si="78"/>
        <v/>
      </c>
      <c r="BV185" s="148" t="str">
        <f t="shared" si="79"/>
        <v/>
      </c>
      <c r="BW185" s="148" t="str">
        <f t="shared" si="80"/>
        <v/>
      </c>
      <c r="BX185" s="148" t="str">
        <f t="shared" si="81"/>
        <v/>
      </c>
      <c r="BY185" s="148" t="str">
        <f t="shared" si="82"/>
        <v/>
      </c>
      <c r="BZ185" s="149" t="str">
        <f>IFERROR(INDEX('Prescriptive Rebate Table'!$B$2:$E$64,MATCH(O185,'Prescriptive Rebate Table'!$C$2:$C$64,0),3),"")</f>
        <v/>
      </c>
      <c r="CA185" s="145" t="str">
        <f>IFERROR(INDEX('Prescriptive Rebate Table'!$B$2:$E$64,MATCH(O185,'Prescriptive Rebate Table'!$C$2:$C$64,0),4),"")</f>
        <v/>
      </c>
      <c r="CB185" s="149" t="str">
        <f t="shared" si="98"/>
        <v/>
      </c>
      <c r="CC185" s="145" t="str">
        <f t="shared" si="99"/>
        <v/>
      </c>
      <c r="CD185" s="149" t="str">
        <f t="shared" si="83"/>
        <v/>
      </c>
      <c r="CE185" s="149" t="str">
        <f t="shared" si="84"/>
        <v/>
      </c>
      <c r="CF185" s="149" t="str">
        <f>IF(BK185&lt;=0,0,IFERROR(IF(OR(ISBLANK(AC185),ISBLANK(CD185))=TRUE,"",IF(CA185="Per Foot",INDEX('Fixture Codes'!$I$8:$I$976,MATCH(AD185,'Fixture Codes'!$B$8:$B$976,0))/12*AF185*BZ185,IF(CA185="Lamp",INDEX('Fixture Codes'!$J$8:$J$976,MATCH(AD185,'Fixture Codes'!$B$8:$B$976,0))*AF185*BZ185,IF(CA185="Fixture",AF185*BZ185,IF(CA185="kWh",BK185*BZ185,0))))),""))</f>
        <v/>
      </c>
      <c r="CG185" s="149" t="str">
        <f t="shared" si="100"/>
        <v/>
      </c>
      <c r="CH185" s="149" t="str">
        <f t="shared" si="101"/>
        <v/>
      </c>
      <c r="CI185" s="152"/>
      <c r="CJ185" s="146"/>
      <c r="CK185" s="241">
        <f>IFERROR(IF(CL185="Yes",'Prescriptive Rebate Table'!$D$69,IF(ISBLANK(AI185),0,IF(AND(AH185=Lookups!$A$62,BK185&gt;0),'Prescriptive Rebate Table'!$D$68,IF(AND(BK185&gt;0,CJ185=AF185),'Prescriptive Rebate Table'!$D$67,IF(AND(BK185&gt;0,CJ185&lt;&gt;AF185),'Prescriptive Rebate Table'!D244,0))))),"")</f>
        <v>0</v>
      </c>
      <c r="CL185" s="240" t="s">
        <v>2712</v>
      </c>
      <c r="CM185" s="152"/>
      <c r="CN185" s="152"/>
      <c r="CO185" s="152"/>
      <c r="CP185" s="146">
        <f t="shared" si="85"/>
        <v>0</v>
      </c>
      <c r="CQ185" s="153">
        <f>IF(D185="Interior",ROUND(($AG185*AF185)/1000*$AM185*(Lookups!$B$54-$AA185)*$AN185*$AO185,3),0)</f>
        <v>0</v>
      </c>
      <c r="CR185" s="153">
        <f>IFERROR(IF(D185="Interior",ROUND(($AG185*$AF185)/1000*(Lookups!$C$54-$AB185)*$AN185*AQ185*AT185,6),0),"")</f>
        <v>0</v>
      </c>
      <c r="CS185" s="165">
        <f t="shared" si="102"/>
        <v>0</v>
      </c>
      <c r="CT185" s="165">
        <f t="shared" si="103"/>
        <v>0</v>
      </c>
      <c r="CV185" s="153"/>
      <c r="CW185" s="153"/>
      <c r="CX185" s="165"/>
      <c r="CY185" s="165"/>
      <c r="DA185" s="153">
        <f>IF(D185="Interior",ROUND(($AG185*AF185*(1-0.15))/1000*$AM185*(Lookups!$B$43+0.097-$AA185)*$AN185*$AO185+((W185*V185)/1000*AN185*AM185*AO185*0.15),3),0)</f>
        <v>0</v>
      </c>
      <c r="DB185" s="153">
        <f>IFERROR(IF(D185="Interior",ROUND(($AG185*$AF185)/1000*(Lookups!$C$43+0.097-$AB185)*$AN185*AQ185*AT185+(($AG185*$AF185)/1000*$AN185*AQ185*AT185*0.15),6),0),"")</f>
        <v>0</v>
      </c>
      <c r="DC185" s="165">
        <f t="shared" si="104"/>
        <v>0</v>
      </c>
      <c r="DD185" s="165">
        <f t="shared" si="105"/>
        <v>0</v>
      </c>
    </row>
    <row r="186" spans="1:108" s="164" customFormat="1">
      <c r="A186" s="150">
        <v>182</v>
      </c>
      <c r="B186" s="153" t="str">
        <f>IFERROR(INDEX(Lookups!$B$2:$B$38,MATCH('Project Info &amp; Summary'!$C$19,Lookups!$A$2:$A$38,0)),"")</f>
        <v/>
      </c>
      <c r="C186" s="153" t="str">
        <f>IFERROR(INDEX(Lookups!$C$2:$C$38,MATCH('Project Info &amp; Summary'!$C$19,Lookups!$A$2:$A$38,0)),"")</f>
        <v/>
      </c>
      <c r="D186" s="163"/>
      <c r="E186" s="160"/>
      <c r="F186" s="158"/>
      <c r="G186" s="158"/>
      <c r="H186" s="158"/>
      <c r="I186" s="158"/>
      <c r="J186" s="154" t="str">
        <f>IFERROR(INDEX(Lookups!$W$21:$W$26,MATCH(I186,Lookups!$V$21:$V$26,0)),"")</f>
        <v/>
      </c>
      <c r="K186" s="158"/>
      <c r="L186" s="162" t="str">
        <f>IFERROR(INDEX(Lookups!$Y$2:$Y$19,MATCH(_xlfn.CONCAT(I186,K186),Lookups!$X$2:$X$19,0)),"")</f>
        <v/>
      </c>
      <c r="M186" s="158"/>
      <c r="N186" s="153" t="str">
        <f>IFERROR(INDEX('Prescriptive Rebate Table'!$M$3:$M$20,MATCH(M186,'Prescriptive Rebate Table'!$L$3:$L$20,0)),"")</f>
        <v/>
      </c>
      <c r="O186" s="158"/>
      <c r="P186" s="154" t="str">
        <f>IFERROR(INDEX('Prescriptive Rebate Table'!$B$2:$H$64, MATCH(O186,'Prescriptive Rebate Table'!$C$2:$C$64,0),7),"")</f>
        <v/>
      </c>
      <c r="Q186" s="155" t="str">
        <f>IFERROR(INDEX('Prescriptive Rebate Table'!$B$2:$I$64, MATCH(O186,'Prescriptive Rebate Table'!$C$2:$C$64,0),8),"")</f>
        <v/>
      </c>
      <c r="R186" s="155" t="str">
        <f>IFERROR(INDEX('Prescriptive Rebate Table'!$B$2:$J$64, MATCH(O186,'Prescriptive Rebate Table'!$C$2:$C$64,0),9),"")</f>
        <v/>
      </c>
      <c r="S186" s="160"/>
      <c r="T186" s="145" t="str">
        <f>IFERROR(INDEX('Fixture Codes'!$M$8:$M$976,MATCH(S186,'Fixture Codes'!$B$8:$B$976,0)),"")</f>
        <v/>
      </c>
      <c r="U186" s="145" t="str">
        <f>IFERROR(INDEX('Fixture Codes'!$B$7:$M$976,MATCH(T186,'Fixture Codes'!$B$7:$B$976,0),5),"")</f>
        <v/>
      </c>
      <c r="V186" s="160"/>
      <c r="W186" s="145" t="str">
        <f>IFERROR(INDEX('Fixture Codes'!$L$8:$L$976,MATCH(T186,'Fixture Codes'!$B$8:$B$976,0)),"")</f>
        <v/>
      </c>
      <c r="X186" s="158"/>
      <c r="Y186" s="159"/>
      <c r="Z186" s="155" t="str">
        <f>IFERROR(INDEX(Lookups!B$68:B$87,MATCH($X186,Lookups!$A$68:$A$87,0)),"")</f>
        <v/>
      </c>
      <c r="AA186" s="150" t="str">
        <f>IFERROR(INDEX(Lookups!B$42:B$62,MATCH($X186,Lookups!$A$42:$A$62,0)),"")</f>
        <v/>
      </c>
      <c r="AB186" s="150" t="str">
        <f>IFERROR(INDEX(Lookups!C$42:C$62,MATCH($X186,Lookups!$A$42:$A$62,0)),"")</f>
        <v/>
      </c>
      <c r="AC186" s="160"/>
      <c r="AD186" s="160"/>
      <c r="AE186" s="150" t="str">
        <f>IFERROR(INDEX('Fixture Codes'!$B$7:$M$976,MATCH(AD186,'Fixture Codes'!$B$7:$B$976,0),5),"")</f>
        <v/>
      </c>
      <c r="AF186" s="160"/>
      <c r="AG186" s="145" t="str">
        <f>IFERROR(INDEX('Fixture Codes'!$L$8:$L$976,MATCH(AD186,'Fixture Codes'!$B$8:$B$976,0)),"")</f>
        <v/>
      </c>
      <c r="AH186" s="158"/>
      <c r="AI186" s="160"/>
      <c r="AJ186" s="150" t="str">
        <f>IFERROR(INDEX(Lookups!B$68:B$87,MATCH($AH186,Lookups!$A$68:$A$87,0)),"")</f>
        <v/>
      </c>
      <c r="AK186" s="150" t="str">
        <f>IFERROR(INDEX(Lookups!B$42:B$62,MATCH($AH186,Lookups!$A$42:$A$62,0)),"")</f>
        <v/>
      </c>
      <c r="AL186" s="150" t="str">
        <f>IFERROR(INDEX(Lookups!C$42:C$62,MATCH($AH186,Lookups!$A$42:$A$62,0)),"")</f>
        <v/>
      </c>
      <c r="AM186" s="150" t="str">
        <f>IFERROR(IF(M186="Exit Signs",8760,IF(INDEX('Fixture Codes'!$C$8:$C$976,MATCH(AD186,'Fixture Codes'!$B$8:$B$976,0))="Exit Sign",8760,INDEX(Lookups!$I$2:$I$428,MATCH(_xlfn.CONCAT(B186,H186),Lookups!$H$2:$H$428,0)))),"")</f>
        <v/>
      </c>
      <c r="AN186" s="153">
        <v>1</v>
      </c>
      <c r="AO186" s="150" t="str">
        <f>IF($D186="Interior",INDEX(Lookups!Q$2:Q$86,MATCH(_xlfn.CONCAT($C186,$L186),Lookups!$P$2:$P$86,0)),IF($D186="Exterior",1,""))</f>
        <v/>
      </c>
      <c r="AP186" s="150">
        <f t="shared" si="88"/>
        <v>1</v>
      </c>
      <c r="AQ186" s="150" t="str">
        <f>IF($D186="Interior",INDEX(Lookups!R$2:R$86,MATCH(_xlfn.CONCAT($C186,$L186),Lookups!$P$2:$P$86,0)),IF($D186="Exterior",1,""))</f>
        <v/>
      </c>
      <c r="AR186" s="150" t="str">
        <f>IF($D186="Interior",INDEX(Lookups!S$2:S$86,MATCH(_xlfn.CONCAT($C186,$L186),Lookups!$P$2:$P$86,0)),IF($D186="Exterior",1,""))</f>
        <v/>
      </c>
      <c r="AS186" s="150" t="str">
        <f>IF($D186="Interior",INDEX(Lookups!T$2:T$86,MATCH(_xlfn.CONCAT($C186,$L186),Lookups!$P$2:$P$86,0)),IF($D186="Exterior",1,""))</f>
        <v/>
      </c>
      <c r="AT186" s="150" t="str">
        <f>IFERROR(IF(M186="Exit Signs",1,IF(INDEX('Fixture Codes'!$C$8:$C$976,MATCH($AD186,'Fixture Codes'!$B$8:$B$976,0))="Exit Sign",1,INDEX(Lookups!J$2:J$428,MATCH(_xlfn.CONCAT($B186,$H186),Lookups!$H$2:$H$428,0)))),"")</f>
        <v/>
      </c>
      <c r="AU186" s="150" t="str">
        <f>IFERROR(IF(M186="Exit Signs",1,IF(INDEX('Fixture Codes'!$C$8:$C$976,MATCH($AD186,'Fixture Codes'!$B$8:$B$976,0))="Exit Sign",1,INDEX(Lookups!K$2:K$428,MATCH(_xlfn.CONCAT($B186,$H186),Lookups!$H$2:$H$428,0)))),"")</f>
        <v/>
      </c>
      <c r="AV186" s="150" t="str">
        <f>IFERROR(IF(M186="Exit Signs",1,IF(INDEX('Fixture Codes'!$C$8:$C$976,MATCH($AD186,'Fixture Codes'!$B$8:$B$976,0))="Exit Sign",1,INDEX(Lookups!L$2:L$428,MATCH(_xlfn.CONCAT($B186,$H186),Lookups!$H$2:$H$428,0)))),"")</f>
        <v/>
      </c>
      <c r="AW186" s="150" t="str">
        <f>IF(ISBLANK(K186),"",IF(K186="Gas",INDEX(Lookups!$AG$2:$AG$63,MATCH(O186,Lookups!$AD$2:$AD$63,0),0),0))</f>
        <v/>
      </c>
      <c r="AX186" s="150" t="str">
        <f>IF(ISBLANK(K186),"",IF(K186="Gas",INDEX(Lookups!$AF$2:$AF$63,MATCH(O186,Lookups!$AD$2:$AD$63,0),0),0))</f>
        <v/>
      </c>
      <c r="AY186" s="150" t="str">
        <f>IF(ISBLANK(K186),"",IF(K186="Gas",INDEX(Lookups!$AH$2:$AH$63,MATCH(O186,Lookups!$AD$2:$AD$63,0),0),0))</f>
        <v/>
      </c>
      <c r="AZ186" s="150" t="str">
        <f>IF(ISBLANK(K186),"",IF(K186="Gas",INDEX(Lookups!$AI$2:$AI$63,MATCH(O186,Lookups!$AD$2:$AD$63,0),0),0))</f>
        <v/>
      </c>
      <c r="BA186" s="150" t="str">
        <f t="shared" si="73"/>
        <v/>
      </c>
      <c r="BB186" s="156" t="str">
        <f>IF(ISBLANK(AH186),"",IF(AH186="None",0,IF(K186="Gas",INDEX(Lookups!$AF$51:$AF$69,MATCH(AH186,Lookups!$AD$51:$AD$69,0),0),0)))</f>
        <v/>
      </c>
      <c r="BC186" s="156" t="str">
        <f>IF(ISBLANK(AH186),"",IF(AH186="None",0,IF(K186="Gas",INDEX(Lookups!$AH$51:$AH$69,MATCH(AH186,Lookups!$AD$51:$AD$69,0),0),0)))</f>
        <v/>
      </c>
      <c r="BD186" s="156" t="str">
        <f>IF(ISBLANK(AH186),"",IF(AH186="None",0,IF(K186="Gas",INDEX(Lookups!$AI$51:$AI$69,MATCH(AH186,Lookups!$AD$51:$AD$69,0),0),0)))</f>
        <v/>
      </c>
      <c r="BE186" s="157"/>
      <c r="BF186" s="157"/>
      <c r="BG186" s="147" t="str">
        <f t="shared" si="89"/>
        <v/>
      </c>
      <c r="BH186" s="147" t="str">
        <f t="shared" si="90"/>
        <v/>
      </c>
      <c r="BI186" s="147" t="str">
        <f t="shared" si="74"/>
        <v/>
      </c>
      <c r="BJ186" s="147" t="str">
        <f t="shared" si="75"/>
        <v/>
      </c>
      <c r="BK186" s="148" t="str">
        <f t="shared" si="91"/>
        <v/>
      </c>
      <c r="BL186" s="147" t="str">
        <f t="shared" si="76"/>
        <v/>
      </c>
      <c r="BM186" s="148" t="str">
        <f t="shared" si="92"/>
        <v/>
      </c>
      <c r="BN186" s="147" t="str">
        <f t="shared" si="93"/>
        <v/>
      </c>
      <c r="BO186" s="147" t="str">
        <f t="shared" si="93"/>
        <v/>
      </c>
      <c r="BP186" s="147" t="str">
        <f t="shared" si="94"/>
        <v/>
      </c>
      <c r="BQ186" s="148" t="str">
        <f t="shared" si="95"/>
        <v/>
      </c>
      <c r="BR186" s="148" t="str">
        <f t="shared" si="96"/>
        <v/>
      </c>
      <c r="BS186" s="148" t="str">
        <f t="shared" si="97"/>
        <v/>
      </c>
      <c r="BT186" s="148" t="str">
        <f t="shared" si="77"/>
        <v/>
      </c>
      <c r="BU186" s="148" t="str">
        <f t="shared" si="78"/>
        <v/>
      </c>
      <c r="BV186" s="148" t="str">
        <f t="shared" si="79"/>
        <v/>
      </c>
      <c r="BW186" s="148" t="str">
        <f t="shared" si="80"/>
        <v/>
      </c>
      <c r="BX186" s="148" t="str">
        <f t="shared" si="81"/>
        <v/>
      </c>
      <c r="BY186" s="148" t="str">
        <f t="shared" si="82"/>
        <v/>
      </c>
      <c r="BZ186" s="149" t="str">
        <f>IFERROR(INDEX('Prescriptive Rebate Table'!$B$2:$E$64,MATCH(O186,'Prescriptive Rebate Table'!$C$2:$C$64,0),3),"")</f>
        <v/>
      </c>
      <c r="CA186" s="145" t="str">
        <f>IFERROR(INDEX('Prescriptive Rebate Table'!$B$2:$E$64,MATCH(O186,'Prescriptive Rebate Table'!$C$2:$C$64,0),4),"")</f>
        <v/>
      </c>
      <c r="CB186" s="149" t="str">
        <f t="shared" si="98"/>
        <v/>
      </c>
      <c r="CC186" s="145" t="str">
        <f t="shared" si="99"/>
        <v/>
      </c>
      <c r="CD186" s="149" t="str">
        <f t="shared" si="83"/>
        <v/>
      </c>
      <c r="CE186" s="149" t="str">
        <f t="shared" si="84"/>
        <v/>
      </c>
      <c r="CF186" s="149" t="str">
        <f>IF(BK186&lt;=0,0,IFERROR(IF(OR(ISBLANK(AC186),ISBLANK(CD186))=TRUE,"",IF(CA186="Per Foot",INDEX('Fixture Codes'!$I$8:$I$976,MATCH(AD186,'Fixture Codes'!$B$8:$B$976,0))/12*AF186*BZ186,IF(CA186="Lamp",INDEX('Fixture Codes'!$J$8:$J$976,MATCH(AD186,'Fixture Codes'!$B$8:$B$976,0))*AF186*BZ186,IF(CA186="Fixture",AF186*BZ186,IF(CA186="kWh",BK186*BZ186,0))))),""))</f>
        <v/>
      </c>
      <c r="CG186" s="149" t="str">
        <f t="shared" si="100"/>
        <v/>
      </c>
      <c r="CH186" s="149" t="str">
        <f t="shared" si="101"/>
        <v/>
      </c>
      <c r="CI186" s="152"/>
      <c r="CJ186" s="146"/>
      <c r="CK186" s="241">
        <f>IFERROR(IF(CL186="Yes",'Prescriptive Rebate Table'!$D$69,IF(ISBLANK(AI186),0,IF(AND(AH186=Lookups!$A$62,BK186&gt;0),'Prescriptive Rebate Table'!$D$68,IF(AND(BK186&gt;0,CJ186=AF186),'Prescriptive Rebate Table'!$D$67,IF(AND(BK186&gt;0,CJ186&lt;&gt;AF186),'Prescriptive Rebate Table'!D245,0))))),"")</f>
        <v>0</v>
      </c>
      <c r="CL186" s="240" t="s">
        <v>2712</v>
      </c>
      <c r="CM186" s="152"/>
      <c r="CN186" s="152"/>
      <c r="CO186" s="152"/>
      <c r="CP186" s="146">
        <f t="shared" si="85"/>
        <v>0</v>
      </c>
      <c r="CQ186" s="153">
        <f>IF(D186="Interior",ROUND(($AG186*AF186)/1000*$AM186*(Lookups!$B$54-$AA186)*$AN186*$AO186,3),0)</f>
        <v>0</v>
      </c>
      <c r="CR186" s="153">
        <f>IFERROR(IF(D186="Interior",ROUND(($AG186*$AF186)/1000*(Lookups!$C$54-$AB186)*$AN186*AQ186*AT186,6),0),"")</f>
        <v>0</v>
      </c>
      <c r="CS186" s="165">
        <f t="shared" si="102"/>
        <v>0</v>
      </c>
      <c r="CT186" s="165">
        <f t="shared" si="103"/>
        <v>0</v>
      </c>
      <c r="CV186" s="153"/>
      <c r="CW186" s="153"/>
      <c r="CX186" s="165"/>
      <c r="CY186" s="165"/>
      <c r="DA186" s="153">
        <f>IF(D186="Interior",ROUND(($AG186*AF186*(1-0.15))/1000*$AM186*(Lookups!$B$43+0.097-$AA186)*$AN186*$AO186+((W186*V186)/1000*AN186*AM186*AO186*0.15),3),0)</f>
        <v>0</v>
      </c>
      <c r="DB186" s="153">
        <f>IFERROR(IF(D186="Interior",ROUND(($AG186*$AF186)/1000*(Lookups!$C$43+0.097-$AB186)*$AN186*AQ186*AT186+(($AG186*$AF186)/1000*$AN186*AQ186*AT186*0.15),6),0),"")</f>
        <v>0</v>
      </c>
      <c r="DC186" s="165">
        <f t="shared" si="104"/>
        <v>0</v>
      </c>
      <c r="DD186" s="165">
        <f t="shared" si="105"/>
        <v>0</v>
      </c>
    </row>
    <row r="187" spans="1:108" s="164" customFormat="1">
      <c r="A187" s="150">
        <v>183</v>
      </c>
      <c r="B187" s="153" t="str">
        <f>IFERROR(INDEX(Lookups!$B$2:$B$38,MATCH('Project Info &amp; Summary'!$C$19,Lookups!$A$2:$A$38,0)),"")</f>
        <v/>
      </c>
      <c r="C187" s="153" t="str">
        <f>IFERROR(INDEX(Lookups!$C$2:$C$38,MATCH('Project Info &amp; Summary'!$C$19,Lookups!$A$2:$A$38,0)),"")</f>
        <v/>
      </c>
      <c r="D187" s="163"/>
      <c r="E187" s="160"/>
      <c r="F187" s="158"/>
      <c r="G187" s="158"/>
      <c r="H187" s="158"/>
      <c r="I187" s="158"/>
      <c r="J187" s="154" t="str">
        <f>IFERROR(INDEX(Lookups!$W$21:$W$26,MATCH(I187,Lookups!$V$21:$V$26,0)),"")</f>
        <v/>
      </c>
      <c r="K187" s="158"/>
      <c r="L187" s="162" t="str">
        <f>IFERROR(INDEX(Lookups!$Y$2:$Y$19,MATCH(_xlfn.CONCAT(I187,K187),Lookups!$X$2:$X$19,0)),"")</f>
        <v/>
      </c>
      <c r="M187" s="158"/>
      <c r="N187" s="153" t="str">
        <f>IFERROR(INDEX('Prescriptive Rebate Table'!$M$3:$M$20,MATCH(M187,'Prescriptive Rebate Table'!$L$3:$L$20,0)),"")</f>
        <v/>
      </c>
      <c r="O187" s="158"/>
      <c r="P187" s="154" t="str">
        <f>IFERROR(INDEX('Prescriptive Rebate Table'!$B$2:$H$64, MATCH(O187,'Prescriptive Rebate Table'!$C$2:$C$64,0),7),"")</f>
        <v/>
      </c>
      <c r="Q187" s="155" t="str">
        <f>IFERROR(INDEX('Prescriptive Rebate Table'!$B$2:$I$64, MATCH(O187,'Prescriptive Rebate Table'!$C$2:$C$64,0),8),"")</f>
        <v/>
      </c>
      <c r="R187" s="155" t="str">
        <f>IFERROR(INDEX('Prescriptive Rebate Table'!$B$2:$J$64, MATCH(O187,'Prescriptive Rebate Table'!$C$2:$C$64,0),9),"")</f>
        <v/>
      </c>
      <c r="S187" s="160"/>
      <c r="T187" s="145" t="str">
        <f>IFERROR(INDEX('Fixture Codes'!$M$8:$M$976,MATCH(S187,'Fixture Codes'!$B$8:$B$976,0)),"")</f>
        <v/>
      </c>
      <c r="U187" s="145" t="str">
        <f>IFERROR(INDEX('Fixture Codes'!$B$7:$M$976,MATCH(T187,'Fixture Codes'!$B$7:$B$976,0),5),"")</f>
        <v/>
      </c>
      <c r="V187" s="160"/>
      <c r="W187" s="145" t="str">
        <f>IFERROR(INDEX('Fixture Codes'!$L$8:$L$976,MATCH(T187,'Fixture Codes'!$B$8:$B$976,0)),"")</f>
        <v/>
      </c>
      <c r="X187" s="158"/>
      <c r="Y187" s="159"/>
      <c r="Z187" s="155" t="str">
        <f>IFERROR(INDEX(Lookups!B$68:B$87,MATCH($X187,Lookups!$A$68:$A$87,0)),"")</f>
        <v/>
      </c>
      <c r="AA187" s="150" t="str">
        <f>IFERROR(INDEX(Lookups!B$42:B$62,MATCH($X187,Lookups!$A$42:$A$62,0)),"")</f>
        <v/>
      </c>
      <c r="AB187" s="150" t="str">
        <f>IFERROR(INDEX(Lookups!C$42:C$62,MATCH($X187,Lookups!$A$42:$A$62,0)),"")</f>
        <v/>
      </c>
      <c r="AC187" s="160"/>
      <c r="AD187" s="160"/>
      <c r="AE187" s="150" t="str">
        <f>IFERROR(INDEX('Fixture Codes'!$B$7:$M$976,MATCH(AD187,'Fixture Codes'!$B$7:$B$976,0),5),"")</f>
        <v/>
      </c>
      <c r="AF187" s="160"/>
      <c r="AG187" s="145" t="str">
        <f>IFERROR(INDEX('Fixture Codes'!$L$8:$L$976,MATCH(AD187,'Fixture Codes'!$B$8:$B$976,0)),"")</f>
        <v/>
      </c>
      <c r="AH187" s="158"/>
      <c r="AI187" s="160"/>
      <c r="AJ187" s="150" t="str">
        <f>IFERROR(INDEX(Lookups!B$68:B$87,MATCH($AH187,Lookups!$A$68:$A$87,0)),"")</f>
        <v/>
      </c>
      <c r="AK187" s="150" t="str">
        <f>IFERROR(INDEX(Lookups!B$42:B$62,MATCH($AH187,Lookups!$A$42:$A$62,0)),"")</f>
        <v/>
      </c>
      <c r="AL187" s="150" t="str">
        <f>IFERROR(INDEX(Lookups!C$42:C$62,MATCH($AH187,Lookups!$A$42:$A$62,0)),"")</f>
        <v/>
      </c>
      <c r="AM187" s="150" t="str">
        <f>IFERROR(IF(M187="Exit Signs",8760,IF(INDEX('Fixture Codes'!$C$8:$C$976,MATCH(AD187,'Fixture Codes'!$B$8:$B$976,0))="Exit Sign",8760,INDEX(Lookups!$I$2:$I$428,MATCH(_xlfn.CONCAT(B187,H187),Lookups!$H$2:$H$428,0)))),"")</f>
        <v/>
      </c>
      <c r="AN187" s="153">
        <v>1</v>
      </c>
      <c r="AO187" s="150" t="str">
        <f>IF($D187="Interior",INDEX(Lookups!Q$2:Q$86,MATCH(_xlfn.CONCAT($C187,$L187),Lookups!$P$2:$P$86,0)),IF($D187="Exterior",1,""))</f>
        <v/>
      </c>
      <c r="AP187" s="150">
        <f t="shared" si="88"/>
        <v>1</v>
      </c>
      <c r="AQ187" s="150" t="str">
        <f>IF($D187="Interior",INDEX(Lookups!R$2:R$86,MATCH(_xlfn.CONCAT($C187,$L187),Lookups!$P$2:$P$86,0)),IF($D187="Exterior",1,""))</f>
        <v/>
      </c>
      <c r="AR187" s="150" t="str">
        <f>IF($D187="Interior",INDEX(Lookups!S$2:S$86,MATCH(_xlfn.CONCAT($C187,$L187),Lookups!$P$2:$P$86,0)),IF($D187="Exterior",1,""))</f>
        <v/>
      </c>
      <c r="AS187" s="150" t="str">
        <f>IF($D187="Interior",INDEX(Lookups!T$2:T$86,MATCH(_xlfn.CONCAT($C187,$L187),Lookups!$P$2:$P$86,0)),IF($D187="Exterior",1,""))</f>
        <v/>
      </c>
      <c r="AT187" s="150" t="str">
        <f>IFERROR(IF(M187="Exit Signs",1,IF(INDEX('Fixture Codes'!$C$8:$C$976,MATCH($AD187,'Fixture Codes'!$B$8:$B$976,0))="Exit Sign",1,INDEX(Lookups!J$2:J$428,MATCH(_xlfn.CONCAT($B187,$H187),Lookups!$H$2:$H$428,0)))),"")</f>
        <v/>
      </c>
      <c r="AU187" s="150" t="str">
        <f>IFERROR(IF(M187="Exit Signs",1,IF(INDEX('Fixture Codes'!$C$8:$C$976,MATCH($AD187,'Fixture Codes'!$B$8:$B$976,0))="Exit Sign",1,INDEX(Lookups!K$2:K$428,MATCH(_xlfn.CONCAT($B187,$H187),Lookups!$H$2:$H$428,0)))),"")</f>
        <v/>
      </c>
      <c r="AV187" s="150" t="str">
        <f>IFERROR(IF(M187="Exit Signs",1,IF(INDEX('Fixture Codes'!$C$8:$C$976,MATCH($AD187,'Fixture Codes'!$B$8:$B$976,0))="Exit Sign",1,INDEX(Lookups!L$2:L$428,MATCH(_xlfn.CONCAT($B187,$H187),Lookups!$H$2:$H$428,0)))),"")</f>
        <v/>
      </c>
      <c r="AW187" s="150" t="str">
        <f>IF(ISBLANK(K187),"",IF(K187="Gas",INDEX(Lookups!$AG$2:$AG$63,MATCH(O187,Lookups!$AD$2:$AD$63,0),0),0))</f>
        <v/>
      </c>
      <c r="AX187" s="150" t="str">
        <f>IF(ISBLANK(K187),"",IF(K187="Gas",INDEX(Lookups!$AF$2:$AF$63,MATCH(O187,Lookups!$AD$2:$AD$63,0),0),0))</f>
        <v/>
      </c>
      <c r="AY187" s="150" t="str">
        <f>IF(ISBLANK(K187),"",IF(K187="Gas",INDEX(Lookups!$AH$2:$AH$63,MATCH(O187,Lookups!$AD$2:$AD$63,0),0),0))</f>
        <v/>
      </c>
      <c r="AZ187" s="150" t="str">
        <f>IF(ISBLANK(K187),"",IF(K187="Gas",INDEX(Lookups!$AI$2:$AI$63,MATCH(O187,Lookups!$AD$2:$AD$63,0),0),0))</f>
        <v/>
      </c>
      <c r="BA187" s="150" t="str">
        <f t="shared" si="73"/>
        <v/>
      </c>
      <c r="BB187" s="156" t="str">
        <f>IF(ISBLANK(AH187),"",IF(AH187="None",0,IF(K187="Gas",INDEX(Lookups!$AF$51:$AF$69,MATCH(AH187,Lookups!$AD$51:$AD$69,0),0),0)))</f>
        <v/>
      </c>
      <c r="BC187" s="156" t="str">
        <f>IF(ISBLANK(AH187),"",IF(AH187="None",0,IF(K187="Gas",INDEX(Lookups!$AH$51:$AH$69,MATCH(AH187,Lookups!$AD$51:$AD$69,0),0),0)))</f>
        <v/>
      </c>
      <c r="BD187" s="156" t="str">
        <f>IF(ISBLANK(AH187),"",IF(AH187="None",0,IF(K187="Gas",INDEX(Lookups!$AI$51:$AI$69,MATCH(AH187,Lookups!$AD$51:$AD$69,0),0),0)))</f>
        <v/>
      </c>
      <c r="BE187" s="157"/>
      <c r="BF187" s="157"/>
      <c r="BG187" s="147" t="str">
        <f t="shared" si="89"/>
        <v/>
      </c>
      <c r="BH187" s="147" t="str">
        <f t="shared" si="90"/>
        <v/>
      </c>
      <c r="BI187" s="147" t="str">
        <f t="shared" si="74"/>
        <v/>
      </c>
      <c r="BJ187" s="147" t="str">
        <f t="shared" si="75"/>
        <v/>
      </c>
      <c r="BK187" s="148" t="str">
        <f t="shared" si="91"/>
        <v/>
      </c>
      <c r="BL187" s="147" t="str">
        <f t="shared" si="76"/>
        <v/>
      </c>
      <c r="BM187" s="148" t="str">
        <f t="shared" si="92"/>
        <v/>
      </c>
      <c r="BN187" s="147" t="str">
        <f t="shared" si="93"/>
        <v/>
      </c>
      <c r="BO187" s="147" t="str">
        <f t="shared" si="93"/>
        <v/>
      </c>
      <c r="BP187" s="147" t="str">
        <f t="shared" si="94"/>
        <v/>
      </c>
      <c r="BQ187" s="148" t="str">
        <f t="shared" si="95"/>
        <v/>
      </c>
      <c r="BR187" s="148" t="str">
        <f t="shared" si="96"/>
        <v/>
      </c>
      <c r="BS187" s="148" t="str">
        <f t="shared" si="97"/>
        <v/>
      </c>
      <c r="BT187" s="148" t="str">
        <f t="shared" si="77"/>
        <v/>
      </c>
      <c r="BU187" s="148" t="str">
        <f t="shared" si="78"/>
        <v/>
      </c>
      <c r="BV187" s="148" t="str">
        <f t="shared" si="79"/>
        <v/>
      </c>
      <c r="BW187" s="148" t="str">
        <f t="shared" si="80"/>
        <v/>
      </c>
      <c r="BX187" s="148" t="str">
        <f t="shared" si="81"/>
        <v/>
      </c>
      <c r="BY187" s="148" t="str">
        <f t="shared" si="82"/>
        <v/>
      </c>
      <c r="BZ187" s="149" t="str">
        <f>IFERROR(INDEX('Prescriptive Rebate Table'!$B$2:$E$64,MATCH(O187,'Prescriptive Rebate Table'!$C$2:$C$64,0),3),"")</f>
        <v/>
      </c>
      <c r="CA187" s="145" t="str">
        <f>IFERROR(INDEX('Prescriptive Rebate Table'!$B$2:$E$64,MATCH(O187,'Prescriptive Rebate Table'!$C$2:$C$64,0),4),"")</f>
        <v/>
      </c>
      <c r="CB187" s="149" t="str">
        <f t="shared" si="98"/>
        <v/>
      </c>
      <c r="CC187" s="145" t="str">
        <f t="shared" si="99"/>
        <v/>
      </c>
      <c r="CD187" s="149" t="str">
        <f t="shared" si="83"/>
        <v/>
      </c>
      <c r="CE187" s="149" t="str">
        <f t="shared" si="84"/>
        <v/>
      </c>
      <c r="CF187" s="149" t="str">
        <f>IF(BK187&lt;=0,0,IFERROR(IF(OR(ISBLANK(AC187),ISBLANK(CD187))=TRUE,"",IF(CA187="Per Foot",INDEX('Fixture Codes'!$I$8:$I$976,MATCH(AD187,'Fixture Codes'!$B$8:$B$976,0))/12*AF187*BZ187,IF(CA187="Lamp",INDEX('Fixture Codes'!$J$8:$J$976,MATCH(AD187,'Fixture Codes'!$B$8:$B$976,0))*AF187*BZ187,IF(CA187="Fixture",AF187*BZ187,IF(CA187="kWh",BK187*BZ187,0))))),""))</f>
        <v/>
      </c>
      <c r="CG187" s="149" t="str">
        <f t="shared" si="100"/>
        <v/>
      </c>
      <c r="CH187" s="149" t="str">
        <f t="shared" si="101"/>
        <v/>
      </c>
      <c r="CI187" s="152"/>
      <c r="CJ187" s="146"/>
      <c r="CK187" s="241">
        <f>IFERROR(IF(CL187="Yes",'Prescriptive Rebate Table'!$D$69,IF(ISBLANK(AI187),0,IF(AND(AH187=Lookups!$A$62,BK187&gt;0),'Prescriptive Rebate Table'!$D$68,IF(AND(BK187&gt;0,CJ187=AF187),'Prescriptive Rebate Table'!$D$67,IF(AND(BK187&gt;0,CJ187&lt;&gt;AF187),'Prescriptive Rebate Table'!D246,0))))),"")</f>
        <v>0</v>
      </c>
      <c r="CL187" s="240" t="s">
        <v>2712</v>
      </c>
      <c r="CM187" s="152"/>
      <c r="CN187" s="152"/>
      <c r="CO187" s="152"/>
      <c r="CP187" s="146">
        <f t="shared" si="85"/>
        <v>0</v>
      </c>
      <c r="CQ187" s="153">
        <f>IF(D187="Interior",ROUND(($AG187*AF187)/1000*$AM187*(Lookups!$B$54-$AA187)*$AN187*$AO187,3),0)</f>
        <v>0</v>
      </c>
      <c r="CR187" s="153">
        <f>IFERROR(IF(D187="Interior",ROUND(($AG187*$AF187)/1000*(Lookups!$C$54-$AB187)*$AN187*AQ187*AT187,6),0),"")</f>
        <v>0</v>
      </c>
      <c r="CS187" s="165">
        <f t="shared" si="102"/>
        <v>0</v>
      </c>
      <c r="CT187" s="165">
        <f t="shared" si="103"/>
        <v>0</v>
      </c>
      <c r="CV187" s="153"/>
      <c r="CW187" s="153"/>
      <c r="CX187" s="165"/>
      <c r="CY187" s="165"/>
      <c r="DA187" s="153">
        <f>IF(D187="Interior",ROUND(($AG187*AF187*(1-0.15))/1000*$AM187*(Lookups!$B$43+0.097-$AA187)*$AN187*$AO187+((W187*V187)/1000*AN187*AM187*AO187*0.15),3),0)</f>
        <v>0</v>
      </c>
      <c r="DB187" s="153">
        <f>IFERROR(IF(D187="Interior",ROUND(($AG187*$AF187)/1000*(Lookups!$C$43+0.097-$AB187)*$AN187*AQ187*AT187+(($AG187*$AF187)/1000*$AN187*AQ187*AT187*0.15),6),0),"")</f>
        <v>0</v>
      </c>
      <c r="DC187" s="165">
        <f t="shared" si="104"/>
        <v>0</v>
      </c>
      <c r="DD187" s="165">
        <f t="shared" si="105"/>
        <v>0</v>
      </c>
    </row>
    <row r="188" spans="1:108" s="164" customFormat="1">
      <c r="A188" s="150">
        <v>184</v>
      </c>
      <c r="B188" s="153" t="str">
        <f>IFERROR(INDEX(Lookups!$B$2:$B$38,MATCH('Project Info &amp; Summary'!$C$19,Lookups!$A$2:$A$38,0)),"")</f>
        <v/>
      </c>
      <c r="C188" s="153" t="str">
        <f>IFERROR(INDEX(Lookups!$C$2:$C$38,MATCH('Project Info &amp; Summary'!$C$19,Lookups!$A$2:$A$38,0)),"")</f>
        <v/>
      </c>
      <c r="D188" s="163"/>
      <c r="E188" s="160"/>
      <c r="F188" s="158"/>
      <c r="G188" s="158"/>
      <c r="H188" s="158"/>
      <c r="I188" s="158"/>
      <c r="J188" s="154" t="str">
        <f>IFERROR(INDEX(Lookups!$W$21:$W$26,MATCH(I188,Lookups!$V$21:$V$26,0)),"")</f>
        <v/>
      </c>
      <c r="K188" s="158"/>
      <c r="L188" s="162" t="str">
        <f>IFERROR(INDEX(Lookups!$Y$2:$Y$19,MATCH(_xlfn.CONCAT(I188,K188),Lookups!$X$2:$X$19,0)),"")</f>
        <v/>
      </c>
      <c r="M188" s="158"/>
      <c r="N188" s="153" t="str">
        <f>IFERROR(INDEX('Prescriptive Rebate Table'!$M$3:$M$20,MATCH(M188,'Prescriptive Rebate Table'!$L$3:$L$20,0)),"")</f>
        <v/>
      </c>
      <c r="O188" s="158"/>
      <c r="P188" s="154" t="str">
        <f>IFERROR(INDEX('Prescriptive Rebate Table'!$B$2:$H$64, MATCH(O188,'Prescriptive Rebate Table'!$C$2:$C$64,0),7),"")</f>
        <v/>
      </c>
      <c r="Q188" s="155" t="str">
        <f>IFERROR(INDEX('Prescriptive Rebate Table'!$B$2:$I$64, MATCH(O188,'Prescriptive Rebate Table'!$C$2:$C$64,0),8),"")</f>
        <v/>
      </c>
      <c r="R188" s="155" t="str">
        <f>IFERROR(INDEX('Prescriptive Rebate Table'!$B$2:$J$64, MATCH(O188,'Prescriptive Rebate Table'!$C$2:$C$64,0),9),"")</f>
        <v/>
      </c>
      <c r="S188" s="160"/>
      <c r="T188" s="145" t="str">
        <f>IFERROR(INDEX('Fixture Codes'!$M$8:$M$976,MATCH(S188,'Fixture Codes'!$B$8:$B$976,0)),"")</f>
        <v/>
      </c>
      <c r="U188" s="145" t="str">
        <f>IFERROR(INDEX('Fixture Codes'!$B$7:$M$976,MATCH(T188,'Fixture Codes'!$B$7:$B$976,0),5),"")</f>
        <v/>
      </c>
      <c r="V188" s="160"/>
      <c r="W188" s="145" t="str">
        <f>IFERROR(INDEX('Fixture Codes'!$L$8:$L$976,MATCH(T188,'Fixture Codes'!$B$8:$B$976,0)),"")</f>
        <v/>
      </c>
      <c r="X188" s="158"/>
      <c r="Y188" s="159"/>
      <c r="Z188" s="155" t="str">
        <f>IFERROR(INDEX(Lookups!B$68:B$87,MATCH($X188,Lookups!$A$68:$A$87,0)),"")</f>
        <v/>
      </c>
      <c r="AA188" s="150" t="str">
        <f>IFERROR(INDEX(Lookups!B$42:B$62,MATCH($X188,Lookups!$A$42:$A$62,0)),"")</f>
        <v/>
      </c>
      <c r="AB188" s="150" t="str">
        <f>IFERROR(INDEX(Lookups!C$42:C$62,MATCH($X188,Lookups!$A$42:$A$62,0)),"")</f>
        <v/>
      </c>
      <c r="AC188" s="160"/>
      <c r="AD188" s="160"/>
      <c r="AE188" s="150" t="str">
        <f>IFERROR(INDEX('Fixture Codes'!$B$7:$M$976,MATCH(AD188,'Fixture Codes'!$B$7:$B$976,0),5),"")</f>
        <v/>
      </c>
      <c r="AF188" s="160"/>
      <c r="AG188" s="145" t="str">
        <f>IFERROR(INDEX('Fixture Codes'!$L$8:$L$976,MATCH(AD188,'Fixture Codes'!$B$8:$B$976,0)),"")</f>
        <v/>
      </c>
      <c r="AH188" s="158"/>
      <c r="AI188" s="160"/>
      <c r="AJ188" s="150" t="str">
        <f>IFERROR(INDEX(Lookups!B$68:B$87,MATCH($AH188,Lookups!$A$68:$A$87,0)),"")</f>
        <v/>
      </c>
      <c r="AK188" s="150" t="str">
        <f>IFERROR(INDEX(Lookups!B$42:B$62,MATCH($AH188,Lookups!$A$42:$A$62,0)),"")</f>
        <v/>
      </c>
      <c r="AL188" s="150" t="str">
        <f>IFERROR(INDEX(Lookups!C$42:C$62,MATCH($AH188,Lookups!$A$42:$A$62,0)),"")</f>
        <v/>
      </c>
      <c r="AM188" s="150" t="str">
        <f>IFERROR(IF(M188="Exit Signs",8760,IF(INDEX('Fixture Codes'!$C$8:$C$976,MATCH(AD188,'Fixture Codes'!$B$8:$B$976,0))="Exit Sign",8760,INDEX(Lookups!$I$2:$I$428,MATCH(_xlfn.CONCAT(B188,H188),Lookups!$H$2:$H$428,0)))),"")</f>
        <v/>
      </c>
      <c r="AN188" s="153">
        <v>1</v>
      </c>
      <c r="AO188" s="150" t="str">
        <f>IF($D188="Interior",INDEX(Lookups!Q$2:Q$86,MATCH(_xlfn.CONCAT($C188,$L188),Lookups!$P$2:$P$86,0)),IF($D188="Exterior",1,""))</f>
        <v/>
      </c>
      <c r="AP188" s="150">
        <f t="shared" si="88"/>
        <v>1</v>
      </c>
      <c r="AQ188" s="150" t="str">
        <f>IF($D188="Interior",INDEX(Lookups!R$2:R$86,MATCH(_xlfn.CONCAT($C188,$L188),Lookups!$P$2:$P$86,0)),IF($D188="Exterior",1,""))</f>
        <v/>
      </c>
      <c r="AR188" s="150" t="str">
        <f>IF($D188="Interior",INDEX(Lookups!S$2:S$86,MATCH(_xlfn.CONCAT($C188,$L188),Lookups!$P$2:$P$86,0)),IF($D188="Exterior",1,""))</f>
        <v/>
      </c>
      <c r="AS188" s="150" t="str">
        <f>IF($D188="Interior",INDEX(Lookups!T$2:T$86,MATCH(_xlfn.CONCAT($C188,$L188),Lookups!$P$2:$P$86,0)),IF($D188="Exterior",1,""))</f>
        <v/>
      </c>
      <c r="AT188" s="150" t="str">
        <f>IFERROR(IF(M188="Exit Signs",1,IF(INDEX('Fixture Codes'!$C$8:$C$976,MATCH($AD188,'Fixture Codes'!$B$8:$B$976,0))="Exit Sign",1,INDEX(Lookups!J$2:J$428,MATCH(_xlfn.CONCAT($B188,$H188),Lookups!$H$2:$H$428,0)))),"")</f>
        <v/>
      </c>
      <c r="AU188" s="150" t="str">
        <f>IFERROR(IF(M188="Exit Signs",1,IF(INDEX('Fixture Codes'!$C$8:$C$976,MATCH($AD188,'Fixture Codes'!$B$8:$B$976,0))="Exit Sign",1,INDEX(Lookups!K$2:K$428,MATCH(_xlfn.CONCAT($B188,$H188),Lookups!$H$2:$H$428,0)))),"")</f>
        <v/>
      </c>
      <c r="AV188" s="150" t="str">
        <f>IFERROR(IF(M188="Exit Signs",1,IF(INDEX('Fixture Codes'!$C$8:$C$976,MATCH($AD188,'Fixture Codes'!$B$8:$B$976,0))="Exit Sign",1,INDEX(Lookups!L$2:L$428,MATCH(_xlfn.CONCAT($B188,$H188),Lookups!$H$2:$H$428,0)))),"")</f>
        <v/>
      </c>
      <c r="AW188" s="150" t="str">
        <f>IF(ISBLANK(K188),"",IF(K188="Gas",INDEX(Lookups!$AG$2:$AG$63,MATCH(O188,Lookups!$AD$2:$AD$63,0),0),0))</f>
        <v/>
      </c>
      <c r="AX188" s="150" t="str">
        <f>IF(ISBLANK(K188),"",IF(K188="Gas",INDEX(Lookups!$AF$2:$AF$63,MATCH(O188,Lookups!$AD$2:$AD$63,0),0),0))</f>
        <v/>
      </c>
      <c r="AY188" s="150" t="str">
        <f>IF(ISBLANK(K188),"",IF(K188="Gas",INDEX(Lookups!$AH$2:$AH$63,MATCH(O188,Lookups!$AD$2:$AD$63,0),0),0))</f>
        <v/>
      </c>
      <c r="AZ188" s="150" t="str">
        <f>IF(ISBLANK(K188),"",IF(K188="Gas",INDEX(Lookups!$AI$2:$AI$63,MATCH(O188,Lookups!$AD$2:$AD$63,0),0),0))</f>
        <v/>
      </c>
      <c r="BA188" s="150" t="str">
        <f t="shared" si="73"/>
        <v/>
      </c>
      <c r="BB188" s="156" t="str">
        <f>IF(ISBLANK(AH188),"",IF(AH188="None",0,IF(K188="Gas",INDEX(Lookups!$AF$51:$AF$69,MATCH(AH188,Lookups!$AD$51:$AD$69,0),0),0)))</f>
        <v/>
      </c>
      <c r="BC188" s="156" t="str">
        <f>IF(ISBLANK(AH188),"",IF(AH188="None",0,IF(K188="Gas",INDEX(Lookups!$AH$51:$AH$69,MATCH(AH188,Lookups!$AD$51:$AD$69,0),0),0)))</f>
        <v/>
      </c>
      <c r="BD188" s="156" t="str">
        <f>IF(ISBLANK(AH188),"",IF(AH188="None",0,IF(K188="Gas",INDEX(Lookups!$AI$51:$AI$69,MATCH(AH188,Lookups!$AD$51:$AD$69,0),0),0)))</f>
        <v/>
      </c>
      <c r="BE188" s="157"/>
      <c r="BF188" s="157"/>
      <c r="BG188" s="147" t="str">
        <f t="shared" si="89"/>
        <v/>
      </c>
      <c r="BH188" s="147" t="str">
        <f t="shared" si="90"/>
        <v/>
      </c>
      <c r="BI188" s="147" t="str">
        <f t="shared" si="74"/>
        <v/>
      </c>
      <c r="BJ188" s="147" t="str">
        <f t="shared" si="75"/>
        <v/>
      </c>
      <c r="BK188" s="148" t="str">
        <f t="shared" si="91"/>
        <v/>
      </c>
      <c r="BL188" s="147" t="str">
        <f t="shared" si="76"/>
        <v/>
      </c>
      <c r="BM188" s="148" t="str">
        <f t="shared" si="92"/>
        <v/>
      </c>
      <c r="BN188" s="147" t="str">
        <f t="shared" si="93"/>
        <v/>
      </c>
      <c r="BO188" s="147" t="str">
        <f t="shared" si="93"/>
        <v/>
      </c>
      <c r="BP188" s="147" t="str">
        <f t="shared" si="94"/>
        <v/>
      </c>
      <c r="BQ188" s="148" t="str">
        <f t="shared" si="95"/>
        <v/>
      </c>
      <c r="BR188" s="148" t="str">
        <f t="shared" si="96"/>
        <v/>
      </c>
      <c r="BS188" s="148" t="str">
        <f t="shared" si="97"/>
        <v/>
      </c>
      <c r="BT188" s="148" t="str">
        <f t="shared" si="77"/>
        <v/>
      </c>
      <c r="BU188" s="148" t="str">
        <f t="shared" si="78"/>
        <v/>
      </c>
      <c r="BV188" s="148" t="str">
        <f t="shared" si="79"/>
        <v/>
      </c>
      <c r="BW188" s="148" t="str">
        <f t="shared" si="80"/>
        <v/>
      </c>
      <c r="BX188" s="148" t="str">
        <f t="shared" si="81"/>
        <v/>
      </c>
      <c r="BY188" s="148" t="str">
        <f t="shared" si="82"/>
        <v/>
      </c>
      <c r="BZ188" s="149" t="str">
        <f>IFERROR(INDEX('Prescriptive Rebate Table'!$B$2:$E$64,MATCH(O188,'Prescriptive Rebate Table'!$C$2:$C$64,0),3),"")</f>
        <v/>
      </c>
      <c r="CA188" s="145" t="str">
        <f>IFERROR(INDEX('Prescriptive Rebate Table'!$B$2:$E$64,MATCH(O188,'Prescriptive Rebate Table'!$C$2:$C$64,0),4),"")</f>
        <v/>
      </c>
      <c r="CB188" s="149" t="str">
        <f t="shared" si="98"/>
        <v/>
      </c>
      <c r="CC188" s="145" t="str">
        <f t="shared" si="99"/>
        <v/>
      </c>
      <c r="CD188" s="149" t="str">
        <f t="shared" si="83"/>
        <v/>
      </c>
      <c r="CE188" s="149" t="str">
        <f t="shared" si="84"/>
        <v/>
      </c>
      <c r="CF188" s="149" t="str">
        <f>IF(BK188&lt;=0,0,IFERROR(IF(OR(ISBLANK(AC188),ISBLANK(CD188))=TRUE,"",IF(CA188="Per Foot",INDEX('Fixture Codes'!$I$8:$I$976,MATCH(AD188,'Fixture Codes'!$B$8:$B$976,0))/12*AF188*BZ188,IF(CA188="Lamp",INDEX('Fixture Codes'!$J$8:$J$976,MATCH(AD188,'Fixture Codes'!$B$8:$B$976,0))*AF188*BZ188,IF(CA188="Fixture",AF188*BZ188,IF(CA188="kWh",BK188*BZ188,0))))),""))</f>
        <v/>
      </c>
      <c r="CG188" s="149" t="str">
        <f t="shared" si="100"/>
        <v/>
      </c>
      <c r="CH188" s="149" t="str">
        <f t="shared" si="101"/>
        <v/>
      </c>
      <c r="CI188" s="152"/>
      <c r="CJ188" s="146"/>
      <c r="CK188" s="241">
        <f>IFERROR(IF(CL188="Yes",'Prescriptive Rebate Table'!$D$69,IF(ISBLANK(AI188),0,IF(AND(AH188=Lookups!$A$62,BK188&gt;0),'Prescriptive Rebate Table'!$D$68,IF(AND(BK188&gt;0,CJ188=AF188),'Prescriptive Rebate Table'!$D$67,IF(AND(BK188&gt;0,CJ188&lt;&gt;AF188),'Prescriptive Rebate Table'!D247,0))))),"")</f>
        <v>0</v>
      </c>
      <c r="CL188" s="240" t="s">
        <v>2712</v>
      </c>
      <c r="CM188" s="152"/>
      <c r="CN188" s="152"/>
      <c r="CO188" s="152"/>
      <c r="CP188" s="146">
        <f t="shared" si="85"/>
        <v>0</v>
      </c>
      <c r="CQ188" s="153">
        <f>IF(D188="Interior",ROUND(($AG188*AF188)/1000*$AM188*(Lookups!$B$54-$AA188)*$AN188*$AO188,3),0)</f>
        <v>0</v>
      </c>
      <c r="CR188" s="153">
        <f>IFERROR(IF(D188="Interior",ROUND(($AG188*$AF188)/1000*(Lookups!$C$54-$AB188)*$AN188*AQ188*AT188,6),0),"")</f>
        <v>0</v>
      </c>
      <c r="CS188" s="165">
        <f t="shared" si="102"/>
        <v>0</v>
      </c>
      <c r="CT188" s="165">
        <f t="shared" si="103"/>
        <v>0</v>
      </c>
      <c r="CV188" s="153"/>
      <c r="CW188" s="153"/>
      <c r="CX188" s="165"/>
      <c r="CY188" s="165"/>
      <c r="DA188" s="153">
        <f>IF(D188="Interior",ROUND(($AG188*AF188*(1-0.15))/1000*$AM188*(Lookups!$B$43+0.097-$AA188)*$AN188*$AO188+((W188*V188)/1000*AN188*AM188*AO188*0.15),3),0)</f>
        <v>0</v>
      </c>
      <c r="DB188" s="153">
        <f>IFERROR(IF(D188="Interior",ROUND(($AG188*$AF188)/1000*(Lookups!$C$43+0.097-$AB188)*$AN188*AQ188*AT188+(($AG188*$AF188)/1000*$AN188*AQ188*AT188*0.15),6),0),"")</f>
        <v>0</v>
      </c>
      <c r="DC188" s="165">
        <f t="shared" si="104"/>
        <v>0</v>
      </c>
      <c r="DD188" s="165">
        <f t="shared" si="105"/>
        <v>0</v>
      </c>
    </row>
    <row r="189" spans="1:108" s="164" customFormat="1">
      <c r="A189" s="150">
        <v>185</v>
      </c>
      <c r="B189" s="153" t="str">
        <f>IFERROR(INDEX(Lookups!$B$2:$B$38,MATCH('Project Info &amp; Summary'!$C$19,Lookups!$A$2:$A$38,0)),"")</f>
        <v/>
      </c>
      <c r="C189" s="153" t="str">
        <f>IFERROR(INDEX(Lookups!$C$2:$C$38,MATCH('Project Info &amp; Summary'!$C$19,Lookups!$A$2:$A$38,0)),"")</f>
        <v/>
      </c>
      <c r="D189" s="163"/>
      <c r="E189" s="160"/>
      <c r="F189" s="158"/>
      <c r="G189" s="158"/>
      <c r="H189" s="158"/>
      <c r="I189" s="158"/>
      <c r="J189" s="154" t="str">
        <f>IFERROR(INDEX(Lookups!$W$21:$W$26,MATCH(I189,Lookups!$V$21:$V$26,0)),"")</f>
        <v/>
      </c>
      <c r="K189" s="158"/>
      <c r="L189" s="162" t="str">
        <f>IFERROR(INDEX(Lookups!$Y$2:$Y$19,MATCH(_xlfn.CONCAT(I189,K189),Lookups!$X$2:$X$19,0)),"")</f>
        <v/>
      </c>
      <c r="M189" s="158"/>
      <c r="N189" s="153" t="str">
        <f>IFERROR(INDEX('Prescriptive Rebate Table'!$M$3:$M$20,MATCH(M189,'Prescriptive Rebate Table'!$L$3:$L$20,0)),"")</f>
        <v/>
      </c>
      <c r="O189" s="158"/>
      <c r="P189" s="154" t="str">
        <f>IFERROR(INDEX('Prescriptive Rebate Table'!$B$2:$H$64, MATCH(O189,'Prescriptive Rebate Table'!$C$2:$C$64,0),7),"")</f>
        <v/>
      </c>
      <c r="Q189" s="155" t="str">
        <f>IFERROR(INDEX('Prescriptive Rebate Table'!$B$2:$I$64, MATCH(O189,'Prescriptive Rebate Table'!$C$2:$C$64,0),8),"")</f>
        <v/>
      </c>
      <c r="R189" s="155" t="str">
        <f>IFERROR(INDEX('Prescriptive Rebate Table'!$B$2:$J$64, MATCH(O189,'Prescriptive Rebate Table'!$C$2:$C$64,0),9),"")</f>
        <v/>
      </c>
      <c r="S189" s="160"/>
      <c r="T189" s="145" t="str">
        <f>IFERROR(INDEX('Fixture Codes'!$M$8:$M$976,MATCH(S189,'Fixture Codes'!$B$8:$B$976,0)),"")</f>
        <v/>
      </c>
      <c r="U189" s="145" t="str">
        <f>IFERROR(INDEX('Fixture Codes'!$B$7:$M$976,MATCH(T189,'Fixture Codes'!$B$7:$B$976,0),5),"")</f>
        <v/>
      </c>
      <c r="V189" s="160"/>
      <c r="W189" s="145" t="str">
        <f>IFERROR(INDEX('Fixture Codes'!$L$8:$L$976,MATCH(T189,'Fixture Codes'!$B$8:$B$976,0)),"")</f>
        <v/>
      </c>
      <c r="X189" s="158"/>
      <c r="Y189" s="159"/>
      <c r="Z189" s="155" t="str">
        <f>IFERROR(INDEX(Lookups!B$68:B$87,MATCH($X189,Lookups!$A$68:$A$87,0)),"")</f>
        <v/>
      </c>
      <c r="AA189" s="150" t="str">
        <f>IFERROR(INDEX(Lookups!B$42:B$62,MATCH($X189,Lookups!$A$42:$A$62,0)),"")</f>
        <v/>
      </c>
      <c r="AB189" s="150" t="str">
        <f>IFERROR(INDEX(Lookups!C$42:C$62,MATCH($X189,Lookups!$A$42:$A$62,0)),"")</f>
        <v/>
      </c>
      <c r="AC189" s="160"/>
      <c r="AD189" s="160"/>
      <c r="AE189" s="150" t="str">
        <f>IFERROR(INDEX('Fixture Codes'!$B$7:$M$976,MATCH(AD189,'Fixture Codes'!$B$7:$B$976,0),5),"")</f>
        <v/>
      </c>
      <c r="AF189" s="160"/>
      <c r="AG189" s="145" t="str">
        <f>IFERROR(INDEX('Fixture Codes'!$L$8:$L$976,MATCH(AD189,'Fixture Codes'!$B$8:$B$976,0)),"")</f>
        <v/>
      </c>
      <c r="AH189" s="158"/>
      <c r="AI189" s="160"/>
      <c r="AJ189" s="150" t="str">
        <f>IFERROR(INDEX(Lookups!B$68:B$87,MATCH($AH189,Lookups!$A$68:$A$87,0)),"")</f>
        <v/>
      </c>
      <c r="AK189" s="150" t="str">
        <f>IFERROR(INDEX(Lookups!B$42:B$62,MATCH($AH189,Lookups!$A$42:$A$62,0)),"")</f>
        <v/>
      </c>
      <c r="AL189" s="150" t="str">
        <f>IFERROR(INDEX(Lookups!C$42:C$62,MATCH($AH189,Lookups!$A$42:$A$62,0)),"")</f>
        <v/>
      </c>
      <c r="AM189" s="150" t="str">
        <f>IFERROR(IF(M189="Exit Signs",8760,IF(INDEX('Fixture Codes'!$C$8:$C$976,MATCH(AD189,'Fixture Codes'!$B$8:$B$976,0))="Exit Sign",8760,INDEX(Lookups!$I$2:$I$428,MATCH(_xlfn.CONCAT(B189,H189),Lookups!$H$2:$H$428,0)))),"")</f>
        <v/>
      </c>
      <c r="AN189" s="153">
        <v>1</v>
      </c>
      <c r="AO189" s="150" t="str">
        <f>IF($D189="Interior",INDEX(Lookups!Q$2:Q$86,MATCH(_xlfn.CONCAT($C189,$L189),Lookups!$P$2:$P$86,0)),IF($D189="Exterior",1,""))</f>
        <v/>
      </c>
      <c r="AP189" s="150">
        <f t="shared" si="88"/>
        <v>1</v>
      </c>
      <c r="AQ189" s="150" t="str">
        <f>IF($D189="Interior",INDEX(Lookups!R$2:R$86,MATCH(_xlfn.CONCAT($C189,$L189),Lookups!$P$2:$P$86,0)),IF($D189="Exterior",1,""))</f>
        <v/>
      </c>
      <c r="AR189" s="150" t="str">
        <f>IF($D189="Interior",INDEX(Lookups!S$2:S$86,MATCH(_xlfn.CONCAT($C189,$L189),Lookups!$P$2:$P$86,0)),IF($D189="Exterior",1,""))</f>
        <v/>
      </c>
      <c r="AS189" s="150" t="str">
        <f>IF($D189="Interior",INDEX(Lookups!T$2:T$86,MATCH(_xlfn.CONCAT($C189,$L189),Lookups!$P$2:$P$86,0)),IF($D189="Exterior",1,""))</f>
        <v/>
      </c>
      <c r="AT189" s="150" t="str">
        <f>IFERROR(IF(M189="Exit Signs",1,IF(INDEX('Fixture Codes'!$C$8:$C$976,MATCH($AD189,'Fixture Codes'!$B$8:$B$976,0))="Exit Sign",1,INDEX(Lookups!J$2:J$428,MATCH(_xlfn.CONCAT($B189,$H189),Lookups!$H$2:$H$428,0)))),"")</f>
        <v/>
      </c>
      <c r="AU189" s="150" t="str">
        <f>IFERROR(IF(M189="Exit Signs",1,IF(INDEX('Fixture Codes'!$C$8:$C$976,MATCH($AD189,'Fixture Codes'!$B$8:$B$976,0))="Exit Sign",1,INDEX(Lookups!K$2:K$428,MATCH(_xlfn.CONCAT($B189,$H189),Lookups!$H$2:$H$428,0)))),"")</f>
        <v/>
      </c>
      <c r="AV189" s="150" t="str">
        <f>IFERROR(IF(M189="Exit Signs",1,IF(INDEX('Fixture Codes'!$C$8:$C$976,MATCH($AD189,'Fixture Codes'!$B$8:$B$976,0))="Exit Sign",1,INDEX(Lookups!L$2:L$428,MATCH(_xlfn.CONCAT($B189,$H189),Lookups!$H$2:$H$428,0)))),"")</f>
        <v/>
      </c>
      <c r="AW189" s="150" t="str">
        <f>IF(ISBLANK(K189),"",IF(K189="Gas",INDEX(Lookups!$AG$2:$AG$63,MATCH(O189,Lookups!$AD$2:$AD$63,0),0),0))</f>
        <v/>
      </c>
      <c r="AX189" s="150" t="str">
        <f>IF(ISBLANK(K189),"",IF(K189="Gas",INDEX(Lookups!$AF$2:$AF$63,MATCH(O189,Lookups!$AD$2:$AD$63,0),0),0))</f>
        <v/>
      </c>
      <c r="AY189" s="150" t="str">
        <f>IF(ISBLANK(K189),"",IF(K189="Gas",INDEX(Lookups!$AH$2:$AH$63,MATCH(O189,Lookups!$AD$2:$AD$63,0),0),0))</f>
        <v/>
      </c>
      <c r="AZ189" s="150" t="str">
        <f>IF(ISBLANK(K189),"",IF(K189="Gas",INDEX(Lookups!$AI$2:$AI$63,MATCH(O189,Lookups!$AD$2:$AD$63,0),0),0))</f>
        <v/>
      </c>
      <c r="BA189" s="150" t="str">
        <f t="shared" si="73"/>
        <v/>
      </c>
      <c r="BB189" s="156" t="str">
        <f>IF(ISBLANK(AH189),"",IF(AH189="None",0,IF(K189="Gas",INDEX(Lookups!$AF$51:$AF$69,MATCH(AH189,Lookups!$AD$51:$AD$69,0),0),0)))</f>
        <v/>
      </c>
      <c r="BC189" s="156" t="str">
        <f>IF(ISBLANK(AH189),"",IF(AH189="None",0,IF(K189="Gas",INDEX(Lookups!$AH$51:$AH$69,MATCH(AH189,Lookups!$AD$51:$AD$69,0),0),0)))</f>
        <v/>
      </c>
      <c r="BD189" s="156" t="str">
        <f>IF(ISBLANK(AH189),"",IF(AH189="None",0,IF(K189="Gas",INDEX(Lookups!$AI$51:$AI$69,MATCH(AH189,Lookups!$AD$51:$AD$69,0),0),0)))</f>
        <v/>
      </c>
      <c r="BE189" s="157"/>
      <c r="BF189" s="157"/>
      <c r="BG189" s="147" t="str">
        <f t="shared" si="89"/>
        <v/>
      </c>
      <c r="BH189" s="147" t="str">
        <f t="shared" si="90"/>
        <v/>
      </c>
      <c r="BI189" s="147" t="str">
        <f t="shared" si="74"/>
        <v/>
      </c>
      <c r="BJ189" s="147" t="str">
        <f t="shared" si="75"/>
        <v/>
      </c>
      <c r="BK189" s="148" t="str">
        <f t="shared" si="91"/>
        <v/>
      </c>
      <c r="BL189" s="147" t="str">
        <f t="shared" si="76"/>
        <v/>
      </c>
      <c r="BM189" s="148" t="str">
        <f t="shared" si="92"/>
        <v/>
      </c>
      <c r="BN189" s="147" t="str">
        <f t="shared" si="93"/>
        <v/>
      </c>
      <c r="BO189" s="147" t="str">
        <f t="shared" si="93"/>
        <v/>
      </c>
      <c r="BP189" s="147" t="str">
        <f t="shared" si="94"/>
        <v/>
      </c>
      <c r="BQ189" s="148" t="str">
        <f t="shared" si="95"/>
        <v/>
      </c>
      <c r="BR189" s="148" t="str">
        <f t="shared" si="96"/>
        <v/>
      </c>
      <c r="BS189" s="148" t="str">
        <f t="shared" si="97"/>
        <v/>
      </c>
      <c r="BT189" s="148" t="str">
        <f t="shared" si="77"/>
        <v/>
      </c>
      <c r="BU189" s="148" t="str">
        <f t="shared" si="78"/>
        <v/>
      </c>
      <c r="BV189" s="148" t="str">
        <f t="shared" si="79"/>
        <v/>
      </c>
      <c r="BW189" s="148" t="str">
        <f t="shared" si="80"/>
        <v/>
      </c>
      <c r="BX189" s="148" t="str">
        <f t="shared" si="81"/>
        <v/>
      </c>
      <c r="BY189" s="148" t="str">
        <f t="shared" si="82"/>
        <v/>
      </c>
      <c r="BZ189" s="149" t="str">
        <f>IFERROR(INDEX('Prescriptive Rebate Table'!$B$2:$E$64,MATCH(O189,'Prescriptive Rebate Table'!$C$2:$C$64,0),3),"")</f>
        <v/>
      </c>
      <c r="CA189" s="145" t="str">
        <f>IFERROR(INDEX('Prescriptive Rebate Table'!$B$2:$E$64,MATCH(O189,'Prescriptive Rebate Table'!$C$2:$C$64,0),4),"")</f>
        <v/>
      </c>
      <c r="CB189" s="149" t="str">
        <f t="shared" si="98"/>
        <v/>
      </c>
      <c r="CC189" s="145" t="str">
        <f t="shared" si="99"/>
        <v/>
      </c>
      <c r="CD189" s="149" t="str">
        <f t="shared" si="83"/>
        <v/>
      </c>
      <c r="CE189" s="149" t="str">
        <f t="shared" si="84"/>
        <v/>
      </c>
      <c r="CF189" s="149" t="str">
        <f>IF(BK189&lt;=0,0,IFERROR(IF(OR(ISBLANK(AC189),ISBLANK(CD189))=TRUE,"",IF(CA189="Per Foot",INDEX('Fixture Codes'!$I$8:$I$976,MATCH(AD189,'Fixture Codes'!$B$8:$B$976,0))/12*AF189*BZ189,IF(CA189="Lamp",INDEX('Fixture Codes'!$J$8:$J$976,MATCH(AD189,'Fixture Codes'!$B$8:$B$976,0))*AF189*BZ189,IF(CA189="Fixture",AF189*BZ189,IF(CA189="kWh",BK189*BZ189,0))))),""))</f>
        <v/>
      </c>
      <c r="CG189" s="149" t="str">
        <f t="shared" si="100"/>
        <v/>
      </c>
      <c r="CH189" s="149" t="str">
        <f t="shared" si="101"/>
        <v/>
      </c>
      <c r="CI189" s="152"/>
      <c r="CJ189" s="146"/>
      <c r="CK189" s="241">
        <f>IFERROR(IF(CL189="Yes",'Prescriptive Rebate Table'!$D$69,IF(ISBLANK(AI189),0,IF(AND(AH189=Lookups!$A$62,BK189&gt;0),'Prescriptive Rebate Table'!$D$68,IF(AND(BK189&gt;0,CJ189=AF189),'Prescriptive Rebate Table'!$D$67,IF(AND(BK189&gt;0,CJ189&lt;&gt;AF189),'Prescriptive Rebate Table'!D248,0))))),"")</f>
        <v>0</v>
      </c>
      <c r="CL189" s="240" t="s">
        <v>2712</v>
      </c>
      <c r="CM189" s="152"/>
      <c r="CN189" s="152"/>
      <c r="CO189" s="152"/>
      <c r="CP189" s="146">
        <f t="shared" si="85"/>
        <v>0</v>
      </c>
      <c r="CQ189" s="153">
        <f>IF(D189="Interior",ROUND(($AG189*AF189)/1000*$AM189*(Lookups!$B$54-$AA189)*$AN189*$AO189,3),0)</f>
        <v>0</v>
      </c>
      <c r="CR189" s="153">
        <f>IFERROR(IF(D189="Interior",ROUND(($AG189*$AF189)/1000*(Lookups!$C$54-$AB189)*$AN189*AQ189*AT189,6),0),"")</f>
        <v>0</v>
      </c>
      <c r="CS189" s="165">
        <f t="shared" si="102"/>
        <v>0</v>
      </c>
      <c r="CT189" s="165">
        <f t="shared" si="103"/>
        <v>0</v>
      </c>
      <c r="CV189" s="153"/>
      <c r="CW189" s="153"/>
      <c r="CX189" s="165"/>
      <c r="CY189" s="165"/>
      <c r="DA189" s="153">
        <f>IF(D189="Interior",ROUND(($AG189*AF189*(1-0.15))/1000*$AM189*(Lookups!$B$43+0.097-$AA189)*$AN189*$AO189+((W189*V189)/1000*AN189*AM189*AO189*0.15),3),0)</f>
        <v>0</v>
      </c>
      <c r="DB189" s="153">
        <f>IFERROR(IF(D189="Interior",ROUND(($AG189*$AF189)/1000*(Lookups!$C$43+0.097-$AB189)*$AN189*AQ189*AT189+(($AG189*$AF189)/1000*$AN189*AQ189*AT189*0.15),6),0),"")</f>
        <v>0</v>
      </c>
      <c r="DC189" s="165">
        <f t="shared" si="104"/>
        <v>0</v>
      </c>
      <c r="DD189" s="165">
        <f t="shared" si="105"/>
        <v>0</v>
      </c>
    </row>
    <row r="190" spans="1:108" s="164" customFormat="1">
      <c r="A190" s="150">
        <v>186</v>
      </c>
      <c r="B190" s="153" t="str">
        <f>IFERROR(INDEX(Lookups!$B$2:$B$38,MATCH('Project Info &amp; Summary'!$C$19,Lookups!$A$2:$A$38,0)),"")</f>
        <v/>
      </c>
      <c r="C190" s="153" t="str">
        <f>IFERROR(INDEX(Lookups!$C$2:$C$38,MATCH('Project Info &amp; Summary'!$C$19,Lookups!$A$2:$A$38,0)),"")</f>
        <v/>
      </c>
      <c r="D190" s="163"/>
      <c r="E190" s="160"/>
      <c r="F190" s="158"/>
      <c r="G190" s="158"/>
      <c r="H190" s="158"/>
      <c r="I190" s="158"/>
      <c r="J190" s="154" t="str">
        <f>IFERROR(INDEX(Lookups!$W$21:$W$26,MATCH(I190,Lookups!$V$21:$V$26,0)),"")</f>
        <v/>
      </c>
      <c r="K190" s="158"/>
      <c r="L190" s="162" t="str">
        <f>IFERROR(INDEX(Lookups!$Y$2:$Y$19,MATCH(_xlfn.CONCAT(I190,K190),Lookups!$X$2:$X$19,0)),"")</f>
        <v/>
      </c>
      <c r="M190" s="158"/>
      <c r="N190" s="153" t="str">
        <f>IFERROR(INDEX('Prescriptive Rebate Table'!$M$3:$M$20,MATCH(M190,'Prescriptive Rebate Table'!$L$3:$L$20,0)),"")</f>
        <v/>
      </c>
      <c r="O190" s="158"/>
      <c r="P190" s="154" t="str">
        <f>IFERROR(INDEX('Prescriptive Rebate Table'!$B$2:$H$64, MATCH(O190,'Prescriptive Rebate Table'!$C$2:$C$64,0),7),"")</f>
        <v/>
      </c>
      <c r="Q190" s="155" t="str">
        <f>IFERROR(INDEX('Prescriptive Rebate Table'!$B$2:$I$64, MATCH(O190,'Prescriptive Rebate Table'!$C$2:$C$64,0),8),"")</f>
        <v/>
      </c>
      <c r="R190" s="155" t="str">
        <f>IFERROR(INDEX('Prescriptive Rebate Table'!$B$2:$J$64, MATCH(O190,'Prescriptive Rebate Table'!$C$2:$C$64,0),9),"")</f>
        <v/>
      </c>
      <c r="S190" s="160"/>
      <c r="T190" s="145" t="str">
        <f>IFERROR(INDEX('Fixture Codes'!$M$8:$M$976,MATCH(S190,'Fixture Codes'!$B$8:$B$976,0)),"")</f>
        <v/>
      </c>
      <c r="U190" s="145" t="str">
        <f>IFERROR(INDEX('Fixture Codes'!$B$7:$M$976,MATCH(T190,'Fixture Codes'!$B$7:$B$976,0),5),"")</f>
        <v/>
      </c>
      <c r="V190" s="160"/>
      <c r="W190" s="145" t="str">
        <f>IFERROR(INDEX('Fixture Codes'!$L$8:$L$976,MATCH(T190,'Fixture Codes'!$B$8:$B$976,0)),"")</f>
        <v/>
      </c>
      <c r="X190" s="158"/>
      <c r="Y190" s="159"/>
      <c r="Z190" s="155" t="str">
        <f>IFERROR(INDEX(Lookups!B$68:B$87,MATCH($X190,Lookups!$A$68:$A$87,0)),"")</f>
        <v/>
      </c>
      <c r="AA190" s="150" t="str">
        <f>IFERROR(INDEX(Lookups!B$42:B$62,MATCH($X190,Lookups!$A$42:$A$62,0)),"")</f>
        <v/>
      </c>
      <c r="AB190" s="150" t="str">
        <f>IFERROR(INDEX(Lookups!C$42:C$62,MATCH($X190,Lookups!$A$42:$A$62,0)),"")</f>
        <v/>
      </c>
      <c r="AC190" s="160"/>
      <c r="AD190" s="160"/>
      <c r="AE190" s="150" t="str">
        <f>IFERROR(INDEX('Fixture Codes'!$B$7:$M$976,MATCH(AD190,'Fixture Codes'!$B$7:$B$976,0),5),"")</f>
        <v/>
      </c>
      <c r="AF190" s="160"/>
      <c r="AG190" s="145" t="str">
        <f>IFERROR(INDEX('Fixture Codes'!$L$8:$L$976,MATCH(AD190,'Fixture Codes'!$B$8:$B$976,0)),"")</f>
        <v/>
      </c>
      <c r="AH190" s="158"/>
      <c r="AI190" s="160"/>
      <c r="AJ190" s="150" t="str">
        <f>IFERROR(INDEX(Lookups!B$68:B$87,MATCH($AH190,Lookups!$A$68:$A$87,0)),"")</f>
        <v/>
      </c>
      <c r="AK190" s="150" t="str">
        <f>IFERROR(INDEX(Lookups!B$42:B$62,MATCH($AH190,Lookups!$A$42:$A$62,0)),"")</f>
        <v/>
      </c>
      <c r="AL190" s="150" t="str">
        <f>IFERROR(INDEX(Lookups!C$42:C$62,MATCH($AH190,Lookups!$A$42:$A$62,0)),"")</f>
        <v/>
      </c>
      <c r="AM190" s="150" t="str">
        <f>IFERROR(IF(M190="Exit Signs",8760,IF(INDEX('Fixture Codes'!$C$8:$C$976,MATCH(AD190,'Fixture Codes'!$B$8:$B$976,0))="Exit Sign",8760,INDEX(Lookups!$I$2:$I$428,MATCH(_xlfn.CONCAT(B190,H190),Lookups!$H$2:$H$428,0)))),"")</f>
        <v/>
      </c>
      <c r="AN190" s="153">
        <v>1</v>
      </c>
      <c r="AO190" s="150" t="str">
        <f>IF($D190="Interior",INDEX(Lookups!Q$2:Q$86,MATCH(_xlfn.CONCAT($C190,$L190),Lookups!$P$2:$P$86,0)),IF($D190="Exterior",1,""))</f>
        <v/>
      </c>
      <c r="AP190" s="150">
        <f t="shared" si="88"/>
        <v>1</v>
      </c>
      <c r="AQ190" s="150" t="str">
        <f>IF($D190="Interior",INDEX(Lookups!R$2:R$86,MATCH(_xlfn.CONCAT($C190,$L190),Lookups!$P$2:$P$86,0)),IF($D190="Exterior",1,""))</f>
        <v/>
      </c>
      <c r="AR190" s="150" t="str">
        <f>IF($D190="Interior",INDEX(Lookups!S$2:S$86,MATCH(_xlfn.CONCAT($C190,$L190),Lookups!$P$2:$P$86,0)),IF($D190="Exterior",1,""))</f>
        <v/>
      </c>
      <c r="AS190" s="150" t="str">
        <f>IF($D190="Interior",INDEX(Lookups!T$2:T$86,MATCH(_xlfn.CONCAT($C190,$L190),Lookups!$P$2:$P$86,0)),IF($D190="Exterior",1,""))</f>
        <v/>
      </c>
      <c r="AT190" s="150" t="str">
        <f>IFERROR(IF(M190="Exit Signs",1,IF(INDEX('Fixture Codes'!$C$8:$C$976,MATCH($AD190,'Fixture Codes'!$B$8:$B$976,0))="Exit Sign",1,INDEX(Lookups!J$2:J$428,MATCH(_xlfn.CONCAT($B190,$H190),Lookups!$H$2:$H$428,0)))),"")</f>
        <v/>
      </c>
      <c r="AU190" s="150" t="str">
        <f>IFERROR(IF(M190="Exit Signs",1,IF(INDEX('Fixture Codes'!$C$8:$C$976,MATCH($AD190,'Fixture Codes'!$B$8:$B$976,0))="Exit Sign",1,INDEX(Lookups!K$2:K$428,MATCH(_xlfn.CONCAT($B190,$H190),Lookups!$H$2:$H$428,0)))),"")</f>
        <v/>
      </c>
      <c r="AV190" s="150" t="str">
        <f>IFERROR(IF(M190="Exit Signs",1,IF(INDEX('Fixture Codes'!$C$8:$C$976,MATCH($AD190,'Fixture Codes'!$B$8:$B$976,0))="Exit Sign",1,INDEX(Lookups!L$2:L$428,MATCH(_xlfn.CONCAT($B190,$H190),Lookups!$H$2:$H$428,0)))),"")</f>
        <v/>
      </c>
      <c r="AW190" s="150" t="str">
        <f>IF(ISBLANK(K190),"",IF(K190="Gas",INDEX(Lookups!$AG$2:$AG$63,MATCH(O190,Lookups!$AD$2:$AD$63,0),0),0))</f>
        <v/>
      </c>
      <c r="AX190" s="150" t="str">
        <f>IF(ISBLANK(K190),"",IF(K190="Gas",INDEX(Lookups!$AF$2:$AF$63,MATCH(O190,Lookups!$AD$2:$AD$63,0),0),0))</f>
        <v/>
      </c>
      <c r="AY190" s="150" t="str">
        <f>IF(ISBLANK(K190),"",IF(K190="Gas",INDEX(Lookups!$AH$2:$AH$63,MATCH(O190,Lookups!$AD$2:$AD$63,0),0),0))</f>
        <v/>
      </c>
      <c r="AZ190" s="150" t="str">
        <f>IF(ISBLANK(K190),"",IF(K190="Gas",INDEX(Lookups!$AI$2:$AI$63,MATCH(O190,Lookups!$AD$2:$AD$63,0),0),0))</f>
        <v/>
      </c>
      <c r="BA190" s="150" t="str">
        <f t="shared" si="73"/>
        <v/>
      </c>
      <c r="BB190" s="156" t="str">
        <f>IF(ISBLANK(AH190),"",IF(AH190="None",0,IF(K190="Gas",INDEX(Lookups!$AF$51:$AF$69,MATCH(AH190,Lookups!$AD$51:$AD$69,0),0),0)))</f>
        <v/>
      </c>
      <c r="BC190" s="156" t="str">
        <f>IF(ISBLANK(AH190),"",IF(AH190="None",0,IF(K190="Gas",INDEX(Lookups!$AH$51:$AH$69,MATCH(AH190,Lookups!$AD$51:$AD$69,0),0),0)))</f>
        <v/>
      </c>
      <c r="BD190" s="156" t="str">
        <f>IF(ISBLANK(AH190),"",IF(AH190="None",0,IF(K190="Gas",INDEX(Lookups!$AI$51:$AI$69,MATCH(AH190,Lookups!$AD$51:$AD$69,0),0),0)))</f>
        <v/>
      </c>
      <c r="BE190" s="157"/>
      <c r="BF190" s="157"/>
      <c r="BG190" s="147" t="str">
        <f t="shared" si="89"/>
        <v/>
      </c>
      <c r="BH190" s="147" t="str">
        <f t="shared" si="90"/>
        <v/>
      </c>
      <c r="BI190" s="147" t="str">
        <f t="shared" si="74"/>
        <v/>
      </c>
      <c r="BJ190" s="147" t="str">
        <f t="shared" si="75"/>
        <v/>
      </c>
      <c r="BK190" s="148" t="str">
        <f t="shared" si="91"/>
        <v/>
      </c>
      <c r="BL190" s="147" t="str">
        <f t="shared" si="76"/>
        <v/>
      </c>
      <c r="BM190" s="148" t="str">
        <f t="shared" si="92"/>
        <v/>
      </c>
      <c r="BN190" s="147" t="str">
        <f t="shared" si="93"/>
        <v/>
      </c>
      <c r="BO190" s="147" t="str">
        <f t="shared" si="93"/>
        <v/>
      </c>
      <c r="BP190" s="147" t="str">
        <f t="shared" si="94"/>
        <v/>
      </c>
      <c r="BQ190" s="148" t="str">
        <f t="shared" si="95"/>
        <v/>
      </c>
      <c r="BR190" s="148" t="str">
        <f t="shared" si="96"/>
        <v/>
      </c>
      <c r="BS190" s="148" t="str">
        <f t="shared" si="97"/>
        <v/>
      </c>
      <c r="BT190" s="148" t="str">
        <f t="shared" si="77"/>
        <v/>
      </c>
      <c r="BU190" s="148" t="str">
        <f t="shared" si="78"/>
        <v/>
      </c>
      <c r="BV190" s="148" t="str">
        <f t="shared" si="79"/>
        <v/>
      </c>
      <c r="BW190" s="148" t="str">
        <f t="shared" si="80"/>
        <v/>
      </c>
      <c r="BX190" s="148" t="str">
        <f t="shared" si="81"/>
        <v/>
      </c>
      <c r="BY190" s="148" t="str">
        <f t="shared" si="82"/>
        <v/>
      </c>
      <c r="BZ190" s="149" t="str">
        <f>IFERROR(INDEX('Prescriptive Rebate Table'!$B$2:$E$64,MATCH(O190,'Prescriptive Rebate Table'!$C$2:$C$64,0),3),"")</f>
        <v/>
      </c>
      <c r="CA190" s="145" t="str">
        <f>IFERROR(INDEX('Prescriptive Rebate Table'!$B$2:$E$64,MATCH(O190,'Prescriptive Rebate Table'!$C$2:$C$64,0),4),"")</f>
        <v/>
      </c>
      <c r="CB190" s="149" t="str">
        <f t="shared" si="98"/>
        <v/>
      </c>
      <c r="CC190" s="145" t="str">
        <f t="shared" si="99"/>
        <v/>
      </c>
      <c r="CD190" s="149" t="str">
        <f t="shared" si="83"/>
        <v/>
      </c>
      <c r="CE190" s="149" t="str">
        <f t="shared" si="84"/>
        <v/>
      </c>
      <c r="CF190" s="149" t="str">
        <f>IF(BK190&lt;=0,0,IFERROR(IF(OR(ISBLANK(AC190),ISBLANK(CD190))=TRUE,"",IF(CA190="Per Foot",INDEX('Fixture Codes'!$I$8:$I$976,MATCH(AD190,'Fixture Codes'!$B$8:$B$976,0))/12*AF190*BZ190,IF(CA190="Lamp",INDEX('Fixture Codes'!$J$8:$J$976,MATCH(AD190,'Fixture Codes'!$B$8:$B$976,0))*AF190*BZ190,IF(CA190="Fixture",AF190*BZ190,IF(CA190="kWh",BK190*BZ190,0))))),""))</f>
        <v/>
      </c>
      <c r="CG190" s="149" t="str">
        <f t="shared" si="100"/>
        <v/>
      </c>
      <c r="CH190" s="149" t="str">
        <f t="shared" si="101"/>
        <v/>
      </c>
      <c r="CI190" s="152"/>
      <c r="CJ190" s="146"/>
      <c r="CK190" s="241">
        <f>IFERROR(IF(CL190="Yes",'Prescriptive Rebate Table'!$D$69,IF(ISBLANK(AI190),0,IF(AND(AH190=Lookups!$A$62,BK190&gt;0),'Prescriptive Rebate Table'!$D$68,IF(AND(BK190&gt;0,CJ190=AF190),'Prescriptive Rebate Table'!$D$67,IF(AND(BK190&gt;0,CJ190&lt;&gt;AF190),'Prescriptive Rebate Table'!D249,0))))),"")</f>
        <v>0</v>
      </c>
      <c r="CL190" s="240" t="s">
        <v>2712</v>
      </c>
      <c r="CM190" s="152"/>
      <c r="CN190" s="152"/>
      <c r="CO190" s="152"/>
      <c r="CP190" s="146">
        <f t="shared" si="85"/>
        <v>0</v>
      </c>
      <c r="CQ190" s="153">
        <f>IF(D190="Interior",ROUND(($AG190*AF190)/1000*$AM190*(Lookups!$B$54-$AA190)*$AN190*$AO190,3),0)</f>
        <v>0</v>
      </c>
      <c r="CR190" s="153">
        <f>IFERROR(IF(D190="Interior",ROUND(($AG190*$AF190)/1000*(Lookups!$C$54-$AB190)*$AN190*AQ190*AT190,6),0),"")</f>
        <v>0</v>
      </c>
      <c r="CS190" s="165">
        <f t="shared" si="102"/>
        <v>0</v>
      </c>
      <c r="CT190" s="165">
        <f t="shared" si="103"/>
        <v>0</v>
      </c>
      <c r="CV190" s="153"/>
      <c r="CW190" s="153"/>
      <c r="CX190" s="165"/>
      <c r="CY190" s="165"/>
      <c r="DA190" s="153">
        <f>IF(D190="Interior",ROUND(($AG190*AF190*(1-0.15))/1000*$AM190*(Lookups!$B$43+0.097-$AA190)*$AN190*$AO190+((W190*V190)/1000*AN190*AM190*AO190*0.15),3),0)</f>
        <v>0</v>
      </c>
      <c r="DB190" s="153">
        <f>IFERROR(IF(D190="Interior",ROUND(($AG190*$AF190)/1000*(Lookups!$C$43+0.097-$AB190)*$AN190*AQ190*AT190+(($AG190*$AF190)/1000*$AN190*AQ190*AT190*0.15),6),0),"")</f>
        <v>0</v>
      </c>
      <c r="DC190" s="165">
        <f t="shared" si="104"/>
        <v>0</v>
      </c>
      <c r="DD190" s="165">
        <f t="shared" si="105"/>
        <v>0</v>
      </c>
    </row>
    <row r="191" spans="1:108" s="164" customFormat="1">
      <c r="A191" s="150">
        <v>187</v>
      </c>
      <c r="B191" s="153" t="str">
        <f>IFERROR(INDEX(Lookups!$B$2:$B$38,MATCH('Project Info &amp; Summary'!$C$19,Lookups!$A$2:$A$38,0)),"")</f>
        <v/>
      </c>
      <c r="C191" s="153" t="str">
        <f>IFERROR(INDEX(Lookups!$C$2:$C$38,MATCH('Project Info &amp; Summary'!$C$19,Lookups!$A$2:$A$38,0)),"")</f>
        <v/>
      </c>
      <c r="D191" s="163"/>
      <c r="E191" s="160"/>
      <c r="F191" s="158"/>
      <c r="G191" s="158"/>
      <c r="H191" s="158"/>
      <c r="I191" s="158"/>
      <c r="J191" s="154" t="str">
        <f>IFERROR(INDEX(Lookups!$W$21:$W$26,MATCH(I191,Lookups!$V$21:$V$26,0)),"")</f>
        <v/>
      </c>
      <c r="K191" s="158"/>
      <c r="L191" s="162" t="str">
        <f>IFERROR(INDEX(Lookups!$Y$2:$Y$19,MATCH(_xlfn.CONCAT(I191,K191),Lookups!$X$2:$X$19,0)),"")</f>
        <v/>
      </c>
      <c r="M191" s="158"/>
      <c r="N191" s="153" t="str">
        <f>IFERROR(INDEX('Prescriptive Rebate Table'!$M$3:$M$20,MATCH(M191,'Prescriptive Rebate Table'!$L$3:$L$20,0)),"")</f>
        <v/>
      </c>
      <c r="O191" s="158"/>
      <c r="P191" s="154" t="str">
        <f>IFERROR(INDEX('Prescriptive Rebate Table'!$B$2:$H$64, MATCH(O191,'Prescriptive Rebate Table'!$C$2:$C$64,0),7),"")</f>
        <v/>
      </c>
      <c r="Q191" s="155" t="str">
        <f>IFERROR(INDEX('Prescriptive Rebate Table'!$B$2:$I$64, MATCH(O191,'Prescriptive Rebate Table'!$C$2:$C$64,0),8),"")</f>
        <v/>
      </c>
      <c r="R191" s="155" t="str">
        <f>IFERROR(INDEX('Prescriptive Rebate Table'!$B$2:$J$64, MATCH(O191,'Prescriptive Rebate Table'!$C$2:$C$64,0),9),"")</f>
        <v/>
      </c>
      <c r="S191" s="160"/>
      <c r="T191" s="145" t="str">
        <f>IFERROR(INDEX('Fixture Codes'!$M$8:$M$976,MATCH(S191,'Fixture Codes'!$B$8:$B$976,0)),"")</f>
        <v/>
      </c>
      <c r="U191" s="145" t="str">
        <f>IFERROR(INDEX('Fixture Codes'!$B$7:$M$976,MATCH(T191,'Fixture Codes'!$B$7:$B$976,0),5),"")</f>
        <v/>
      </c>
      <c r="V191" s="160"/>
      <c r="W191" s="145" t="str">
        <f>IFERROR(INDEX('Fixture Codes'!$L$8:$L$976,MATCH(T191,'Fixture Codes'!$B$8:$B$976,0)),"")</f>
        <v/>
      </c>
      <c r="X191" s="158"/>
      <c r="Y191" s="159"/>
      <c r="Z191" s="155" t="str">
        <f>IFERROR(INDEX(Lookups!B$68:B$87,MATCH($X191,Lookups!$A$68:$A$87,0)),"")</f>
        <v/>
      </c>
      <c r="AA191" s="150" t="str">
        <f>IFERROR(INDEX(Lookups!B$42:B$62,MATCH($X191,Lookups!$A$42:$A$62,0)),"")</f>
        <v/>
      </c>
      <c r="AB191" s="150" t="str">
        <f>IFERROR(INDEX(Lookups!C$42:C$62,MATCH($X191,Lookups!$A$42:$A$62,0)),"")</f>
        <v/>
      </c>
      <c r="AC191" s="160"/>
      <c r="AD191" s="160"/>
      <c r="AE191" s="150" t="str">
        <f>IFERROR(INDEX('Fixture Codes'!$B$7:$M$976,MATCH(AD191,'Fixture Codes'!$B$7:$B$976,0),5),"")</f>
        <v/>
      </c>
      <c r="AF191" s="160"/>
      <c r="AG191" s="145" t="str">
        <f>IFERROR(INDEX('Fixture Codes'!$L$8:$L$976,MATCH(AD191,'Fixture Codes'!$B$8:$B$976,0)),"")</f>
        <v/>
      </c>
      <c r="AH191" s="158"/>
      <c r="AI191" s="160"/>
      <c r="AJ191" s="150" t="str">
        <f>IFERROR(INDEX(Lookups!B$68:B$87,MATCH($AH191,Lookups!$A$68:$A$87,0)),"")</f>
        <v/>
      </c>
      <c r="AK191" s="150" t="str">
        <f>IFERROR(INDEX(Lookups!B$42:B$62,MATCH($AH191,Lookups!$A$42:$A$62,0)),"")</f>
        <v/>
      </c>
      <c r="AL191" s="150" t="str">
        <f>IFERROR(INDEX(Lookups!C$42:C$62,MATCH($AH191,Lookups!$A$42:$A$62,0)),"")</f>
        <v/>
      </c>
      <c r="AM191" s="150" t="str">
        <f>IFERROR(IF(M191="Exit Signs",8760,IF(INDEX('Fixture Codes'!$C$8:$C$976,MATCH(AD191,'Fixture Codes'!$B$8:$B$976,0))="Exit Sign",8760,INDEX(Lookups!$I$2:$I$428,MATCH(_xlfn.CONCAT(B191,H191),Lookups!$H$2:$H$428,0)))),"")</f>
        <v/>
      </c>
      <c r="AN191" s="153">
        <v>1</v>
      </c>
      <c r="AO191" s="150" t="str">
        <f>IF($D191="Interior",INDEX(Lookups!Q$2:Q$86,MATCH(_xlfn.CONCAT($C191,$L191),Lookups!$P$2:$P$86,0)),IF($D191="Exterior",1,""))</f>
        <v/>
      </c>
      <c r="AP191" s="150">
        <f t="shared" si="88"/>
        <v>1</v>
      </c>
      <c r="AQ191" s="150" t="str">
        <f>IF($D191="Interior",INDEX(Lookups!R$2:R$86,MATCH(_xlfn.CONCAT($C191,$L191),Lookups!$P$2:$P$86,0)),IF($D191="Exterior",1,""))</f>
        <v/>
      </c>
      <c r="AR191" s="150" t="str">
        <f>IF($D191="Interior",INDEX(Lookups!S$2:S$86,MATCH(_xlfn.CONCAT($C191,$L191),Lookups!$P$2:$P$86,0)),IF($D191="Exterior",1,""))</f>
        <v/>
      </c>
      <c r="AS191" s="150" t="str">
        <f>IF($D191="Interior",INDEX(Lookups!T$2:T$86,MATCH(_xlfn.CONCAT($C191,$L191),Lookups!$P$2:$P$86,0)),IF($D191="Exterior",1,""))</f>
        <v/>
      </c>
      <c r="AT191" s="150" t="str">
        <f>IFERROR(IF(M191="Exit Signs",1,IF(INDEX('Fixture Codes'!$C$8:$C$976,MATCH($AD191,'Fixture Codes'!$B$8:$B$976,0))="Exit Sign",1,INDEX(Lookups!J$2:J$428,MATCH(_xlfn.CONCAT($B191,$H191),Lookups!$H$2:$H$428,0)))),"")</f>
        <v/>
      </c>
      <c r="AU191" s="150" t="str">
        <f>IFERROR(IF(M191="Exit Signs",1,IF(INDEX('Fixture Codes'!$C$8:$C$976,MATCH($AD191,'Fixture Codes'!$B$8:$B$976,0))="Exit Sign",1,INDEX(Lookups!K$2:K$428,MATCH(_xlfn.CONCAT($B191,$H191),Lookups!$H$2:$H$428,0)))),"")</f>
        <v/>
      </c>
      <c r="AV191" s="150" t="str">
        <f>IFERROR(IF(M191="Exit Signs",1,IF(INDEX('Fixture Codes'!$C$8:$C$976,MATCH($AD191,'Fixture Codes'!$B$8:$B$976,0))="Exit Sign",1,INDEX(Lookups!L$2:L$428,MATCH(_xlfn.CONCAT($B191,$H191),Lookups!$H$2:$H$428,0)))),"")</f>
        <v/>
      </c>
      <c r="AW191" s="150" t="str">
        <f>IF(ISBLANK(K191),"",IF(K191="Gas",INDEX(Lookups!$AG$2:$AG$63,MATCH(O191,Lookups!$AD$2:$AD$63,0),0),0))</f>
        <v/>
      </c>
      <c r="AX191" s="150" t="str">
        <f>IF(ISBLANK(K191),"",IF(K191="Gas",INDEX(Lookups!$AF$2:$AF$63,MATCH(O191,Lookups!$AD$2:$AD$63,0),0),0))</f>
        <v/>
      </c>
      <c r="AY191" s="150" t="str">
        <f>IF(ISBLANK(K191),"",IF(K191="Gas",INDEX(Lookups!$AH$2:$AH$63,MATCH(O191,Lookups!$AD$2:$AD$63,0),0),0))</f>
        <v/>
      </c>
      <c r="AZ191" s="150" t="str">
        <f>IF(ISBLANK(K191),"",IF(K191="Gas",INDEX(Lookups!$AI$2:$AI$63,MATCH(O191,Lookups!$AD$2:$AD$63,0),0),0))</f>
        <v/>
      </c>
      <c r="BA191" s="150" t="str">
        <f t="shared" si="73"/>
        <v/>
      </c>
      <c r="BB191" s="156" t="str">
        <f>IF(ISBLANK(AH191),"",IF(AH191="None",0,IF(K191="Gas",INDEX(Lookups!$AF$51:$AF$69,MATCH(AH191,Lookups!$AD$51:$AD$69,0),0),0)))</f>
        <v/>
      </c>
      <c r="BC191" s="156" t="str">
        <f>IF(ISBLANK(AH191),"",IF(AH191="None",0,IF(K191="Gas",INDEX(Lookups!$AH$51:$AH$69,MATCH(AH191,Lookups!$AD$51:$AD$69,0),0),0)))</f>
        <v/>
      </c>
      <c r="BD191" s="156" t="str">
        <f>IF(ISBLANK(AH191),"",IF(AH191="None",0,IF(K191="Gas",INDEX(Lookups!$AI$51:$AI$69,MATCH(AH191,Lookups!$AD$51:$AD$69,0),0),0)))</f>
        <v/>
      </c>
      <c r="BE191" s="157"/>
      <c r="BF191" s="157"/>
      <c r="BG191" s="147" t="str">
        <f t="shared" si="89"/>
        <v/>
      </c>
      <c r="BH191" s="147" t="str">
        <f t="shared" si="90"/>
        <v/>
      </c>
      <c r="BI191" s="147" t="str">
        <f t="shared" si="74"/>
        <v/>
      </c>
      <c r="BJ191" s="147" t="str">
        <f t="shared" si="75"/>
        <v/>
      </c>
      <c r="BK191" s="148" t="str">
        <f t="shared" si="91"/>
        <v/>
      </c>
      <c r="BL191" s="147" t="str">
        <f t="shared" si="76"/>
        <v/>
      </c>
      <c r="BM191" s="148" t="str">
        <f t="shared" si="92"/>
        <v/>
      </c>
      <c r="BN191" s="147" t="str">
        <f t="shared" si="93"/>
        <v/>
      </c>
      <c r="BO191" s="147" t="str">
        <f t="shared" si="93"/>
        <v/>
      </c>
      <c r="BP191" s="147" t="str">
        <f t="shared" si="94"/>
        <v/>
      </c>
      <c r="BQ191" s="148" t="str">
        <f t="shared" si="95"/>
        <v/>
      </c>
      <c r="BR191" s="148" t="str">
        <f t="shared" si="96"/>
        <v/>
      </c>
      <c r="BS191" s="148" t="str">
        <f t="shared" si="97"/>
        <v/>
      </c>
      <c r="BT191" s="148" t="str">
        <f t="shared" si="77"/>
        <v/>
      </c>
      <c r="BU191" s="148" t="str">
        <f t="shared" si="78"/>
        <v/>
      </c>
      <c r="BV191" s="148" t="str">
        <f t="shared" si="79"/>
        <v/>
      </c>
      <c r="BW191" s="148" t="str">
        <f t="shared" si="80"/>
        <v/>
      </c>
      <c r="BX191" s="148" t="str">
        <f t="shared" si="81"/>
        <v/>
      </c>
      <c r="BY191" s="148" t="str">
        <f t="shared" si="82"/>
        <v/>
      </c>
      <c r="BZ191" s="149" t="str">
        <f>IFERROR(INDEX('Prescriptive Rebate Table'!$B$2:$E$64,MATCH(O191,'Prescriptive Rebate Table'!$C$2:$C$64,0),3),"")</f>
        <v/>
      </c>
      <c r="CA191" s="145" t="str">
        <f>IFERROR(INDEX('Prescriptive Rebate Table'!$B$2:$E$64,MATCH(O191,'Prescriptive Rebate Table'!$C$2:$C$64,0),4),"")</f>
        <v/>
      </c>
      <c r="CB191" s="149" t="str">
        <f t="shared" si="98"/>
        <v/>
      </c>
      <c r="CC191" s="145" t="str">
        <f t="shared" si="99"/>
        <v/>
      </c>
      <c r="CD191" s="149" t="str">
        <f t="shared" si="83"/>
        <v/>
      </c>
      <c r="CE191" s="149" t="str">
        <f t="shared" si="84"/>
        <v/>
      </c>
      <c r="CF191" s="149" t="str">
        <f>IF(BK191&lt;=0,0,IFERROR(IF(OR(ISBLANK(AC191),ISBLANK(CD191))=TRUE,"",IF(CA191="Per Foot",INDEX('Fixture Codes'!$I$8:$I$976,MATCH(AD191,'Fixture Codes'!$B$8:$B$976,0))/12*AF191*BZ191,IF(CA191="Lamp",INDEX('Fixture Codes'!$J$8:$J$976,MATCH(AD191,'Fixture Codes'!$B$8:$B$976,0))*AF191*BZ191,IF(CA191="Fixture",AF191*BZ191,IF(CA191="kWh",BK191*BZ191,0))))),""))</f>
        <v/>
      </c>
      <c r="CG191" s="149" t="str">
        <f t="shared" si="100"/>
        <v/>
      </c>
      <c r="CH191" s="149" t="str">
        <f t="shared" si="101"/>
        <v/>
      </c>
      <c r="CI191" s="152"/>
      <c r="CJ191" s="146"/>
      <c r="CK191" s="241">
        <f>IFERROR(IF(CL191="Yes",'Prescriptive Rebate Table'!$D$69,IF(ISBLANK(AI191),0,IF(AND(AH191=Lookups!$A$62,BK191&gt;0),'Prescriptive Rebate Table'!$D$68,IF(AND(BK191&gt;0,CJ191=AF191),'Prescriptive Rebate Table'!$D$67,IF(AND(BK191&gt;0,CJ191&lt;&gt;AF191),'Prescriptive Rebate Table'!D250,0))))),"")</f>
        <v>0</v>
      </c>
      <c r="CL191" s="240" t="s">
        <v>2712</v>
      </c>
      <c r="CM191" s="152"/>
      <c r="CN191" s="152"/>
      <c r="CO191" s="152"/>
      <c r="CP191" s="146">
        <f t="shared" si="85"/>
        <v>0</v>
      </c>
      <c r="CQ191" s="153">
        <f>IF(D191="Interior",ROUND(($AG191*AF191)/1000*$AM191*(Lookups!$B$54-$AA191)*$AN191*$AO191,3),0)</f>
        <v>0</v>
      </c>
      <c r="CR191" s="153">
        <f>IFERROR(IF(D191="Interior",ROUND(($AG191*$AF191)/1000*(Lookups!$C$54-$AB191)*$AN191*AQ191*AT191,6),0),"")</f>
        <v>0</v>
      </c>
      <c r="CS191" s="165">
        <f t="shared" si="102"/>
        <v>0</v>
      </c>
      <c r="CT191" s="165">
        <f t="shared" si="103"/>
        <v>0</v>
      </c>
      <c r="CV191" s="153"/>
      <c r="CW191" s="153"/>
      <c r="CX191" s="165"/>
      <c r="CY191" s="165"/>
      <c r="DA191" s="153">
        <f>IF(D191="Interior",ROUND(($AG191*AF191*(1-0.15))/1000*$AM191*(Lookups!$B$43+0.097-$AA191)*$AN191*$AO191+((W191*V191)/1000*AN191*AM191*AO191*0.15),3),0)</f>
        <v>0</v>
      </c>
      <c r="DB191" s="153">
        <f>IFERROR(IF(D191="Interior",ROUND(($AG191*$AF191)/1000*(Lookups!$C$43+0.097-$AB191)*$AN191*AQ191*AT191+(($AG191*$AF191)/1000*$AN191*AQ191*AT191*0.15),6),0),"")</f>
        <v>0</v>
      </c>
      <c r="DC191" s="165">
        <f t="shared" si="104"/>
        <v>0</v>
      </c>
      <c r="DD191" s="165">
        <f t="shared" si="105"/>
        <v>0</v>
      </c>
    </row>
    <row r="192" spans="1:108" s="164" customFormat="1">
      <c r="A192" s="150">
        <v>188</v>
      </c>
      <c r="B192" s="153" t="str">
        <f>IFERROR(INDEX(Lookups!$B$2:$B$38,MATCH('Project Info &amp; Summary'!$C$19,Lookups!$A$2:$A$38,0)),"")</f>
        <v/>
      </c>
      <c r="C192" s="153" t="str">
        <f>IFERROR(INDEX(Lookups!$C$2:$C$38,MATCH('Project Info &amp; Summary'!$C$19,Lookups!$A$2:$A$38,0)),"")</f>
        <v/>
      </c>
      <c r="D192" s="163"/>
      <c r="E192" s="160"/>
      <c r="F192" s="158"/>
      <c r="G192" s="158"/>
      <c r="H192" s="158"/>
      <c r="I192" s="158"/>
      <c r="J192" s="154" t="str">
        <f>IFERROR(INDEX(Lookups!$W$21:$W$26,MATCH(I192,Lookups!$V$21:$V$26,0)),"")</f>
        <v/>
      </c>
      <c r="K192" s="158"/>
      <c r="L192" s="162" t="str">
        <f>IFERROR(INDEX(Lookups!$Y$2:$Y$19,MATCH(_xlfn.CONCAT(I192,K192),Lookups!$X$2:$X$19,0)),"")</f>
        <v/>
      </c>
      <c r="M192" s="158"/>
      <c r="N192" s="153" t="str">
        <f>IFERROR(INDEX('Prescriptive Rebate Table'!$M$3:$M$20,MATCH(M192,'Prescriptive Rebate Table'!$L$3:$L$20,0)),"")</f>
        <v/>
      </c>
      <c r="O192" s="158"/>
      <c r="P192" s="154" t="str">
        <f>IFERROR(INDEX('Prescriptive Rebate Table'!$B$2:$H$64, MATCH(O192,'Prescriptive Rebate Table'!$C$2:$C$64,0),7),"")</f>
        <v/>
      </c>
      <c r="Q192" s="155" t="str">
        <f>IFERROR(INDEX('Prescriptive Rebate Table'!$B$2:$I$64, MATCH(O192,'Prescriptive Rebate Table'!$C$2:$C$64,0),8),"")</f>
        <v/>
      </c>
      <c r="R192" s="155" t="str">
        <f>IFERROR(INDEX('Prescriptive Rebate Table'!$B$2:$J$64, MATCH(O192,'Prescriptive Rebate Table'!$C$2:$C$64,0),9),"")</f>
        <v/>
      </c>
      <c r="S192" s="160"/>
      <c r="T192" s="145" t="str">
        <f>IFERROR(INDEX('Fixture Codes'!$M$8:$M$976,MATCH(S192,'Fixture Codes'!$B$8:$B$976,0)),"")</f>
        <v/>
      </c>
      <c r="U192" s="145" t="str">
        <f>IFERROR(INDEX('Fixture Codes'!$B$7:$M$976,MATCH(T192,'Fixture Codes'!$B$7:$B$976,0),5),"")</f>
        <v/>
      </c>
      <c r="V192" s="160"/>
      <c r="W192" s="145" t="str">
        <f>IFERROR(INDEX('Fixture Codes'!$L$8:$L$976,MATCH(T192,'Fixture Codes'!$B$8:$B$976,0)),"")</f>
        <v/>
      </c>
      <c r="X192" s="158"/>
      <c r="Y192" s="159"/>
      <c r="Z192" s="155" t="str">
        <f>IFERROR(INDEX(Lookups!B$68:B$87,MATCH($X192,Lookups!$A$68:$A$87,0)),"")</f>
        <v/>
      </c>
      <c r="AA192" s="150" t="str">
        <f>IFERROR(INDEX(Lookups!B$42:B$62,MATCH($X192,Lookups!$A$42:$A$62,0)),"")</f>
        <v/>
      </c>
      <c r="AB192" s="150" t="str">
        <f>IFERROR(INDEX(Lookups!C$42:C$62,MATCH($X192,Lookups!$A$42:$A$62,0)),"")</f>
        <v/>
      </c>
      <c r="AC192" s="160"/>
      <c r="AD192" s="160"/>
      <c r="AE192" s="150" t="str">
        <f>IFERROR(INDEX('Fixture Codes'!$B$7:$M$976,MATCH(AD192,'Fixture Codes'!$B$7:$B$976,0),5),"")</f>
        <v/>
      </c>
      <c r="AF192" s="160"/>
      <c r="AG192" s="145" t="str">
        <f>IFERROR(INDEX('Fixture Codes'!$L$8:$L$976,MATCH(AD192,'Fixture Codes'!$B$8:$B$976,0)),"")</f>
        <v/>
      </c>
      <c r="AH192" s="158"/>
      <c r="AI192" s="160"/>
      <c r="AJ192" s="150" t="str">
        <f>IFERROR(INDEX(Lookups!B$68:B$87,MATCH($AH192,Lookups!$A$68:$A$87,0)),"")</f>
        <v/>
      </c>
      <c r="AK192" s="150" t="str">
        <f>IFERROR(INDEX(Lookups!B$42:B$62,MATCH($AH192,Lookups!$A$42:$A$62,0)),"")</f>
        <v/>
      </c>
      <c r="AL192" s="150" t="str">
        <f>IFERROR(INDEX(Lookups!C$42:C$62,MATCH($AH192,Lookups!$A$42:$A$62,0)),"")</f>
        <v/>
      </c>
      <c r="AM192" s="150" t="str">
        <f>IFERROR(IF(M192="Exit Signs",8760,IF(INDEX('Fixture Codes'!$C$8:$C$976,MATCH(AD192,'Fixture Codes'!$B$8:$B$976,0))="Exit Sign",8760,INDEX(Lookups!$I$2:$I$428,MATCH(_xlfn.CONCAT(B192,H192),Lookups!$H$2:$H$428,0)))),"")</f>
        <v/>
      </c>
      <c r="AN192" s="153">
        <v>1</v>
      </c>
      <c r="AO192" s="150" t="str">
        <f>IF($D192="Interior",INDEX(Lookups!Q$2:Q$86,MATCH(_xlfn.CONCAT($C192,$L192),Lookups!$P$2:$P$86,0)),IF($D192="Exterior",1,""))</f>
        <v/>
      </c>
      <c r="AP192" s="150">
        <f t="shared" si="88"/>
        <v>1</v>
      </c>
      <c r="AQ192" s="150" t="str">
        <f>IF($D192="Interior",INDEX(Lookups!R$2:R$86,MATCH(_xlfn.CONCAT($C192,$L192),Lookups!$P$2:$P$86,0)),IF($D192="Exterior",1,""))</f>
        <v/>
      </c>
      <c r="AR192" s="150" t="str">
        <f>IF($D192="Interior",INDEX(Lookups!S$2:S$86,MATCH(_xlfn.CONCAT($C192,$L192),Lookups!$P$2:$P$86,0)),IF($D192="Exterior",1,""))</f>
        <v/>
      </c>
      <c r="AS192" s="150" t="str">
        <f>IF($D192="Interior",INDEX(Lookups!T$2:T$86,MATCH(_xlfn.CONCAT($C192,$L192),Lookups!$P$2:$P$86,0)),IF($D192="Exterior",1,""))</f>
        <v/>
      </c>
      <c r="AT192" s="150" t="str">
        <f>IFERROR(IF(M192="Exit Signs",1,IF(INDEX('Fixture Codes'!$C$8:$C$976,MATCH($AD192,'Fixture Codes'!$B$8:$B$976,0))="Exit Sign",1,INDEX(Lookups!J$2:J$428,MATCH(_xlfn.CONCAT($B192,$H192),Lookups!$H$2:$H$428,0)))),"")</f>
        <v/>
      </c>
      <c r="AU192" s="150" t="str">
        <f>IFERROR(IF(M192="Exit Signs",1,IF(INDEX('Fixture Codes'!$C$8:$C$976,MATCH($AD192,'Fixture Codes'!$B$8:$B$976,0))="Exit Sign",1,INDEX(Lookups!K$2:K$428,MATCH(_xlfn.CONCAT($B192,$H192),Lookups!$H$2:$H$428,0)))),"")</f>
        <v/>
      </c>
      <c r="AV192" s="150" t="str">
        <f>IFERROR(IF(M192="Exit Signs",1,IF(INDEX('Fixture Codes'!$C$8:$C$976,MATCH($AD192,'Fixture Codes'!$B$8:$B$976,0))="Exit Sign",1,INDEX(Lookups!L$2:L$428,MATCH(_xlfn.CONCAT($B192,$H192),Lookups!$H$2:$H$428,0)))),"")</f>
        <v/>
      </c>
      <c r="AW192" s="150" t="str">
        <f>IF(ISBLANK(K192),"",IF(K192="Gas",INDEX(Lookups!$AG$2:$AG$63,MATCH(O192,Lookups!$AD$2:$AD$63,0),0),0))</f>
        <v/>
      </c>
      <c r="AX192" s="150" t="str">
        <f>IF(ISBLANK(K192),"",IF(K192="Gas",INDEX(Lookups!$AF$2:$AF$63,MATCH(O192,Lookups!$AD$2:$AD$63,0),0),0))</f>
        <v/>
      </c>
      <c r="AY192" s="150" t="str">
        <f>IF(ISBLANK(K192),"",IF(K192="Gas",INDEX(Lookups!$AH$2:$AH$63,MATCH(O192,Lookups!$AD$2:$AD$63,0),0),0))</f>
        <v/>
      </c>
      <c r="AZ192" s="150" t="str">
        <f>IF(ISBLANK(K192),"",IF(K192="Gas",INDEX(Lookups!$AI$2:$AI$63,MATCH(O192,Lookups!$AD$2:$AD$63,0),0),0))</f>
        <v/>
      </c>
      <c r="BA192" s="150" t="str">
        <f t="shared" si="73"/>
        <v/>
      </c>
      <c r="BB192" s="156" t="str">
        <f>IF(ISBLANK(AH192),"",IF(AH192="None",0,IF(K192="Gas",INDEX(Lookups!$AF$51:$AF$69,MATCH(AH192,Lookups!$AD$51:$AD$69,0),0),0)))</f>
        <v/>
      </c>
      <c r="BC192" s="156" t="str">
        <f>IF(ISBLANK(AH192),"",IF(AH192="None",0,IF(K192="Gas",INDEX(Lookups!$AH$51:$AH$69,MATCH(AH192,Lookups!$AD$51:$AD$69,0),0),0)))</f>
        <v/>
      </c>
      <c r="BD192" s="156" t="str">
        <f>IF(ISBLANK(AH192),"",IF(AH192="None",0,IF(K192="Gas",INDEX(Lookups!$AI$51:$AI$69,MATCH(AH192,Lookups!$AD$51:$AD$69,0),0),0)))</f>
        <v/>
      </c>
      <c r="BE192" s="157"/>
      <c r="BF192" s="157"/>
      <c r="BG192" s="147" t="str">
        <f t="shared" si="89"/>
        <v/>
      </c>
      <c r="BH192" s="147" t="str">
        <f t="shared" si="90"/>
        <v/>
      </c>
      <c r="BI192" s="147" t="str">
        <f t="shared" si="74"/>
        <v/>
      </c>
      <c r="BJ192" s="147" t="str">
        <f t="shared" si="75"/>
        <v/>
      </c>
      <c r="BK192" s="148" t="str">
        <f t="shared" si="91"/>
        <v/>
      </c>
      <c r="BL192" s="147" t="str">
        <f t="shared" si="76"/>
        <v/>
      </c>
      <c r="BM192" s="148" t="str">
        <f t="shared" si="92"/>
        <v/>
      </c>
      <c r="BN192" s="147" t="str">
        <f t="shared" si="93"/>
        <v/>
      </c>
      <c r="BO192" s="147" t="str">
        <f t="shared" si="93"/>
        <v/>
      </c>
      <c r="BP192" s="147" t="str">
        <f t="shared" si="94"/>
        <v/>
      </c>
      <c r="BQ192" s="148" t="str">
        <f t="shared" si="95"/>
        <v/>
      </c>
      <c r="BR192" s="148" t="str">
        <f t="shared" si="96"/>
        <v/>
      </c>
      <c r="BS192" s="148" t="str">
        <f t="shared" si="97"/>
        <v/>
      </c>
      <c r="BT192" s="148" t="str">
        <f t="shared" si="77"/>
        <v/>
      </c>
      <c r="BU192" s="148" t="str">
        <f t="shared" si="78"/>
        <v/>
      </c>
      <c r="BV192" s="148" t="str">
        <f t="shared" si="79"/>
        <v/>
      </c>
      <c r="BW192" s="148" t="str">
        <f t="shared" si="80"/>
        <v/>
      </c>
      <c r="BX192" s="148" t="str">
        <f t="shared" si="81"/>
        <v/>
      </c>
      <c r="BY192" s="148" t="str">
        <f t="shared" si="82"/>
        <v/>
      </c>
      <c r="BZ192" s="149" t="str">
        <f>IFERROR(INDEX('Prescriptive Rebate Table'!$B$2:$E$64,MATCH(O192,'Prescriptive Rebate Table'!$C$2:$C$64,0),3),"")</f>
        <v/>
      </c>
      <c r="CA192" s="145" t="str">
        <f>IFERROR(INDEX('Prescriptive Rebate Table'!$B$2:$E$64,MATCH(O192,'Prescriptive Rebate Table'!$C$2:$C$64,0),4),"")</f>
        <v/>
      </c>
      <c r="CB192" s="149" t="str">
        <f t="shared" si="98"/>
        <v/>
      </c>
      <c r="CC192" s="145" t="str">
        <f t="shared" si="99"/>
        <v/>
      </c>
      <c r="CD192" s="149" t="str">
        <f t="shared" si="83"/>
        <v/>
      </c>
      <c r="CE192" s="149" t="str">
        <f t="shared" si="84"/>
        <v/>
      </c>
      <c r="CF192" s="149" t="str">
        <f>IF(BK192&lt;=0,0,IFERROR(IF(OR(ISBLANK(AC192),ISBLANK(CD192))=TRUE,"",IF(CA192="Per Foot",INDEX('Fixture Codes'!$I$8:$I$976,MATCH(AD192,'Fixture Codes'!$B$8:$B$976,0))/12*AF192*BZ192,IF(CA192="Lamp",INDEX('Fixture Codes'!$J$8:$J$976,MATCH(AD192,'Fixture Codes'!$B$8:$B$976,0))*AF192*BZ192,IF(CA192="Fixture",AF192*BZ192,IF(CA192="kWh",BK192*BZ192,0))))),""))</f>
        <v/>
      </c>
      <c r="CG192" s="149" t="str">
        <f t="shared" si="100"/>
        <v/>
      </c>
      <c r="CH192" s="149" t="str">
        <f t="shared" si="101"/>
        <v/>
      </c>
      <c r="CI192" s="152"/>
      <c r="CJ192" s="146"/>
      <c r="CK192" s="241">
        <f>IFERROR(IF(CL192="Yes",'Prescriptive Rebate Table'!$D$69,IF(ISBLANK(AI192),0,IF(AND(AH192=Lookups!$A$62,BK192&gt;0),'Prescriptive Rebate Table'!$D$68,IF(AND(BK192&gt;0,CJ192=AF192),'Prescriptive Rebate Table'!$D$67,IF(AND(BK192&gt;0,CJ192&lt;&gt;AF192),'Prescriptive Rebate Table'!D251,0))))),"")</f>
        <v>0</v>
      </c>
      <c r="CL192" s="240" t="s">
        <v>2712</v>
      </c>
      <c r="CM192" s="152"/>
      <c r="CN192" s="152"/>
      <c r="CO192" s="152"/>
      <c r="CP192" s="146">
        <f t="shared" si="85"/>
        <v>0</v>
      </c>
      <c r="CQ192" s="153">
        <f>IF(D192="Interior",ROUND(($AG192*AF192)/1000*$AM192*(Lookups!$B$54-$AA192)*$AN192*$AO192,3),0)</f>
        <v>0</v>
      </c>
      <c r="CR192" s="153">
        <f>IFERROR(IF(D192="Interior",ROUND(($AG192*$AF192)/1000*(Lookups!$C$54-$AB192)*$AN192*AQ192*AT192,6),0),"")</f>
        <v>0</v>
      </c>
      <c r="CS192" s="165">
        <f t="shared" si="102"/>
        <v>0</v>
      </c>
      <c r="CT192" s="165">
        <f t="shared" si="103"/>
        <v>0</v>
      </c>
      <c r="CV192" s="153"/>
      <c r="CW192" s="153"/>
      <c r="CX192" s="165"/>
      <c r="CY192" s="165"/>
      <c r="DA192" s="153">
        <f>IF(D192="Interior",ROUND(($AG192*AF192*(1-0.15))/1000*$AM192*(Lookups!$B$43+0.097-$AA192)*$AN192*$AO192+((W192*V192)/1000*AN192*AM192*AO192*0.15),3),0)</f>
        <v>0</v>
      </c>
      <c r="DB192" s="153">
        <f>IFERROR(IF(D192="Interior",ROUND(($AG192*$AF192)/1000*(Lookups!$C$43+0.097-$AB192)*$AN192*AQ192*AT192+(($AG192*$AF192)/1000*$AN192*AQ192*AT192*0.15),6),0),"")</f>
        <v>0</v>
      </c>
      <c r="DC192" s="165">
        <f t="shared" si="104"/>
        <v>0</v>
      </c>
      <c r="DD192" s="165">
        <f t="shared" si="105"/>
        <v>0</v>
      </c>
    </row>
    <row r="193" spans="1:108" s="164" customFormat="1">
      <c r="A193" s="150">
        <v>189</v>
      </c>
      <c r="B193" s="153" t="str">
        <f>IFERROR(INDEX(Lookups!$B$2:$B$38,MATCH('Project Info &amp; Summary'!$C$19,Lookups!$A$2:$A$38,0)),"")</f>
        <v/>
      </c>
      <c r="C193" s="153" t="str">
        <f>IFERROR(INDEX(Lookups!$C$2:$C$38,MATCH('Project Info &amp; Summary'!$C$19,Lookups!$A$2:$A$38,0)),"")</f>
        <v/>
      </c>
      <c r="D193" s="163"/>
      <c r="E193" s="160"/>
      <c r="F193" s="158"/>
      <c r="G193" s="158"/>
      <c r="H193" s="158"/>
      <c r="I193" s="158"/>
      <c r="J193" s="154" t="str">
        <f>IFERROR(INDEX(Lookups!$W$21:$W$26,MATCH(I193,Lookups!$V$21:$V$26,0)),"")</f>
        <v/>
      </c>
      <c r="K193" s="158"/>
      <c r="L193" s="162" t="str">
        <f>IFERROR(INDEX(Lookups!$Y$2:$Y$19,MATCH(_xlfn.CONCAT(I193,K193),Lookups!$X$2:$X$19,0)),"")</f>
        <v/>
      </c>
      <c r="M193" s="158"/>
      <c r="N193" s="153" t="str">
        <f>IFERROR(INDEX('Prescriptive Rebate Table'!$M$3:$M$20,MATCH(M193,'Prescriptive Rebate Table'!$L$3:$L$20,0)),"")</f>
        <v/>
      </c>
      <c r="O193" s="158"/>
      <c r="P193" s="154" t="str">
        <f>IFERROR(INDEX('Prescriptive Rebate Table'!$B$2:$H$64, MATCH(O193,'Prescriptive Rebate Table'!$C$2:$C$64,0),7),"")</f>
        <v/>
      </c>
      <c r="Q193" s="155" t="str">
        <f>IFERROR(INDEX('Prescriptive Rebate Table'!$B$2:$I$64, MATCH(O193,'Prescriptive Rebate Table'!$C$2:$C$64,0),8),"")</f>
        <v/>
      </c>
      <c r="R193" s="155" t="str">
        <f>IFERROR(INDEX('Prescriptive Rebate Table'!$B$2:$J$64, MATCH(O193,'Prescriptive Rebate Table'!$C$2:$C$64,0),9),"")</f>
        <v/>
      </c>
      <c r="S193" s="160"/>
      <c r="T193" s="145" t="str">
        <f>IFERROR(INDEX('Fixture Codes'!$M$8:$M$976,MATCH(S193,'Fixture Codes'!$B$8:$B$976,0)),"")</f>
        <v/>
      </c>
      <c r="U193" s="145" t="str">
        <f>IFERROR(INDEX('Fixture Codes'!$B$7:$M$976,MATCH(T193,'Fixture Codes'!$B$7:$B$976,0),5),"")</f>
        <v/>
      </c>
      <c r="V193" s="160"/>
      <c r="W193" s="145" t="str">
        <f>IFERROR(INDEX('Fixture Codes'!$L$8:$L$976,MATCH(T193,'Fixture Codes'!$B$8:$B$976,0)),"")</f>
        <v/>
      </c>
      <c r="X193" s="158"/>
      <c r="Y193" s="159"/>
      <c r="Z193" s="155" t="str">
        <f>IFERROR(INDEX(Lookups!B$68:B$87,MATCH($X193,Lookups!$A$68:$A$87,0)),"")</f>
        <v/>
      </c>
      <c r="AA193" s="150" t="str">
        <f>IFERROR(INDEX(Lookups!B$42:B$62,MATCH($X193,Lookups!$A$42:$A$62,0)),"")</f>
        <v/>
      </c>
      <c r="AB193" s="150" t="str">
        <f>IFERROR(INDEX(Lookups!C$42:C$62,MATCH($X193,Lookups!$A$42:$A$62,0)),"")</f>
        <v/>
      </c>
      <c r="AC193" s="160"/>
      <c r="AD193" s="160"/>
      <c r="AE193" s="150" t="str">
        <f>IFERROR(INDEX('Fixture Codes'!$B$7:$M$976,MATCH(AD193,'Fixture Codes'!$B$7:$B$976,0),5),"")</f>
        <v/>
      </c>
      <c r="AF193" s="160"/>
      <c r="AG193" s="145" t="str">
        <f>IFERROR(INDEX('Fixture Codes'!$L$8:$L$976,MATCH(AD193,'Fixture Codes'!$B$8:$B$976,0)),"")</f>
        <v/>
      </c>
      <c r="AH193" s="158"/>
      <c r="AI193" s="160"/>
      <c r="AJ193" s="150" t="str">
        <f>IFERROR(INDEX(Lookups!B$68:B$87,MATCH($AH193,Lookups!$A$68:$A$87,0)),"")</f>
        <v/>
      </c>
      <c r="AK193" s="150" t="str">
        <f>IFERROR(INDEX(Lookups!B$42:B$62,MATCH($AH193,Lookups!$A$42:$A$62,0)),"")</f>
        <v/>
      </c>
      <c r="AL193" s="150" t="str">
        <f>IFERROR(INDEX(Lookups!C$42:C$62,MATCH($AH193,Lookups!$A$42:$A$62,0)),"")</f>
        <v/>
      </c>
      <c r="AM193" s="150" t="str">
        <f>IFERROR(IF(M193="Exit Signs",8760,IF(INDEX('Fixture Codes'!$C$8:$C$976,MATCH(AD193,'Fixture Codes'!$B$8:$B$976,0))="Exit Sign",8760,INDEX(Lookups!$I$2:$I$428,MATCH(_xlfn.CONCAT(B193,H193),Lookups!$H$2:$H$428,0)))),"")</f>
        <v/>
      </c>
      <c r="AN193" s="153">
        <v>1</v>
      </c>
      <c r="AO193" s="150" t="str">
        <f>IF($D193="Interior",INDEX(Lookups!Q$2:Q$86,MATCH(_xlfn.CONCAT($C193,$L193),Lookups!$P$2:$P$86,0)),IF($D193="Exterior",1,""))</f>
        <v/>
      </c>
      <c r="AP193" s="150">
        <f t="shared" si="88"/>
        <v>1</v>
      </c>
      <c r="AQ193" s="150" t="str">
        <f>IF($D193="Interior",INDEX(Lookups!R$2:R$86,MATCH(_xlfn.CONCAT($C193,$L193),Lookups!$P$2:$P$86,0)),IF($D193="Exterior",1,""))</f>
        <v/>
      </c>
      <c r="AR193" s="150" t="str">
        <f>IF($D193="Interior",INDEX(Lookups!S$2:S$86,MATCH(_xlfn.CONCAT($C193,$L193),Lookups!$P$2:$P$86,0)),IF($D193="Exterior",1,""))</f>
        <v/>
      </c>
      <c r="AS193" s="150" t="str">
        <f>IF($D193="Interior",INDEX(Lookups!T$2:T$86,MATCH(_xlfn.CONCAT($C193,$L193),Lookups!$P$2:$P$86,0)),IF($D193="Exterior",1,""))</f>
        <v/>
      </c>
      <c r="AT193" s="150" t="str">
        <f>IFERROR(IF(M193="Exit Signs",1,IF(INDEX('Fixture Codes'!$C$8:$C$976,MATCH($AD193,'Fixture Codes'!$B$8:$B$976,0))="Exit Sign",1,INDEX(Lookups!J$2:J$428,MATCH(_xlfn.CONCAT($B193,$H193),Lookups!$H$2:$H$428,0)))),"")</f>
        <v/>
      </c>
      <c r="AU193" s="150" t="str">
        <f>IFERROR(IF(M193="Exit Signs",1,IF(INDEX('Fixture Codes'!$C$8:$C$976,MATCH($AD193,'Fixture Codes'!$B$8:$B$976,0))="Exit Sign",1,INDEX(Lookups!K$2:K$428,MATCH(_xlfn.CONCAT($B193,$H193),Lookups!$H$2:$H$428,0)))),"")</f>
        <v/>
      </c>
      <c r="AV193" s="150" t="str">
        <f>IFERROR(IF(M193="Exit Signs",1,IF(INDEX('Fixture Codes'!$C$8:$C$976,MATCH($AD193,'Fixture Codes'!$B$8:$B$976,0))="Exit Sign",1,INDEX(Lookups!L$2:L$428,MATCH(_xlfn.CONCAT($B193,$H193),Lookups!$H$2:$H$428,0)))),"")</f>
        <v/>
      </c>
      <c r="AW193" s="150" t="str">
        <f>IF(ISBLANK(K193),"",IF(K193="Gas",INDEX(Lookups!$AG$2:$AG$63,MATCH(O193,Lookups!$AD$2:$AD$63,0),0),0))</f>
        <v/>
      </c>
      <c r="AX193" s="150" t="str">
        <f>IF(ISBLANK(K193),"",IF(K193="Gas",INDEX(Lookups!$AF$2:$AF$63,MATCH(O193,Lookups!$AD$2:$AD$63,0),0),0))</f>
        <v/>
      </c>
      <c r="AY193" s="150" t="str">
        <f>IF(ISBLANK(K193),"",IF(K193="Gas",INDEX(Lookups!$AH$2:$AH$63,MATCH(O193,Lookups!$AD$2:$AD$63,0),0),0))</f>
        <v/>
      </c>
      <c r="AZ193" s="150" t="str">
        <f>IF(ISBLANK(K193),"",IF(K193="Gas",INDEX(Lookups!$AI$2:$AI$63,MATCH(O193,Lookups!$AD$2:$AD$63,0),0),0))</f>
        <v/>
      </c>
      <c r="BA193" s="150" t="str">
        <f t="shared" si="73"/>
        <v/>
      </c>
      <c r="BB193" s="156" t="str">
        <f>IF(ISBLANK(AH193),"",IF(AH193="None",0,IF(K193="Gas",INDEX(Lookups!$AF$51:$AF$69,MATCH(AH193,Lookups!$AD$51:$AD$69,0),0),0)))</f>
        <v/>
      </c>
      <c r="BC193" s="156" t="str">
        <f>IF(ISBLANK(AH193),"",IF(AH193="None",0,IF(K193="Gas",INDEX(Lookups!$AH$51:$AH$69,MATCH(AH193,Lookups!$AD$51:$AD$69,0),0),0)))</f>
        <v/>
      </c>
      <c r="BD193" s="156" t="str">
        <f>IF(ISBLANK(AH193),"",IF(AH193="None",0,IF(K193="Gas",INDEX(Lookups!$AI$51:$AI$69,MATCH(AH193,Lookups!$AD$51:$AD$69,0),0),0)))</f>
        <v/>
      </c>
      <c r="BE193" s="157"/>
      <c r="BF193" s="157"/>
      <c r="BG193" s="147" t="str">
        <f t="shared" si="89"/>
        <v/>
      </c>
      <c r="BH193" s="147" t="str">
        <f t="shared" si="90"/>
        <v/>
      </c>
      <c r="BI193" s="147" t="str">
        <f t="shared" si="74"/>
        <v/>
      </c>
      <c r="BJ193" s="147" t="str">
        <f t="shared" si="75"/>
        <v/>
      </c>
      <c r="BK193" s="148" t="str">
        <f t="shared" si="91"/>
        <v/>
      </c>
      <c r="BL193" s="147" t="str">
        <f t="shared" si="76"/>
        <v/>
      </c>
      <c r="BM193" s="148" t="str">
        <f t="shared" si="92"/>
        <v/>
      </c>
      <c r="BN193" s="147" t="str">
        <f t="shared" si="93"/>
        <v/>
      </c>
      <c r="BO193" s="147" t="str">
        <f t="shared" si="93"/>
        <v/>
      </c>
      <c r="BP193" s="147" t="str">
        <f t="shared" si="94"/>
        <v/>
      </c>
      <c r="BQ193" s="148" t="str">
        <f t="shared" si="95"/>
        <v/>
      </c>
      <c r="BR193" s="148" t="str">
        <f t="shared" si="96"/>
        <v/>
      </c>
      <c r="BS193" s="148" t="str">
        <f t="shared" si="97"/>
        <v/>
      </c>
      <c r="BT193" s="148" t="str">
        <f t="shared" si="77"/>
        <v/>
      </c>
      <c r="BU193" s="148" t="str">
        <f t="shared" si="78"/>
        <v/>
      </c>
      <c r="BV193" s="148" t="str">
        <f t="shared" si="79"/>
        <v/>
      </c>
      <c r="BW193" s="148" t="str">
        <f t="shared" si="80"/>
        <v/>
      </c>
      <c r="BX193" s="148" t="str">
        <f t="shared" si="81"/>
        <v/>
      </c>
      <c r="BY193" s="148" t="str">
        <f t="shared" si="82"/>
        <v/>
      </c>
      <c r="BZ193" s="149" t="str">
        <f>IFERROR(INDEX('Prescriptive Rebate Table'!$B$2:$E$64,MATCH(O193,'Prescriptive Rebate Table'!$C$2:$C$64,0),3),"")</f>
        <v/>
      </c>
      <c r="CA193" s="145" t="str">
        <f>IFERROR(INDEX('Prescriptive Rebate Table'!$B$2:$E$64,MATCH(O193,'Prescriptive Rebate Table'!$C$2:$C$64,0),4),"")</f>
        <v/>
      </c>
      <c r="CB193" s="149" t="str">
        <f t="shared" si="98"/>
        <v/>
      </c>
      <c r="CC193" s="145" t="str">
        <f t="shared" si="99"/>
        <v/>
      </c>
      <c r="CD193" s="149" t="str">
        <f t="shared" si="83"/>
        <v/>
      </c>
      <c r="CE193" s="149" t="str">
        <f t="shared" si="84"/>
        <v/>
      </c>
      <c r="CF193" s="149" t="str">
        <f>IF(BK193&lt;=0,0,IFERROR(IF(OR(ISBLANK(AC193),ISBLANK(CD193))=TRUE,"",IF(CA193="Per Foot",INDEX('Fixture Codes'!$I$8:$I$976,MATCH(AD193,'Fixture Codes'!$B$8:$B$976,0))/12*AF193*BZ193,IF(CA193="Lamp",INDEX('Fixture Codes'!$J$8:$J$976,MATCH(AD193,'Fixture Codes'!$B$8:$B$976,0))*AF193*BZ193,IF(CA193="Fixture",AF193*BZ193,IF(CA193="kWh",BK193*BZ193,0))))),""))</f>
        <v/>
      </c>
      <c r="CG193" s="149" t="str">
        <f t="shared" si="100"/>
        <v/>
      </c>
      <c r="CH193" s="149" t="str">
        <f t="shared" si="101"/>
        <v/>
      </c>
      <c r="CI193" s="152"/>
      <c r="CJ193" s="146"/>
      <c r="CK193" s="241">
        <f>IFERROR(IF(CL193="Yes",'Prescriptive Rebate Table'!$D$69,IF(ISBLANK(AI193),0,IF(AND(AH193=Lookups!$A$62,BK193&gt;0),'Prescriptive Rebate Table'!$D$68,IF(AND(BK193&gt;0,CJ193=AF193),'Prescriptive Rebate Table'!$D$67,IF(AND(BK193&gt;0,CJ193&lt;&gt;AF193),'Prescriptive Rebate Table'!D252,0))))),"")</f>
        <v>0</v>
      </c>
      <c r="CL193" s="240" t="s">
        <v>2712</v>
      </c>
      <c r="CM193" s="152"/>
      <c r="CN193" s="152"/>
      <c r="CO193" s="152"/>
      <c r="CP193" s="146">
        <f t="shared" si="85"/>
        <v>0</v>
      </c>
      <c r="CQ193" s="153">
        <f>IF(D193="Interior",ROUND(($AG193*AF193)/1000*$AM193*(Lookups!$B$54-$AA193)*$AN193*$AO193,3),0)</f>
        <v>0</v>
      </c>
      <c r="CR193" s="153">
        <f>IFERROR(IF(D193="Interior",ROUND(($AG193*$AF193)/1000*(Lookups!$C$54-$AB193)*$AN193*AQ193*AT193,6),0),"")</f>
        <v>0</v>
      </c>
      <c r="CS193" s="165">
        <f t="shared" si="102"/>
        <v>0</v>
      </c>
      <c r="CT193" s="165">
        <f t="shared" si="103"/>
        <v>0</v>
      </c>
      <c r="CV193" s="153"/>
      <c r="CW193" s="153"/>
      <c r="CX193" s="165"/>
      <c r="CY193" s="165"/>
      <c r="DA193" s="153">
        <f>IF(D193="Interior",ROUND(($AG193*AF193*(1-0.15))/1000*$AM193*(Lookups!$B$43+0.097-$AA193)*$AN193*$AO193+((W193*V193)/1000*AN193*AM193*AO193*0.15),3),0)</f>
        <v>0</v>
      </c>
      <c r="DB193" s="153">
        <f>IFERROR(IF(D193="Interior",ROUND(($AG193*$AF193)/1000*(Lookups!$C$43+0.097-$AB193)*$AN193*AQ193*AT193+(($AG193*$AF193)/1000*$AN193*AQ193*AT193*0.15),6),0),"")</f>
        <v>0</v>
      </c>
      <c r="DC193" s="165">
        <f t="shared" si="104"/>
        <v>0</v>
      </c>
      <c r="DD193" s="165">
        <f t="shared" si="105"/>
        <v>0</v>
      </c>
    </row>
    <row r="194" spans="1:108" s="164" customFormat="1">
      <c r="A194" s="150">
        <v>190</v>
      </c>
      <c r="B194" s="153" t="str">
        <f>IFERROR(INDEX(Lookups!$B$2:$B$38,MATCH('Project Info &amp; Summary'!$C$19,Lookups!$A$2:$A$38,0)),"")</f>
        <v/>
      </c>
      <c r="C194" s="153" t="str">
        <f>IFERROR(INDEX(Lookups!$C$2:$C$38,MATCH('Project Info &amp; Summary'!$C$19,Lookups!$A$2:$A$38,0)),"")</f>
        <v/>
      </c>
      <c r="D194" s="163"/>
      <c r="E194" s="160"/>
      <c r="F194" s="158"/>
      <c r="G194" s="158"/>
      <c r="H194" s="158"/>
      <c r="I194" s="158"/>
      <c r="J194" s="154" t="str">
        <f>IFERROR(INDEX(Lookups!$W$21:$W$26,MATCH(I194,Lookups!$V$21:$V$26,0)),"")</f>
        <v/>
      </c>
      <c r="K194" s="158"/>
      <c r="L194" s="162" t="str">
        <f>IFERROR(INDEX(Lookups!$Y$2:$Y$19,MATCH(_xlfn.CONCAT(I194,K194),Lookups!$X$2:$X$19,0)),"")</f>
        <v/>
      </c>
      <c r="M194" s="158"/>
      <c r="N194" s="153" t="str">
        <f>IFERROR(INDEX('Prescriptive Rebate Table'!$M$3:$M$20,MATCH(M194,'Prescriptive Rebate Table'!$L$3:$L$20,0)),"")</f>
        <v/>
      </c>
      <c r="O194" s="158"/>
      <c r="P194" s="154" t="str">
        <f>IFERROR(INDEX('Prescriptive Rebate Table'!$B$2:$H$64, MATCH(O194,'Prescriptive Rebate Table'!$C$2:$C$64,0),7),"")</f>
        <v/>
      </c>
      <c r="Q194" s="155" t="str">
        <f>IFERROR(INDEX('Prescriptive Rebate Table'!$B$2:$I$64, MATCH(O194,'Prescriptive Rebate Table'!$C$2:$C$64,0),8),"")</f>
        <v/>
      </c>
      <c r="R194" s="155" t="str">
        <f>IFERROR(INDEX('Prescriptive Rebate Table'!$B$2:$J$64, MATCH(O194,'Prescriptive Rebate Table'!$C$2:$C$64,0),9),"")</f>
        <v/>
      </c>
      <c r="S194" s="160"/>
      <c r="T194" s="145" t="str">
        <f>IFERROR(INDEX('Fixture Codes'!$M$8:$M$976,MATCH(S194,'Fixture Codes'!$B$8:$B$976,0)),"")</f>
        <v/>
      </c>
      <c r="U194" s="145" t="str">
        <f>IFERROR(INDEX('Fixture Codes'!$B$7:$M$976,MATCH(T194,'Fixture Codes'!$B$7:$B$976,0),5),"")</f>
        <v/>
      </c>
      <c r="V194" s="160"/>
      <c r="W194" s="145" t="str">
        <f>IFERROR(INDEX('Fixture Codes'!$L$8:$L$976,MATCH(T194,'Fixture Codes'!$B$8:$B$976,0)),"")</f>
        <v/>
      </c>
      <c r="X194" s="158"/>
      <c r="Y194" s="159"/>
      <c r="Z194" s="155" t="str">
        <f>IFERROR(INDEX(Lookups!B$68:B$87,MATCH($X194,Lookups!$A$68:$A$87,0)),"")</f>
        <v/>
      </c>
      <c r="AA194" s="150" t="str">
        <f>IFERROR(INDEX(Lookups!B$42:B$62,MATCH($X194,Lookups!$A$42:$A$62,0)),"")</f>
        <v/>
      </c>
      <c r="AB194" s="150" t="str">
        <f>IFERROR(INDEX(Lookups!C$42:C$62,MATCH($X194,Lookups!$A$42:$A$62,0)),"")</f>
        <v/>
      </c>
      <c r="AC194" s="160"/>
      <c r="AD194" s="160"/>
      <c r="AE194" s="150" t="str">
        <f>IFERROR(INDEX('Fixture Codes'!$B$7:$M$976,MATCH(AD194,'Fixture Codes'!$B$7:$B$976,0),5),"")</f>
        <v/>
      </c>
      <c r="AF194" s="160"/>
      <c r="AG194" s="145" t="str">
        <f>IFERROR(INDEX('Fixture Codes'!$L$8:$L$976,MATCH(AD194,'Fixture Codes'!$B$8:$B$976,0)),"")</f>
        <v/>
      </c>
      <c r="AH194" s="158"/>
      <c r="AI194" s="160"/>
      <c r="AJ194" s="150" t="str">
        <f>IFERROR(INDEX(Lookups!B$68:B$87,MATCH($AH194,Lookups!$A$68:$A$87,0)),"")</f>
        <v/>
      </c>
      <c r="AK194" s="150" t="str">
        <f>IFERROR(INDEX(Lookups!B$42:B$62,MATCH($AH194,Lookups!$A$42:$A$62,0)),"")</f>
        <v/>
      </c>
      <c r="AL194" s="150" t="str">
        <f>IFERROR(INDEX(Lookups!C$42:C$62,MATCH($AH194,Lookups!$A$42:$A$62,0)),"")</f>
        <v/>
      </c>
      <c r="AM194" s="150" t="str">
        <f>IFERROR(IF(M194="Exit Signs",8760,IF(INDEX('Fixture Codes'!$C$8:$C$976,MATCH(AD194,'Fixture Codes'!$B$8:$B$976,0))="Exit Sign",8760,INDEX(Lookups!$I$2:$I$428,MATCH(_xlfn.CONCAT(B194,H194),Lookups!$H$2:$H$428,0)))),"")</f>
        <v/>
      </c>
      <c r="AN194" s="153">
        <v>1</v>
      </c>
      <c r="AO194" s="150" t="str">
        <f>IF($D194="Interior",INDEX(Lookups!Q$2:Q$86,MATCH(_xlfn.CONCAT($C194,$L194),Lookups!$P$2:$P$86,0)),IF($D194="Exterior",1,""))</f>
        <v/>
      </c>
      <c r="AP194" s="150">
        <f t="shared" si="88"/>
        <v>1</v>
      </c>
      <c r="AQ194" s="150" t="str">
        <f>IF($D194="Interior",INDEX(Lookups!R$2:R$86,MATCH(_xlfn.CONCAT($C194,$L194),Lookups!$P$2:$P$86,0)),IF($D194="Exterior",1,""))</f>
        <v/>
      </c>
      <c r="AR194" s="150" t="str">
        <f>IF($D194="Interior",INDEX(Lookups!S$2:S$86,MATCH(_xlfn.CONCAT($C194,$L194),Lookups!$P$2:$P$86,0)),IF($D194="Exterior",1,""))</f>
        <v/>
      </c>
      <c r="AS194" s="150" t="str">
        <f>IF($D194="Interior",INDEX(Lookups!T$2:T$86,MATCH(_xlfn.CONCAT($C194,$L194),Lookups!$P$2:$P$86,0)),IF($D194="Exterior",1,""))</f>
        <v/>
      </c>
      <c r="AT194" s="150" t="str">
        <f>IFERROR(IF(M194="Exit Signs",1,IF(INDEX('Fixture Codes'!$C$8:$C$976,MATCH($AD194,'Fixture Codes'!$B$8:$B$976,0))="Exit Sign",1,INDEX(Lookups!J$2:J$428,MATCH(_xlfn.CONCAT($B194,$H194),Lookups!$H$2:$H$428,0)))),"")</f>
        <v/>
      </c>
      <c r="AU194" s="150" t="str">
        <f>IFERROR(IF(M194="Exit Signs",1,IF(INDEX('Fixture Codes'!$C$8:$C$976,MATCH($AD194,'Fixture Codes'!$B$8:$B$976,0))="Exit Sign",1,INDEX(Lookups!K$2:K$428,MATCH(_xlfn.CONCAT($B194,$H194),Lookups!$H$2:$H$428,0)))),"")</f>
        <v/>
      </c>
      <c r="AV194" s="150" t="str">
        <f>IFERROR(IF(M194="Exit Signs",1,IF(INDEX('Fixture Codes'!$C$8:$C$976,MATCH($AD194,'Fixture Codes'!$B$8:$B$976,0))="Exit Sign",1,INDEX(Lookups!L$2:L$428,MATCH(_xlfn.CONCAT($B194,$H194),Lookups!$H$2:$H$428,0)))),"")</f>
        <v/>
      </c>
      <c r="AW194" s="150" t="str">
        <f>IF(ISBLANK(K194),"",IF(K194="Gas",INDEX(Lookups!$AG$2:$AG$63,MATCH(O194,Lookups!$AD$2:$AD$63,0),0),0))</f>
        <v/>
      </c>
      <c r="AX194" s="150" t="str">
        <f>IF(ISBLANK(K194),"",IF(K194="Gas",INDEX(Lookups!$AF$2:$AF$63,MATCH(O194,Lookups!$AD$2:$AD$63,0),0),0))</f>
        <v/>
      </c>
      <c r="AY194" s="150" t="str">
        <f>IF(ISBLANK(K194),"",IF(K194="Gas",INDEX(Lookups!$AH$2:$AH$63,MATCH(O194,Lookups!$AD$2:$AD$63,0),0),0))</f>
        <v/>
      </c>
      <c r="AZ194" s="150" t="str">
        <f>IF(ISBLANK(K194),"",IF(K194="Gas",INDEX(Lookups!$AI$2:$AI$63,MATCH(O194,Lookups!$AD$2:$AD$63,0),0),0))</f>
        <v/>
      </c>
      <c r="BA194" s="150" t="str">
        <f t="shared" si="73"/>
        <v/>
      </c>
      <c r="BB194" s="156" t="str">
        <f>IF(ISBLANK(AH194),"",IF(AH194="None",0,IF(K194="Gas",INDEX(Lookups!$AF$51:$AF$69,MATCH(AH194,Lookups!$AD$51:$AD$69,0),0),0)))</f>
        <v/>
      </c>
      <c r="BC194" s="156" t="str">
        <f>IF(ISBLANK(AH194),"",IF(AH194="None",0,IF(K194="Gas",INDEX(Lookups!$AH$51:$AH$69,MATCH(AH194,Lookups!$AD$51:$AD$69,0),0),0)))</f>
        <v/>
      </c>
      <c r="BD194" s="156" t="str">
        <f>IF(ISBLANK(AH194),"",IF(AH194="None",0,IF(K194="Gas",INDEX(Lookups!$AI$51:$AI$69,MATCH(AH194,Lookups!$AD$51:$AD$69,0),0),0)))</f>
        <v/>
      </c>
      <c r="BE194" s="157"/>
      <c r="BF194" s="157"/>
      <c r="BG194" s="147" t="str">
        <f t="shared" si="89"/>
        <v/>
      </c>
      <c r="BH194" s="147" t="str">
        <f t="shared" si="90"/>
        <v/>
      </c>
      <c r="BI194" s="147" t="str">
        <f t="shared" si="74"/>
        <v/>
      </c>
      <c r="BJ194" s="147" t="str">
        <f t="shared" si="75"/>
        <v/>
      </c>
      <c r="BK194" s="148" t="str">
        <f t="shared" si="91"/>
        <v/>
      </c>
      <c r="BL194" s="147" t="str">
        <f t="shared" si="76"/>
        <v/>
      </c>
      <c r="BM194" s="148" t="str">
        <f t="shared" si="92"/>
        <v/>
      </c>
      <c r="BN194" s="147" t="str">
        <f t="shared" si="93"/>
        <v/>
      </c>
      <c r="BO194" s="147" t="str">
        <f t="shared" si="93"/>
        <v/>
      </c>
      <c r="BP194" s="147" t="str">
        <f t="shared" si="94"/>
        <v/>
      </c>
      <c r="BQ194" s="148" t="str">
        <f t="shared" si="95"/>
        <v/>
      </c>
      <c r="BR194" s="148" t="str">
        <f t="shared" si="96"/>
        <v/>
      </c>
      <c r="BS194" s="148" t="str">
        <f t="shared" si="97"/>
        <v/>
      </c>
      <c r="BT194" s="148" t="str">
        <f t="shared" si="77"/>
        <v/>
      </c>
      <c r="BU194" s="148" t="str">
        <f t="shared" si="78"/>
        <v/>
      </c>
      <c r="BV194" s="148" t="str">
        <f t="shared" si="79"/>
        <v/>
      </c>
      <c r="BW194" s="148" t="str">
        <f t="shared" si="80"/>
        <v/>
      </c>
      <c r="BX194" s="148" t="str">
        <f t="shared" si="81"/>
        <v/>
      </c>
      <c r="BY194" s="148" t="str">
        <f t="shared" si="82"/>
        <v/>
      </c>
      <c r="BZ194" s="149" t="str">
        <f>IFERROR(INDEX('Prescriptive Rebate Table'!$B$2:$E$64,MATCH(O194,'Prescriptive Rebate Table'!$C$2:$C$64,0),3),"")</f>
        <v/>
      </c>
      <c r="CA194" s="145" t="str">
        <f>IFERROR(INDEX('Prescriptive Rebate Table'!$B$2:$E$64,MATCH(O194,'Prescriptive Rebate Table'!$C$2:$C$64,0),4),"")</f>
        <v/>
      </c>
      <c r="CB194" s="149" t="str">
        <f t="shared" si="98"/>
        <v/>
      </c>
      <c r="CC194" s="145" t="str">
        <f t="shared" si="99"/>
        <v/>
      </c>
      <c r="CD194" s="149" t="str">
        <f t="shared" si="83"/>
        <v/>
      </c>
      <c r="CE194" s="149" t="str">
        <f t="shared" si="84"/>
        <v/>
      </c>
      <c r="CF194" s="149" t="str">
        <f>IF(BK194&lt;=0,0,IFERROR(IF(OR(ISBLANK(AC194),ISBLANK(CD194))=TRUE,"",IF(CA194="Per Foot",INDEX('Fixture Codes'!$I$8:$I$976,MATCH(AD194,'Fixture Codes'!$B$8:$B$976,0))/12*AF194*BZ194,IF(CA194="Lamp",INDEX('Fixture Codes'!$J$8:$J$976,MATCH(AD194,'Fixture Codes'!$B$8:$B$976,0))*AF194*BZ194,IF(CA194="Fixture",AF194*BZ194,IF(CA194="kWh",BK194*BZ194,0))))),""))</f>
        <v/>
      </c>
      <c r="CG194" s="149" t="str">
        <f t="shared" si="100"/>
        <v/>
      </c>
      <c r="CH194" s="149" t="str">
        <f t="shared" si="101"/>
        <v/>
      </c>
      <c r="CI194" s="152"/>
      <c r="CJ194" s="146"/>
      <c r="CK194" s="241">
        <f>IFERROR(IF(CL194="Yes",'Prescriptive Rebate Table'!$D$69,IF(ISBLANK(AI194),0,IF(AND(AH194=Lookups!$A$62,BK194&gt;0),'Prescriptive Rebate Table'!$D$68,IF(AND(BK194&gt;0,CJ194=AF194),'Prescriptive Rebate Table'!$D$67,IF(AND(BK194&gt;0,CJ194&lt;&gt;AF194),'Prescriptive Rebate Table'!D253,0))))),"")</f>
        <v>0</v>
      </c>
      <c r="CL194" s="240" t="s">
        <v>2712</v>
      </c>
      <c r="CM194" s="152"/>
      <c r="CN194" s="152"/>
      <c r="CO194" s="152"/>
      <c r="CP194" s="146">
        <f t="shared" si="85"/>
        <v>0</v>
      </c>
      <c r="CQ194" s="153">
        <f>IF(D194="Interior",ROUND(($AG194*AF194)/1000*$AM194*(Lookups!$B$54-$AA194)*$AN194*$AO194,3),0)</f>
        <v>0</v>
      </c>
      <c r="CR194" s="153">
        <f>IFERROR(IF(D194="Interior",ROUND(($AG194*$AF194)/1000*(Lookups!$C$54-$AB194)*$AN194*AQ194*AT194,6),0),"")</f>
        <v>0</v>
      </c>
      <c r="CS194" s="165">
        <f t="shared" si="102"/>
        <v>0</v>
      </c>
      <c r="CT194" s="165">
        <f t="shared" si="103"/>
        <v>0</v>
      </c>
      <c r="CV194" s="153"/>
      <c r="CW194" s="153"/>
      <c r="CX194" s="165"/>
      <c r="CY194" s="165"/>
      <c r="DA194" s="153">
        <f>IF(D194="Interior",ROUND(($AG194*AF194*(1-0.15))/1000*$AM194*(Lookups!$B$43+0.097-$AA194)*$AN194*$AO194+((W194*V194)/1000*AN194*AM194*AO194*0.15),3),0)</f>
        <v>0</v>
      </c>
      <c r="DB194" s="153">
        <f>IFERROR(IF(D194="Interior",ROUND(($AG194*$AF194)/1000*(Lookups!$C$43+0.097-$AB194)*$AN194*AQ194*AT194+(($AG194*$AF194)/1000*$AN194*AQ194*AT194*0.15),6),0),"")</f>
        <v>0</v>
      </c>
      <c r="DC194" s="165">
        <f t="shared" si="104"/>
        <v>0</v>
      </c>
      <c r="DD194" s="165">
        <f t="shared" si="105"/>
        <v>0</v>
      </c>
    </row>
    <row r="195" spans="1:108" s="164" customFormat="1">
      <c r="A195" s="150">
        <v>191</v>
      </c>
      <c r="B195" s="153" t="str">
        <f>IFERROR(INDEX(Lookups!$B$2:$B$38,MATCH('Project Info &amp; Summary'!$C$19,Lookups!$A$2:$A$38,0)),"")</f>
        <v/>
      </c>
      <c r="C195" s="153" t="str">
        <f>IFERROR(INDEX(Lookups!$C$2:$C$38,MATCH('Project Info &amp; Summary'!$C$19,Lookups!$A$2:$A$38,0)),"")</f>
        <v/>
      </c>
      <c r="D195" s="163"/>
      <c r="E195" s="160"/>
      <c r="F195" s="158"/>
      <c r="G195" s="158"/>
      <c r="H195" s="158"/>
      <c r="I195" s="158"/>
      <c r="J195" s="154" t="str">
        <f>IFERROR(INDEX(Lookups!$W$21:$W$26,MATCH(I195,Lookups!$V$21:$V$26,0)),"")</f>
        <v/>
      </c>
      <c r="K195" s="158"/>
      <c r="L195" s="162" t="str">
        <f>IFERROR(INDEX(Lookups!$Y$2:$Y$19,MATCH(_xlfn.CONCAT(I195,K195),Lookups!$X$2:$X$19,0)),"")</f>
        <v/>
      </c>
      <c r="M195" s="158"/>
      <c r="N195" s="153" t="str">
        <f>IFERROR(INDEX('Prescriptive Rebate Table'!$M$3:$M$20,MATCH(M195,'Prescriptive Rebate Table'!$L$3:$L$20,0)),"")</f>
        <v/>
      </c>
      <c r="O195" s="158"/>
      <c r="P195" s="154" t="str">
        <f>IFERROR(INDEX('Prescriptive Rebate Table'!$B$2:$H$64, MATCH(O195,'Prescriptive Rebate Table'!$C$2:$C$64,0),7),"")</f>
        <v/>
      </c>
      <c r="Q195" s="155" t="str">
        <f>IFERROR(INDEX('Prescriptive Rebate Table'!$B$2:$I$64, MATCH(O195,'Prescriptive Rebate Table'!$C$2:$C$64,0),8),"")</f>
        <v/>
      </c>
      <c r="R195" s="155" t="str">
        <f>IFERROR(INDEX('Prescriptive Rebate Table'!$B$2:$J$64, MATCH(O195,'Prescriptive Rebate Table'!$C$2:$C$64,0),9),"")</f>
        <v/>
      </c>
      <c r="S195" s="160"/>
      <c r="T195" s="145" t="str">
        <f>IFERROR(INDEX('Fixture Codes'!$M$8:$M$976,MATCH(S195,'Fixture Codes'!$B$8:$B$976,0)),"")</f>
        <v/>
      </c>
      <c r="U195" s="145" t="str">
        <f>IFERROR(INDEX('Fixture Codes'!$B$7:$M$976,MATCH(T195,'Fixture Codes'!$B$7:$B$976,0),5),"")</f>
        <v/>
      </c>
      <c r="V195" s="160"/>
      <c r="W195" s="145" t="str">
        <f>IFERROR(INDEX('Fixture Codes'!$L$8:$L$976,MATCH(T195,'Fixture Codes'!$B$8:$B$976,0)),"")</f>
        <v/>
      </c>
      <c r="X195" s="158"/>
      <c r="Y195" s="159"/>
      <c r="Z195" s="155" t="str">
        <f>IFERROR(INDEX(Lookups!B$68:B$87,MATCH($X195,Lookups!$A$68:$A$87,0)),"")</f>
        <v/>
      </c>
      <c r="AA195" s="150" t="str">
        <f>IFERROR(INDEX(Lookups!B$42:B$62,MATCH($X195,Lookups!$A$42:$A$62,0)),"")</f>
        <v/>
      </c>
      <c r="AB195" s="150" t="str">
        <f>IFERROR(INDEX(Lookups!C$42:C$62,MATCH($X195,Lookups!$A$42:$A$62,0)),"")</f>
        <v/>
      </c>
      <c r="AC195" s="160"/>
      <c r="AD195" s="160"/>
      <c r="AE195" s="150" t="str">
        <f>IFERROR(INDEX('Fixture Codes'!$B$7:$M$976,MATCH(AD195,'Fixture Codes'!$B$7:$B$976,0),5),"")</f>
        <v/>
      </c>
      <c r="AF195" s="160"/>
      <c r="AG195" s="145" t="str">
        <f>IFERROR(INDEX('Fixture Codes'!$L$8:$L$976,MATCH(AD195,'Fixture Codes'!$B$8:$B$976,0)),"")</f>
        <v/>
      </c>
      <c r="AH195" s="158"/>
      <c r="AI195" s="160"/>
      <c r="AJ195" s="150" t="str">
        <f>IFERROR(INDEX(Lookups!B$68:B$87,MATCH($AH195,Lookups!$A$68:$A$87,0)),"")</f>
        <v/>
      </c>
      <c r="AK195" s="150" t="str">
        <f>IFERROR(INDEX(Lookups!B$42:B$62,MATCH($AH195,Lookups!$A$42:$A$62,0)),"")</f>
        <v/>
      </c>
      <c r="AL195" s="150" t="str">
        <f>IFERROR(INDEX(Lookups!C$42:C$62,MATCH($AH195,Lookups!$A$42:$A$62,0)),"")</f>
        <v/>
      </c>
      <c r="AM195" s="150" t="str">
        <f>IFERROR(IF(M195="Exit Signs",8760,IF(INDEX('Fixture Codes'!$C$8:$C$976,MATCH(AD195,'Fixture Codes'!$B$8:$B$976,0))="Exit Sign",8760,INDEX(Lookups!$I$2:$I$428,MATCH(_xlfn.CONCAT(B195,H195),Lookups!$H$2:$H$428,0)))),"")</f>
        <v/>
      </c>
      <c r="AN195" s="153">
        <v>1</v>
      </c>
      <c r="AO195" s="150" t="str">
        <f>IF($D195="Interior",INDEX(Lookups!Q$2:Q$86,MATCH(_xlfn.CONCAT($C195,$L195),Lookups!$P$2:$P$86,0)),IF($D195="Exterior",1,""))</f>
        <v/>
      </c>
      <c r="AP195" s="150">
        <f t="shared" si="88"/>
        <v>1</v>
      </c>
      <c r="AQ195" s="150" t="str">
        <f>IF($D195="Interior",INDEX(Lookups!R$2:R$86,MATCH(_xlfn.CONCAT($C195,$L195),Lookups!$P$2:$P$86,0)),IF($D195="Exterior",1,""))</f>
        <v/>
      </c>
      <c r="AR195" s="150" t="str">
        <f>IF($D195="Interior",INDEX(Lookups!S$2:S$86,MATCH(_xlfn.CONCAT($C195,$L195),Lookups!$P$2:$P$86,0)),IF($D195="Exterior",1,""))</f>
        <v/>
      </c>
      <c r="AS195" s="150" t="str">
        <f>IF($D195="Interior",INDEX(Lookups!T$2:T$86,MATCH(_xlfn.CONCAT($C195,$L195),Lookups!$P$2:$P$86,0)),IF($D195="Exterior",1,""))</f>
        <v/>
      </c>
      <c r="AT195" s="150" t="str">
        <f>IFERROR(IF(M195="Exit Signs",1,IF(INDEX('Fixture Codes'!$C$8:$C$976,MATCH($AD195,'Fixture Codes'!$B$8:$B$976,0))="Exit Sign",1,INDEX(Lookups!J$2:J$428,MATCH(_xlfn.CONCAT($B195,$H195),Lookups!$H$2:$H$428,0)))),"")</f>
        <v/>
      </c>
      <c r="AU195" s="150" t="str">
        <f>IFERROR(IF(M195="Exit Signs",1,IF(INDEX('Fixture Codes'!$C$8:$C$976,MATCH($AD195,'Fixture Codes'!$B$8:$B$976,0))="Exit Sign",1,INDEX(Lookups!K$2:K$428,MATCH(_xlfn.CONCAT($B195,$H195),Lookups!$H$2:$H$428,0)))),"")</f>
        <v/>
      </c>
      <c r="AV195" s="150" t="str">
        <f>IFERROR(IF(M195="Exit Signs",1,IF(INDEX('Fixture Codes'!$C$8:$C$976,MATCH($AD195,'Fixture Codes'!$B$8:$B$976,0))="Exit Sign",1,INDEX(Lookups!L$2:L$428,MATCH(_xlfn.CONCAT($B195,$H195),Lookups!$H$2:$H$428,0)))),"")</f>
        <v/>
      </c>
      <c r="AW195" s="150" t="str">
        <f>IF(ISBLANK(K195),"",IF(K195="Gas",INDEX(Lookups!$AG$2:$AG$63,MATCH(O195,Lookups!$AD$2:$AD$63,0),0),0))</f>
        <v/>
      </c>
      <c r="AX195" s="150" t="str">
        <f>IF(ISBLANK(K195),"",IF(K195="Gas",INDEX(Lookups!$AF$2:$AF$63,MATCH(O195,Lookups!$AD$2:$AD$63,0),0),0))</f>
        <v/>
      </c>
      <c r="AY195" s="150" t="str">
        <f>IF(ISBLANK(K195),"",IF(K195="Gas",INDEX(Lookups!$AH$2:$AH$63,MATCH(O195,Lookups!$AD$2:$AD$63,0),0),0))</f>
        <v/>
      </c>
      <c r="AZ195" s="150" t="str">
        <f>IF(ISBLANK(K195),"",IF(K195="Gas",INDEX(Lookups!$AI$2:$AI$63,MATCH(O195,Lookups!$AD$2:$AD$63,0),0),0))</f>
        <v/>
      </c>
      <c r="BA195" s="150" t="str">
        <f t="shared" si="73"/>
        <v/>
      </c>
      <c r="BB195" s="156" t="str">
        <f>IF(ISBLANK(AH195),"",IF(AH195="None",0,IF(K195="Gas",INDEX(Lookups!$AF$51:$AF$69,MATCH(AH195,Lookups!$AD$51:$AD$69,0),0),0)))</f>
        <v/>
      </c>
      <c r="BC195" s="156" t="str">
        <f>IF(ISBLANK(AH195),"",IF(AH195="None",0,IF(K195="Gas",INDEX(Lookups!$AH$51:$AH$69,MATCH(AH195,Lookups!$AD$51:$AD$69,0),0),0)))</f>
        <v/>
      </c>
      <c r="BD195" s="156" t="str">
        <f>IF(ISBLANK(AH195),"",IF(AH195="None",0,IF(K195="Gas",INDEX(Lookups!$AI$51:$AI$69,MATCH(AH195,Lookups!$AD$51:$AD$69,0),0),0)))</f>
        <v/>
      </c>
      <c r="BE195" s="157"/>
      <c r="BF195" s="157"/>
      <c r="BG195" s="147" t="str">
        <f t="shared" si="89"/>
        <v/>
      </c>
      <c r="BH195" s="147" t="str">
        <f t="shared" si="90"/>
        <v/>
      </c>
      <c r="BI195" s="147" t="str">
        <f t="shared" si="74"/>
        <v/>
      </c>
      <c r="BJ195" s="147" t="str">
        <f t="shared" si="75"/>
        <v/>
      </c>
      <c r="BK195" s="148" t="str">
        <f t="shared" si="91"/>
        <v/>
      </c>
      <c r="BL195" s="147" t="str">
        <f t="shared" si="76"/>
        <v/>
      </c>
      <c r="BM195" s="148" t="str">
        <f t="shared" si="92"/>
        <v/>
      </c>
      <c r="BN195" s="147" t="str">
        <f t="shared" si="93"/>
        <v/>
      </c>
      <c r="BO195" s="147" t="str">
        <f t="shared" si="93"/>
        <v/>
      </c>
      <c r="BP195" s="147" t="str">
        <f t="shared" si="94"/>
        <v/>
      </c>
      <c r="BQ195" s="148" t="str">
        <f t="shared" si="95"/>
        <v/>
      </c>
      <c r="BR195" s="148" t="str">
        <f t="shared" si="96"/>
        <v/>
      </c>
      <c r="BS195" s="148" t="str">
        <f t="shared" si="97"/>
        <v/>
      </c>
      <c r="BT195" s="148" t="str">
        <f t="shared" si="77"/>
        <v/>
      </c>
      <c r="BU195" s="148" t="str">
        <f t="shared" si="78"/>
        <v/>
      </c>
      <c r="BV195" s="148" t="str">
        <f t="shared" si="79"/>
        <v/>
      </c>
      <c r="BW195" s="148" t="str">
        <f t="shared" si="80"/>
        <v/>
      </c>
      <c r="BX195" s="148" t="str">
        <f t="shared" si="81"/>
        <v/>
      </c>
      <c r="BY195" s="148" t="str">
        <f t="shared" si="82"/>
        <v/>
      </c>
      <c r="BZ195" s="149" t="str">
        <f>IFERROR(INDEX('Prescriptive Rebate Table'!$B$2:$E$64,MATCH(O195,'Prescriptive Rebate Table'!$C$2:$C$64,0),3),"")</f>
        <v/>
      </c>
      <c r="CA195" s="145" t="str">
        <f>IFERROR(INDEX('Prescriptive Rebate Table'!$B$2:$E$64,MATCH(O195,'Prescriptive Rebate Table'!$C$2:$C$64,0),4),"")</f>
        <v/>
      </c>
      <c r="CB195" s="149" t="str">
        <f t="shared" si="98"/>
        <v/>
      </c>
      <c r="CC195" s="145" t="str">
        <f t="shared" si="99"/>
        <v/>
      </c>
      <c r="CD195" s="149" t="str">
        <f t="shared" si="83"/>
        <v/>
      </c>
      <c r="CE195" s="149" t="str">
        <f t="shared" si="84"/>
        <v/>
      </c>
      <c r="CF195" s="149" t="str">
        <f>IF(BK195&lt;=0,0,IFERROR(IF(OR(ISBLANK(AC195),ISBLANK(CD195))=TRUE,"",IF(CA195="Per Foot",INDEX('Fixture Codes'!$I$8:$I$976,MATCH(AD195,'Fixture Codes'!$B$8:$B$976,0))/12*AF195*BZ195,IF(CA195="Lamp",INDEX('Fixture Codes'!$J$8:$J$976,MATCH(AD195,'Fixture Codes'!$B$8:$B$976,0))*AF195*BZ195,IF(CA195="Fixture",AF195*BZ195,IF(CA195="kWh",BK195*BZ195,0))))),""))</f>
        <v/>
      </c>
      <c r="CG195" s="149" t="str">
        <f t="shared" si="100"/>
        <v/>
      </c>
      <c r="CH195" s="149" t="str">
        <f t="shared" si="101"/>
        <v/>
      </c>
      <c r="CI195" s="152"/>
      <c r="CJ195" s="146"/>
      <c r="CK195" s="241">
        <f>IFERROR(IF(CL195="Yes",'Prescriptive Rebate Table'!$D$69,IF(ISBLANK(AI195),0,IF(AND(AH195=Lookups!$A$62,BK195&gt;0),'Prescriptive Rebate Table'!$D$68,IF(AND(BK195&gt;0,CJ195=AF195),'Prescriptive Rebate Table'!$D$67,IF(AND(BK195&gt;0,CJ195&lt;&gt;AF195),'Prescriptive Rebate Table'!D254,0))))),"")</f>
        <v>0</v>
      </c>
      <c r="CL195" s="240" t="s">
        <v>2712</v>
      </c>
      <c r="CM195" s="152"/>
      <c r="CN195" s="152"/>
      <c r="CO195" s="152"/>
      <c r="CP195" s="146">
        <f t="shared" si="85"/>
        <v>0</v>
      </c>
      <c r="CQ195" s="153">
        <f>IF(D195="Interior",ROUND(($AG195*AF195)/1000*$AM195*(Lookups!$B$54-$AA195)*$AN195*$AO195,3),0)</f>
        <v>0</v>
      </c>
      <c r="CR195" s="153">
        <f>IFERROR(IF(D195="Interior",ROUND(($AG195*$AF195)/1000*(Lookups!$C$54-$AB195)*$AN195*AQ195*AT195,6),0),"")</f>
        <v>0</v>
      </c>
      <c r="CS195" s="165">
        <f t="shared" si="102"/>
        <v>0</v>
      </c>
      <c r="CT195" s="165">
        <f t="shared" si="103"/>
        <v>0</v>
      </c>
      <c r="CV195" s="153"/>
      <c r="CW195" s="153"/>
      <c r="CX195" s="165"/>
      <c r="CY195" s="165"/>
      <c r="DA195" s="153">
        <f>IF(D195="Interior",ROUND(($AG195*AF195*(1-0.15))/1000*$AM195*(Lookups!$B$43+0.097-$AA195)*$AN195*$AO195+((W195*V195)/1000*AN195*AM195*AO195*0.15),3),0)</f>
        <v>0</v>
      </c>
      <c r="DB195" s="153">
        <f>IFERROR(IF(D195="Interior",ROUND(($AG195*$AF195)/1000*(Lookups!$C$43+0.097-$AB195)*$AN195*AQ195*AT195+(($AG195*$AF195)/1000*$AN195*AQ195*AT195*0.15),6),0),"")</f>
        <v>0</v>
      </c>
      <c r="DC195" s="165">
        <f t="shared" si="104"/>
        <v>0</v>
      </c>
      <c r="DD195" s="165">
        <f t="shared" si="105"/>
        <v>0</v>
      </c>
    </row>
    <row r="196" spans="1:108" s="164" customFormat="1">
      <c r="A196" s="150">
        <v>192</v>
      </c>
      <c r="B196" s="153" t="str">
        <f>IFERROR(INDEX(Lookups!$B$2:$B$38,MATCH('Project Info &amp; Summary'!$C$19,Lookups!$A$2:$A$38,0)),"")</f>
        <v/>
      </c>
      <c r="C196" s="153" t="str">
        <f>IFERROR(INDEX(Lookups!$C$2:$C$38,MATCH('Project Info &amp; Summary'!$C$19,Lookups!$A$2:$A$38,0)),"")</f>
        <v/>
      </c>
      <c r="D196" s="163"/>
      <c r="E196" s="160"/>
      <c r="F196" s="158"/>
      <c r="G196" s="158"/>
      <c r="H196" s="158"/>
      <c r="I196" s="158"/>
      <c r="J196" s="154" t="str">
        <f>IFERROR(INDEX(Lookups!$W$21:$W$26,MATCH(I196,Lookups!$V$21:$V$26,0)),"")</f>
        <v/>
      </c>
      <c r="K196" s="158"/>
      <c r="L196" s="162" t="str">
        <f>IFERROR(INDEX(Lookups!$Y$2:$Y$19,MATCH(_xlfn.CONCAT(I196,K196),Lookups!$X$2:$X$19,0)),"")</f>
        <v/>
      </c>
      <c r="M196" s="158"/>
      <c r="N196" s="153" t="str">
        <f>IFERROR(INDEX('Prescriptive Rebate Table'!$M$3:$M$20,MATCH(M196,'Prescriptive Rebate Table'!$L$3:$L$20,0)),"")</f>
        <v/>
      </c>
      <c r="O196" s="158"/>
      <c r="P196" s="154" t="str">
        <f>IFERROR(INDEX('Prescriptive Rebate Table'!$B$2:$H$64, MATCH(O196,'Prescriptive Rebate Table'!$C$2:$C$64,0),7),"")</f>
        <v/>
      </c>
      <c r="Q196" s="155" t="str">
        <f>IFERROR(INDEX('Prescriptive Rebate Table'!$B$2:$I$64, MATCH(O196,'Prescriptive Rebate Table'!$C$2:$C$64,0),8),"")</f>
        <v/>
      </c>
      <c r="R196" s="155" t="str">
        <f>IFERROR(INDEX('Prescriptive Rebate Table'!$B$2:$J$64, MATCH(O196,'Prescriptive Rebate Table'!$C$2:$C$64,0),9),"")</f>
        <v/>
      </c>
      <c r="S196" s="160"/>
      <c r="T196" s="145" t="str">
        <f>IFERROR(INDEX('Fixture Codes'!$M$8:$M$976,MATCH(S196,'Fixture Codes'!$B$8:$B$976,0)),"")</f>
        <v/>
      </c>
      <c r="U196" s="145" t="str">
        <f>IFERROR(INDEX('Fixture Codes'!$B$7:$M$976,MATCH(T196,'Fixture Codes'!$B$7:$B$976,0),5),"")</f>
        <v/>
      </c>
      <c r="V196" s="160"/>
      <c r="W196" s="145" t="str">
        <f>IFERROR(INDEX('Fixture Codes'!$L$8:$L$976,MATCH(T196,'Fixture Codes'!$B$8:$B$976,0)),"")</f>
        <v/>
      </c>
      <c r="X196" s="158"/>
      <c r="Y196" s="159"/>
      <c r="Z196" s="155" t="str">
        <f>IFERROR(INDEX(Lookups!B$68:B$87,MATCH($X196,Lookups!$A$68:$A$87,0)),"")</f>
        <v/>
      </c>
      <c r="AA196" s="150" t="str">
        <f>IFERROR(INDEX(Lookups!B$42:B$62,MATCH($X196,Lookups!$A$42:$A$62,0)),"")</f>
        <v/>
      </c>
      <c r="AB196" s="150" t="str">
        <f>IFERROR(INDEX(Lookups!C$42:C$62,MATCH($X196,Lookups!$A$42:$A$62,0)),"")</f>
        <v/>
      </c>
      <c r="AC196" s="160"/>
      <c r="AD196" s="160"/>
      <c r="AE196" s="150" t="str">
        <f>IFERROR(INDEX('Fixture Codes'!$B$7:$M$976,MATCH(AD196,'Fixture Codes'!$B$7:$B$976,0),5),"")</f>
        <v/>
      </c>
      <c r="AF196" s="160"/>
      <c r="AG196" s="145" t="str">
        <f>IFERROR(INDEX('Fixture Codes'!$L$8:$L$976,MATCH(AD196,'Fixture Codes'!$B$8:$B$976,0)),"")</f>
        <v/>
      </c>
      <c r="AH196" s="158"/>
      <c r="AI196" s="160"/>
      <c r="AJ196" s="150" t="str">
        <f>IFERROR(INDEX(Lookups!B$68:B$87,MATCH($AH196,Lookups!$A$68:$A$87,0)),"")</f>
        <v/>
      </c>
      <c r="AK196" s="150" t="str">
        <f>IFERROR(INDEX(Lookups!B$42:B$62,MATCH($AH196,Lookups!$A$42:$A$62,0)),"")</f>
        <v/>
      </c>
      <c r="AL196" s="150" t="str">
        <f>IFERROR(INDEX(Lookups!C$42:C$62,MATCH($AH196,Lookups!$A$42:$A$62,0)),"")</f>
        <v/>
      </c>
      <c r="AM196" s="150" t="str">
        <f>IFERROR(IF(M196="Exit Signs",8760,IF(INDEX('Fixture Codes'!$C$8:$C$976,MATCH(AD196,'Fixture Codes'!$B$8:$B$976,0))="Exit Sign",8760,INDEX(Lookups!$I$2:$I$428,MATCH(_xlfn.CONCAT(B196,H196),Lookups!$H$2:$H$428,0)))),"")</f>
        <v/>
      </c>
      <c r="AN196" s="153">
        <v>1</v>
      </c>
      <c r="AO196" s="150" t="str">
        <f>IF($D196="Interior",INDEX(Lookups!Q$2:Q$86,MATCH(_xlfn.CONCAT($C196,$L196),Lookups!$P$2:$P$86,0)),IF($D196="Exterior",1,""))</f>
        <v/>
      </c>
      <c r="AP196" s="150">
        <f t="shared" si="88"/>
        <v>1</v>
      </c>
      <c r="AQ196" s="150" t="str">
        <f>IF($D196="Interior",INDEX(Lookups!R$2:R$86,MATCH(_xlfn.CONCAT($C196,$L196),Lookups!$P$2:$P$86,0)),IF($D196="Exterior",1,""))</f>
        <v/>
      </c>
      <c r="AR196" s="150" t="str">
        <f>IF($D196="Interior",INDEX(Lookups!S$2:S$86,MATCH(_xlfn.CONCAT($C196,$L196),Lookups!$P$2:$P$86,0)),IF($D196="Exterior",1,""))</f>
        <v/>
      </c>
      <c r="AS196" s="150" t="str">
        <f>IF($D196="Interior",INDEX(Lookups!T$2:T$86,MATCH(_xlfn.CONCAT($C196,$L196),Lookups!$P$2:$P$86,0)),IF($D196="Exterior",1,""))</f>
        <v/>
      </c>
      <c r="AT196" s="150" t="str">
        <f>IFERROR(IF(M196="Exit Signs",1,IF(INDEX('Fixture Codes'!$C$8:$C$976,MATCH($AD196,'Fixture Codes'!$B$8:$B$976,0))="Exit Sign",1,INDEX(Lookups!J$2:J$428,MATCH(_xlfn.CONCAT($B196,$H196),Lookups!$H$2:$H$428,0)))),"")</f>
        <v/>
      </c>
      <c r="AU196" s="150" t="str">
        <f>IFERROR(IF(M196="Exit Signs",1,IF(INDEX('Fixture Codes'!$C$8:$C$976,MATCH($AD196,'Fixture Codes'!$B$8:$B$976,0))="Exit Sign",1,INDEX(Lookups!K$2:K$428,MATCH(_xlfn.CONCAT($B196,$H196),Lookups!$H$2:$H$428,0)))),"")</f>
        <v/>
      </c>
      <c r="AV196" s="150" t="str">
        <f>IFERROR(IF(M196="Exit Signs",1,IF(INDEX('Fixture Codes'!$C$8:$C$976,MATCH($AD196,'Fixture Codes'!$B$8:$B$976,0))="Exit Sign",1,INDEX(Lookups!L$2:L$428,MATCH(_xlfn.CONCAT($B196,$H196),Lookups!$H$2:$H$428,0)))),"")</f>
        <v/>
      </c>
      <c r="AW196" s="150" t="str">
        <f>IF(ISBLANK(K196),"",IF(K196="Gas",INDEX(Lookups!$AG$2:$AG$63,MATCH(O196,Lookups!$AD$2:$AD$63,0),0),0))</f>
        <v/>
      </c>
      <c r="AX196" s="150" t="str">
        <f>IF(ISBLANK(K196),"",IF(K196="Gas",INDEX(Lookups!$AF$2:$AF$63,MATCH(O196,Lookups!$AD$2:$AD$63,0),0),0))</f>
        <v/>
      </c>
      <c r="AY196" s="150" t="str">
        <f>IF(ISBLANK(K196),"",IF(K196="Gas",INDEX(Lookups!$AH$2:$AH$63,MATCH(O196,Lookups!$AD$2:$AD$63,0),0),0))</f>
        <v/>
      </c>
      <c r="AZ196" s="150" t="str">
        <f>IF(ISBLANK(K196),"",IF(K196="Gas",INDEX(Lookups!$AI$2:$AI$63,MATCH(O196,Lookups!$AD$2:$AD$63,0),0),0))</f>
        <v/>
      </c>
      <c r="BA196" s="150" t="str">
        <f t="shared" si="73"/>
        <v/>
      </c>
      <c r="BB196" s="156" t="str">
        <f>IF(ISBLANK(AH196),"",IF(AH196="None",0,IF(K196="Gas",INDEX(Lookups!$AF$51:$AF$69,MATCH(AH196,Lookups!$AD$51:$AD$69,0),0),0)))</f>
        <v/>
      </c>
      <c r="BC196" s="156" t="str">
        <f>IF(ISBLANK(AH196),"",IF(AH196="None",0,IF(K196="Gas",INDEX(Lookups!$AH$51:$AH$69,MATCH(AH196,Lookups!$AD$51:$AD$69,0),0),0)))</f>
        <v/>
      </c>
      <c r="BD196" s="156" t="str">
        <f>IF(ISBLANK(AH196),"",IF(AH196="None",0,IF(K196="Gas",INDEX(Lookups!$AI$51:$AI$69,MATCH(AH196,Lookups!$AD$51:$AD$69,0),0),0)))</f>
        <v/>
      </c>
      <c r="BE196" s="157"/>
      <c r="BF196" s="157"/>
      <c r="BG196" s="147" t="str">
        <f t="shared" si="89"/>
        <v/>
      </c>
      <c r="BH196" s="147" t="str">
        <f t="shared" si="90"/>
        <v/>
      </c>
      <c r="BI196" s="147" t="str">
        <f t="shared" si="74"/>
        <v/>
      </c>
      <c r="BJ196" s="147" t="str">
        <f t="shared" si="75"/>
        <v/>
      </c>
      <c r="BK196" s="148" t="str">
        <f t="shared" si="91"/>
        <v/>
      </c>
      <c r="BL196" s="147" t="str">
        <f t="shared" si="76"/>
        <v/>
      </c>
      <c r="BM196" s="148" t="str">
        <f t="shared" si="92"/>
        <v/>
      </c>
      <c r="BN196" s="147" t="str">
        <f t="shared" si="93"/>
        <v/>
      </c>
      <c r="BO196" s="147" t="str">
        <f t="shared" si="93"/>
        <v/>
      </c>
      <c r="BP196" s="147" t="str">
        <f t="shared" si="94"/>
        <v/>
      </c>
      <c r="BQ196" s="148" t="str">
        <f t="shared" si="95"/>
        <v/>
      </c>
      <c r="BR196" s="148" t="str">
        <f t="shared" si="96"/>
        <v/>
      </c>
      <c r="BS196" s="148" t="str">
        <f t="shared" si="97"/>
        <v/>
      </c>
      <c r="BT196" s="148" t="str">
        <f t="shared" si="77"/>
        <v/>
      </c>
      <c r="BU196" s="148" t="str">
        <f t="shared" si="78"/>
        <v/>
      </c>
      <c r="BV196" s="148" t="str">
        <f t="shared" si="79"/>
        <v/>
      </c>
      <c r="BW196" s="148" t="str">
        <f t="shared" si="80"/>
        <v/>
      </c>
      <c r="BX196" s="148" t="str">
        <f t="shared" si="81"/>
        <v/>
      </c>
      <c r="BY196" s="148" t="str">
        <f t="shared" si="82"/>
        <v/>
      </c>
      <c r="BZ196" s="149" t="str">
        <f>IFERROR(INDEX('Prescriptive Rebate Table'!$B$2:$E$64,MATCH(O196,'Prescriptive Rebate Table'!$C$2:$C$64,0),3),"")</f>
        <v/>
      </c>
      <c r="CA196" s="145" t="str">
        <f>IFERROR(INDEX('Prescriptive Rebate Table'!$B$2:$E$64,MATCH(O196,'Prescriptive Rebate Table'!$C$2:$C$64,0),4),"")</f>
        <v/>
      </c>
      <c r="CB196" s="149" t="str">
        <f t="shared" si="98"/>
        <v/>
      </c>
      <c r="CC196" s="145" t="str">
        <f t="shared" si="99"/>
        <v/>
      </c>
      <c r="CD196" s="149" t="str">
        <f t="shared" si="83"/>
        <v/>
      </c>
      <c r="CE196" s="149" t="str">
        <f t="shared" si="84"/>
        <v/>
      </c>
      <c r="CF196" s="149" t="str">
        <f>IF(BK196&lt;=0,0,IFERROR(IF(OR(ISBLANK(AC196),ISBLANK(CD196))=TRUE,"",IF(CA196="Per Foot",INDEX('Fixture Codes'!$I$8:$I$976,MATCH(AD196,'Fixture Codes'!$B$8:$B$976,0))/12*AF196*BZ196,IF(CA196="Lamp",INDEX('Fixture Codes'!$J$8:$J$976,MATCH(AD196,'Fixture Codes'!$B$8:$B$976,0))*AF196*BZ196,IF(CA196="Fixture",AF196*BZ196,IF(CA196="kWh",BK196*BZ196,0))))),""))</f>
        <v/>
      </c>
      <c r="CG196" s="149" t="str">
        <f t="shared" si="100"/>
        <v/>
      </c>
      <c r="CH196" s="149" t="str">
        <f t="shared" si="101"/>
        <v/>
      </c>
      <c r="CI196" s="152"/>
      <c r="CJ196" s="146"/>
      <c r="CK196" s="241">
        <f>IFERROR(IF(CL196="Yes",'Prescriptive Rebate Table'!$D$69,IF(ISBLANK(AI196),0,IF(AND(AH196=Lookups!$A$62,BK196&gt;0),'Prescriptive Rebate Table'!$D$68,IF(AND(BK196&gt;0,CJ196=AF196),'Prescriptive Rebate Table'!$D$67,IF(AND(BK196&gt;0,CJ196&lt;&gt;AF196),'Prescriptive Rebate Table'!D255,0))))),"")</f>
        <v>0</v>
      </c>
      <c r="CL196" s="240" t="s">
        <v>2712</v>
      </c>
      <c r="CM196" s="152"/>
      <c r="CN196" s="152"/>
      <c r="CO196" s="152"/>
      <c r="CP196" s="146">
        <f t="shared" si="85"/>
        <v>0</v>
      </c>
      <c r="CQ196" s="153">
        <f>IF(D196="Interior",ROUND(($AG196*AF196)/1000*$AM196*(Lookups!$B$54-$AA196)*$AN196*$AO196,3),0)</f>
        <v>0</v>
      </c>
      <c r="CR196" s="153">
        <f>IFERROR(IF(D196="Interior",ROUND(($AG196*$AF196)/1000*(Lookups!$C$54-$AB196)*$AN196*AQ196*AT196,6),0),"")</f>
        <v>0</v>
      </c>
      <c r="CS196" s="165">
        <f t="shared" si="102"/>
        <v>0</v>
      </c>
      <c r="CT196" s="165">
        <f t="shared" si="103"/>
        <v>0</v>
      </c>
      <c r="CV196" s="153"/>
      <c r="CW196" s="153"/>
      <c r="CX196" s="165"/>
      <c r="CY196" s="165"/>
      <c r="DA196" s="153">
        <f>IF(D196="Interior",ROUND(($AG196*AF196*(1-0.15))/1000*$AM196*(Lookups!$B$43+0.097-$AA196)*$AN196*$AO196+((W196*V196)/1000*AN196*AM196*AO196*0.15),3),0)</f>
        <v>0</v>
      </c>
      <c r="DB196" s="153">
        <f>IFERROR(IF(D196="Interior",ROUND(($AG196*$AF196)/1000*(Lookups!$C$43+0.097-$AB196)*$AN196*AQ196*AT196+(($AG196*$AF196)/1000*$AN196*AQ196*AT196*0.15),6),0),"")</f>
        <v>0</v>
      </c>
      <c r="DC196" s="165">
        <f t="shared" si="104"/>
        <v>0</v>
      </c>
      <c r="DD196" s="165">
        <f t="shared" si="105"/>
        <v>0</v>
      </c>
    </row>
    <row r="197" spans="1:108" s="164" customFormat="1">
      <c r="A197" s="150">
        <v>193</v>
      </c>
      <c r="B197" s="153" t="str">
        <f>IFERROR(INDEX(Lookups!$B$2:$B$38,MATCH('Project Info &amp; Summary'!$C$19,Lookups!$A$2:$A$38,0)),"")</f>
        <v/>
      </c>
      <c r="C197" s="153" t="str">
        <f>IFERROR(INDEX(Lookups!$C$2:$C$38,MATCH('Project Info &amp; Summary'!$C$19,Lookups!$A$2:$A$38,0)),"")</f>
        <v/>
      </c>
      <c r="D197" s="163"/>
      <c r="E197" s="160"/>
      <c r="F197" s="158"/>
      <c r="G197" s="158"/>
      <c r="H197" s="158"/>
      <c r="I197" s="158"/>
      <c r="J197" s="154" t="str">
        <f>IFERROR(INDEX(Lookups!$W$21:$W$26,MATCH(I197,Lookups!$V$21:$V$26,0)),"")</f>
        <v/>
      </c>
      <c r="K197" s="158"/>
      <c r="L197" s="162" t="str">
        <f>IFERROR(INDEX(Lookups!$Y$2:$Y$19,MATCH(_xlfn.CONCAT(I197,K197),Lookups!$X$2:$X$19,0)),"")</f>
        <v/>
      </c>
      <c r="M197" s="158"/>
      <c r="N197" s="153" t="str">
        <f>IFERROR(INDEX('Prescriptive Rebate Table'!$M$3:$M$20,MATCH(M197,'Prescriptive Rebate Table'!$L$3:$L$20,0)),"")</f>
        <v/>
      </c>
      <c r="O197" s="158"/>
      <c r="P197" s="154" t="str">
        <f>IFERROR(INDEX('Prescriptive Rebate Table'!$B$2:$H$64, MATCH(O197,'Prescriptive Rebate Table'!$C$2:$C$64,0),7),"")</f>
        <v/>
      </c>
      <c r="Q197" s="155" t="str">
        <f>IFERROR(INDEX('Prescriptive Rebate Table'!$B$2:$I$64, MATCH(O197,'Prescriptive Rebate Table'!$C$2:$C$64,0),8),"")</f>
        <v/>
      </c>
      <c r="R197" s="155" t="str">
        <f>IFERROR(INDEX('Prescriptive Rebate Table'!$B$2:$J$64, MATCH(O197,'Prescriptive Rebate Table'!$C$2:$C$64,0),9),"")</f>
        <v/>
      </c>
      <c r="S197" s="160"/>
      <c r="T197" s="145" t="str">
        <f>IFERROR(INDEX('Fixture Codes'!$M$8:$M$976,MATCH(S197,'Fixture Codes'!$B$8:$B$976,0)),"")</f>
        <v/>
      </c>
      <c r="U197" s="145" t="str">
        <f>IFERROR(INDEX('Fixture Codes'!$B$7:$M$976,MATCH(T197,'Fixture Codes'!$B$7:$B$976,0),5),"")</f>
        <v/>
      </c>
      <c r="V197" s="160"/>
      <c r="W197" s="145" t="str">
        <f>IFERROR(INDEX('Fixture Codes'!$L$8:$L$976,MATCH(T197,'Fixture Codes'!$B$8:$B$976,0)),"")</f>
        <v/>
      </c>
      <c r="X197" s="158"/>
      <c r="Y197" s="159"/>
      <c r="Z197" s="155" t="str">
        <f>IFERROR(INDEX(Lookups!B$68:B$87,MATCH($X197,Lookups!$A$68:$A$87,0)),"")</f>
        <v/>
      </c>
      <c r="AA197" s="150" t="str">
        <f>IFERROR(INDEX(Lookups!B$42:B$62,MATCH($X197,Lookups!$A$42:$A$62,0)),"")</f>
        <v/>
      </c>
      <c r="AB197" s="150" t="str">
        <f>IFERROR(INDEX(Lookups!C$42:C$62,MATCH($X197,Lookups!$A$42:$A$62,0)),"")</f>
        <v/>
      </c>
      <c r="AC197" s="160"/>
      <c r="AD197" s="160"/>
      <c r="AE197" s="150" t="str">
        <f>IFERROR(INDEX('Fixture Codes'!$B$7:$M$976,MATCH(AD197,'Fixture Codes'!$B$7:$B$976,0),5),"")</f>
        <v/>
      </c>
      <c r="AF197" s="160"/>
      <c r="AG197" s="145" t="str">
        <f>IFERROR(INDEX('Fixture Codes'!$L$8:$L$976,MATCH(AD197,'Fixture Codes'!$B$8:$B$976,0)),"")</f>
        <v/>
      </c>
      <c r="AH197" s="158"/>
      <c r="AI197" s="160"/>
      <c r="AJ197" s="150" t="str">
        <f>IFERROR(INDEX(Lookups!B$68:B$87,MATCH($AH197,Lookups!$A$68:$A$87,0)),"")</f>
        <v/>
      </c>
      <c r="AK197" s="150" t="str">
        <f>IFERROR(INDEX(Lookups!B$42:B$62,MATCH($AH197,Lookups!$A$42:$A$62,0)),"")</f>
        <v/>
      </c>
      <c r="AL197" s="150" t="str">
        <f>IFERROR(INDEX(Lookups!C$42:C$62,MATCH($AH197,Lookups!$A$42:$A$62,0)),"")</f>
        <v/>
      </c>
      <c r="AM197" s="150" t="str">
        <f>IFERROR(IF(M197="Exit Signs",8760,IF(INDEX('Fixture Codes'!$C$8:$C$976,MATCH(AD197,'Fixture Codes'!$B$8:$B$976,0))="Exit Sign",8760,INDEX(Lookups!$I$2:$I$428,MATCH(_xlfn.CONCAT(B197,H197),Lookups!$H$2:$H$428,0)))),"")</f>
        <v/>
      </c>
      <c r="AN197" s="153">
        <v>1</v>
      </c>
      <c r="AO197" s="150" t="str">
        <f>IF($D197="Interior",INDEX(Lookups!Q$2:Q$86,MATCH(_xlfn.CONCAT($C197,$L197),Lookups!$P$2:$P$86,0)),IF($D197="Exterior",1,""))</f>
        <v/>
      </c>
      <c r="AP197" s="150">
        <f t="shared" si="88"/>
        <v>1</v>
      </c>
      <c r="AQ197" s="150" t="str">
        <f>IF($D197="Interior",INDEX(Lookups!R$2:R$86,MATCH(_xlfn.CONCAT($C197,$L197),Lookups!$P$2:$P$86,0)),IF($D197="Exterior",1,""))</f>
        <v/>
      </c>
      <c r="AR197" s="150" t="str">
        <f>IF($D197="Interior",INDEX(Lookups!S$2:S$86,MATCH(_xlfn.CONCAT($C197,$L197),Lookups!$P$2:$P$86,0)),IF($D197="Exterior",1,""))</f>
        <v/>
      </c>
      <c r="AS197" s="150" t="str">
        <f>IF($D197="Interior",INDEX(Lookups!T$2:T$86,MATCH(_xlfn.CONCAT($C197,$L197),Lookups!$P$2:$P$86,0)),IF($D197="Exterior",1,""))</f>
        <v/>
      </c>
      <c r="AT197" s="150" t="str">
        <f>IFERROR(IF(M197="Exit Signs",1,IF(INDEX('Fixture Codes'!$C$8:$C$976,MATCH($AD197,'Fixture Codes'!$B$8:$B$976,0))="Exit Sign",1,INDEX(Lookups!J$2:J$428,MATCH(_xlfn.CONCAT($B197,$H197),Lookups!$H$2:$H$428,0)))),"")</f>
        <v/>
      </c>
      <c r="AU197" s="150" t="str">
        <f>IFERROR(IF(M197="Exit Signs",1,IF(INDEX('Fixture Codes'!$C$8:$C$976,MATCH($AD197,'Fixture Codes'!$B$8:$B$976,0))="Exit Sign",1,INDEX(Lookups!K$2:K$428,MATCH(_xlfn.CONCAT($B197,$H197),Lookups!$H$2:$H$428,0)))),"")</f>
        <v/>
      </c>
      <c r="AV197" s="150" t="str">
        <f>IFERROR(IF(M197="Exit Signs",1,IF(INDEX('Fixture Codes'!$C$8:$C$976,MATCH($AD197,'Fixture Codes'!$B$8:$B$976,0))="Exit Sign",1,INDEX(Lookups!L$2:L$428,MATCH(_xlfn.CONCAT($B197,$H197),Lookups!$H$2:$H$428,0)))),"")</f>
        <v/>
      </c>
      <c r="AW197" s="150" t="str">
        <f>IF(ISBLANK(K197),"",IF(K197="Gas",INDEX(Lookups!$AG$2:$AG$63,MATCH(O197,Lookups!$AD$2:$AD$63,0),0),0))</f>
        <v/>
      </c>
      <c r="AX197" s="150" t="str">
        <f>IF(ISBLANK(K197),"",IF(K197="Gas",INDEX(Lookups!$AF$2:$AF$63,MATCH(O197,Lookups!$AD$2:$AD$63,0),0),0))</f>
        <v/>
      </c>
      <c r="AY197" s="150" t="str">
        <f>IF(ISBLANK(K197),"",IF(K197="Gas",INDEX(Lookups!$AH$2:$AH$63,MATCH(O197,Lookups!$AD$2:$AD$63,0),0),0))</f>
        <v/>
      </c>
      <c r="AZ197" s="150" t="str">
        <f>IF(ISBLANK(K197),"",IF(K197="Gas",INDEX(Lookups!$AI$2:$AI$63,MATCH(O197,Lookups!$AD$2:$AD$63,0),0),0))</f>
        <v/>
      </c>
      <c r="BA197" s="150" t="str">
        <f t="shared" ref="BA197:BA254" si="106">(IF(ISBLANK(M197),"",IF(D197="Interior",IF(K197="Gas",IF(M197="Linear Fluorescents",0.224,1),0))))</f>
        <v/>
      </c>
      <c r="BB197" s="156" t="str">
        <f>IF(ISBLANK(AH197),"",IF(AH197="None",0,IF(K197="Gas",INDEX(Lookups!$AF$51:$AF$69,MATCH(AH197,Lookups!$AD$51:$AD$69,0),0),0)))</f>
        <v/>
      </c>
      <c r="BC197" s="156" t="str">
        <f>IF(ISBLANK(AH197),"",IF(AH197="None",0,IF(K197="Gas",INDEX(Lookups!$AH$51:$AH$69,MATCH(AH197,Lookups!$AD$51:$AD$69,0),0),0)))</f>
        <v/>
      </c>
      <c r="BD197" s="156" t="str">
        <f>IF(ISBLANK(AH197),"",IF(AH197="None",0,IF(K197="Gas",INDEX(Lookups!$AI$51:$AI$69,MATCH(AH197,Lookups!$AD$51:$AD$69,0),0),0)))</f>
        <v/>
      </c>
      <c r="BE197" s="157"/>
      <c r="BF197" s="157"/>
      <c r="BG197" s="147" t="str">
        <f t="shared" si="89"/>
        <v/>
      </c>
      <c r="BH197" s="147" t="str">
        <f t="shared" si="90"/>
        <v/>
      </c>
      <c r="BI197" s="147" t="str">
        <f t="shared" ref="BI197:BI254" si="107">IFERROR(ROUND(($W197*$V197-$AG197*$AF197)/1000*$AN197*AR197*AU197,6),"")</f>
        <v/>
      </c>
      <c r="BJ197" s="147" t="str">
        <f t="shared" ref="BJ197:BJ254" si="108">IFERROR(ROUND(($W197*$V197-$AG197*$AF197)/1000*$AN197*AS197*AV197,6),"")</f>
        <v/>
      </c>
      <c r="BK197" s="148" t="str">
        <f t="shared" si="91"/>
        <v/>
      </c>
      <c r="BL197" s="147" t="str">
        <f t="shared" ref="BL197:BL254" si="109">IF(BK197="","",IFERROR(IF(K197="Gas",(-BK197/AO197)*AX197*AW197*BA197*AY197/AZ197,0),0))</f>
        <v/>
      </c>
      <c r="BM197" s="148" t="str">
        <f t="shared" si="92"/>
        <v/>
      </c>
      <c r="BN197" s="147" t="str">
        <f t="shared" si="93"/>
        <v/>
      </c>
      <c r="BO197" s="147" t="str">
        <f t="shared" si="93"/>
        <v/>
      </c>
      <c r="BP197" s="147" t="str">
        <f t="shared" si="94"/>
        <v/>
      </c>
      <c r="BQ197" s="148" t="str">
        <f t="shared" si="95"/>
        <v/>
      </c>
      <c r="BR197" s="148" t="str">
        <f t="shared" si="96"/>
        <v/>
      </c>
      <c r="BS197" s="148" t="str">
        <f t="shared" si="97"/>
        <v/>
      </c>
      <c r="BT197" s="148" t="str">
        <f t="shared" ref="BT197:BT254" si="110">IF(SUM(BH197,BN197)=0,"",SUM(BH197,BN197))</f>
        <v/>
      </c>
      <c r="BU197" s="148" t="str">
        <f t="shared" ref="BU197:BU254" si="111">IF(SUM(BI197,BO197)=0,"",SUM(BI197,BO197))</f>
        <v/>
      </c>
      <c r="BV197" s="148" t="str">
        <f t="shared" ref="BV197:BV254" si="112">IF(SUM(BJ197,BP197)=0,"",SUM(BJ197,BP197))</f>
        <v/>
      </c>
      <c r="BW197" s="148" t="str">
        <f t="shared" ref="BW197:BW254" si="113">IF(SUM(BK197,BQ197)=0,"",SUM(BK197,BQ197))</f>
        <v/>
      </c>
      <c r="BX197" s="148" t="str">
        <f t="shared" ref="BX197:BX254" si="114">IF(ISBLANK(D197),"",IF(SUM(BL197,BR197)=0,0,SUM(BL197,BR197)))</f>
        <v/>
      </c>
      <c r="BY197" s="148" t="str">
        <f t="shared" ref="BY197:BY254" si="115">IF(ISBLANK(D197),"",IF(SUM(BM197,BS197)=0,0,SUM(BM197,BS197)))</f>
        <v/>
      </c>
      <c r="BZ197" s="149" t="str">
        <f>IFERROR(INDEX('Prescriptive Rebate Table'!$B$2:$E$64,MATCH(O197,'Prescriptive Rebate Table'!$C$2:$C$64,0),3),"")</f>
        <v/>
      </c>
      <c r="CA197" s="145" t="str">
        <f>IFERROR(INDEX('Prescriptive Rebate Table'!$B$2:$E$64,MATCH(O197,'Prescriptive Rebate Table'!$C$2:$C$64,0),4),"")</f>
        <v/>
      </c>
      <c r="CB197" s="149" t="str">
        <f t="shared" si="98"/>
        <v/>
      </c>
      <c r="CC197" s="145" t="str">
        <f t="shared" si="99"/>
        <v/>
      </c>
      <c r="CD197" s="149" t="str">
        <f t="shared" ref="CD197:CD254" si="116">IFERROR(IF(AF197="","",AF197*BE197),"")</f>
        <v/>
      </c>
      <c r="CE197" s="149" t="str">
        <f t="shared" ref="CE197:CE254" si="117">IFERROR(IF(AI197="","",AI197*BF197),"")</f>
        <v/>
      </c>
      <c r="CF197" s="149" t="str">
        <f>IF(BK197&lt;=0,0,IFERROR(IF(OR(ISBLANK(AC197),ISBLANK(CD197))=TRUE,"",IF(CA197="Per Foot",INDEX('Fixture Codes'!$I$8:$I$976,MATCH(AD197,'Fixture Codes'!$B$8:$B$976,0))/12*AF197*BZ197,IF(CA197="Lamp",INDEX('Fixture Codes'!$J$8:$J$976,MATCH(AD197,'Fixture Codes'!$B$8:$B$976,0))*AF197*BZ197,IF(CA197="Fixture",AF197*BZ197,IF(CA197="kWh",BK197*BZ197,0))))),""))</f>
        <v/>
      </c>
      <c r="CG197" s="149" t="str">
        <f t="shared" si="100"/>
        <v/>
      </c>
      <c r="CH197" s="149" t="str">
        <f t="shared" si="101"/>
        <v/>
      </c>
      <c r="CI197" s="152"/>
      <c r="CJ197" s="146"/>
      <c r="CK197" s="241">
        <f>IFERROR(IF(CL197="Yes",'Prescriptive Rebate Table'!$D$69,IF(ISBLANK(AI197),0,IF(AND(AH197=Lookups!$A$62,BK197&gt;0),'Prescriptive Rebate Table'!$D$68,IF(AND(BK197&gt;0,CJ197=AF197),'Prescriptive Rebate Table'!$D$67,IF(AND(BK197&gt;0,CJ197&lt;&gt;AF197),'Prescriptive Rebate Table'!D256,0))))),"")</f>
        <v>0</v>
      </c>
      <c r="CL197" s="240" t="s">
        <v>2712</v>
      </c>
      <c r="CM197" s="152"/>
      <c r="CN197" s="152"/>
      <c r="CO197" s="152"/>
      <c r="CP197" s="146">
        <f t="shared" ref="CP197:CP254" si="118">IF(D197="Interior",ROUNDUP($AF197/2,0),0)</f>
        <v>0</v>
      </c>
      <c r="CQ197" s="153">
        <f>IF(D197="Interior",ROUND(($AG197*AF197)/1000*$AM197*(Lookups!$B$54-$AA197)*$AN197*$AO197,3),0)</f>
        <v>0</v>
      </c>
      <c r="CR197" s="153">
        <f>IFERROR(IF(D197="Interior",ROUND(($AG197*$AF197)/1000*(Lookups!$C$54-$AB197)*$AN197*AQ197*AT197,6),0),"")</f>
        <v>0</v>
      </c>
      <c r="CS197" s="165">
        <f t="shared" si="102"/>
        <v>0</v>
      </c>
      <c r="CT197" s="165">
        <f t="shared" si="103"/>
        <v>0</v>
      </c>
      <c r="CV197" s="153"/>
      <c r="CW197" s="153"/>
      <c r="CX197" s="165"/>
      <c r="CY197" s="165"/>
      <c r="DA197" s="153">
        <f>IF(D197="Interior",ROUND(($AG197*AF197*(1-0.15))/1000*$AM197*(Lookups!$B$43+0.097-$AA197)*$AN197*$AO197+((W197*V197)/1000*AN197*AM197*AO197*0.15),3),0)</f>
        <v>0</v>
      </c>
      <c r="DB197" s="153">
        <f>IFERROR(IF(D197="Interior",ROUND(($AG197*$AF197)/1000*(Lookups!$C$43+0.097-$AB197)*$AN197*AQ197*AT197+(($AG197*$AF197)/1000*$AN197*AQ197*AT197*0.15),6),0),"")</f>
        <v>0</v>
      </c>
      <c r="DC197" s="165">
        <f t="shared" si="104"/>
        <v>0</v>
      </c>
      <c r="DD197" s="165">
        <f t="shared" si="105"/>
        <v>0</v>
      </c>
    </row>
    <row r="198" spans="1:108" s="164" customFormat="1">
      <c r="A198" s="150">
        <v>194</v>
      </c>
      <c r="B198" s="153" t="str">
        <f>IFERROR(INDEX(Lookups!$B$2:$B$38,MATCH('Project Info &amp; Summary'!$C$19,Lookups!$A$2:$A$38,0)),"")</f>
        <v/>
      </c>
      <c r="C198" s="153" t="str">
        <f>IFERROR(INDEX(Lookups!$C$2:$C$38,MATCH('Project Info &amp; Summary'!$C$19,Lookups!$A$2:$A$38,0)),"")</f>
        <v/>
      </c>
      <c r="D198" s="163"/>
      <c r="E198" s="160"/>
      <c r="F198" s="158"/>
      <c r="G198" s="158"/>
      <c r="H198" s="158"/>
      <c r="I198" s="158"/>
      <c r="J198" s="154" t="str">
        <f>IFERROR(INDEX(Lookups!$W$21:$W$26,MATCH(I198,Lookups!$V$21:$V$26,0)),"")</f>
        <v/>
      </c>
      <c r="K198" s="158"/>
      <c r="L198" s="162" t="str">
        <f>IFERROR(INDEX(Lookups!$Y$2:$Y$19,MATCH(_xlfn.CONCAT(I198,K198),Lookups!$X$2:$X$19,0)),"")</f>
        <v/>
      </c>
      <c r="M198" s="158"/>
      <c r="N198" s="153" t="str">
        <f>IFERROR(INDEX('Prescriptive Rebate Table'!$M$3:$M$20,MATCH(M198,'Prescriptive Rebate Table'!$L$3:$L$20,0)),"")</f>
        <v/>
      </c>
      <c r="O198" s="158"/>
      <c r="P198" s="154" t="str">
        <f>IFERROR(INDEX('Prescriptive Rebate Table'!$B$2:$H$64, MATCH(O198,'Prescriptive Rebate Table'!$C$2:$C$64,0),7),"")</f>
        <v/>
      </c>
      <c r="Q198" s="155" t="str">
        <f>IFERROR(INDEX('Prescriptive Rebate Table'!$B$2:$I$64, MATCH(O198,'Prescriptive Rebate Table'!$C$2:$C$64,0),8),"")</f>
        <v/>
      </c>
      <c r="R198" s="155" t="str">
        <f>IFERROR(INDEX('Prescriptive Rebate Table'!$B$2:$J$64, MATCH(O198,'Prescriptive Rebate Table'!$C$2:$C$64,0),9),"")</f>
        <v/>
      </c>
      <c r="S198" s="160"/>
      <c r="T198" s="145" t="str">
        <f>IFERROR(INDEX('Fixture Codes'!$M$8:$M$976,MATCH(S198,'Fixture Codes'!$B$8:$B$976,0)),"")</f>
        <v/>
      </c>
      <c r="U198" s="145" t="str">
        <f>IFERROR(INDEX('Fixture Codes'!$B$7:$M$976,MATCH(T198,'Fixture Codes'!$B$7:$B$976,0),5),"")</f>
        <v/>
      </c>
      <c r="V198" s="160"/>
      <c r="W198" s="145" t="str">
        <f>IFERROR(INDEX('Fixture Codes'!$L$8:$L$976,MATCH(T198,'Fixture Codes'!$B$8:$B$976,0)),"")</f>
        <v/>
      </c>
      <c r="X198" s="158"/>
      <c r="Y198" s="159"/>
      <c r="Z198" s="155" t="str">
        <f>IFERROR(INDEX(Lookups!B$68:B$87,MATCH($X198,Lookups!$A$68:$A$87,0)),"")</f>
        <v/>
      </c>
      <c r="AA198" s="150" t="str">
        <f>IFERROR(INDEX(Lookups!B$42:B$62,MATCH($X198,Lookups!$A$42:$A$62,0)),"")</f>
        <v/>
      </c>
      <c r="AB198" s="150" t="str">
        <f>IFERROR(INDEX(Lookups!C$42:C$62,MATCH($X198,Lookups!$A$42:$A$62,0)),"")</f>
        <v/>
      </c>
      <c r="AC198" s="160"/>
      <c r="AD198" s="160"/>
      <c r="AE198" s="150" t="str">
        <f>IFERROR(INDEX('Fixture Codes'!$B$7:$M$976,MATCH(AD198,'Fixture Codes'!$B$7:$B$976,0),5),"")</f>
        <v/>
      </c>
      <c r="AF198" s="160"/>
      <c r="AG198" s="145" t="str">
        <f>IFERROR(INDEX('Fixture Codes'!$L$8:$L$976,MATCH(AD198,'Fixture Codes'!$B$8:$B$976,0)),"")</f>
        <v/>
      </c>
      <c r="AH198" s="158"/>
      <c r="AI198" s="160"/>
      <c r="AJ198" s="150" t="str">
        <f>IFERROR(INDEX(Lookups!B$68:B$87,MATCH($AH198,Lookups!$A$68:$A$87,0)),"")</f>
        <v/>
      </c>
      <c r="AK198" s="150" t="str">
        <f>IFERROR(INDEX(Lookups!B$42:B$62,MATCH($AH198,Lookups!$A$42:$A$62,0)),"")</f>
        <v/>
      </c>
      <c r="AL198" s="150" t="str">
        <f>IFERROR(INDEX(Lookups!C$42:C$62,MATCH($AH198,Lookups!$A$42:$A$62,0)),"")</f>
        <v/>
      </c>
      <c r="AM198" s="150" t="str">
        <f>IFERROR(IF(M198="Exit Signs",8760,IF(INDEX('Fixture Codes'!$C$8:$C$976,MATCH(AD198,'Fixture Codes'!$B$8:$B$976,0))="Exit Sign",8760,INDEX(Lookups!$I$2:$I$428,MATCH(_xlfn.CONCAT(B198,H198),Lookups!$H$2:$H$428,0)))),"")</f>
        <v/>
      </c>
      <c r="AN198" s="153">
        <v>1</v>
      </c>
      <c r="AO198" s="150" t="str">
        <f>IF($D198="Interior",INDEX(Lookups!Q$2:Q$86,MATCH(_xlfn.CONCAT($C198,$L198),Lookups!$P$2:$P$86,0)),IF($D198="Exterior",1,""))</f>
        <v/>
      </c>
      <c r="AP198" s="150">
        <f t="shared" ref="AP198:AP254" si="119">IF(OR(O198="LED A lamp",O198="LED BR/R lamp",O198= "LED MR lamp",O198= "LED PAR lamp - PAR20",O198= "LED PAR lamp - PAR30 &amp; PAR38"),0.2,IF(O198="LED Decorative or Globe lamp",0.1,1))</f>
        <v>1</v>
      </c>
      <c r="AQ198" s="150" t="str">
        <f>IF($D198="Interior",INDEX(Lookups!R$2:R$86,MATCH(_xlfn.CONCAT($C198,$L198),Lookups!$P$2:$P$86,0)),IF($D198="Exterior",1,""))</f>
        <v/>
      </c>
      <c r="AR198" s="150" t="str">
        <f>IF($D198="Interior",INDEX(Lookups!S$2:S$86,MATCH(_xlfn.CONCAT($C198,$L198),Lookups!$P$2:$P$86,0)),IF($D198="Exterior",1,""))</f>
        <v/>
      </c>
      <c r="AS198" s="150" t="str">
        <f>IF($D198="Interior",INDEX(Lookups!T$2:T$86,MATCH(_xlfn.CONCAT($C198,$L198),Lookups!$P$2:$P$86,0)),IF($D198="Exterior",1,""))</f>
        <v/>
      </c>
      <c r="AT198" s="150" t="str">
        <f>IFERROR(IF(M198="Exit Signs",1,IF(INDEX('Fixture Codes'!$C$8:$C$976,MATCH($AD198,'Fixture Codes'!$B$8:$B$976,0))="Exit Sign",1,INDEX(Lookups!J$2:J$428,MATCH(_xlfn.CONCAT($B198,$H198),Lookups!$H$2:$H$428,0)))),"")</f>
        <v/>
      </c>
      <c r="AU198" s="150" t="str">
        <f>IFERROR(IF(M198="Exit Signs",1,IF(INDEX('Fixture Codes'!$C$8:$C$976,MATCH($AD198,'Fixture Codes'!$B$8:$B$976,0))="Exit Sign",1,INDEX(Lookups!K$2:K$428,MATCH(_xlfn.CONCAT($B198,$H198),Lookups!$H$2:$H$428,0)))),"")</f>
        <v/>
      </c>
      <c r="AV198" s="150" t="str">
        <f>IFERROR(IF(M198="Exit Signs",1,IF(INDEX('Fixture Codes'!$C$8:$C$976,MATCH($AD198,'Fixture Codes'!$B$8:$B$976,0))="Exit Sign",1,INDEX(Lookups!L$2:L$428,MATCH(_xlfn.CONCAT($B198,$H198),Lookups!$H$2:$H$428,0)))),"")</f>
        <v/>
      </c>
      <c r="AW198" s="150" t="str">
        <f>IF(ISBLANK(K198),"",IF(K198="Gas",INDEX(Lookups!$AG$2:$AG$63,MATCH(O198,Lookups!$AD$2:$AD$63,0),0),0))</f>
        <v/>
      </c>
      <c r="AX198" s="150" t="str">
        <f>IF(ISBLANK(K198),"",IF(K198="Gas",INDEX(Lookups!$AF$2:$AF$63,MATCH(O198,Lookups!$AD$2:$AD$63,0),0),0))</f>
        <v/>
      </c>
      <c r="AY198" s="150" t="str">
        <f>IF(ISBLANK(K198),"",IF(K198="Gas",INDEX(Lookups!$AH$2:$AH$63,MATCH(O198,Lookups!$AD$2:$AD$63,0),0),0))</f>
        <v/>
      </c>
      <c r="AZ198" s="150" t="str">
        <f>IF(ISBLANK(K198),"",IF(K198="Gas",INDEX(Lookups!$AI$2:$AI$63,MATCH(O198,Lookups!$AD$2:$AD$63,0),0),0))</f>
        <v/>
      </c>
      <c r="BA198" s="150" t="str">
        <f t="shared" si="106"/>
        <v/>
      </c>
      <c r="BB198" s="156" t="str">
        <f>IF(ISBLANK(AH198),"",IF(AH198="None",0,IF(K198="Gas",INDEX(Lookups!$AF$51:$AF$69,MATCH(AH198,Lookups!$AD$51:$AD$69,0),0),0)))</f>
        <v/>
      </c>
      <c r="BC198" s="156" t="str">
        <f>IF(ISBLANK(AH198),"",IF(AH198="None",0,IF(K198="Gas",INDEX(Lookups!$AH$51:$AH$69,MATCH(AH198,Lookups!$AD$51:$AD$69,0),0),0)))</f>
        <v/>
      </c>
      <c r="BD198" s="156" t="str">
        <f>IF(ISBLANK(AH198),"",IF(AH198="None",0,IF(K198="Gas",INDEX(Lookups!$AI$51:$AI$69,MATCH(AH198,Lookups!$AD$51:$AD$69,0),0),0)))</f>
        <v/>
      </c>
      <c r="BE198" s="157"/>
      <c r="BF198" s="157"/>
      <c r="BG198" s="147" t="str">
        <f t="shared" ref="BG198:BG254" si="120">IFERROR(-(AF198*AG198-V198*W198)/1000,"")</f>
        <v/>
      </c>
      <c r="BH198" s="147" t="str">
        <f t="shared" ref="BH198:BH254" si="121">IFERROR(AP198*($W198*$V198-$AG198*$AF198)/1000*$AN198*AQ198*AT198,"")</f>
        <v/>
      </c>
      <c r="BI198" s="147" t="str">
        <f t="shared" si="107"/>
        <v/>
      </c>
      <c r="BJ198" s="147" t="str">
        <f t="shared" si="108"/>
        <v/>
      </c>
      <c r="BK198" s="148" t="str">
        <f t="shared" ref="BK198:BK254" si="122">IFERROR(ROUND(AP198*(W198*V198-AG198*AF198)/1000*AN198*AM198*AO198,3),"")</f>
        <v/>
      </c>
      <c r="BL198" s="147" t="str">
        <f t="shared" si="109"/>
        <v/>
      </c>
      <c r="BM198" s="148" t="str">
        <f t="shared" ref="BM198:BM254" si="123">IF(BL198="","",BL198*10)</f>
        <v/>
      </c>
      <c r="BN198" s="147" t="str">
        <f t="shared" ref="BN198:BO254" si="124">IFERROR(IF($AA198=$AK198,"",ROUND(($AG198*$AF198)/1000*($AL198-$AB198)*$AN198*AQ198*AT198,6)),"")</f>
        <v/>
      </c>
      <c r="BO198" s="147" t="str">
        <f t="shared" si="124"/>
        <v/>
      </c>
      <c r="BP198" s="147" t="str">
        <f t="shared" ref="BP198:BP254" si="125">IFERROR(IF($AA198=$AK198,"",ROUND(($AG198*$AF198)/1000*($AL198-$AB198)*$AN198*AS198*AV198,6)),"")</f>
        <v/>
      </c>
      <c r="BQ198" s="148" t="str">
        <f t="shared" ref="BQ198:BQ254" si="126">IFERROR(IF(AA198=AK198,"",ROUND((AG198*AF198)/1000*AM198*(AK198-AA198)*AN198*AO198,3)),"")</f>
        <v/>
      </c>
      <c r="BR198" s="148" t="str">
        <f t="shared" ref="BR198:BR254" si="127">IF(BQ198="","",IF(K198="Gas",(-BQ198/AO198)*BB198*AW198*BC198/BD198,0))</f>
        <v/>
      </c>
      <c r="BS198" s="148" t="str">
        <f t="shared" ref="BS198:BS254" si="128">IF(BR198="","",BR198*10)</f>
        <v/>
      </c>
      <c r="BT198" s="148" t="str">
        <f t="shared" si="110"/>
        <v/>
      </c>
      <c r="BU198" s="148" t="str">
        <f t="shared" si="111"/>
        <v/>
      </c>
      <c r="BV198" s="148" t="str">
        <f t="shared" si="112"/>
        <v/>
      </c>
      <c r="BW198" s="148" t="str">
        <f t="shared" si="113"/>
        <v/>
      </c>
      <c r="BX198" s="148" t="str">
        <f t="shared" si="114"/>
        <v/>
      </c>
      <c r="BY198" s="148" t="str">
        <f t="shared" si="115"/>
        <v/>
      </c>
      <c r="BZ198" s="149" t="str">
        <f>IFERROR(INDEX('Prescriptive Rebate Table'!$B$2:$E$64,MATCH(O198,'Prescriptive Rebate Table'!$C$2:$C$64,0),3),"")</f>
        <v/>
      </c>
      <c r="CA198" s="145" t="str">
        <f>IFERROR(INDEX('Prescriptive Rebate Table'!$B$2:$E$64,MATCH(O198,'Prescriptive Rebate Table'!$C$2:$C$64,0),4),"")</f>
        <v/>
      </c>
      <c r="CB198" s="149" t="str">
        <f t="shared" ref="CB198:CB254" si="129">IFERROR(IF(OR(AI198="",AH198=X198),"",CK198),"")</f>
        <v/>
      </c>
      <c r="CC198" s="145" t="str">
        <f t="shared" ref="CC198:CC254" si="130">IF(CB198="","","/kWh")</f>
        <v/>
      </c>
      <c r="CD198" s="149" t="str">
        <f t="shared" si="116"/>
        <v/>
      </c>
      <c r="CE198" s="149" t="str">
        <f t="shared" si="117"/>
        <v/>
      </c>
      <c r="CF198" s="149" t="str">
        <f>IF(BK198&lt;=0,0,IFERROR(IF(OR(ISBLANK(AC198),ISBLANK(CD198))=TRUE,"",IF(CA198="Per Foot",INDEX('Fixture Codes'!$I$8:$I$976,MATCH(AD198,'Fixture Codes'!$B$8:$B$976,0))/12*AF198*BZ198,IF(CA198="Lamp",INDEX('Fixture Codes'!$J$8:$J$976,MATCH(AD198,'Fixture Codes'!$B$8:$B$976,0))*AF198*BZ198,IF(CA198="Fixture",AF198*BZ198,IF(CA198="kWh",BK198*BZ198,0))))),""))</f>
        <v/>
      </c>
      <c r="CG198" s="149" t="str">
        <f t="shared" ref="CG198:CG254" si="131">IF(BQ198&lt;=0,0,IFERROR(IF(OR(ISBLANK(AC198),ISBLANK(CE198))=TRUE,"",IF(CC198="Control",AI198*CB198,IF(CC198="/kWh",CB198*BQ198,IF(CC198="Fixture",AF198*CB198,IF(CC198="Per Watt",AG198*AF198*CB198,0))))),""))</f>
        <v/>
      </c>
      <c r="CH198" s="149" t="str">
        <f t="shared" ref="CH198:CH254" si="132">IF(SUM(CF198,CG198)=0,"",SUM(CF198,CG198))</f>
        <v/>
      </c>
      <c r="CI198" s="152"/>
      <c r="CJ198" s="146"/>
      <c r="CK198" s="241">
        <f>IFERROR(IF(CL198="Yes",'Prescriptive Rebate Table'!$D$69,IF(ISBLANK(AI198),0,IF(AND(AH198=Lookups!$A$62,BK198&gt;0),'Prescriptive Rebate Table'!$D$68,IF(AND(BK198&gt;0,CJ198=AF198),'Prescriptive Rebate Table'!$D$67,IF(AND(BK198&gt;0,CJ198&lt;&gt;AF198),'Prescriptive Rebate Table'!D257,0))))),"")</f>
        <v>0</v>
      </c>
      <c r="CL198" s="240" t="s">
        <v>2712</v>
      </c>
      <c r="CM198" s="152"/>
      <c r="CN198" s="152"/>
      <c r="CO198" s="152"/>
      <c r="CP198" s="146">
        <f t="shared" si="118"/>
        <v>0</v>
      </c>
      <c r="CQ198" s="153">
        <f>IF(D198="Interior",ROUND(($AG198*AF198)/1000*$AM198*(Lookups!$B$54-$AA198)*$AN198*$AO198,3),0)</f>
        <v>0</v>
      </c>
      <c r="CR198" s="153">
        <f>IFERROR(IF(D198="Interior",ROUND(($AG198*$AF198)/1000*(Lookups!$C$54-$AB198)*$AN198*AQ198*AT198,6),0),"")</f>
        <v>0</v>
      </c>
      <c r="CS198" s="165">
        <f t="shared" ref="CS198:CS254" si="133">$CP198*30</f>
        <v>0</v>
      </c>
      <c r="CT198" s="165">
        <f t="shared" ref="CT198:CT254" si="134">$CP198*36</f>
        <v>0</v>
      </c>
      <c r="CV198" s="153"/>
      <c r="CW198" s="153"/>
      <c r="CX198" s="165"/>
      <c r="CY198" s="165"/>
      <c r="DA198" s="153">
        <f>IF(D198="Interior",ROUND(($AG198*AF198*(1-0.15))/1000*$AM198*(Lookups!$B$43+0.097-$AA198)*$AN198*$AO198+((W198*V198)/1000*AN198*AM198*AO198*0.15),3),0)</f>
        <v>0</v>
      </c>
      <c r="DB198" s="153">
        <f>IFERROR(IF(D198="Interior",ROUND(($AG198*$AF198)/1000*(Lookups!$C$43+0.097-$AB198)*$AN198*AQ198*AT198+(($AG198*$AF198)/1000*$AN198*AQ198*AT198*0.15),6),0),"")</f>
        <v>0</v>
      </c>
      <c r="DC198" s="165">
        <f t="shared" ref="DC198:DC254" si="135">IFERROR(IF(D198="Interior",IF(AF198*AG198&gt;200,AF198*AG198*0.6,AF198*50),0),0)</f>
        <v>0</v>
      </c>
      <c r="DD198" s="165">
        <f t="shared" ref="DD198:DD254" si="136">IF(D198="Interior",AF198*49,0)</f>
        <v>0</v>
      </c>
    </row>
    <row r="199" spans="1:108" s="164" customFormat="1">
      <c r="A199" s="150">
        <v>195</v>
      </c>
      <c r="B199" s="153" t="str">
        <f>IFERROR(INDEX(Lookups!$B$2:$B$38,MATCH('Project Info &amp; Summary'!$C$19,Lookups!$A$2:$A$38,0)),"")</f>
        <v/>
      </c>
      <c r="C199" s="153" t="str">
        <f>IFERROR(INDEX(Lookups!$C$2:$C$38,MATCH('Project Info &amp; Summary'!$C$19,Lookups!$A$2:$A$38,0)),"")</f>
        <v/>
      </c>
      <c r="D199" s="163"/>
      <c r="E199" s="160"/>
      <c r="F199" s="158"/>
      <c r="G199" s="158"/>
      <c r="H199" s="158"/>
      <c r="I199" s="158"/>
      <c r="J199" s="154" t="str">
        <f>IFERROR(INDEX(Lookups!$W$21:$W$26,MATCH(I199,Lookups!$V$21:$V$26,0)),"")</f>
        <v/>
      </c>
      <c r="K199" s="158"/>
      <c r="L199" s="162" t="str">
        <f>IFERROR(INDEX(Lookups!$Y$2:$Y$19,MATCH(_xlfn.CONCAT(I199,K199),Lookups!$X$2:$X$19,0)),"")</f>
        <v/>
      </c>
      <c r="M199" s="158"/>
      <c r="N199" s="153" t="str">
        <f>IFERROR(INDEX('Prescriptive Rebate Table'!$M$3:$M$20,MATCH(M199,'Prescriptive Rebate Table'!$L$3:$L$20,0)),"")</f>
        <v/>
      </c>
      <c r="O199" s="158"/>
      <c r="P199" s="154" t="str">
        <f>IFERROR(INDEX('Prescriptive Rebate Table'!$B$2:$H$64, MATCH(O199,'Prescriptive Rebate Table'!$C$2:$C$64,0),7),"")</f>
        <v/>
      </c>
      <c r="Q199" s="155" t="str">
        <f>IFERROR(INDEX('Prescriptive Rebate Table'!$B$2:$I$64, MATCH(O199,'Prescriptive Rebate Table'!$C$2:$C$64,0),8),"")</f>
        <v/>
      </c>
      <c r="R199" s="155" t="str">
        <f>IFERROR(INDEX('Prescriptive Rebate Table'!$B$2:$J$64, MATCH(O199,'Prescriptive Rebate Table'!$C$2:$C$64,0),9),"")</f>
        <v/>
      </c>
      <c r="S199" s="160"/>
      <c r="T199" s="145" t="str">
        <f>IFERROR(INDEX('Fixture Codes'!$M$8:$M$976,MATCH(S199,'Fixture Codes'!$B$8:$B$976,0)),"")</f>
        <v/>
      </c>
      <c r="U199" s="145" t="str">
        <f>IFERROR(INDEX('Fixture Codes'!$B$7:$M$976,MATCH(T199,'Fixture Codes'!$B$7:$B$976,0),5),"")</f>
        <v/>
      </c>
      <c r="V199" s="160"/>
      <c r="W199" s="145" t="str">
        <f>IFERROR(INDEX('Fixture Codes'!$L$8:$L$976,MATCH(T199,'Fixture Codes'!$B$8:$B$976,0)),"")</f>
        <v/>
      </c>
      <c r="X199" s="158"/>
      <c r="Y199" s="159"/>
      <c r="Z199" s="155" t="str">
        <f>IFERROR(INDEX(Lookups!B$68:B$87,MATCH($X199,Lookups!$A$68:$A$87,0)),"")</f>
        <v/>
      </c>
      <c r="AA199" s="150" t="str">
        <f>IFERROR(INDEX(Lookups!B$42:B$62,MATCH($X199,Lookups!$A$42:$A$62,0)),"")</f>
        <v/>
      </c>
      <c r="AB199" s="150" t="str">
        <f>IFERROR(INDEX(Lookups!C$42:C$62,MATCH($X199,Lookups!$A$42:$A$62,0)),"")</f>
        <v/>
      </c>
      <c r="AC199" s="160"/>
      <c r="AD199" s="160"/>
      <c r="AE199" s="150" t="str">
        <f>IFERROR(INDEX('Fixture Codes'!$B$7:$M$976,MATCH(AD199,'Fixture Codes'!$B$7:$B$976,0),5),"")</f>
        <v/>
      </c>
      <c r="AF199" s="160"/>
      <c r="AG199" s="145" t="str">
        <f>IFERROR(INDEX('Fixture Codes'!$L$8:$L$976,MATCH(AD199,'Fixture Codes'!$B$8:$B$976,0)),"")</f>
        <v/>
      </c>
      <c r="AH199" s="158"/>
      <c r="AI199" s="160"/>
      <c r="AJ199" s="150" t="str">
        <f>IFERROR(INDEX(Lookups!B$68:B$87,MATCH($AH199,Lookups!$A$68:$A$87,0)),"")</f>
        <v/>
      </c>
      <c r="AK199" s="150" t="str">
        <f>IFERROR(INDEX(Lookups!B$42:B$62,MATCH($AH199,Lookups!$A$42:$A$62,0)),"")</f>
        <v/>
      </c>
      <c r="AL199" s="150" t="str">
        <f>IFERROR(INDEX(Lookups!C$42:C$62,MATCH($AH199,Lookups!$A$42:$A$62,0)),"")</f>
        <v/>
      </c>
      <c r="AM199" s="150" t="str">
        <f>IFERROR(IF(M199="Exit Signs",8760,IF(INDEX('Fixture Codes'!$C$8:$C$976,MATCH(AD199,'Fixture Codes'!$B$8:$B$976,0))="Exit Sign",8760,INDEX(Lookups!$I$2:$I$428,MATCH(_xlfn.CONCAT(B199,H199),Lookups!$H$2:$H$428,0)))),"")</f>
        <v/>
      </c>
      <c r="AN199" s="153">
        <v>1</v>
      </c>
      <c r="AO199" s="150" t="str">
        <f>IF($D199="Interior",INDEX(Lookups!Q$2:Q$86,MATCH(_xlfn.CONCAT($C199,$L199),Lookups!$P$2:$P$86,0)),IF($D199="Exterior",1,""))</f>
        <v/>
      </c>
      <c r="AP199" s="150">
        <f t="shared" si="119"/>
        <v>1</v>
      </c>
      <c r="AQ199" s="150" t="str">
        <f>IF($D199="Interior",INDEX(Lookups!R$2:R$86,MATCH(_xlfn.CONCAT($C199,$L199),Lookups!$P$2:$P$86,0)),IF($D199="Exterior",1,""))</f>
        <v/>
      </c>
      <c r="AR199" s="150" t="str">
        <f>IF($D199="Interior",INDEX(Lookups!S$2:S$86,MATCH(_xlfn.CONCAT($C199,$L199),Lookups!$P$2:$P$86,0)),IF($D199="Exterior",1,""))</f>
        <v/>
      </c>
      <c r="AS199" s="150" t="str">
        <f>IF($D199="Interior",INDEX(Lookups!T$2:T$86,MATCH(_xlfn.CONCAT($C199,$L199),Lookups!$P$2:$P$86,0)),IF($D199="Exterior",1,""))</f>
        <v/>
      </c>
      <c r="AT199" s="150" t="str">
        <f>IFERROR(IF(M199="Exit Signs",1,IF(INDEX('Fixture Codes'!$C$8:$C$976,MATCH($AD199,'Fixture Codes'!$B$8:$B$976,0))="Exit Sign",1,INDEX(Lookups!J$2:J$428,MATCH(_xlfn.CONCAT($B199,$H199),Lookups!$H$2:$H$428,0)))),"")</f>
        <v/>
      </c>
      <c r="AU199" s="150" t="str">
        <f>IFERROR(IF(M199="Exit Signs",1,IF(INDEX('Fixture Codes'!$C$8:$C$976,MATCH($AD199,'Fixture Codes'!$B$8:$B$976,0))="Exit Sign",1,INDEX(Lookups!K$2:K$428,MATCH(_xlfn.CONCAT($B199,$H199),Lookups!$H$2:$H$428,0)))),"")</f>
        <v/>
      </c>
      <c r="AV199" s="150" t="str">
        <f>IFERROR(IF(M199="Exit Signs",1,IF(INDEX('Fixture Codes'!$C$8:$C$976,MATCH($AD199,'Fixture Codes'!$B$8:$B$976,0))="Exit Sign",1,INDEX(Lookups!L$2:L$428,MATCH(_xlfn.CONCAT($B199,$H199),Lookups!$H$2:$H$428,0)))),"")</f>
        <v/>
      </c>
      <c r="AW199" s="150" t="str">
        <f>IF(ISBLANK(K199),"",IF(K199="Gas",INDEX(Lookups!$AG$2:$AG$63,MATCH(O199,Lookups!$AD$2:$AD$63,0),0),0))</f>
        <v/>
      </c>
      <c r="AX199" s="150" t="str">
        <f>IF(ISBLANK(K199),"",IF(K199="Gas",INDEX(Lookups!$AF$2:$AF$63,MATCH(O199,Lookups!$AD$2:$AD$63,0),0),0))</f>
        <v/>
      </c>
      <c r="AY199" s="150" t="str">
        <f>IF(ISBLANK(K199),"",IF(K199="Gas",INDEX(Lookups!$AH$2:$AH$63,MATCH(O199,Lookups!$AD$2:$AD$63,0),0),0))</f>
        <v/>
      </c>
      <c r="AZ199" s="150" t="str">
        <f>IF(ISBLANK(K199),"",IF(K199="Gas",INDEX(Lookups!$AI$2:$AI$63,MATCH(O199,Lookups!$AD$2:$AD$63,0),0),0))</f>
        <v/>
      </c>
      <c r="BA199" s="150" t="str">
        <f t="shared" si="106"/>
        <v/>
      </c>
      <c r="BB199" s="156" t="str">
        <f>IF(ISBLANK(AH199),"",IF(AH199="None",0,IF(K199="Gas",INDEX(Lookups!$AF$51:$AF$69,MATCH(AH199,Lookups!$AD$51:$AD$69,0),0),0)))</f>
        <v/>
      </c>
      <c r="BC199" s="156" t="str">
        <f>IF(ISBLANK(AH199),"",IF(AH199="None",0,IF(K199="Gas",INDEX(Lookups!$AH$51:$AH$69,MATCH(AH199,Lookups!$AD$51:$AD$69,0),0),0)))</f>
        <v/>
      </c>
      <c r="BD199" s="156" t="str">
        <f>IF(ISBLANK(AH199),"",IF(AH199="None",0,IF(K199="Gas",INDEX(Lookups!$AI$51:$AI$69,MATCH(AH199,Lookups!$AD$51:$AD$69,0),0),0)))</f>
        <v/>
      </c>
      <c r="BE199" s="157"/>
      <c r="BF199" s="157"/>
      <c r="BG199" s="147" t="str">
        <f t="shared" si="120"/>
        <v/>
      </c>
      <c r="BH199" s="147" t="str">
        <f t="shared" si="121"/>
        <v/>
      </c>
      <c r="BI199" s="147" t="str">
        <f t="shared" si="107"/>
        <v/>
      </c>
      <c r="BJ199" s="147" t="str">
        <f t="shared" si="108"/>
        <v/>
      </c>
      <c r="BK199" s="148" t="str">
        <f t="shared" si="122"/>
        <v/>
      </c>
      <c r="BL199" s="147" t="str">
        <f t="shared" si="109"/>
        <v/>
      </c>
      <c r="BM199" s="148" t="str">
        <f t="shared" si="123"/>
        <v/>
      </c>
      <c r="BN199" s="147" t="str">
        <f t="shared" si="124"/>
        <v/>
      </c>
      <c r="BO199" s="147" t="str">
        <f t="shared" si="124"/>
        <v/>
      </c>
      <c r="BP199" s="147" t="str">
        <f t="shared" si="125"/>
        <v/>
      </c>
      <c r="BQ199" s="148" t="str">
        <f t="shared" si="126"/>
        <v/>
      </c>
      <c r="BR199" s="148" t="str">
        <f t="shared" si="127"/>
        <v/>
      </c>
      <c r="BS199" s="148" t="str">
        <f t="shared" si="128"/>
        <v/>
      </c>
      <c r="BT199" s="148" t="str">
        <f t="shared" si="110"/>
        <v/>
      </c>
      <c r="BU199" s="148" t="str">
        <f t="shared" si="111"/>
        <v/>
      </c>
      <c r="BV199" s="148" t="str">
        <f t="shared" si="112"/>
        <v/>
      </c>
      <c r="BW199" s="148" t="str">
        <f t="shared" si="113"/>
        <v/>
      </c>
      <c r="BX199" s="148" t="str">
        <f t="shared" si="114"/>
        <v/>
      </c>
      <c r="BY199" s="148" t="str">
        <f t="shared" si="115"/>
        <v/>
      </c>
      <c r="BZ199" s="149" t="str">
        <f>IFERROR(INDEX('Prescriptive Rebate Table'!$B$2:$E$64,MATCH(O199,'Prescriptive Rebate Table'!$C$2:$C$64,0),3),"")</f>
        <v/>
      </c>
      <c r="CA199" s="145" t="str">
        <f>IFERROR(INDEX('Prescriptive Rebate Table'!$B$2:$E$64,MATCH(O199,'Prescriptive Rebate Table'!$C$2:$C$64,0),4),"")</f>
        <v/>
      </c>
      <c r="CB199" s="149" t="str">
        <f t="shared" si="129"/>
        <v/>
      </c>
      <c r="CC199" s="145" t="str">
        <f t="shared" si="130"/>
        <v/>
      </c>
      <c r="CD199" s="149" t="str">
        <f t="shared" si="116"/>
        <v/>
      </c>
      <c r="CE199" s="149" t="str">
        <f t="shared" si="117"/>
        <v/>
      </c>
      <c r="CF199" s="149" t="str">
        <f>IF(BK199&lt;=0,0,IFERROR(IF(OR(ISBLANK(AC199),ISBLANK(CD199))=TRUE,"",IF(CA199="Per Foot",INDEX('Fixture Codes'!$I$8:$I$976,MATCH(AD199,'Fixture Codes'!$B$8:$B$976,0))/12*AF199*BZ199,IF(CA199="Lamp",INDEX('Fixture Codes'!$J$8:$J$976,MATCH(AD199,'Fixture Codes'!$B$8:$B$976,0))*AF199*BZ199,IF(CA199="Fixture",AF199*BZ199,IF(CA199="kWh",BK199*BZ199,0))))),""))</f>
        <v/>
      </c>
      <c r="CG199" s="149" t="str">
        <f t="shared" si="131"/>
        <v/>
      </c>
      <c r="CH199" s="149" t="str">
        <f t="shared" si="132"/>
        <v/>
      </c>
      <c r="CI199" s="152"/>
      <c r="CJ199" s="146"/>
      <c r="CK199" s="241">
        <f>IFERROR(IF(CL199="Yes",'Prescriptive Rebate Table'!$D$69,IF(ISBLANK(AI199),0,IF(AND(AH199=Lookups!$A$62,BK199&gt;0),'Prescriptive Rebate Table'!$D$68,IF(AND(BK199&gt;0,CJ199=AF199),'Prescriptive Rebate Table'!$D$67,IF(AND(BK199&gt;0,CJ199&lt;&gt;AF199),'Prescriptive Rebate Table'!D258,0))))),"")</f>
        <v>0</v>
      </c>
      <c r="CL199" s="240" t="s">
        <v>2712</v>
      </c>
      <c r="CM199" s="152"/>
      <c r="CN199" s="152"/>
      <c r="CO199" s="152"/>
      <c r="CP199" s="146">
        <f t="shared" si="118"/>
        <v>0</v>
      </c>
      <c r="CQ199" s="153">
        <f>IF(D199="Interior",ROUND(($AG199*AF199)/1000*$AM199*(Lookups!$B$54-$AA199)*$AN199*$AO199,3),0)</f>
        <v>0</v>
      </c>
      <c r="CR199" s="153">
        <f>IFERROR(IF(D199="Interior",ROUND(($AG199*$AF199)/1000*(Lookups!$C$54-$AB199)*$AN199*AQ199*AT199,6),0),"")</f>
        <v>0</v>
      </c>
      <c r="CS199" s="165">
        <f t="shared" si="133"/>
        <v>0</v>
      </c>
      <c r="CT199" s="165">
        <f t="shared" si="134"/>
        <v>0</v>
      </c>
      <c r="CV199" s="153"/>
      <c r="CW199" s="153"/>
      <c r="CX199" s="165"/>
      <c r="CY199" s="165"/>
      <c r="DA199" s="153">
        <f>IF(D199="Interior",ROUND(($AG199*AF199*(1-0.15))/1000*$AM199*(Lookups!$B$43+0.097-$AA199)*$AN199*$AO199+((W199*V199)/1000*AN199*AM199*AO199*0.15),3),0)</f>
        <v>0</v>
      </c>
      <c r="DB199" s="153">
        <f>IFERROR(IF(D199="Interior",ROUND(($AG199*$AF199)/1000*(Lookups!$C$43+0.097-$AB199)*$AN199*AQ199*AT199+(($AG199*$AF199)/1000*$AN199*AQ199*AT199*0.15),6),0),"")</f>
        <v>0</v>
      </c>
      <c r="DC199" s="165">
        <f t="shared" si="135"/>
        <v>0</v>
      </c>
      <c r="DD199" s="165">
        <f t="shared" si="136"/>
        <v>0</v>
      </c>
    </row>
    <row r="200" spans="1:108" s="164" customFormat="1">
      <c r="A200" s="150">
        <v>196</v>
      </c>
      <c r="B200" s="153" t="str">
        <f>IFERROR(INDEX(Lookups!$B$2:$B$38,MATCH('Project Info &amp; Summary'!$C$19,Lookups!$A$2:$A$38,0)),"")</f>
        <v/>
      </c>
      <c r="C200" s="153" t="str">
        <f>IFERROR(INDEX(Lookups!$C$2:$C$38,MATCH('Project Info &amp; Summary'!$C$19,Lookups!$A$2:$A$38,0)),"")</f>
        <v/>
      </c>
      <c r="D200" s="163"/>
      <c r="E200" s="160"/>
      <c r="F200" s="158"/>
      <c r="G200" s="158"/>
      <c r="H200" s="158"/>
      <c r="I200" s="158"/>
      <c r="J200" s="154" t="str">
        <f>IFERROR(INDEX(Lookups!$W$21:$W$26,MATCH(I200,Lookups!$V$21:$V$26,0)),"")</f>
        <v/>
      </c>
      <c r="K200" s="158"/>
      <c r="L200" s="162" t="str">
        <f>IFERROR(INDEX(Lookups!$Y$2:$Y$19,MATCH(_xlfn.CONCAT(I200,K200),Lookups!$X$2:$X$19,0)),"")</f>
        <v/>
      </c>
      <c r="M200" s="158"/>
      <c r="N200" s="153" t="str">
        <f>IFERROR(INDEX('Prescriptive Rebate Table'!$M$3:$M$20,MATCH(M200,'Prescriptive Rebate Table'!$L$3:$L$20,0)),"")</f>
        <v/>
      </c>
      <c r="O200" s="158"/>
      <c r="P200" s="154" t="str">
        <f>IFERROR(INDEX('Prescriptive Rebate Table'!$B$2:$H$64, MATCH(O200,'Prescriptive Rebate Table'!$C$2:$C$64,0),7),"")</f>
        <v/>
      </c>
      <c r="Q200" s="155" t="str">
        <f>IFERROR(INDEX('Prescriptive Rebate Table'!$B$2:$I$64, MATCH(O200,'Prescriptive Rebate Table'!$C$2:$C$64,0),8),"")</f>
        <v/>
      </c>
      <c r="R200" s="155" t="str">
        <f>IFERROR(INDEX('Prescriptive Rebate Table'!$B$2:$J$64, MATCH(O200,'Prescriptive Rebate Table'!$C$2:$C$64,0),9),"")</f>
        <v/>
      </c>
      <c r="S200" s="160"/>
      <c r="T200" s="145" t="str">
        <f>IFERROR(INDEX('Fixture Codes'!$M$8:$M$976,MATCH(S200,'Fixture Codes'!$B$8:$B$976,0)),"")</f>
        <v/>
      </c>
      <c r="U200" s="145" t="str">
        <f>IFERROR(INDEX('Fixture Codes'!$B$7:$M$976,MATCH(T200,'Fixture Codes'!$B$7:$B$976,0),5),"")</f>
        <v/>
      </c>
      <c r="V200" s="160"/>
      <c r="W200" s="145" t="str">
        <f>IFERROR(INDEX('Fixture Codes'!$L$8:$L$976,MATCH(T200,'Fixture Codes'!$B$8:$B$976,0)),"")</f>
        <v/>
      </c>
      <c r="X200" s="158"/>
      <c r="Y200" s="159"/>
      <c r="Z200" s="155" t="str">
        <f>IFERROR(INDEX(Lookups!B$68:B$87,MATCH($X200,Lookups!$A$68:$A$87,0)),"")</f>
        <v/>
      </c>
      <c r="AA200" s="150" t="str">
        <f>IFERROR(INDEX(Lookups!B$42:B$62,MATCH($X200,Lookups!$A$42:$A$62,0)),"")</f>
        <v/>
      </c>
      <c r="AB200" s="150" t="str">
        <f>IFERROR(INDEX(Lookups!C$42:C$62,MATCH($X200,Lookups!$A$42:$A$62,0)),"")</f>
        <v/>
      </c>
      <c r="AC200" s="160"/>
      <c r="AD200" s="160"/>
      <c r="AE200" s="150" t="str">
        <f>IFERROR(INDEX('Fixture Codes'!$B$7:$M$976,MATCH(AD200,'Fixture Codes'!$B$7:$B$976,0),5),"")</f>
        <v/>
      </c>
      <c r="AF200" s="160"/>
      <c r="AG200" s="145" t="str">
        <f>IFERROR(INDEX('Fixture Codes'!$L$8:$L$976,MATCH(AD200,'Fixture Codes'!$B$8:$B$976,0)),"")</f>
        <v/>
      </c>
      <c r="AH200" s="158"/>
      <c r="AI200" s="160"/>
      <c r="AJ200" s="150" t="str">
        <f>IFERROR(INDEX(Lookups!B$68:B$87,MATCH($AH200,Lookups!$A$68:$A$87,0)),"")</f>
        <v/>
      </c>
      <c r="AK200" s="150" t="str">
        <f>IFERROR(INDEX(Lookups!B$42:B$62,MATCH($AH200,Lookups!$A$42:$A$62,0)),"")</f>
        <v/>
      </c>
      <c r="AL200" s="150" t="str">
        <f>IFERROR(INDEX(Lookups!C$42:C$62,MATCH($AH200,Lookups!$A$42:$A$62,0)),"")</f>
        <v/>
      </c>
      <c r="AM200" s="150" t="str">
        <f>IFERROR(IF(M200="Exit Signs",8760,IF(INDEX('Fixture Codes'!$C$8:$C$976,MATCH(AD200,'Fixture Codes'!$B$8:$B$976,0))="Exit Sign",8760,INDEX(Lookups!$I$2:$I$428,MATCH(_xlfn.CONCAT(B200,H200),Lookups!$H$2:$H$428,0)))),"")</f>
        <v/>
      </c>
      <c r="AN200" s="153">
        <v>1</v>
      </c>
      <c r="AO200" s="150" t="str">
        <f>IF($D200="Interior",INDEX(Lookups!Q$2:Q$86,MATCH(_xlfn.CONCAT($C200,$L200),Lookups!$P$2:$P$86,0)),IF($D200="Exterior",1,""))</f>
        <v/>
      </c>
      <c r="AP200" s="150">
        <f t="shared" si="119"/>
        <v>1</v>
      </c>
      <c r="AQ200" s="150" t="str">
        <f>IF($D200="Interior",INDEX(Lookups!R$2:R$86,MATCH(_xlfn.CONCAT($C200,$L200),Lookups!$P$2:$P$86,0)),IF($D200="Exterior",1,""))</f>
        <v/>
      </c>
      <c r="AR200" s="150" t="str">
        <f>IF($D200="Interior",INDEX(Lookups!S$2:S$86,MATCH(_xlfn.CONCAT($C200,$L200),Lookups!$P$2:$P$86,0)),IF($D200="Exterior",1,""))</f>
        <v/>
      </c>
      <c r="AS200" s="150" t="str">
        <f>IF($D200="Interior",INDEX(Lookups!T$2:T$86,MATCH(_xlfn.CONCAT($C200,$L200),Lookups!$P$2:$P$86,0)),IF($D200="Exterior",1,""))</f>
        <v/>
      </c>
      <c r="AT200" s="150" t="str">
        <f>IFERROR(IF(M200="Exit Signs",1,IF(INDEX('Fixture Codes'!$C$8:$C$976,MATCH($AD200,'Fixture Codes'!$B$8:$B$976,0))="Exit Sign",1,INDEX(Lookups!J$2:J$428,MATCH(_xlfn.CONCAT($B200,$H200),Lookups!$H$2:$H$428,0)))),"")</f>
        <v/>
      </c>
      <c r="AU200" s="150" t="str">
        <f>IFERROR(IF(M200="Exit Signs",1,IF(INDEX('Fixture Codes'!$C$8:$C$976,MATCH($AD200,'Fixture Codes'!$B$8:$B$976,0))="Exit Sign",1,INDEX(Lookups!K$2:K$428,MATCH(_xlfn.CONCAT($B200,$H200),Lookups!$H$2:$H$428,0)))),"")</f>
        <v/>
      </c>
      <c r="AV200" s="150" t="str">
        <f>IFERROR(IF(M200="Exit Signs",1,IF(INDEX('Fixture Codes'!$C$8:$C$976,MATCH($AD200,'Fixture Codes'!$B$8:$B$976,0))="Exit Sign",1,INDEX(Lookups!L$2:L$428,MATCH(_xlfn.CONCAT($B200,$H200),Lookups!$H$2:$H$428,0)))),"")</f>
        <v/>
      </c>
      <c r="AW200" s="150" t="str">
        <f>IF(ISBLANK(K200),"",IF(K200="Gas",INDEX(Lookups!$AG$2:$AG$63,MATCH(O200,Lookups!$AD$2:$AD$63,0),0),0))</f>
        <v/>
      </c>
      <c r="AX200" s="150" t="str">
        <f>IF(ISBLANK(K200),"",IF(K200="Gas",INDEX(Lookups!$AF$2:$AF$63,MATCH(O200,Lookups!$AD$2:$AD$63,0),0),0))</f>
        <v/>
      </c>
      <c r="AY200" s="150" t="str">
        <f>IF(ISBLANK(K200),"",IF(K200="Gas",INDEX(Lookups!$AH$2:$AH$63,MATCH(O200,Lookups!$AD$2:$AD$63,0),0),0))</f>
        <v/>
      </c>
      <c r="AZ200" s="150" t="str">
        <f>IF(ISBLANK(K200),"",IF(K200="Gas",INDEX(Lookups!$AI$2:$AI$63,MATCH(O200,Lookups!$AD$2:$AD$63,0),0),0))</f>
        <v/>
      </c>
      <c r="BA200" s="150" t="str">
        <f t="shared" si="106"/>
        <v/>
      </c>
      <c r="BB200" s="156" t="str">
        <f>IF(ISBLANK(AH200),"",IF(AH200="None",0,IF(K200="Gas",INDEX(Lookups!$AF$51:$AF$69,MATCH(AH200,Lookups!$AD$51:$AD$69,0),0),0)))</f>
        <v/>
      </c>
      <c r="BC200" s="156" t="str">
        <f>IF(ISBLANK(AH200),"",IF(AH200="None",0,IF(K200="Gas",INDEX(Lookups!$AH$51:$AH$69,MATCH(AH200,Lookups!$AD$51:$AD$69,0),0),0)))</f>
        <v/>
      </c>
      <c r="BD200" s="156" t="str">
        <f>IF(ISBLANK(AH200),"",IF(AH200="None",0,IF(K200="Gas",INDEX(Lookups!$AI$51:$AI$69,MATCH(AH200,Lookups!$AD$51:$AD$69,0),0),0)))</f>
        <v/>
      </c>
      <c r="BE200" s="157"/>
      <c r="BF200" s="157"/>
      <c r="BG200" s="147" t="str">
        <f t="shared" si="120"/>
        <v/>
      </c>
      <c r="BH200" s="147" t="str">
        <f t="shared" si="121"/>
        <v/>
      </c>
      <c r="BI200" s="147" t="str">
        <f t="shared" si="107"/>
        <v/>
      </c>
      <c r="BJ200" s="147" t="str">
        <f t="shared" si="108"/>
        <v/>
      </c>
      <c r="BK200" s="148" t="str">
        <f t="shared" si="122"/>
        <v/>
      </c>
      <c r="BL200" s="147" t="str">
        <f t="shared" si="109"/>
        <v/>
      </c>
      <c r="BM200" s="148" t="str">
        <f t="shared" si="123"/>
        <v/>
      </c>
      <c r="BN200" s="147" t="str">
        <f t="shared" si="124"/>
        <v/>
      </c>
      <c r="BO200" s="147" t="str">
        <f t="shared" si="124"/>
        <v/>
      </c>
      <c r="BP200" s="147" t="str">
        <f t="shared" si="125"/>
        <v/>
      </c>
      <c r="BQ200" s="148" t="str">
        <f t="shared" si="126"/>
        <v/>
      </c>
      <c r="BR200" s="148" t="str">
        <f t="shared" si="127"/>
        <v/>
      </c>
      <c r="BS200" s="148" t="str">
        <f t="shared" si="128"/>
        <v/>
      </c>
      <c r="BT200" s="148" t="str">
        <f t="shared" si="110"/>
        <v/>
      </c>
      <c r="BU200" s="148" t="str">
        <f t="shared" si="111"/>
        <v/>
      </c>
      <c r="BV200" s="148" t="str">
        <f t="shared" si="112"/>
        <v/>
      </c>
      <c r="BW200" s="148" t="str">
        <f t="shared" si="113"/>
        <v/>
      </c>
      <c r="BX200" s="148" t="str">
        <f t="shared" si="114"/>
        <v/>
      </c>
      <c r="BY200" s="148" t="str">
        <f t="shared" si="115"/>
        <v/>
      </c>
      <c r="BZ200" s="149" t="str">
        <f>IFERROR(INDEX('Prescriptive Rebate Table'!$B$2:$E$64,MATCH(O200,'Prescriptive Rebate Table'!$C$2:$C$64,0),3),"")</f>
        <v/>
      </c>
      <c r="CA200" s="145" t="str">
        <f>IFERROR(INDEX('Prescriptive Rebate Table'!$B$2:$E$64,MATCH(O200,'Prescriptive Rebate Table'!$C$2:$C$64,0),4),"")</f>
        <v/>
      </c>
      <c r="CB200" s="149" t="str">
        <f t="shared" si="129"/>
        <v/>
      </c>
      <c r="CC200" s="145" t="str">
        <f t="shared" si="130"/>
        <v/>
      </c>
      <c r="CD200" s="149" t="str">
        <f t="shared" si="116"/>
        <v/>
      </c>
      <c r="CE200" s="149" t="str">
        <f t="shared" si="117"/>
        <v/>
      </c>
      <c r="CF200" s="149" t="str">
        <f>IF(BK200&lt;=0,0,IFERROR(IF(OR(ISBLANK(AC200),ISBLANK(CD200))=TRUE,"",IF(CA200="Per Foot",INDEX('Fixture Codes'!$I$8:$I$976,MATCH(AD200,'Fixture Codes'!$B$8:$B$976,0))/12*AF200*BZ200,IF(CA200="Lamp",INDEX('Fixture Codes'!$J$8:$J$976,MATCH(AD200,'Fixture Codes'!$B$8:$B$976,0))*AF200*BZ200,IF(CA200="Fixture",AF200*BZ200,IF(CA200="kWh",BK200*BZ200,0))))),""))</f>
        <v/>
      </c>
      <c r="CG200" s="149" t="str">
        <f t="shared" si="131"/>
        <v/>
      </c>
      <c r="CH200" s="149" t="str">
        <f t="shared" si="132"/>
        <v/>
      </c>
      <c r="CI200" s="152"/>
      <c r="CJ200" s="146"/>
      <c r="CK200" s="241">
        <f>IFERROR(IF(CL200="Yes",'Prescriptive Rebate Table'!$D$69,IF(ISBLANK(AI200),0,IF(AND(AH200=Lookups!$A$62,BK200&gt;0),'Prescriptive Rebate Table'!$D$68,IF(AND(BK200&gt;0,CJ200=AF200),'Prescriptive Rebate Table'!$D$67,IF(AND(BK200&gt;0,CJ200&lt;&gt;AF200),'Prescriptive Rebate Table'!D259,0))))),"")</f>
        <v>0</v>
      </c>
      <c r="CL200" s="240" t="s">
        <v>2712</v>
      </c>
      <c r="CM200" s="152"/>
      <c r="CN200" s="152"/>
      <c r="CO200" s="152"/>
      <c r="CP200" s="146">
        <f t="shared" si="118"/>
        <v>0</v>
      </c>
      <c r="CQ200" s="153">
        <f>IF(D200="Interior",ROUND(($AG200*AF200)/1000*$AM200*(Lookups!$B$54-$AA200)*$AN200*$AO200,3),0)</f>
        <v>0</v>
      </c>
      <c r="CR200" s="153">
        <f>IFERROR(IF(D200="Interior",ROUND(($AG200*$AF200)/1000*(Lookups!$C$54-$AB200)*$AN200*AQ200*AT200,6),0),"")</f>
        <v>0</v>
      </c>
      <c r="CS200" s="165">
        <f t="shared" si="133"/>
        <v>0</v>
      </c>
      <c r="CT200" s="165">
        <f t="shared" si="134"/>
        <v>0</v>
      </c>
      <c r="CV200" s="153"/>
      <c r="CW200" s="153"/>
      <c r="CX200" s="165"/>
      <c r="CY200" s="165"/>
      <c r="DA200" s="153">
        <f>IF(D200="Interior",ROUND(($AG200*AF200*(1-0.15))/1000*$AM200*(Lookups!$B$43+0.097-$AA200)*$AN200*$AO200+((W200*V200)/1000*AN200*AM200*AO200*0.15),3),0)</f>
        <v>0</v>
      </c>
      <c r="DB200" s="153">
        <f>IFERROR(IF(D200="Interior",ROUND(($AG200*$AF200)/1000*(Lookups!$C$43+0.097-$AB200)*$AN200*AQ200*AT200+(($AG200*$AF200)/1000*$AN200*AQ200*AT200*0.15),6),0),"")</f>
        <v>0</v>
      </c>
      <c r="DC200" s="165">
        <f t="shared" si="135"/>
        <v>0</v>
      </c>
      <c r="DD200" s="165">
        <f t="shared" si="136"/>
        <v>0</v>
      </c>
    </row>
    <row r="201" spans="1:108" s="164" customFormat="1">
      <c r="A201" s="150">
        <v>197</v>
      </c>
      <c r="B201" s="153" t="str">
        <f>IFERROR(INDEX(Lookups!$B$2:$B$38,MATCH('Project Info &amp; Summary'!$C$19,Lookups!$A$2:$A$38,0)),"")</f>
        <v/>
      </c>
      <c r="C201" s="153" t="str">
        <f>IFERROR(INDEX(Lookups!$C$2:$C$38,MATCH('Project Info &amp; Summary'!$C$19,Lookups!$A$2:$A$38,0)),"")</f>
        <v/>
      </c>
      <c r="D201" s="163"/>
      <c r="E201" s="160"/>
      <c r="F201" s="158"/>
      <c r="G201" s="158"/>
      <c r="H201" s="158"/>
      <c r="I201" s="158"/>
      <c r="J201" s="154" t="str">
        <f>IFERROR(INDEX(Lookups!$W$21:$W$26,MATCH(I201,Lookups!$V$21:$V$26,0)),"")</f>
        <v/>
      </c>
      <c r="K201" s="158"/>
      <c r="L201" s="162" t="str">
        <f>IFERROR(INDEX(Lookups!$Y$2:$Y$19,MATCH(_xlfn.CONCAT(I201,K201),Lookups!$X$2:$X$19,0)),"")</f>
        <v/>
      </c>
      <c r="M201" s="158"/>
      <c r="N201" s="153" t="str">
        <f>IFERROR(INDEX('Prescriptive Rebate Table'!$M$3:$M$20,MATCH(M201,'Prescriptive Rebate Table'!$L$3:$L$20,0)),"")</f>
        <v/>
      </c>
      <c r="O201" s="158"/>
      <c r="P201" s="154" t="str">
        <f>IFERROR(INDEX('Prescriptive Rebate Table'!$B$2:$H$64, MATCH(O201,'Prescriptive Rebate Table'!$C$2:$C$64,0),7),"")</f>
        <v/>
      </c>
      <c r="Q201" s="155" t="str">
        <f>IFERROR(INDEX('Prescriptive Rebate Table'!$B$2:$I$64, MATCH(O201,'Prescriptive Rebate Table'!$C$2:$C$64,0),8),"")</f>
        <v/>
      </c>
      <c r="R201" s="155" t="str">
        <f>IFERROR(INDEX('Prescriptive Rebate Table'!$B$2:$J$64, MATCH(O201,'Prescriptive Rebate Table'!$C$2:$C$64,0),9),"")</f>
        <v/>
      </c>
      <c r="S201" s="160"/>
      <c r="T201" s="145" t="str">
        <f>IFERROR(INDEX('Fixture Codes'!$M$8:$M$976,MATCH(S201,'Fixture Codes'!$B$8:$B$976,0)),"")</f>
        <v/>
      </c>
      <c r="U201" s="145" t="str">
        <f>IFERROR(INDEX('Fixture Codes'!$B$7:$M$976,MATCH(T201,'Fixture Codes'!$B$7:$B$976,0),5),"")</f>
        <v/>
      </c>
      <c r="V201" s="160"/>
      <c r="W201" s="145" t="str">
        <f>IFERROR(INDEX('Fixture Codes'!$L$8:$L$976,MATCH(T201,'Fixture Codes'!$B$8:$B$976,0)),"")</f>
        <v/>
      </c>
      <c r="X201" s="158"/>
      <c r="Y201" s="159"/>
      <c r="Z201" s="155" t="str">
        <f>IFERROR(INDEX(Lookups!B$68:B$87,MATCH($X201,Lookups!$A$68:$A$87,0)),"")</f>
        <v/>
      </c>
      <c r="AA201" s="150" t="str">
        <f>IFERROR(INDEX(Lookups!B$42:B$62,MATCH($X201,Lookups!$A$42:$A$62,0)),"")</f>
        <v/>
      </c>
      <c r="AB201" s="150" t="str">
        <f>IFERROR(INDEX(Lookups!C$42:C$62,MATCH($X201,Lookups!$A$42:$A$62,0)),"")</f>
        <v/>
      </c>
      <c r="AC201" s="160"/>
      <c r="AD201" s="160"/>
      <c r="AE201" s="150" t="str">
        <f>IFERROR(INDEX('Fixture Codes'!$B$7:$M$976,MATCH(AD201,'Fixture Codes'!$B$7:$B$976,0),5),"")</f>
        <v/>
      </c>
      <c r="AF201" s="160"/>
      <c r="AG201" s="145" t="str">
        <f>IFERROR(INDEX('Fixture Codes'!$L$8:$L$976,MATCH(AD201,'Fixture Codes'!$B$8:$B$976,0)),"")</f>
        <v/>
      </c>
      <c r="AH201" s="158"/>
      <c r="AI201" s="160"/>
      <c r="AJ201" s="150" t="str">
        <f>IFERROR(INDEX(Lookups!B$68:B$87,MATCH($AH201,Lookups!$A$68:$A$87,0)),"")</f>
        <v/>
      </c>
      <c r="AK201" s="150" t="str">
        <f>IFERROR(INDEX(Lookups!B$42:B$62,MATCH($AH201,Lookups!$A$42:$A$62,0)),"")</f>
        <v/>
      </c>
      <c r="AL201" s="150" t="str">
        <f>IFERROR(INDEX(Lookups!C$42:C$62,MATCH($AH201,Lookups!$A$42:$A$62,0)),"")</f>
        <v/>
      </c>
      <c r="AM201" s="150" t="str">
        <f>IFERROR(IF(M201="Exit Signs",8760,IF(INDEX('Fixture Codes'!$C$8:$C$976,MATCH(AD201,'Fixture Codes'!$B$8:$B$976,0))="Exit Sign",8760,INDEX(Lookups!$I$2:$I$428,MATCH(_xlfn.CONCAT(B201,H201),Lookups!$H$2:$H$428,0)))),"")</f>
        <v/>
      </c>
      <c r="AN201" s="153">
        <v>1</v>
      </c>
      <c r="AO201" s="150" t="str">
        <f>IF($D201="Interior",INDEX(Lookups!Q$2:Q$86,MATCH(_xlfn.CONCAT($C201,$L201),Lookups!$P$2:$P$86,0)),IF($D201="Exterior",1,""))</f>
        <v/>
      </c>
      <c r="AP201" s="150">
        <f t="shared" si="119"/>
        <v>1</v>
      </c>
      <c r="AQ201" s="150" t="str">
        <f>IF($D201="Interior",INDEX(Lookups!R$2:R$86,MATCH(_xlfn.CONCAT($C201,$L201),Lookups!$P$2:$P$86,0)),IF($D201="Exterior",1,""))</f>
        <v/>
      </c>
      <c r="AR201" s="150" t="str">
        <f>IF($D201="Interior",INDEX(Lookups!S$2:S$86,MATCH(_xlfn.CONCAT($C201,$L201),Lookups!$P$2:$P$86,0)),IF($D201="Exterior",1,""))</f>
        <v/>
      </c>
      <c r="AS201" s="150" t="str">
        <f>IF($D201="Interior",INDEX(Lookups!T$2:T$86,MATCH(_xlfn.CONCAT($C201,$L201),Lookups!$P$2:$P$86,0)),IF($D201="Exterior",1,""))</f>
        <v/>
      </c>
      <c r="AT201" s="150" t="str">
        <f>IFERROR(IF(M201="Exit Signs",1,IF(INDEX('Fixture Codes'!$C$8:$C$976,MATCH($AD201,'Fixture Codes'!$B$8:$B$976,0))="Exit Sign",1,INDEX(Lookups!J$2:J$428,MATCH(_xlfn.CONCAT($B201,$H201),Lookups!$H$2:$H$428,0)))),"")</f>
        <v/>
      </c>
      <c r="AU201" s="150" t="str">
        <f>IFERROR(IF(M201="Exit Signs",1,IF(INDEX('Fixture Codes'!$C$8:$C$976,MATCH($AD201,'Fixture Codes'!$B$8:$B$976,0))="Exit Sign",1,INDEX(Lookups!K$2:K$428,MATCH(_xlfn.CONCAT($B201,$H201),Lookups!$H$2:$H$428,0)))),"")</f>
        <v/>
      </c>
      <c r="AV201" s="150" t="str">
        <f>IFERROR(IF(M201="Exit Signs",1,IF(INDEX('Fixture Codes'!$C$8:$C$976,MATCH($AD201,'Fixture Codes'!$B$8:$B$976,0))="Exit Sign",1,INDEX(Lookups!L$2:L$428,MATCH(_xlfn.CONCAT($B201,$H201),Lookups!$H$2:$H$428,0)))),"")</f>
        <v/>
      </c>
      <c r="AW201" s="150" t="str">
        <f>IF(ISBLANK(K201),"",IF(K201="Gas",INDEX(Lookups!$AG$2:$AG$63,MATCH(O201,Lookups!$AD$2:$AD$63,0),0),0))</f>
        <v/>
      </c>
      <c r="AX201" s="150" t="str">
        <f>IF(ISBLANK(K201),"",IF(K201="Gas",INDEX(Lookups!$AF$2:$AF$63,MATCH(O201,Lookups!$AD$2:$AD$63,0),0),0))</f>
        <v/>
      </c>
      <c r="AY201" s="150" t="str">
        <f>IF(ISBLANK(K201),"",IF(K201="Gas",INDEX(Lookups!$AH$2:$AH$63,MATCH(O201,Lookups!$AD$2:$AD$63,0),0),0))</f>
        <v/>
      </c>
      <c r="AZ201" s="150" t="str">
        <f>IF(ISBLANK(K201),"",IF(K201="Gas",INDEX(Lookups!$AI$2:$AI$63,MATCH(O201,Lookups!$AD$2:$AD$63,0),0),0))</f>
        <v/>
      </c>
      <c r="BA201" s="150" t="str">
        <f t="shared" si="106"/>
        <v/>
      </c>
      <c r="BB201" s="156" t="str">
        <f>IF(ISBLANK(AH201),"",IF(AH201="None",0,IF(K201="Gas",INDEX(Lookups!$AF$51:$AF$69,MATCH(AH201,Lookups!$AD$51:$AD$69,0),0),0)))</f>
        <v/>
      </c>
      <c r="BC201" s="156" t="str">
        <f>IF(ISBLANK(AH201),"",IF(AH201="None",0,IF(K201="Gas",INDEX(Lookups!$AH$51:$AH$69,MATCH(AH201,Lookups!$AD$51:$AD$69,0),0),0)))</f>
        <v/>
      </c>
      <c r="BD201" s="156" t="str">
        <f>IF(ISBLANK(AH201),"",IF(AH201="None",0,IF(K201="Gas",INDEX(Lookups!$AI$51:$AI$69,MATCH(AH201,Lookups!$AD$51:$AD$69,0),0),0)))</f>
        <v/>
      </c>
      <c r="BE201" s="157"/>
      <c r="BF201" s="157"/>
      <c r="BG201" s="147" t="str">
        <f t="shared" si="120"/>
        <v/>
      </c>
      <c r="BH201" s="147" t="str">
        <f t="shared" si="121"/>
        <v/>
      </c>
      <c r="BI201" s="147" t="str">
        <f t="shared" si="107"/>
        <v/>
      </c>
      <c r="BJ201" s="147" t="str">
        <f t="shared" si="108"/>
        <v/>
      </c>
      <c r="BK201" s="148" t="str">
        <f t="shared" si="122"/>
        <v/>
      </c>
      <c r="BL201" s="147" t="str">
        <f t="shared" si="109"/>
        <v/>
      </c>
      <c r="BM201" s="148" t="str">
        <f t="shared" si="123"/>
        <v/>
      </c>
      <c r="BN201" s="147" t="str">
        <f t="shared" si="124"/>
        <v/>
      </c>
      <c r="BO201" s="147" t="str">
        <f t="shared" si="124"/>
        <v/>
      </c>
      <c r="BP201" s="147" t="str">
        <f t="shared" si="125"/>
        <v/>
      </c>
      <c r="BQ201" s="148" t="str">
        <f t="shared" si="126"/>
        <v/>
      </c>
      <c r="BR201" s="148" t="str">
        <f t="shared" si="127"/>
        <v/>
      </c>
      <c r="BS201" s="148" t="str">
        <f t="shared" si="128"/>
        <v/>
      </c>
      <c r="BT201" s="148" t="str">
        <f t="shared" si="110"/>
        <v/>
      </c>
      <c r="BU201" s="148" t="str">
        <f t="shared" si="111"/>
        <v/>
      </c>
      <c r="BV201" s="148" t="str">
        <f t="shared" si="112"/>
        <v/>
      </c>
      <c r="BW201" s="148" t="str">
        <f t="shared" si="113"/>
        <v/>
      </c>
      <c r="BX201" s="148" t="str">
        <f t="shared" si="114"/>
        <v/>
      </c>
      <c r="BY201" s="148" t="str">
        <f t="shared" si="115"/>
        <v/>
      </c>
      <c r="BZ201" s="149" t="str">
        <f>IFERROR(INDEX('Prescriptive Rebate Table'!$B$2:$E$64,MATCH(O201,'Prescriptive Rebate Table'!$C$2:$C$64,0),3),"")</f>
        <v/>
      </c>
      <c r="CA201" s="145" t="str">
        <f>IFERROR(INDEX('Prescriptive Rebate Table'!$B$2:$E$64,MATCH(O201,'Prescriptive Rebate Table'!$C$2:$C$64,0),4),"")</f>
        <v/>
      </c>
      <c r="CB201" s="149" t="str">
        <f t="shared" si="129"/>
        <v/>
      </c>
      <c r="CC201" s="145" t="str">
        <f t="shared" si="130"/>
        <v/>
      </c>
      <c r="CD201" s="149" t="str">
        <f t="shared" si="116"/>
        <v/>
      </c>
      <c r="CE201" s="149" t="str">
        <f t="shared" si="117"/>
        <v/>
      </c>
      <c r="CF201" s="149" t="str">
        <f>IF(BK201&lt;=0,0,IFERROR(IF(OR(ISBLANK(AC201),ISBLANK(CD201))=TRUE,"",IF(CA201="Per Foot",INDEX('Fixture Codes'!$I$8:$I$976,MATCH(AD201,'Fixture Codes'!$B$8:$B$976,0))/12*AF201*BZ201,IF(CA201="Lamp",INDEX('Fixture Codes'!$J$8:$J$976,MATCH(AD201,'Fixture Codes'!$B$8:$B$976,0))*AF201*BZ201,IF(CA201="Fixture",AF201*BZ201,IF(CA201="kWh",BK201*BZ201,0))))),""))</f>
        <v/>
      </c>
      <c r="CG201" s="149" t="str">
        <f t="shared" si="131"/>
        <v/>
      </c>
      <c r="CH201" s="149" t="str">
        <f t="shared" si="132"/>
        <v/>
      </c>
      <c r="CI201" s="152"/>
      <c r="CJ201" s="146"/>
      <c r="CK201" s="241">
        <f>IFERROR(IF(CL201="Yes",'Prescriptive Rebate Table'!$D$69,IF(ISBLANK(AI201),0,IF(AND(AH201=Lookups!$A$62,BK201&gt;0),'Prescriptive Rebate Table'!$D$68,IF(AND(BK201&gt;0,CJ201=AF201),'Prescriptive Rebate Table'!$D$67,IF(AND(BK201&gt;0,CJ201&lt;&gt;AF201),'Prescriptive Rebate Table'!D260,0))))),"")</f>
        <v>0</v>
      </c>
      <c r="CL201" s="240" t="s">
        <v>2712</v>
      </c>
      <c r="CM201" s="152"/>
      <c r="CN201" s="152"/>
      <c r="CO201" s="152"/>
      <c r="CP201" s="146">
        <f t="shared" si="118"/>
        <v>0</v>
      </c>
      <c r="CQ201" s="153">
        <f>IF(D201="Interior",ROUND(($AG201*AF201)/1000*$AM201*(Lookups!$B$54-$AA201)*$AN201*$AO201,3),0)</f>
        <v>0</v>
      </c>
      <c r="CR201" s="153">
        <f>IFERROR(IF(D201="Interior",ROUND(($AG201*$AF201)/1000*(Lookups!$C$54-$AB201)*$AN201*AQ201*AT201,6),0),"")</f>
        <v>0</v>
      </c>
      <c r="CS201" s="165">
        <f t="shared" si="133"/>
        <v>0</v>
      </c>
      <c r="CT201" s="165">
        <f t="shared" si="134"/>
        <v>0</v>
      </c>
      <c r="CV201" s="153"/>
      <c r="CW201" s="153"/>
      <c r="CX201" s="165"/>
      <c r="CY201" s="165"/>
      <c r="DA201" s="153">
        <f>IF(D201="Interior",ROUND(($AG201*AF201*(1-0.15))/1000*$AM201*(Lookups!$B$43+0.097-$AA201)*$AN201*$AO201+((W201*V201)/1000*AN201*AM201*AO201*0.15),3),0)</f>
        <v>0</v>
      </c>
      <c r="DB201" s="153">
        <f>IFERROR(IF(D201="Interior",ROUND(($AG201*$AF201)/1000*(Lookups!$C$43+0.097-$AB201)*$AN201*AQ201*AT201+(($AG201*$AF201)/1000*$AN201*AQ201*AT201*0.15),6),0),"")</f>
        <v>0</v>
      </c>
      <c r="DC201" s="165">
        <f t="shared" si="135"/>
        <v>0</v>
      </c>
      <c r="DD201" s="165">
        <f t="shared" si="136"/>
        <v>0</v>
      </c>
    </row>
    <row r="202" spans="1:108" s="164" customFormat="1">
      <c r="A202" s="150">
        <v>198</v>
      </c>
      <c r="B202" s="153" t="str">
        <f>IFERROR(INDEX(Lookups!$B$2:$B$38,MATCH('Project Info &amp; Summary'!$C$19,Lookups!$A$2:$A$38,0)),"")</f>
        <v/>
      </c>
      <c r="C202" s="153" t="str">
        <f>IFERROR(INDEX(Lookups!$C$2:$C$38,MATCH('Project Info &amp; Summary'!$C$19,Lookups!$A$2:$A$38,0)),"")</f>
        <v/>
      </c>
      <c r="D202" s="163"/>
      <c r="E202" s="160"/>
      <c r="F202" s="158"/>
      <c r="G202" s="158"/>
      <c r="H202" s="158"/>
      <c r="I202" s="158"/>
      <c r="J202" s="154" t="str">
        <f>IFERROR(INDEX(Lookups!$W$21:$W$26,MATCH(I202,Lookups!$V$21:$V$26,0)),"")</f>
        <v/>
      </c>
      <c r="K202" s="158"/>
      <c r="L202" s="162" t="str">
        <f>IFERROR(INDEX(Lookups!$Y$2:$Y$19,MATCH(_xlfn.CONCAT(I202,K202),Lookups!$X$2:$X$19,0)),"")</f>
        <v/>
      </c>
      <c r="M202" s="158"/>
      <c r="N202" s="153" t="str">
        <f>IFERROR(INDEX('Prescriptive Rebate Table'!$M$3:$M$20,MATCH(M202,'Prescriptive Rebate Table'!$L$3:$L$20,0)),"")</f>
        <v/>
      </c>
      <c r="O202" s="158"/>
      <c r="P202" s="154" t="str">
        <f>IFERROR(INDEX('Prescriptive Rebate Table'!$B$2:$H$64, MATCH(O202,'Prescriptive Rebate Table'!$C$2:$C$64,0),7),"")</f>
        <v/>
      </c>
      <c r="Q202" s="155" t="str">
        <f>IFERROR(INDEX('Prescriptive Rebate Table'!$B$2:$I$64, MATCH(O202,'Prescriptive Rebate Table'!$C$2:$C$64,0),8),"")</f>
        <v/>
      </c>
      <c r="R202" s="155" t="str">
        <f>IFERROR(INDEX('Prescriptive Rebate Table'!$B$2:$J$64, MATCH(O202,'Prescriptive Rebate Table'!$C$2:$C$64,0),9),"")</f>
        <v/>
      </c>
      <c r="S202" s="160"/>
      <c r="T202" s="145" t="str">
        <f>IFERROR(INDEX('Fixture Codes'!$M$8:$M$976,MATCH(S202,'Fixture Codes'!$B$8:$B$976,0)),"")</f>
        <v/>
      </c>
      <c r="U202" s="145" t="str">
        <f>IFERROR(INDEX('Fixture Codes'!$B$7:$M$976,MATCH(T202,'Fixture Codes'!$B$7:$B$976,0),5),"")</f>
        <v/>
      </c>
      <c r="V202" s="160"/>
      <c r="W202" s="145" t="str">
        <f>IFERROR(INDEX('Fixture Codes'!$L$8:$L$976,MATCH(T202,'Fixture Codes'!$B$8:$B$976,0)),"")</f>
        <v/>
      </c>
      <c r="X202" s="158"/>
      <c r="Y202" s="159"/>
      <c r="Z202" s="155" t="str">
        <f>IFERROR(INDEX(Lookups!B$68:B$87,MATCH($X202,Lookups!$A$68:$A$87,0)),"")</f>
        <v/>
      </c>
      <c r="AA202" s="150" t="str">
        <f>IFERROR(INDEX(Lookups!B$42:B$62,MATCH($X202,Lookups!$A$42:$A$62,0)),"")</f>
        <v/>
      </c>
      <c r="AB202" s="150" t="str">
        <f>IFERROR(INDEX(Lookups!C$42:C$62,MATCH($X202,Lookups!$A$42:$A$62,0)),"")</f>
        <v/>
      </c>
      <c r="AC202" s="160"/>
      <c r="AD202" s="160"/>
      <c r="AE202" s="150" t="str">
        <f>IFERROR(INDEX('Fixture Codes'!$B$7:$M$976,MATCH(AD202,'Fixture Codes'!$B$7:$B$976,0),5),"")</f>
        <v/>
      </c>
      <c r="AF202" s="160"/>
      <c r="AG202" s="145" t="str">
        <f>IFERROR(INDEX('Fixture Codes'!$L$8:$L$976,MATCH(AD202,'Fixture Codes'!$B$8:$B$976,0)),"")</f>
        <v/>
      </c>
      <c r="AH202" s="158"/>
      <c r="AI202" s="160"/>
      <c r="AJ202" s="150" t="str">
        <f>IFERROR(INDEX(Lookups!B$68:B$87,MATCH($AH202,Lookups!$A$68:$A$87,0)),"")</f>
        <v/>
      </c>
      <c r="AK202" s="150" t="str">
        <f>IFERROR(INDEX(Lookups!B$42:B$62,MATCH($AH202,Lookups!$A$42:$A$62,0)),"")</f>
        <v/>
      </c>
      <c r="AL202" s="150" t="str">
        <f>IFERROR(INDEX(Lookups!C$42:C$62,MATCH($AH202,Lookups!$A$42:$A$62,0)),"")</f>
        <v/>
      </c>
      <c r="AM202" s="150" t="str">
        <f>IFERROR(IF(M202="Exit Signs",8760,IF(INDEX('Fixture Codes'!$C$8:$C$976,MATCH(AD202,'Fixture Codes'!$B$8:$B$976,0))="Exit Sign",8760,INDEX(Lookups!$I$2:$I$428,MATCH(_xlfn.CONCAT(B202,H202),Lookups!$H$2:$H$428,0)))),"")</f>
        <v/>
      </c>
      <c r="AN202" s="153">
        <v>1</v>
      </c>
      <c r="AO202" s="150" t="str">
        <f>IF($D202="Interior",INDEX(Lookups!Q$2:Q$86,MATCH(_xlfn.CONCAT($C202,$L202),Lookups!$P$2:$P$86,0)),IF($D202="Exterior",1,""))</f>
        <v/>
      </c>
      <c r="AP202" s="150">
        <f t="shared" si="119"/>
        <v>1</v>
      </c>
      <c r="AQ202" s="150" t="str">
        <f>IF($D202="Interior",INDEX(Lookups!R$2:R$86,MATCH(_xlfn.CONCAT($C202,$L202),Lookups!$P$2:$P$86,0)),IF($D202="Exterior",1,""))</f>
        <v/>
      </c>
      <c r="AR202" s="150" t="str">
        <f>IF($D202="Interior",INDEX(Lookups!S$2:S$86,MATCH(_xlfn.CONCAT($C202,$L202),Lookups!$P$2:$P$86,0)),IF($D202="Exterior",1,""))</f>
        <v/>
      </c>
      <c r="AS202" s="150" t="str">
        <f>IF($D202="Interior",INDEX(Lookups!T$2:T$86,MATCH(_xlfn.CONCAT($C202,$L202),Lookups!$P$2:$P$86,0)),IF($D202="Exterior",1,""))</f>
        <v/>
      </c>
      <c r="AT202" s="150" t="str">
        <f>IFERROR(IF(M202="Exit Signs",1,IF(INDEX('Fixture Codes'!$C$8:$C$976,MATCH($AD202,'Fixture Codes'!$B$8:$B$976,0))="Exit Sign",1,INDEX(Lookups!J$2:J$428,MATCH(_xlfn.CONCAT($B202,$H202),Lookups!$H$2:$H$428,0)))),"")</f>
        <v/>
      </c>
      <c r="AU202" s="150" t="str">
        <f>IFERROR(IF(M202="Exit Signs",1,IF(INDEX('Fixture Codes'!$C$8:$C$976,MATCH($AD202,'Fixture Codes'!$B$8:$B$976,0))="Exit Sign",1,INDEX(Lookups!K$2:K$428,MATCH(_xlfn.CONCAT($B202,$H202),Lookups!$H$2:$H$428,0)))),"")</f>
        <v/>
      </c>
      <c r="AV202" s="150" t="str">
        <f>IFERROR(IF(M202="Exit Signs",1,IF(INDEX('Fixture Codes'!$C$8:$C$976,MATCH($AD202,'Fixture Codes'!$B$8:$B$976,0))="Exit Sign",1,INDEX(Lookups!L$2:L$428,MATCH(_xlfn.CONCAT($B202,$H202),Lookups!$H$2:$H$428,0)))),"")</f>
        <v/>
      </c>
      <c r="AW202" s="150" t="str">
        <f>IF(ISBLANK(K202),"",IF(K202="Gas",INDEX(Lookups!$AG$2:$AG$63,MATCH(O202,Lookups!$AD$2:$AD$63,0),0),0))</f>
        <v/>
      </c>
      <c r="AX202" s="150" t="str">
        <f>IF(ISBLANK(K202),"",IF(K202="Gas",INDEX(Lookups!$AF$2:$AF$63,MATCH(O202,Lookups!$AD$2:$AD$63,0),0),0))</f>
        <v/>
      </c>
      <c r="AY202" s="150" t="str">
        <f>IF(ISBLANK(K202),"",IF(K202="Gas",INDEX(Lookups!$AH$2:$AH$63,MATCH(O202,Lookups!$AD$2:$AD$63,0),0),0))</f>
        <v/>
      </c>
      <c r="AZ202" s="150" t="str">
        <f>IF(ISBLANK(K202),"",IF(K202="Gas",INDEX(Lookups!$AI$2:$AI$63,MATCH(O202,Lookups!$AD$2:$AD$63,0),0),0))</f>
        <v/>
      </c>
      <c r="BA202" s="150" t="str">
        <f t="shared" si="106"/>
        <v/>
      </c>
      <c r="BB202" s="156" t="str">
        <f>IF(ISBLANK(AH202),"",IF(AH202="None",0,IF(K202="Gas",INDEX(Lookups!$AF$51:$AF$69,MATCH(AH202,Lookups!$AD$51:$AD$69,0),0),0)))</f>
        <v/>
      </c>
      <c r="BC202" s="156" t="str">
        <f>IF(ISBLANK(AH202),"",IF(AH202="None",0,IF(K202="Gas",INDEX(Lookups!$AH$51:$AH$69,MATCH(AH202,Lookups!$AD$51:$AD$69,0),0),0)))</f>
        <v/>
      </c>
      <c r="BD202" s="156" t="str">
        <f>IF(ISBLANK(AH202),"",IF(AH202="None",0,IF(K202="Gas",INDEX(Lookups!$AI$51:$AI$69,MATCH(AH202,Lookups!$AD$51:$AD$69,0),0),0)))</f>
        <v/>
      </c>
      <c r="BE202" s="157"/>
      <c r="BF202" s="157"/>
      <c r="BG202" s="147" t="str">
        <f t="shared" si="120"/>
        <v/>
      </c>
      <c r="BH202" s="147" t="str">
        <f t="shared" si="121"/>
        <v/>
      </c>
      <c r="BI202" s="147" t="str">
        <f t="shared" si="107"/>
        <v/>
      </c>
      <c r="BJ202" s="147" t="str">
        <f t="shared" si="108"/>
        <v/>
      </c>
      <c r="BK202" s="148" t="str">
        <f t="shared" si="122"/>
        <v/>
      </c>
      <c r="BL202" s="147" t="str">
        <f t="shared" si="109"/>
        <v/>
      </c>
      <c r="BM202" s="148" t="str">
        <f t="shared" si="123"/>
        <v/>
      </c>
      <c r="BN202" s="147" t="str">
        <f t="shared" si="124"/>
        <v/>
      </c>
      <c r="BO202" s="147" t="str">
        <f t="shared" si="124"/>
        <v/>
      </c>
      <c r="BP202" s="147" t="str">
        <f t="shared" si="125"/>
        <v/>
      </c>
      <c r="BQ202" s="148" t="str">
        <f t="shared" si="126"/>
        <v/>
      </c>
      <c r="BR202" s="148" t="str">
        <f t="shared" si="127"/>
        <v/>
      </c>
      <c r="BS202" s="148" t="str">
        <f t="shared" si="128"/>
        <v/>
      </c>
      <c r="BT202" s="148" t="str">
        <f t="shared" si="110"/>
        <v/>
      </c>
      <c r="BU202" s="148" t="str">
        <f t="shared" si="111"/>
        <v/>
      </c>
      <c r="BV202" s="148" t="str">
        <f t="shared" si="112"/>
        <v/>
      </c>
      <c r="BW202" s="148" t="str">
        <f t="shared" si="113"/>
        <v/>
      </c>
      <c r="BX202" s="148" t="str">
        <f t="shared" si="114"/>
        <v/>
      </c>
      <c r="BY202" s="148" t="str">
        <f t="shared" si="115"/>
        <v/>
      </c>
      <c r="BZ202" s="149" t="str">
        <f>IFERROR(INDEX('Prescriptive Rebate Table'!$B$2:$E$64,MATCH(O202,'Prescriptive Rebate Table'!$C$2:$C$64,0),3),"")</f>
        <v/>
      </c>
      <c r="CA202" s="145" t="str">
        <f>IFERROR(INDEX('Prescriptive Rebate Table'!$B$2:$E$64,MATCH(O202,'Prescriptive Rebate Table'!$C$2:$C$64,0),4),"")</f>
        <v/>
      </c>
      <c r="CB202" s="149" t="str">
        <f t="shared" si="129"/>
        <v/>
      </c>
      <c r="CC202" s="145" t="str">
        <f t="shared" si="130"/>
        <v/>
      </c>
      <c r="CD202" s="149" t="str">
        <f t="shared" si="116"/>
        <v/>
      </c>
      <c r="CE202" s="149" t="str">
        <f t="shared" si="117"/>
        <v/>
      </c>
      <c r="CF202" s="149" t="str">
        <f>IF(BK202&lt;=0,0,IFERROR(IF(OR(ISBLANK(AC202),ISBLANK(CD202))=TRUE,"",IF(CA202="Per Foot",INDEX('Fixture Codes'!$I$8:$I$976,MATCH(AD202,'Fixture Codes'!$B$8:$B$976,0))/12*AF202*BZ202,IF(CA202="Lamp",INDEX('Fixture Codes'!$J$8:$J$976,MATCH(AD202,'Fixture Codes'!$B$8:$B$976,0))*AF202*BZ202,IF(CA202="Fixture",AF202*BZ202,IF(CA202="kWh",BK202*BZ202,0))))),""))</f>
        <v/>
      </c>
      <c r="CG202" s="149" t="str">
        <f t="shared" si="131"/>
        <v/>
      </c>
      <c r="CH202" s="149" t="str">
        <f t="shared" si="132"/>
        <v/>
      </c>
      <c r="CI202" s="152"/>
      <c r="CJ202" s="146"/>
      <c r="CK202" s="241">
        <f>IFERROR(IF(CL202="Yes",'Prescriptive Rebate Table'!$D$69,IF(ISBLANK(AI202),0,IF(AND(AH202=Lookups!$A$62,BK202&gt;0),'Prescriptive Rebate Table'!$D$68,IF(AND(BK202&gt;0,CJ202=AF202),'Prescriptive Rebate Table'!$D$67,IF(AND(BK202&gt;0,CJ202&lt;&gt;AF202),'Prescriptive Rebate Table'!D261,0))))),"")</f>
        <v>0</v>
      </c>
      <c r="CL202" s="240" t="s">
        <v>2712</v>
      </c>
      <c r="CM202" s="152"/>
      <c r="CN202" s="152"/>
      <c r="CO202" s="152"/>
      <c r="CP202" s="146">
        <f t="shared" si="118"/>
        <v>0</v>
      </c>
      <c r="CQ202" s="153">
        <f>IF(D202="Interior",ROUND(($AG202*AF202)/1000*$AM202*(Lookups!$B$54-$AA202)*$AN202*$AO202,3),0)</f>
        <v>0</v>
      </c>
      <c r="CR202" s="153">
        <f>IFERROR(IF(D202="Interior",ROUND(($AG202*$AF202)/1000*(Lookups!$C$54-$AB202)*$AN202*AQ202*AT202,6),0),"")</f>
        <v>0</v>
      </c>
      <c r="CS202" s="165">
        <f t="shared" si="133"/>
        <v>0</v>
      </c>
      <c r="CT202" s="165">
        <f t="shared" si="134"/>
        <v>0</v>
      </c>
      <c r="CV202" s="153"/>
      <c r="CW202" s="153"/>
      <c r="CX202" s="165"/>
      <c r="CY202" s="165"/>
      <c r="DA202" s="153">
        <f>IF(D202="Interior",ROUND(($AG202*AF202*(1-0.15))/1000*$AM202*(Lookups!$B$43+0.097-$AA202)*$AN202*$AO202+((W202*V202)/1000*AN202*AM202*AO202*0.15),3),0)</f>
        <v>0</v>
      </c>
      <c r="DB202" s="153">
        <f>IFERROR(IF(D202="Interior",ROUND(($AG202*$AF202)/1000*(Lookups!$C$43+0.097-$AB202)*$AN202*AQ202*AT202+(($AG202*$AF202)/1000*$AN202*AQ202*AT202*0.15),6),0),"")</f>
        <v>0</v>
      </c>
      <c r="DC202" s="165">
        <f t="shared" si="135"/>
        <v>0</v>
      </c>
      <c r="DD202" s="165">
        <f t="shared" si="136"/>
        <v>0</v>
      </c>
    </row>
    <row r="203" spans="1:108" s="164" customFormat="1">
      <c r="A203" s="150">
        <v>199</v>
      </c>
      <c r="B203" s="153" t="str">
        <f>IFERROR(INDEX(Lookups!$B$2:$B$38,MATCH('Project Info &amp; Summary'!$C$19,Lookups!$A$2:$A$38,0)),"")</f>
        <v/>
      </c>
      <c r="C203" s="153" t="str">
        <f>IFERROR(INDEX(Lookups!$C$2:$C$38,MATCH('Project Info &amp; Summary'!$C$19,Lookups!$A$2:$A$38,0)),"")</f>
        <v/>
      </c>
      <c r="D203" s="163"/>
      <c r="E203" s="160"/>
      <c r="F203" s="158"/>
      <c r="G203" s="158"/>
      <c r="H203" s="158"/>
      <c r="I203" s="158"/>
      <c r="J203" s="154" t="str">
        <f>IFERROR(INDEX(Lookups!$W$21:$W$26,MATCH(I203,Lookups!$V$21:$V$26,0)),"")</f>
        <v/>
      </c>
      <c r="K203" s="158"/>
      <c r="L203" s="162" t="str">
        <f>IFERROR(INDEX(Lookups!$Y$2:$Y$19,MATCH(_xlfn.CONCAT(I203,K203),Lookups!$X$2:$X$19,0)),"")</f>
        <v/>
      </c>
      <c r="M203" s="158"/>
      <c r="N203" s="153" t="str">
        <f>IFERROR(INDEX('Prescriptive Rebate Table'!$M$3:$M$20,MATCH(M203,'Prescriptive Rebate Table'!$L$3:$L$20,0)),"")</f>
        <v/>
      </c>
      <c r="O203" s="158"/>
      <c r="P203" s="154" t="str">
        <f>IFERROR(INDEX('Prescriptive Rebate Table'!$B$2:$H$64, MATCH(O203,'Prescriptive Rebate Table'!$C$2:$C$64,0),7),"")</f>
        <v/>
      </c>
      <c r="Q203" s="155" t="str">
        <f>IFERROR(INDEX('Prescriptive Rebate Table'!$B$2:$I$64, MATCH(O203,'Prescriptive Rebate Table'!$C$2:$C$64,0),8),"")</f>
        <v/>
      </c>
      <c r="R203" s="155" t="str">
        <f>IFERROR(INDEX('Prescriptive Rebate Table'!$B$2:$J$64, MATCH(O203,'Prescriptive Rebate Table'!$C$2:$C$64,0),9),"")</f>
        <v/>
      </c>
      <c r="S203" s="160"/>
      <c r="T203" s="145" t="str">
        <f>IFERROR(INDEX('Fixture Codes'!$M$8:$M$976,MATCH(S203,'Fixture Codes'!$B$8:$B$976,0)),"")</f>
        <v/>
      </c>
      <c r="U203" s="145" t="str">
        <f>IFERROR(INDEX('Fixture Codes'!$B$7:$M$976,MATCH(T203,'Fixture Codes'!$B$7:$B$976,0),5),"")</f>
        <v/>
      </c>
      <c r="V203" s="160"/>
      <c r="W203" s="145" t="str">
        <f>IFERROR(INDEX('Fixture Codes'!$L$8:$L$976,MATCH(T203,'Fixture Codes'!$B$8:$B$976,0)),"")</f>
        <v/>
      </c>
      <c r="X203" s="158"/>
      <c r="Y203" s="159"/>
      <c r="Z203" s="155" t="str">
        <f>IFERROR(INDEX(Lookups!B$68:B$87,MATCH($X203,Lookups!$A$68:$A$87,0)),"")</f>
        <v/>
      </c>
      <c r="AA203" s="150" t="str">
        <f>IFERROR(INDEX(Lookups!B$42:B$62,MATCH($X203,Lookups!$A$42:$A$62,0)),"")</f>
        <v/>
      </c>
      <c r="AB203" s="150" t="str">
        <f>IFERROR(INDEX(Lookups!C$42:C$62,MATCH($X203,Lookups!$A$42:$A$62,0)),"")</f>
        <v/>
      </c>
      <c r="AC203" s="160"/>
      <c r="AD203" s="160"/>
      <c r="AE203" s="150" t="str">
        <f>IFERROR(INDEX('Fixture Codes'!$B$7:$M$976,MATCH(AD203,'Fixture Codes'!$B$7:$B$976,0),5),"")</f>
        <v/>
      </c>
      <c r="AF203" s="160"/>
      <c r="AG203" s="145" t="str">
        <f>IFERROR(INDEX('Fixture Codes'!$L$8:$L$976,MATCH(AD203,'Fixture Codes'!$B$8:$B$976,0)),"")</f>
        <v/>
      </c>
      <c r="AH203" s="158"/>
      <c r="AI203" s="160"/>
      <c r="AJ203" s="150" t="str">
        <f>IFERROR(INDEX(Lookups!B$68:B$87,MATCH($AH203,Lookups!$A$68:$A$87,0)),"")</f>
        <v/>
      </c>
      <c r="AK203" s="150" t="str">
        <f>IFERROR(INDEX(Lookups!B$42:B$62,MATCH($AH203,Lookups!$A$42:$A$62,0)),"")</f>
        <v/>
      </c>
      <c r="AL203" s="150" t="str">
        <f>IFERROR(INDEX(Lookups!C$42:C$62,MATCH($AH203,Lookups!$A$42:$A$62,0)),"")</f>
        <v/>
      </c>
      <c r="AM203" s="150" t="str">
        <f>IFERROR(IF(M203="Exit Signs",8760,IF(INDEX('Fixture Codes'!$C$8:$C$976,MATCH(AD203,'Fixture Codes'!$B$8:$B$976,0))="Exit Sign",8760,INDEX(Lookups!$I$2:$I$428,MATCH(_xlfn.CONCAT(B203,H203),Lookups!$H$2:$H$428,0)))),"")</f>
        <v/>
      </c>
      <c r="AN203" s="153">
        <v>1</v>
      </c>
      <c r="AO203" s="150" t="str">
        <f>IF($D203="Interior",INDEX(Lookups!Q$2:Q$86,MATCH(_xlfn.CONCAT($C203,$L203),Lookups!$P$2:$P$86,0)),IF($D203="Exterior",1,""))</f>
        <v/>
      </c>
      <c r="AP203" s="150">
        <f t="shared" si="119"/>
        <v>1</v>
      </c>
      <c r="AQ203" s="150" t="str">
        <f>IF($D203="Interior",INDEX(Lookups!R$2:R$86,MATCH(_xlfn.CONCAT($C203,$L203),Lookups!$P$2:$P$86,0)),IF($D203="Exterior",1,""))</f>
        <v/>
      </c>
      <c r="AR203" s="150" t="str">
        <f>IF($D203="Interior",INDEX(Lookups!S$2:S$86,MATCH(_xlfn.CONCAT($C203,$L203),Lookups!$P$2:$P$86,0)),IF($D203="Exterior",1,""))</f>
        <v/>
      </c>
      <c r="AS203" s="150" t="str">
        <f>IF($D203="Interior",INDEX(Lookups!T$2:T$86,MATCH(_xlfn.CONCAT($C203,$L203),Lookups!$P$2:$P$86,0)),IF($D203="Exterior",1,""))</f>
        <v/>
      </c>
      <c r="AT203" s="150" t="str">
        <f>IFERROR(IF(M203="Exit Signs",1,IF(INDEX('Fixture Codes'!$C$8:$C$976,MATCH($AD203,'Fixture Codes'!$B$8:$B$976,0))="Exit Sign",1,INDEX(Lookups!J$2:J$428,MATCH(_xlfn.CONCAT($B203,$H203),Lookups!$H$2:$H$428,0)))),"")</f>
        <v/>
      </c>
      <c r="AU203" s="150" t="str">
        <f>IFERROR(IF(M203="Exit Signs",1,IF(INDEX('Fixture Codes'!$C$8:$C$976,MATCH($AD203,'Fixture Codes'!$B$8:$B$976,0))="Exit Sign",1,INDEX(Lookups!K$2:K$428,MATCH(_xlfn.CONCAT($B203,$H203),Lookups!$H$2:$H$428,0)))),"")</f>
        <v/>
      </c>
      <c r="AV203" s="150" t="str">
        <f>IFERROR(IF(M203="Exit Signs",1,IF(INDEX('Fixture Codes'!$C$8:$C$976,MATCH($AD203,'Fixture Codes'!$B$8:$B$976,0))="Exit Sign",1,INDEX(Lookups!L$2:L$428,MATCH(_xlfn.CONCAT($B203,$H203),Lookups!$H$2:$H$428,0)))),"")</f>
        <v/>
      </c>
      <c r="AW203" s="150" t="str">
        <f>IF(ISBLANK(K203),"",IF(K203="Gas",INDEX(Lookups!$AG$2:$AG$63,MATCH(O203,Lookups!$AD$2:$AD$63,0),0),0))</f>
        <v/>
      </c>
      <c r="AX203" s="150" t="str">
        <f>IF(ISBLANK(K203),"",IF(K203="Gas",INDEX(Lookups!$AF$2:$AF$63,MATCH(O203,Lookups!$AD$2:$AD$63,0),0),0))</f>
        <v/>
      </c>
      <c r="AY203" s="150" t="str">
        <f>IF(ISBLANK(K203),"",IF(K203="Gas",INDEX(Lookups!$AH$2:$AH$63,MATCH(O203,Lookups!$AD$2:$AD$63,0),0),0))</f>
        <v/>
      </c>
      <c r="AZ203" s="150" t="str">
        <f>IF(ISBLANK(K203),"",IF(K203="Gas",INDEX(Lookups!$AI$2:$AI$63,MATCH(O203,Lookups!$AD$2:$AD$63,0),0),0))</f>
        <v/>
      </c>
      <c r="BA203" s="150" t="str">
        <f t="shared" si="106"/>
        <v/>
      </c>
      <c r="BB203" s="156" t="str">
        <f>IF(ISBLANK(AH203),"",IF(AH203="None",0,IF(K203="Gas",INDEX(Lookups!$AF$51:$AF$69,MATCH(AH203,Lookups!$AD$51:$AD$69,0),0),0)))</f>
        <v/>
      </c>
      <c r="BC203" s="156" t="str">
        <f>IF(ISBLANK(AH203),"",IF(AH203="None",0,IF(K203="Gas",INDEX(Lookups!$AH$51:$AH$69,MATCH(AH203,Lookups!$AD$51:$AD$69,0),0),0)))</f>
        <v/>
      </c>
      <c r="BD203" s="156" t="str">
        <f>IF(ISBLANK(AH203),"",IF(AH203="None",0,IF(K203="Gas",INDEX(Lookups!$AI$51:$AI$69,MATCH(AH203,Lookups!$AD$51:$AD$69,0),0),0)))</f>
        <v/>
      </c>
      <c r="BE203" s="157"/>
      <c r="BF203" s="157"/>
      <c r="BG203" s="147" t="str">
        <f t="shared" si="120"/>
        <v/>
      </c>
      <c r="BH203" s="147" t="str">
        <f t="shared" si="121"/>
        <v/>
      </c>
      <c r="BI203" s="147" t="str">
        <f t="shared" si="107"/>
        <v/>
      </c>
      <c r="BJ203" s="147" t="str">
        <f t="shared" si="108"/>
        <v/>
      </c>
      <c r="BK203" s="148" t="str">
        <f t="shared" si="122"/>
        <v/>
      </c>
      <c r="BL203" s="147" t="str">
        <f t="shared" si="109"/>
        <v/>
      </c>
      <c r="BM203" s="148" t="str">
        <f t="shared" si="123"/>
        <v/>
      </c>
      <c r="BN203" s="147" t="str">
        <f t="shared" si="124"/>
        <v/>
      </c>
      <c r="BO203" s="147" t="str">
        <f t="shared" si="124"/>
        <v/>
      </c>
      <c r="BP203" s="147" t="str">
        <f t="shared" si="125"/>
        <v/>
      </c>
      <c r="BQ203" s="148" t="str">
        <f t="shared" si="126"/>
        <v/>
      </c>
      <c r="BR203" s="148" t="str">
        <f t="shared" si="127"/>
        <v/>
      </c>
      <c r="BS203" s="148" t="str">
        <f t="shared" si="128"/>
        <v/>
      </c>
      <c r="BT203" s="148" t="str">
        <f t="shared" si="110"/>
        <v/>
      </c>
      <c r="BU203" s="148" t="str">
        <f t="shared" si="111"/>
        <v/>
      </c>
      <c r="BV203" s="148" t="str">
        <f t="shared" si="112"/>
        <v/>
      </c>
      <c r="BW203" s="148" t="str">
        <f t="shared" si="113"/>
        <v/>
      </c>
      <c r="BX203" s="148" t="str">
        <f t="shared" si="114"/>
        <v/>
      </c>
      <c r="BY203" s="148" t="str">
        <f t="shared" si="115"/>
        <v/>
      </c>
      <c r="BZ203" s="149" t="str">
        <f>IFERROR(INDEX('Prescriptive Rebate Table'!$B$2:$E$64,MATCH(O203,'Prescriptive Rebate Table'!$C$2:$C$64,0),3),"")</f>
        <v/>
      </c>
      <c r="CA203" s="145" t="str">
        <f>IFERROR(INDEX('Prescriptive Rebate Table'!$B$2:$E$64,MATCH(O203,'Prescriptive Rebate Table'!$C$2:$C$64,0),4),"")</f>
        <v/>
      </c>
      <c r="CB203" s="149" t="str">
        <f t="shared" si="129"/>
        <v/>
      </c>
      <c r="CC203" s="145" t="str">
        <f t="shared" si="130"/>
        <v/>
      </c>
      <c r="CD203" s="149" t="str">
        <f t="shared" si="116"/>
        <v/>
      </c>
      <c r="CE203" s="149" t="str">
        <f t="shared" si="117"/>
        <v/>
      </c>
      <c r="CF203" s="149" t="str">
        <f>IF(BK203&lt;=0,0,IFERROR(IF(OR(ISBLANK(AC203),ISBLANK(CD203))=TRUE,"",IF(CA203="Per Foot",INDEX('Fixture Codes'!$I$8:$I$976,MATCH(AD203,'Fixture Codes'!$B$8:$B$976,0))/12*AF203*BZ203,IF(CA203="Lamp",INDEX('Fixture Codes'!$J$8:$J$976,MATCH(AD203,'Fixture Codes'!$B$8:$B$976,0))*AF203*BZ203,IF(CA203="Fixture",AF203*BZ203,IF(CA203="kWh",BK203*BZ203,0))))),""))</f>
        <v/>
      </c>
      <c r="CG203" s="149" t="str">
        <f t="shared" si="131"/>
        <v/>
      </c>
      <c r="CH203" s="149" t="str">
        <f t="shared" si="132"/>
        <v/>
      </c>
      <c r="CI203" s="152"/>
      <c r="CJ203" s="146"/>
      <c r="CK203" s="241">
        <f>IFERROR(IF(CL203="Yes",'Prescriptive Rebate Table'!$D$69,IF(ISBLANK(AI203),0,IF(AND(AH203=Lookups!$A$62,BK203&gt;0),'Prescriptive Rebate Table'!$D$68,IF(AND(BK203&gt;0,CJ203=AF203),'Prescriptive Rebate Table'!$D$67,IF(AND(BK203&gt;0,CJ203&lt;&gt;AF203),'Prescriptive Rebate Table'!D262,0))))),"")</f>
        <v>0</v>
      </c>
      <c r="CL203" s="240" t="s">
        <v>2712</v>
      </c>
      <c r="CM203" s="152"/>
      <c r="CN203" s="152"/>
      <c r="CO203" s="152"/>
      <c r="CP203" s="146">
        <f t="shared" si="118"/>
        <v>0</v>
      </c>
      <c r="CQ203" s="153">
        <f>IF(D203="Interior",ROUND(($AG203*AF203)/1000*$AM203*(Lookups!$B$54-$AA203)*$AN203*$AO203,3),0)</f>
        <v>0</v>
      </c>
      <c r="CR203" s="153">
        <f>IFERROR(IF(D203="Interior",ROUND(($AG203*$AF203)/1000*(Lookups!$C$54-$AB203)*$AN203*AQ203*AT203,6),0),"")</f>
        <v>0</v>
      </c>
      <c r="CS203" s="165">
        <f t="shared" si="133"/>
        <v>0</v>
      </c>
      <c r="CT203" s="165">
        <f t="shared" si="134"/>
        <v>0</v>
      </c>
      <c r="CV203" s="153"/>
      <c r="CW203" s="153"/>
      <c r="CX203" s="165"/>
      <c r="CY203" s="165"/>
      <c r="DA203" s="153">
        <f>IF(D203="Interior",ROUND(($AG203*AF203*(1-0.15))/1000*$AM203*(Lookups!$B$43+0.097-$AA203)*$AN203*$AO203+((W203*V203)/1000*AN203*AM203*AO203*0.15),3),0)</f>
        <v>0</v>
      </c>
      <c r="DB203" s="153">
        <f>IFERROR(IF(D203="Interior",ROUND(($AG203*$AF203)/1000*(Lookups!$C$43+0.097-$AB203)*$AN203*AQ203*AT203+(($AG203*$AF203)/1000*$AN203*AQ203*AT203*0.15),6),0),"")</f>
        <v>0</v>
      </c>
      <c r="DC203" s="165">
        <f t="shared" si="135"/>
        <v>0</v>
      </c>
      <c r="DD203" s="165">
        <f t="shared" si="136"/>
        <v>0</v>
      </c>
    </row>
    <row r="204" spans="1:108" s="164" customFormat="1">
      <c r="A204" s="150">
        <v>200</v>
      </c>
      <c r="B204" s="153" t="str">
        <f>IFERROR(INDEX(Lookups!$B$2:$B$38,MATCH('Project Info &amp; Summary'!$C$19,Lookups!$A$2:$A$38,0)),"")</f>
        <v/>
      </c>
      <c r="C204" s="153" t="str">
        <f>IFERROR(INDEX(Lookups!$C$2:$C$38,MATCH('Project Info &amp; Summary'!$C$19,Lookups!$A$2:$A$38,0)),"")</f>
        <v/>
      </c>
      <c r="D204" s="163"/>
      <c r="E204" s="160"/>
      <c r="F204" s="158"/>
      <c r="G204" s="158"/>
      <c r="H204" s="158"/>
      <c r="I204" s="158"/>
      <c r="J204" s="154" t="str">
        <f>IFERROR(INDEX(Lookups!$W$21:$W$26,MATCH(I204,Lookups!$V$21:$V$26,0)),"")</f>
        <v/>
      </c>
      <c r="K204" s="158"/>
      <c r="L204" s="162" t="str">
        <f>IFERROR(INDEX(Lookups!$Y$2:$Y$19,MATCH(_xlfn.CONCAT(I204,K204),Lookups!$X$2:$X$19,0)),"")</f>
        <v/>
      </c>
      <c r="M204" s="158"/>
      <c r="N204" s="153" t="str">
        <f>IFERROR(INDEX('Prescriptive Rebate Table'!$M$3:$M$20,MATCH(M204,'Prescriptive Rebate Table'!$L$3:$L$20,0)),"")</f>
        <v/>
      </c>
      <c r="O204" s="158"/>
      <c r="P204" s="154" t="str">
        <f>IFERROR(INDEX('Prescriptive Rebate Table'!$B$2:$H$64, MATCH(O204,'Prescriptive Rebate Table'!$C$2:$C$64,0),7),"")</f>
        <v/>
      </c>
      <c r="Q204" s="155" t="str">
        <f>IFERROR(INDEX('Prescriptive Rebate Table'!$B$2:$I$64, MATCH(O204,'Prescriptive Rebate Table'!$C$2:$C$64,0),8),"")</f>
        <v/>
      </c>
      <c r="R204" s="155" t="str">
        <f>IFERROR(INDEX('Prescriptive Rebate Table'!$B$2:$J$64, MATCH(O204,'Prescriptive Rebate Table'!$C$2:$C$64,0),9),"")</f>
        <v/>
      </c>
      <c r="S204" s="160"/>
      <c r="T204" s="145" t="str">
        <f>IFERROR(INDEX('Fixture Codes'!$M$8:$M$976,MATCH(S204,'Fixture Codes'!$B$8:$B$976,0)),"")</f>
        <v/>
      </c>
      <c r="U204" s="145" t="str">
        <f>IFERROR(INDEX('Fixture Codes'!$B$7:$M$976,MATCH(T204,'Fixture Codes'!$B$7:$B$976,0),5),"")</f>
        <v/>
      </c>
      <c r="V204" s="160"/>
      <c r="W204" s="145" t="str">
        <f>IFERROR(INDEX('Fixture Codes'!$L$8:$L$976,MATCH(T204,'Fixture Codes'!$B$8:$B$976,0)),"")</f>
        <v/>
      </c>
      <c r="X204" s="158"/>
      <c r="Y204" s="159"/>
      <c r="Z204" s="155" t="str">
        <f>IFERROR(INDEX(Lookups!B$68:B$87,MATCH($X204,Lookups!$A$68:$A$87,0)),"")</f>
        <v/>
      </c>
      <c r="AA204" s="150" t="str">
        <f>IFERROR(INDEX(Lookups!B$42:B$62,MATCH($X204,Lookups!$A$42:$A$62,0)),"")</f>
        <v/>
      </c>
      <c r="AB204" s="150" t="str">
        <f>IFERROR(INDEX(Lookups!C$42:C$62,MATCH($X204,Lookups!$A$42:$A$62,0)),"")</f>
        <v/>
      </c>
      <c r="AC204" s="160"/>
      <c r="AD204" s="160"/>
      <c r="AE204" s="150" t="str">
        <f>IFERROR(INDEX('Fixture Codes'!$B$7:$M$976,MATCH(AD204,'Fixture Codes'!$B$7:$B$976,0),5),"")</f>
        <v/>
      </c>
      <c r="AF204" s="160"/>
      <c r="AG204" s="145" t="str">
        <f>IFERROR(INDEX('Fixture Codes'!$L$8:$L$976,MATCH(AD204,'Fixture Codes'!$B$8:$B$976,0)),"")</f>
        <v/>
      </c>
      <c r="AH204" s="158"/>
      <c r="AI204" s="160"/>
      <c r="AJ204" s="150" t="str">
        <f>IFERROR(INDEX(Lookups!B$68:B$87,MATCH($AH204,Lookups!$A$68:$A$87,0)),"")</f>
        <v/>
      </c>
      <c r="AK204" s="150" t="str">
        <f>IFERROR(INDEX(Lookups!B$42:B$62,MATCH($AH204,Lookups!$A$42:$A$62,0)),"")</f>
        <v/>
      </c>
      <c r="AL204" s="150" t="str">
        <f>IFERROR(INDEX(Lookups!C$42:C$62,MATCH($AH204,Lookups!$A$42:$A$62,0)),"")</f>
        <v/>
      </c>
      <c r="AM204" s="150" t="str">
        <f>IFERROR(IF(M204="Exit Signs",8760,IF(INDEX('Fixture Codes'!$C$8:$C$976,MATCH(AD204,'Fixture Codes'!$B$8:$B$976,0))="Exit Sign",8760,INDEX(Lookups!$I$2:$I$428,MATCH(_xlfn.CONCAT(B204,H204),Lookups!$H$2:$H$428,0)))),"")</f>
        <v/>
      </c>
      <c r="AN204" s="153">
        <v>1</v>
      </c>
      <c r="AO204" s="150" t="str">
        <f>IF($D204="Interior",INDEX(Lookups!Q$2:Q$86,MATCH(_xlfn.CONCAT($C204,$L204),Lookups!$P$2:$P$86,0)),IF($D204="Exterior",1,""))</f>
        <v/>
      </c>
      <c r="AP204" s="150">
        <f t="shared" si="119"/>
        <v>1</v>
      </c>
      <c r="AQ204" s="150" t="str">
        <f>IF($D204="Interior",INDEX(Lookups!R$2:R$86,MATCH(_xlfn.CONCAT($C204,$L204),Lookups!$P$2:$P$86,0)),IF($D204="Exterior",1,""))</f>
        <v/>
      </c>
      <c r="AR204" s="150" t="str">
        <f>IF($D204="Interior",INDEX(Lookups!S$2:S$86,MATCH(_xlfn.CONCAT($C204,$L204),Lookups!$P$2:$P$86,0)),IF($D204="Exterior",1,""))</f>
        <v/>
      </c>
      <c r="AS204" s="150" t="str">
        <f>IF($D204="Interior",INDEX(Lookups!T$2:T$86,MATCH(_xlfn.CONCAT($C204,$L204),Lookups!$P$2:$P$86,0)),IF($D204="Exterior",1,""))</f>
        <v/>
      </c>
      <c r="AT204" s="150" t="str">
        <f>IFERROR(IF(M204="Exit Signs",1,IF(INDEX('Fixture Codes'!$C$8:$C$976,MATCH($AD204,'Fixture Codes'!$B$8:$B$976,0))="Exit Sign",1,INDEX(Lookups!J$2:J$428,MATCH(_xlfn.CONCAT($B204,$H204),Lookups!$H$2:$H$428,0)))),"")</f>
        <v/>
      </c>
      <c r="AU204" s="150" t="str">
        <f>IFERROR(IF(M204="Exit Signs",1,IF(INDEX('Fixture Codes'!$C$8:$C$976,MATCH($AD204,'Fixture Codes'!$B$8:$B$976,0))="Exit Sign",1,INDEX(Lookups!K$2:K$428,MATCH(_xlfn.CONCAT($B204,$H204),Lookups!$H$2:$H$428,0)))),"")</f>
        <v/>
      </c>
      <c r="AV204" s="150" t="str">
        <f>IFERROR(IF(M204="Exit Signs",1,IF(INDEX('Fixture Codes'!$C$8:$C$976,MATCH($AD204,'Fixture Codes'!$B$8:$B$976,0))="Exit Sign",1,INDEX(Lookups!L$2:L$428,MATCH(_xlfn.CONCAT($B204,$H204),Lookups!$H$2:$H$428,0)))),"")</f>
        <v/>
      </c>
      <c r="AW204" s="150" t="str">
        <f>IF(ISBLANK(K204),"",IF(K204="Gas",INDEX(Lookups!$AG$2:$AG$63,MATCH(O204,Lookups!$AD$2:$AD$63,0),0),0))</f>
        <v/>
      </c>
      <c r="AX204" s="150" t="str">
        <f>IF(ISBLANK(K204),"",IF(K204="Gas",INDEX(Lookups!$AF$2:$AF$63,MATCH(O204,Lookups!$AD$2:$AD$63,0),0),0))</f>
        <v/>
      </c>
      <c r="AY204" s="150" t="str">
        <f>IF(ISBLANK(K204),"",IF(K204="Gas",INDEX(Lookups!$AH$2:$AH$63,MATCH(O204,Lookups!$AD$2:$AD$63,0),0),0))</f>
        <v/>
      </c>
      <c r="AZ204" s="150" t="str">
        <f>IF(ISBLANK(K204),"",IF(K204="Gas",INDEX(Lookups!$AI$2:$AI$63,MATCH(O204,Lookups!$AD$2:$AD$63,0),0),0))</f>
        <v/>
      </c>
      <c r="BA204" s="150" t="str">
        <f t="shared" si="106"/>
        <v/>
      </c>
      <c r="BB204" s="156" t="str">
        <f>IF(ISBLANK(AH204),"",IF(AH204="None",0,IF(K204="Gas",INDEX(Lookups!$AF$51:$AF$69,MATCH(AH204,Lookups!$AD$51:$AD$69,0),0),0)))</f>
        <v/>
      </c>
      <c r="BC204" s="156" t="str">
        <f>IF(ISBLANK(AH204),"",IF(AH204="None",0,IF(K204="Gas",INDEX(Lookups!$AH$51:$AH$69,MATCH(AH204,Lookups!$AD$51:$AD$69,0),0),0)))</f>
        <v/>
      </c>
      <c r="BD204" s="156" t="str">
        <f>IF(ISBLANK(AH204),"",IF(AH204="None",0,IF(K204="Gas",INDEX(Lookups!$AI$51:$AI$69,MATCH(AH204,Lookups!$AD$51:$AD$69,0),0),0)))</f>
        <v/>
      </c>
      <c r="BE204" s="157"/>
      <c r="BF204" s="157"/>
      <c r="BG204" s="147" t="str">
        <f t="shared" si="120"/>
        <v/>
      </c>
      <c r="BH204" s="147" t="str">
        <f t="shared" si="121"/>
        <v/>
      </c>
      <c r="BI204" s="147" t="str">
        <f t="shared" si="107"/>
        <v/>
      </c>
      <c r="BJ204" s="147" t="str">
        <f t="shared" si="108"/>
        <v/>
      </c>
      <c r="BK204" s="148" t="str">
        <f t="shared" si="122"/>
        <v/>
      </c>
      <c r="BL204" s="147" t="str">
        <f t="shared" si="109"/>
        <v/>
      </c>
      <c r="BM204" s="148" t="str">
        <f t="shared" si="123"/>
        <v/>
      </c>
      <c r="BN204" s="147" t="str">
        <f t="shared" si="124"/>
        <v/>
      </c>
      <c r="BO204" s="147" t="str">
        <f t="shared" si="124"/>
        <v/>
      </c>
      <c r="BP204" s="147" t="str">
        <f t="shared" si="125"/>
        <v/>
      </c>
      <c r="BQ204" s="148" t="str">
        <f t="shared" si="126"/>
        <v/>
      </c>
      <c r="BR204" s="148" t="str">
        <f t="shared" si="127"/>
        <v/>
      </c>
      <c r="BS204" s="148" t="str">
        <f t="shared" si="128"/>
        <v/>
      </c>
      <c r="BT204" s="148" t="str">
        <f t="shared" si="110"/>
        <v/>
      </c>
      <c r="BU204" s="148" t="str">
        <f t="shared" si="111"/>
        <v/>
      </c>
      <c r="BV204" s="148" t="str">
        <f t="shared" si="112"/>
        <v/>
      </c>
      <c r="BW204" s="148" t="str">
        <f t="shared" si="113"/>
        <v/>
      </c>
      <c r="BX204" s="148" t="str">
        <f t="shared" si="114"/>
        <v/>
      </c>
      <c r="BY204" s="148" t="str">
        <f t="shared" si="115"/>
        <v/>
      </c>
      <c r="BZ204" s="149" t="str">
        <f>IFERROR(INDEX('Prescriptive Rebate Table'!$B$2:$E$64,MATCH(O204,'Prescriptive Rebate Table'!$C$2:$C$64,0),3),"")</f>
        <v/>
      </c>
      <c r="CA204" s="145" t="str">
        <f>IFERROR(INDEX('Prescriptive Rebate Table'!$B$2:$E$64,MATCH(O204,'Prescriptive Rebate Table'!$C$2:$C$64,0),4),"")</f>
        <v/>
      </c>
      <c r="CB204" s="149" t="str">
        <f t="shared" si="129"/>
        <v/>
      </c>
      <c r="CC204" s="145" t="str">
        <f t="shared" si="130"/>
        <v/>
      </c>
      <c r="CD204" s="149" t="str">
        <f t="shared" si="116"/>
        <v/>
      </c>
      <c r="CE204" s="149" t="str">
        <f t="shared" si="117"/>
        <v/>
      </c>
      <c r="CF204" s="149" t="str">
        <f>IF(BK204&lt;=0,0,IFERROR(IF(OR(ISBLANK(AC204),ISBLANK(CD204))=TRUE,"",IF(CA204="Per Foot",INDEX('Fixture Codes'!$I$8:$I$976,MATCH(AD204,'Fixture Codes'!$B$8:$B$976,0))/12*AF204*BZ204,IF(CA204="Lamp",INDEX('Fixture Codes'!$J$8:$J$976,MATCH(AD204,'Fixture Codes'!$B$8:$B$976,0))*AF204*BZ204,IF(CA204="Fixture",AF204*BZ204,IF(CA204="kWh",BK204*BZ204,0))))),""))</f>
        <v/>
      </c>
      <c r="CG204" s="149" t="str">
        <f t="shared" si="131"/>
        <v/>
      </c>
      <c r="CH204" s="149" t="str">
        <f t="shared" si="132"/>
        <v/>
      </c>
      <c r="CI204" s="152"/>
      <c r="CJ204" s="146"/>
      <c r="CK204" s="241">
        <f>IFERROR(IF(CL204="Yes",'Prescriptive Rebate Table'!$D$69,IF(ISBLANK(AI204),0,IF(AND(AH204=Lookups!$A$62,BK204&gt;0),'Prescriptive Rebate Table'!$D$68,IF(AND(BK204&gt;0,CJ204=AF204),'Prescriptive Rebate Table'!$D$67,IF(AND(BK204&gt;0,CJ204&lt;&gt;AF204),'Prescriptive Rebate Table'!D263,0))))),"")</f>
        <v>0</v>
      </c>
      <c r="CL204" s="240" t="s">
        <v>2712</v>
      </c>
      <c r="CM204" s="152"/>
      <c r="CN204" s="152"/>
      <c r="CO204" s="152"/>
      <c r="CP204" s="146">
        <f t="shared" si="118"/>
        <v>0</v>
      </c>
      <c r="CQ204" s="153">
        <f>IF(D204="Interior",ROUND(($AG204*AF204)/1000*$AM204*(Lookups!$B$54-$AA204)*$AN204*$AO204,3),0)</f>
        <v>0</v>
      </c>
      <c r="CR204" s="153">
        <f>IFERROR(IF(D204="Interior",ROUND(($AG204*$AF204)/1000*(Lookups!$C$54-$AB204)*$AN204*AQ204*AT204,6),0),"")</f>
        <v>0</v>
      </c>
      <c r="CS204" s="165">
        <f t="shared" si="133"/>
        <v>0</v>
      </c>
      <c r="CT204" s="165">
        <f t="shared" si="134"/>
        <v>0</v>
      </c>
      <c r="CV204" s="153"/>
      <c r="CW204" s="153"/>
      <c r="CX204" s="165"/>
      <c r="CY204" s="165"/>
      <c r="DA204" s="153">
        <f>IF(D204="Interior",ROUND(($AG204*AF204*(1-0.15))/1000*$AM204*(Lookups!$B$43+0.097-$AA204)*$AN204*$AO204+((W204*V204)/1000*AN204*AM204*AO204*0.15),3),0)</f>
        <v>0</v>
      </c>
      <c r="DB204" s="153">
        <f>IFERROR(IF(D204="Interior",ROUND(($AG204*$AF204)/1000*(Lookups!$C$43+0.097-$AB204)*$AN204*AQ204*AT204+(($AG204*$AF204)/1000*$AN204*AQ204*AT204*0.15),6),0),"")</f>
        <v>0</v>
      </c>
      <c r="DC204" s="165">
        <f t="shared" si="135"/>
        <v>0</v>
      </c>
      <c r="DD204" s="165">
        <f t="shared" si="136"/>
        <v>0</v>
      </c>
    </row>
    <row r="205" spans="1:108" s="164" customFormat="1">
      <c r="A205" s="150">
        <v>201</v>
      </c>
      <c r="B205" s="153" t="str">
        <f>IFERROR(INDEX(Lookups!$B$2:$B$38,MATCH('Project Info &amp; Summary'!$C$19,Lookups!$A$2:$A$38,0)),"")</f>
        <v/>
      </c>
      <c r="C205" s="153" t="str">
        <f>IFERROR(INDEX(Lookups!$C$2:$C$38,MATCH('Project Info &amp; Summary'!$C$19,Lookups!$A$2:$A$38,0)),"")</f>
        <v/>
      </c>
      <c r="D205" s="163"/>
      <c r="E205" s="160"/>
      <c r="F205" s="158"/>
      <c r="G205" s="158"/>
      <c r="H205" s="158"/>
      <c r="I205" s="158"/>
      <c r="J205" s="154" t="str">
        <f>IFERROR(INDEX(Lookups!$W$21:$W$26,MATCH(I205,Lookups!$V$21:$V$26,0)),"")</f>
        <v/>
      </c>
      <c r="K205" s="158"/>
      <c r="L205" s="162" t="str">
        <f>IFERROR(INDEX(Lookups!$Y$2:$Y$19,MATCH(_xlfn.CONCAT(I205,K205),Lookups!$X$2:$X$19,0)),"")</f>
        <v/>
      </c>
      <c r="M205" s="158"/>
      <c r="N205" s="153" t="str">
        <f>IFERROR(INDEX('Prescriptive Rebate Table'!$M$3:$M$20,MATCH(M205,'Prescriptive Rebate Table'!$L$3:$L$20,0)),"")</f>
        <v/>
      </c>
      <c r="O205" s="158"/>
      <c r="P205" s="154" t="str">
        <f>IFERROR(INDEX('Prescriptive Rebate Table'!$B$2:$H$64, MATCH(O205,'Prescriptive Rebate Table'!$C$2:$C$64,0),7),"")</f>
        <v/>
      </c>
      <c r="Q205" s="155" t="str">
        <f>IFERROR(INDEX('Prescriptive Rebate Table'!$B$2:$I$64, MATCH(O205,'Prescriptive Rebate Table'!$C$2:$C$64,0),8),"")</f>
        <v/>
      </c>
      <c r="R205" s="155" t="str">
        <f>IFERROR(INDEX('Prescriptive Rebate Table'!$B$2:$J$64, MATCH(O205,'Prescriptive Rebate Table'!$C$2:$C$64,0),9),"")</f>
        <v/>
      </c>
      <c r="S205" s="160"/>
      <c r="T205" s="145" t="str">
        <f>IFERROR(INDEX('Fixture Codes'!$M$8:$M$976,MATCH(S205,'Fixture Codes'!$B$8:$B$976,0)),"")</f>
        <v/>
      </c>
      <c r="U205" s="145" t="str">
        <f>IFERROR(INDEX('Fixture Codes'!$B$7:$M$976,MATCH(T205,'Fixture Codes'!$B$7:$B$976,0),5),"")</f>
        <v/>
      </c>
      <c r="V205" s="160"/>
      <c r="W205" s="145" t="str">
        <f>IFERROR(INDEX('Fixture Codes'!$L$8:$L$976,MATCH(T205,'Fixture Codes'!$B$8:$B$976,0)),"")</f>
        <v/>
      </c>
      <c r="X205" s="158"/>
      <c r="Y205" s="159"/>
      <c r="Z205" s="155" t="str">
        <f>IFERROR(INDEX(Lookups!B$68:B$87,MATCH($X205,Lookups!$A$68:$A$87,0)),"")</f>
        <v/>
      </c>
      <c r="AA205" s="150" t="str">
        <f>IFERROR(INDEX(Lookups!B$42:B$62,MATCH($X205,Lookups!$A$42:$A$62,0)),"")</f>
        <v/>
      </c>
      <c r="AB205" s="150" t="str">
        <f>IFERROR(INDEX(Lookups!C$42:C$62,MATCH($X205,Lookups!$A$42:$A$62,0)),"")</f>
        <v/>
      </c>
      <c r="AC205" s="160"/>
      <c r="AD205" s="160"/>
      <c r="AE205" s="150" t="str">
        <f>IFERROR(INDEX('Fixture Codes'!$B$7:$M$976,MATCH(AD205,'Fixture Codes'!$B$7:$B$976,0),5),"")</f>
        <v/>
      </c>
      <c r="AF205" s="160"/>
      <c r="AG205" s="145" t="str">
        <f>IFERROR(INDEX('Fixture Codes'!$L$8:$L$976,MATCH(AD205,'Fixture Codes'!$B$8:$B$976,0)),"")</f>
        <v/>
      </c>
      <c r="AH205" s="158"/>
      <c r="AI205" s="160"/>
      <c r="AJ205" s="150" t="str">
        <f>IFERROR(INDEX(Lookups!B$68:B$87,MATCH($AH205,Lookups!$A$68:$A$87,0)),"")</f>
        <v/>
      </c>
      <c r="AK205" s="150" t="str">
        <f>IFERROR(INDEX(Lookups!B$42:B$62,MATCH($AH205,Lookups!$A$42:$A$62,0)),"")</f>
        <v/>
      </c>
      <c r="AL205" s="150" t="str">
        <f>IFERROR(INDEX(Lookups!C$42:C$62,MATCH($AH205,Lookups!$A$42:$A$62,0)),"")</f>
        <v/>
      </c>
      <c r="AM205" s="150" t="str">
        <f>IFERROR(IF(M205="Exit Signs",8760,IF(INDEX('Fixture Codes'!$C$8:$C$976,MATCH(AD205,'Fixture Codes'!$B$8:$B$976,0))="Exit Sign",8760,INDEX(Lookups!$I$2:$I$428,MATCH(_xlfn.CONCAT(B205,H205),Lookups!$H$2:$H$428,0)))),"")</f>
        <v/>
      </c>
      <c r="AN205" s="153">
        <v>1</v>
      </c>
      <c r="AO205" s="150" t="str">
        <f>IF($D205="Interior",INDEX(Lookups!Q$2:Q$86,MATCH(_xlfn.CONCAT($C205,$L205),Lookups!$P$2:$P$86,0)),IF($D205="Exterior",1,""))</f>
        <v/>
      </c>
      <c r="AP205" s="150">
        <f t="shared" si="119"/>
        <v>1</v>
      </c>
      <c r="AQ205" s="150" t="str">
        <f>IF($D205="Interior",INDEX(Lookups!R$2:R$86,MATCH(_xlfn.CONCAT($C205,$L205),Lookups!$P$2:$P$86,0)),IF($D205="Exterior",1,""))</f>
        <v/>
      </c>
      <c r="AR205" s="150" t="str">
        <f>IF($D205="Interior",INDEX(Lookups!S$2:S$86,MATCH(_xlfn.CONCAT($C205,$L205),Lookups!$P$2:$P$86,0)),IF($D205="Exterior",1,""))</f>
        <v/>
      </c>
      <c r="AS205" s="150" t="str">
        <f>IF($D205="Interior",INDEX(Lookups!T$2:T$86,MATCH(_xlfn.CONCAT($C205,$L205),Lookups!$P$2:$P$86,0)),IF($D205="Exterior",1,""))</f>
        <v/>
      </c>
      <c r="AT205" s="150" t="str">
        <f>IFERROR(IF(M205="Exit Signs",1,IF(INDEX('Fixture Codes'!$C$8:$C$976,MATCH($AD205,'Fixture Codes'!$B$8:$B$976,0))="Exit Sign",1,INDEX(Lookups!J$2:J$428,MATCH(_xlfn.CONCAT($B205,$H205),Lookups!$H$2:$H$428,0)))),"")</f>
        <v/>
      </c>
      <c r="AU205" s="150" t="str">
        <f>IFERROR(IF(M205="Exit Signs",1,IF(INDEX('Fixture Codes'!$C$8:$C$976,MATCH($AD205,'Fixture Codes'!$B$8:$B$976,0))="Exit Sign",1,INDEX(Lookups!K$2:K$428,MATCH(_xlfn.CONCAT($B205,$H205),Lookups!$H$2:$H$428,0)))),"")</f>
        <v/>
      </c>
      <c r="AV205" s="150" t="str">
        <f>IFERROR(IF(M205="Exit Signs",1,IF(INDEX('Fixture Codes'!$C$8:$C$976,MATCH($AD205,'Fixture Codes'!$B$8:$B$976,0))="Exit Sign",1,INDEX(Lookups!L$2:L$428,MATCH(_xlfn.CONCAT($B205,$H205),Lookups!$H$2:$H$428,0)))),"")</f>
        <v/>
      </c>
      <c r="AW205" s="150" t="str">
        <f>IF(ISBLANK(K205),"",IF(K205="Gas",INDEX(Lookups!$AG$2:$AG$63,MATCH(O205,Lookups!$AD$2:$AD$63,0),0),0))</f>
        <v/>
      </c>
      <c r="AX205" s="150" t="str">
        <f>IF(ISBLANK(K205),"",IF(K205="Gas",INDEX(Lookups!$AF$2:$AF$63,MATCH(O205,Lookups!$AD$2:$AD$63,0),0),0))</f>
        <v/>
      </c>
      <c r="AY205" s="150" t="str">
        <f>IF(ISBLANK(K205),"",IF(K205="Gas",INDEX(Lookups!$AH$2:$AH$63,MATCH(O205,Lookups!$AD$2:$AD$63,0),0),0))</f>
        <v/>
      </c>
      <c r="AZ205" s="150" t="str">
        <f>IF(ISBLANK(K205),"",IF(K205="Gas",INDEX(Lookups!$AI$2:$AI$63,MATCH(O205,Lookups!$AD$2:$AD$63,0),0),0))</f>
        <v/>
      </c>
      <c r="BA205" s="150" t="str">
        <f t="shared" si="106"/>
        <v/>
      </c>
      <c r="BB205" s="156" t="str">
        <f>IF(ISBLANK(AH205),"",IF(AH205="None",0,IF(K205="Gas",INDEX(Lookups!$AF$51:$AF$69,MATCH(AH205,Lookups!$AD$51:$AD$69,0),0),0)))</f>
        <v/>
      </c>
      <c r="BC205" s="156" t="str">
        <f>IF(ISBLANK(AH205),"",IF(AH205="None",0,IF(K205="Gas",INDEX(Lookups!$AH$51:$AH$69,MATCH(AH205,Lookups!$AD$51:$AD$69,0),0),0)))</f>
        <v/>
      </c>
      <c r="BD205" s="156" t="str">
        <f>IF(ISBLANK(AH205),"",IF(AH205="None",0,IF(K205="Gas",INDEX(Lookups!$AI$51:$AI$69,MATCH(AH205,Lookups!$AD$51:$AD$69,0),0),0)))</f>
        <v/>
      </c>
      <c r="BE205" s="157"/>
      <c r="BF205" s="157"/>
      <c r="BG205" s="147" t="str">
        <f t="shared" si="120"/>
        <v/>
      </c>
      <c r="BH205" s="147" t="str">
        <f t="shared" si="121"/>
        <v/>
      </c>
      <c r="BI205" s="147" t="str">
        <f t="shared" si="107"/>
        <v/>
      </c>
      <c r="BJ205" s="147" t="str">
        <f t="shared" si="108"/>
        <v/>
      </c>
      <c r="BK205" s="148" t="str">
        <f t="shared" si="122"/>
        <v/>
      </c>
      <c r="BL205" s="147" t="str">
        <f t="shared" si="109"/>
        <v/>
      </c>
      <c r="BM205" s="148" t="str">
        <f t="shared" si="123"/>
        <v/>
      </c>
      <c r="BN205" s="147" t="str">
        <f t="shared" si="124"/>
        <v/>
      </c>
      <c r="BO205" s="147" t="str">
        <f t="shared" si="124"/>
        <v/>
      </c>
      <c r="BP205" s="147" t="str">
        <f t="shared" si="125"/>
        <v/>
      </c>
      <c r="BQ205" s="148" t="str">
        <f t="shared" si="126"/>
        <v/>
      </c>
      <c r="BR205" s="148" t="str">
        <f t="shared" si="127"/>
        <v/>
      </c>
      <c r="BS205" s="148" t="str">
        <f t="shared" si="128"/>
        <v/>
      </c>
      <c r="BT205" s="148" t="str">
        <f t="shared" si="110"/>
        <v/>
      </c>
      <c r="BU205" s="148" t="str">
        <f t="shared" si="111"/>
        <v/>
      </c>
      <c r="BV205" s="148" t="str">
        <f t="shared" si="112"/>
        <v/>
      </c>
      <c r="BW205" s="148" t="str">
        <f t="shared" si="113"/>
        <v/>
      </c>
      <c r="BX205" s="148" t="str">
        <f t="shared" si="114"/>
        <v/>
      </c>
      <c r="BY205" s="148" t="str">
        <f t="shared" si="115"/>
        <v/>
      </c>
      <c r="BZ205" s="149" t="str">
        <f>IFERROR(INDEX('Prescriptive Rebate Table'!$B$2:$E$64,MATCH(O205,'Prescriptive Rebate Table'!$C$2:$C$64,0),3),"")</f>
        <v/>
      </c>
      <c r="CA205" s="145" t="str">
        <f>IFERROR(INDEX('Prescriptive Rebate Table'!$B$2:$E$64,MATCH(O205,'Prescriptive Rebate Table'!$C$2:$C$64,0),4),"")</f>
        <v/>
      </c>
      <c r="CB205" s="149" t="str">
        <f t="shared" si="129"/>
        <v/>
      </c>
      <c r="CC205" s="145" t="str">
        <f t="shared" si="130"/>
        <v/>
      </c>
      <c r="CD205" s="149" t="str">
        <f t="shared" si="116"/>
        <v/>
      </c>
      <c r="CE205" s="149" t="str">
        <f t="shared" si="117"/>
        <v/>
      </c>
      <c r="CF205" s="149" t="str">
        <f>IF(BK205&lt;=0,0,IFERROR(IF(OR(ISBLANK(AC205),ISBLANK(CD205))=TRUE,"",IF(CA205="Per Foot",INDEX('Fixture Codes'!$I$8:$I$976,MATCH(AD205,'Fixture Codes'!$B$8:$B$976,0))/12*AF205*BZ205,IF(CA205="Lamp",INDEX('Fixture Codes'!$J$8:$J$976,MATCH(AD205,'Fixture Codes'!$B$8:$B$976,0))*AF205*BZ205,IF(CA205="Fixture",AF205*BZ205,IF(CA205="kWh",BK205*BZ205,0))))),""))</f>
        <v/>
      </c>
      <c r="CG205" s="149" t="str">
        <f t="shared" si="131"/>
        <v/>
      </c>
      <c r="CH205" s="149" t="str">
        <f t="shared" si="132"/>
        <v/>
      </c>
      <c r="CI205" s="152"/>
      <c r="CJ205" s="146"/>
      <c r="CK205" s="241">
        <f>IFERROR(IF(CL205="Yes",'Prescriptive Rebate Table'!$D$69,IF(ISBLANK(AI205),0,IF(AND(AH205=Lookups!$A$62,BK205&gt;0),'Prescriptive Rebate Table'!$D$68,IF(AND(BK205&gt;0,CJ205=AF205),'Prescriptive Rebate Table'!$D$67,IF(AND(BK205&gt;0,CJ205&lt;&gt;AF205),'Prescriptive Rebate Table'!D264,0))))),"")</f>
        <v>0</v>
      </c>
      <c r="CL205" s="240" t="s">
        <v>2712</v>
      </c>
      <c r="CM205" s="152"/>
      <c r="CN205" s="152"/>
      <c r="CO205" s="152"/>
      <c r="CP205" s="146">
        <f t="shared" si="118"/>
        <v>0</v>
      </c>
      <c r="CQ205" s="153">
        <f>IF(D205="Interior",ROUND(($AG205*AF205)/1000*$AM205*(Lookups!$B$54-$AA205)*$AN205*$AO205,3),0)</f>
        <v>0</v>
      </c>
      <c r="CR205" s="153">
        <f>IFERROR(IF(D205="Interior",ROUND(($AG205*$AF205)/1000*(Lookups!$C$54-$AB205)*$AN205*AQ205*AT205,6),0),"")</f>
        <v>0</v>
      </c>
      <c r="CS205" s="165">
        <f t="shared" si="133"/>
        <v>0</v>
      </c>
      <c r="CT205" s="165">
        <f t="shared" si="134"/>
        <v>0</v>
      </c>
      <c r="CV205" s="153"/>
      <c r="CW205" s="153"/>
      <c r="CX205" s="165"/>
      <c r="CY205" s="165"/>
      <c r="DA205" s="153">
        <f>IF(D205="Interior",ROUND(($AG205*AF205*(1-0.15))/1000*$AM205*(Lookups!$B$43+0.097-$AA205)*$AN205*$AO205+((W205*V205)/1000*AN205*AM205*AO205*0.15),3),0)</f>
        <v>0</v>
      </c>
      <c r="DB205" s="153">
        <f>IFERROR(IF(D205="Interior",ROUND(($AG205*$AF205)/1000*(Lookups!$C$43+0.097-$AB205)*$AN205*AQ205*AT205+(($AG205*$AF205)/1000*$AN205*AQ205*AT205*0.15),6),0),"")</f>
        <v>0</v>
      </c>
      <c r="DC205" s="165">
        <f t="shared" si="135"/>
        <v>0</v>
      </c>
      <c r="DD205" s="165">
        <f t="shared" si="136"/>
        <v>0</v>
      </c>
    </row>
    <row r="206" spans="1:108" s="164" customFormat="1">
      <c r="A206" s="150">
        <v>202</v>
      </c>
      <c r="B206" s="153" t="str">
        <f>IFERROR(INDEX(Lookups!$B$2:$B$38,MATCH('Project Info &amp; Summary'!$C$19,Lookups!$A$2:$A$38,0)),"")</f>
        <v/>
      </c>
      <c r="C206" s="153" t="str">
        <f>IFERROR(INDEX(Lookups!$C$2:$C$38,MATCH('Project Info &amp; Summary'!$C$19,Lookups!$A$2:$A$38,0)),"")</f>
        <v/>
      </c>
      <c r="D206" s="163"/>
      <c r="E206" s="160"/>
      <c r="F206" s="158"/>
      <c r="G206" s="158"/>
      <c r="H206" s="158"/>
      <c r="I206" s="158"/>
      <c r="J206" s="154" t="str">
        <f>IFERROR(INDEX(Lookups!$W$21:$W$26,MATCH(I206,Lookups!$V$21:$V$26,0)),"")</f>
        <v/>
      </c>
      <c r="K206" s="158"/>
      <c r="L206" s="162" t="str">
        <f>IFERROR(INDEX(Lookups!$Y$2:$Y$19,MATCH(_xlfn.CONCAT(I206,K206),Lookups!$X$2:$X$19,0)),"")</f>
        <v/>
      </c>
      <c r="M206" s="158"/>
      <c r="N206" s="153" t="str">
        <f>IFERROR(INDEX('Prescriptive Rebate Table'!$M$3:$M$20,MATCH(M206,'Prescriptive Rebate Table'!$L$3:$L$20,0)),"")</f>
        <v/>
      </c>
      <c r="O206" s="158"/>
      <c r="P206" s="154" t="str">
        <f>IFERROR(INDEX('Prescriptive Rebate Table'!$B$2:$H$64, MATCH(O206,'Prescriptive Rebate Table'!$C$2:$C$64,0),7),"")</f>
        <v/>
      </c>
      <c r="Q206" s="155" t="str">
        <f>IFERROR(INDEX('Prescriptive Rebate Table'!$B$2:$I$64, MATCH(O206,'Prescriptive Rebate Table'!$C$2:$C$64,0),8),"")</f>
        <v/>
      </c>
      <c r="R206" s="155" t="str">
        <f>IFERROR(INDEX('Prescriptive Rebate Table'!$B$2:$J$64, MATCH(O206,'Prescriptive Rebate Table'!$C$2:$C$64,0),9),"")</f>
        <v/>
      </c>
      <c r="S206" s="160"/>
      <c r="T206" s="145" t="str">
        <f>IFERROR(INDEX('Fixture Codes'!$M$8:$M$976,MATCH(S206,'Fixture Codes'!$B$8:$B$976,0)),"")</f>
        <v/>
      </c>
      <c r="U206" s="145" t="str">
        <f>IFERROR(INDEX('Fixture Codes'!$B$7:$M$976,MATCH(T206,'Fixture Codes'!$B$7:$B$976,0),5),"")</f>
        <v/>
      </c>
      <c r="V206" s="160"/>
      <c r="W206" s="145" t="str">
        <f>IFERROR(INDEX('Fixture Codes'!$L$8:$L$976,MATCH(T206,'Fixture Codes'!$B$8:$B$976,0)),"")</f>
        <v/>
      </c>
      <c r="X206" s="158"/>
      <c r="Y206" s="159"/>
      <c r="Z206" s="155" t="str">
        <f>IFERROR(INDEX(Lookups!B$68:B$87,MATCH($X206,Lookups!$A$68:$A$87,0)),"")</f>
        <v/>
      </c>
      <c r="AA206" s="150" t="str">
        <f>IFERROR(INDEX(Lookups!B$42:B$62,MATCH($X206,Lookups!$A$42:$A$62,0)),"")</f>
        <v/>
      </c>
      <c r="AB206" s="150" t="str">
        <f>IFERROR(INDEX(Lookups!C$42:C$62,MATCH($X206,Lookups!$A$42:$A$62,0)),"")</f>
        <v/>
      </c>
      <c r="AC206" s="160"/>
      <c r="AD206" s="160"/>
      <c r="AE206" s="150" t="str">
        <f>IFERROR(INDEX('Fixture Codes'!$B$7:$M$976,MATCH(AD206,'Fixture Codes'!$B$7:$B$976,0),5),"")</f>
        <v/>
      </c>
      <c r="AF206" s="160"/>
      <c r="AG206" s="145" t="str">
        <f>IFERROR(INDEX('Fixture Codes'!$L$8:$L$976,MATCH(AD206,'Fixture Codes'!$B$8:$B$976,0)),"")</f>
        <v/>
      </c>
      <c r="AH206" s="158"/>
      <c r="AI206" s="160"/>
      <c r="AJ206" s="150" t="str">
        <f>IFERROR(INDEX(Lookups!B$68:B$87,MATCH($AH206,Lookups!$A$68:$A$87,0)),"")</f>
        <v/>
      </c>
      <c r="AK206" s="150" t="str">
        <f>IFERROR(INDEX(Lookups!B$42:B$62,MATCH($AH206,Lookups!$A$42:$A$62,0)),"")</f>
        <v/>
      </c>
      <c r="AL206" s="150" t="str">
        <f>IFERROR(INDEX(Lookups!C$42:C$62,MATCH($AH206,Lookups!$A$42:$A$62,0)),"")</f>
        <v/>
      </c>
      <c r="AM206" s="150" t="str">
        <f>IFERROR(IF(M206="Exit Signs",8760,IF(INDEX('Fixture Codes'!$C$8:$C$976,MATCH(AD206,'Fixture Codes'!$B$8:$B$976,0))="Exit Sign",8760,INDEX(Lookups!$I$2:$I$428,MATCH(_xlfn.CONCAT(B206,H206),Lookups!$H$2:$H$428,0)))),"")</f>
        <v/>
      </c>
      <c r="AN206" s="153">
        <v>1</v>
      </c>
      <c r="AO206" s="150" t="str">
        <f>IF($D206="Interior",INDEX(Lookups!Q$2:Q$86,MATCH(_xlfn.CONCAT($C206,$L206),Lookups!$P$2:$P$86,0)),IF($D206="Exterior",1,""))</f>
        <v/>
      </c>
      <c r="AP206" s="150">
        <f t="shared" si="119"/>
        <v>1</v>
      </c>
      <c r="AQ206" s="150" t="str">
        <f>IF($D206="Interior",INDEX(Lookups!R$2:R$86,MATCH(_xlfn.CONCAT($C206,$L206),Lookups!$P$2:$P$86,0)),IF($D206="Exterior",1,""))</f>
        <v/>
      </c>
      <c r="AR206" s="150" t="str">
        <f>IF($D206="Interior",INDEX(Lookups!S$2:S$86,MATCH(_xlfn.CONCAT($C206,$L206),Lookups!$P$2:$P$86,0)),IF($D206="Exterior",1,""))</f>
        <v/>
      </c>
      <c r="AS206" s="150" t="str">
        <f>IF($D206="Interior",INDEX(Lookups!T$2:T$86,MATCH(_xlfn.CONCAT($C206,$L206),Lookups!$P$2:$P$86,0)),IF($D206="Exterior",1,""))</f>
        <v/>
      </c>
      <c r="AT206" s="150" t="str">
        <f>IFERROR(IF(M206="Exit Signs",1,IF(INDEX('Fixture Codes'!$C$8:$C$976,MATCH($AD206,'Fixture Codes'!$B$8:$B$976,0))="Exit Sign",1,INDEX(Lookups!J$2:J$428,MATCH(_xlfn.CONCAT($B206,$H206),Lookups!$H$2:$H$428,0)))),"")</f>
        <v/>
      </c>
      <c r="AU206" s="150" t="str">
        <f>IFERROR(IF(M206="Exit Signs",1,IF(INDEX('Fixture Codes'!$C$8:$C$976,MATCH($AD206,'Fixture Codes'!$B$8:$B$976,0))="Exit Sign",1,INDEX(Lookups!K$2:K$428,MATCH(_xlfn.CONCAT($B206,$H206),Lookups!$H$2:$H$428,0)))),"")</f>
        <v/>
      </c>
      <c r="AV206" s="150" t="str">
        <f>IFERROR(IF(M206="Exit Signs",1,IF(INDEX('Fixture Codes'!$C$8:$C$976,MATCH($AD206,'Fixture Codes'!$B$8:$B$976,0))="Exit Sign",1,INDEX(Lookups!L$2:L$428,MATCH(_xlfn.CONCAT($B206,$H206),Lookups!$H$2:$H$428,0)))),"")</f>
        <v/>
      </c>
      <c r="AW206" s="150" t="str">
        <f>IF(ISBLANK(K206),"",IF(K206="Gas",INDEX(Lookups!$AG$2:$AG$63,MATCH(O206,Lookups!$AD$2:$AD$63,0),0),0))</f>
        <v/>
      </c>
      <c r="AX206" s="150" t="str">
        <f>IF(ISBLANK(K206),"",IF(K206="Gas",INDEX(Lookups!$AF$2:$AF$63,MATCH(O206,Lookups!$AD$2:$AD$63,0),0),0))</f>
        <v/>
      </c>
      <c r="AY206" s="150" t="str">
        <f>IF(ISBLANK(K206),"",IF(K206="Gas",INDEX(Lookups!$AH$2:$AH$63,MATCH(O206,Lookups!$AD$2:$AD$63,0),0),0))</f>
        <v/>
      </c>
      <c r="AZ206" s="150" t="str">
        <f>IF(ISBLANK(K206),"",IF(K206="Gas",INDEX(Lookups!$AI$2:$AI$63,MATCH(O206,Lookups!$AD$2:$AD$63,0),0),0))</f>
        <v/>
      </c>
      <c r="BA206" s="150" t="str">
        <f t="shared" si="106"/>
        <v/>
      </c>
      <c r="BB206" s="156" t="str">
        <f>IF(ISBLANK(AH206),"",IF(AH206="None",0,IF(K206="Gas",INDEX(Lookups!$AF$51:$AF$69,MATCH(AH206,Lookups!$AD$51:$AD$69,0),0),0)))</f>
        <v/>
      </c>
      <c r="BC206" s="156" t="str">
        <f>IF(ISBLANK(AH206),"",IF(AH206="None",0,IF(K206="Gas",INDEX(Lookups!$AH$51:$AH$69,MATCH(AH206,Lookups!$AD$51:$AD$69,0),0),0)))</f>
        <v/>
      </c>
      <c r="BD206" s="156" t="str">
        <f>IF(ISBLANK(AH206),"",IF(AH206="None",0,IF(K206="Gas",INDEX(Lookups!$AI$51:$AI$69,MATCH(AH206,Lookups!$AD$51:$AD$69,0),0),0)))</f>
        <v/>
      </c>
      <c r="BE206" s="157"/>
      <c r="BF206" s="157"/>
      <c r="BG206" s="147" t="str">
        <f t="shared" si="120"/>
        <v/>
      </c>
      <c r="BH206" s="147" t="str">
        <f t="shared" si="121"/>
        <v/>
      </c>
      <c r="BI206" s="147" t="str">
        <f t="shared" si="107"/>
        <v/>
      </c>
      <c r="BJ206" s="147" t="str">
        <f t="shared" si="108"/>
        <v/>
      </c>
      <c r="BK206" s="148" t="str">
        <f t="shared" si="122"/>
        <v/>
      </c>
      <c r="BL206" s="147" t="str">
        <f t="shared" si="109"/>
        <v/>
      </c>
      <c r="BM206" s="148" t="str">
        <f t="shared" si="123"/>
        <v/>
      </c>
      <c r="BN206" s="147" t="str">
        <f t="shared" si="124"/>
        <v/>
      </c>
      <c r="BO206" s="147" t="str">
        <f t="shared" si="124"/>
        <v/>
      </c>
      <c r="BP206" s="147" t="str">
        <f t="shared" si="125"/>
        <v/>
      </c>
      <c r="BQ206" s="148" t="str">
        <f t="shared" si="126"/>
        <v/>
      </c>
      <c r="BR206" s="148" t="str">
        <f t="shared" si="127"/>
        <v/>
      </c>
      <c r="BS206" s="148" t="str">
        <f t="shared" si="128"/>
        <v/>
      </c>
      <c r="BT206" s="148" t="str">
        <f t="shared" si="110"/>
        <v/>
      </c>
      <c r="BU206" s="148" t="str">
        <f t="shared" si="111"/>
        <v/>
      </c>
      <c r="BV206" s="148" t="str">
        <f t="shared" si="112"/>
        <v/>
      </c>
      <c r="BW206" s="148" t="str">
        <f t="shared" si="113"/>
        <v/>
      </c>
      <c r="BX206" s="148" t="str">
        <f t="shared" si="114"/>
        <v/>
      </c>
      <c r="BY206" s="148" t="str">
        <f t="shared" si="115"/>
        <v/>
      </c>
      <c r="BZ206" s="149" t="str">
        <f>IFERROR(INDEX('Prescriptive Rebate Table'!$B$2:$E$64,MATCH(O206,'Prescriptive Rebate Table'!$C$2:$C$64,0),3),"")</f>
        <v/>
      </c>
      <c r="CA206" s="145" t="str">
        <f>IFERROR(INDEX('Prescriptive Rebate Table'!$B$2:$E$64,MATCH(O206,'Prescriptive Rebate Table'!$C$2:$C$64,0),4),"")</f>
        <v/>
      </c>
      <c r="CB206" s="149" t="str">
        <f t="shared" si="129"/>
        <v/>
      </c>
      <c r="CC206" s="145" t="str">
        <f t="shared" si="130"/>
        <v/>
      </c>
      <c r="CD206" s="149" t="str">
        <f t="shared" si="116"/>
        <v/>
      </c>
      <c r="CE206" s="149" t="str">
        <f t="shared" si="117"/>
        <v/>
      </c>
      <c r="CF206" s="149" t="str">
        <f>IF(BK206&lt;=0,0,IFERROR(IF(OR(ISBLANK(AC206),ISBLANK(CD206))=TRUE,"",IF(CA206="Per Foot",INDEX('Fixture Codes'!$I$8:$I$976,MATCH(AD206,'Fixture Codes'!$B$8:$B$976,0))/12*AF206*BZ206,IF(CA206="Lamp",INDEX('Fixture Codes'!$J$8:$J$976,MATCH(AD206,'Fixture Codes'!$B$8:$B$976,0))*AF206*BZ206,IF(CA206="Fixture",AF206*BZ206,IF(CA206="kWh",BK206*BZ206,0))))),""))</f>
        <v/>
      </c>
      <c r="CG206" s="149" t="str">
        <f t="shared" si="131"/>
        <v/>
      </c>
      <c r="CH206" s="149" t="str">
        <f t="shared" si="132"/>
        <v/>
      </c>
      <c r="CI206" s="152"/>
      <c r="CJ206" s="146"/>
      <c r="CK206" s="241">
        <f>IFERROR(IF(CL206="Yes",'Prescriptive Rebate Table'!$D$69,IF(ISBLANK(AI206),0,IF(AND(AH206=Lookups!$A$62,BK206&gt;0),'Prescriptive Rebate Table'!$D$68,IF(AND(BK206&gt;0,CJ206=AF206),'Prescriptive Rebate Table'!$D$67,IF(AND(BK206&gt;0,CJ206&lt;&gt;AF206),'Prescriptive Rebate Table'!D265,0))))),"")</f>
        <v>0</v>
      </c>
      <c r="CL206" s="240" t="s">
        <v>2712</v>
      </c>
      <c r="CM206" s="152"/>
      <c r="CN206" s="152"/>
      <c r="CO206" s="152"/>
      <c r="CP206" s="146">
        <f t="shared" si="118"/>
        <v>0</v>
      </c>
      <c r="CQ206" s="153">
        <f>IF(D206="Interior",ROUND(($AG206*AF206)/1000*$AM206*(Lookups!$B$54-$AA206)*$AN206*$AO206,3),0)</f>
        <v>0</v>
      </c>
      <c r="CR206" s="153">
        <f>IFERROR(IF(D206="Interior",ROUND(($AG206*$AF206)/1000*(Lookups!$C$54-$AB206)*$AN206*AQ206*AT206,6),0),"")</f>
        <v>0</v>
      </c>
      <c r="CS206" s="165">
        <f t="shared" si="133"/>
        <v>0</v>
      </c>
      <c r="CT206" s="165">
        <f t="shared" si="134"/>
        <v>0</v>
      </c>
      <c r="CV206" s="153"/>
      <c r="CW206" s="153"/>
      <c r="CX206" s="165"/>
      <c r="CY206" s="165"/>
      <c r="DA206" s="153">
        <f>IF(D206="Interior",ROUND(($AG206*AF206*(1-0.15))/1000*$AM206*(Lookups!$B$43+0.097-$AA206)*$AN206*$AO206+((W206*V206)/1000*AN206*AM206*AO206*0.15),3),0)</f>
        <v>0</v>
      </c>
      <c r="DB206" s="153">
        <f>IFERROR(IF(D206="Interior",ROUND(($AG206*$AF206)/1000*(Lookups!$C$43+0.097-$AB206)*$AN206*AQ206*AT206+(($AG206*$AF206)/1000*$AN206*AQ206*AT206*0.15),6),0),"")</f>
        <v>0</v>
      </c>
      <c r="DC206" s="165">
        <f t="shared" si="135"/>
        <v>0</v>
      </c>
      <c r="DD206" s="165">
        <f t="shared" si="136"/>
        <v>0</v>
      </c>
    </row>
    <row r="207" spans="1:108" s="164" customFormat="1">
      <c r="A207" s="150">
        <v>203</v>
      </c>
      <c r="B207" s="153" t="str">
        <f>IFERROR(INDEX(Lookups!$B$2:$B$38,MATCH('Project Info &amp; Summary'!$C$19,Lookups!$A$2:$A$38,0)),"")</f>
        <v/>
      </c>
      <c r="C207" s="153" t="str">
        <f>IFERROR(INDEX(Lookups!$C$2:$C$38,MATCH('Project Info &amp; Summary'!$C$19,Lookups!$A$2:$A$38,0)),"")</f>
        <v/>
      </c>
      <c r="D207" s="163"/>
      <c r="E207" s="160"/>
      <c r="F207" s="158"/>
      <c r="G207" s="158"/>
      <c r="H207" s="158"/>
      <c r="I207" s="158"/>
      <c r="J207" s="154" t="str">
        <f>IFERROR(INDEX(Lookups!$W$21:$W$26,MATCH(I207,Lookups!$V$21:$V$26,0)),"")</f>
        <v/>
      </c>
      <c r="K207" s="158"/>
      <c r="L207" s="162" t="str">
        <f>IFERROR(INDEX(Lookups!$Y$2:$Y$19,MATCH(_xlfn.CONCAT(I207,K207),Lookups!$X$2:$X$19,0)),"")</f>
        <v/>
      </c>
      <c r="M207" s="158"/>
      <c r="N207" s="153" t="str">
        <f>IFERROR(INDEX('Prescriptive Rebate Table'!$M$3:$M$20,MATCH(M207,'Prescriptive Rebate Table'!$L$3:$L$20,0)),"")</f>
        <v/>
      </c>
      <c r="O207" s="158"/>
      <c r="P207" s="154" t="str">
        <f>IFERROR(INDEX('Prescriptive Rebate Table'!$B$2:$H$64, MATCH(O207,'Prescriptive Rebate Table'!$C$2:$C$64,0),7),"")</f>
        <v/>
      </c>
      <c r="Q207" s="155" t="str">
        <f>IFERROR(INDEX('Prescriptive Rebate Table'!$B$2:$I$64, MATCH(O207,'Prescriptive Rebate Table'!$C$2:$C$64,0),8),"")</f>
        <v/>
      </c>
      <c r="R207" s="155" t="str">
        <f>IFERROR(INDEX('Prescriptive Rebate Table'!$B$2:$J$64, MATCH(O207,'Prescriptive Rebate Table'!$C$2:$C$64,0),9),"")</f>
        <v/>
      </c>
      <c r="S207" s="160"/>
      <c r="T207" s="145" t="str">
        <f>IFERROR(INDEX('Fixture Codes'!$M$8:$M$976,MATCH(S207,'Fixture Codes'!$B$8:$B$976,0)),"")</f>
        <v/>
      </c>
      <c r="U207" s="145" t="str">
        <f>IFERROR(INDEX('Fixture Codes'!$B$7:$M$976,MATCH(T207,'Fixture Codes'!$B$7:$B$976,0),5),"")</f>
        <v/>
      </c>
      <c r="V207" s="160"/>
      <c r="W207" s="145" t="str">
        <f>IFERROR(INDEX('Fixture Codes'!$L$8:$L$976,MATCH(T207,'Fixture Codes'!$B$8:$B$976,0)),"")</f>
        <v/>
      </c>
      <c r="X207" s="158"/>
      <c r="Y207" s="159"/>
      <c r="Z207" s="155" t="str">
        <f>IFERROR(INDEX(Lookups!B$68:B$87,MATCH($X207,Lookups!$A$68:$A$87,0)),"")</f>
        <v/>
      </c>
      <c r="AA207" s="150" t="str">
        <f>IFERROR(INDEX(Lookups!B$42:B$62,MATCH($X207,Lookups!$A$42:$A$62,0)),"")</f>
        <v/>
      </c>
      <c r="AB207" s="150" t="str">
        <f>IFERROR(INDEX(Lookups!C$42:C$62,MATCH($X207,Lookups!$A$42:$A$62,0)),"")</f>
        <v/>
      </c>
      <c r="AC207" s="160"/>
      <c r="AD207" s="160"/>
      <c r="AE207" s="150" t="str">
        <f>IFERROR(INDEX('Fixture Codes'!$B$7:$M$976,MATCH(AD207,'Fixture Codes'!$B$7:$B$976,0),5),"")</f>
        <v/>
      </c>
      <c r="AF207" s="160"/>
      <c r="AG207" s="145" t="str">
        <f>IFERROR(INDEX('Fixture Codes'!$L$8:$L$976,MATCH(AD207,'Fixture Codes'!$B$8:$B$976,0)),"")</f>
        <v/>
      </c>
      <c r="AH207" s="158"/>
      <c r="AI207" s="160"/>
      <c r="AJ207" s="150" t="str">
        <f>IFERROR(INDEX(Lookups!B$68:B$87,MATCH($AH207,Lookups!$A$68:$A$87,0)),"")</f>
        <v/>
      </c>
      <c r="AK207" s="150" t="str">
        <f>IFERROR(INDEX(Lookups!B$42:B$62,MATCH($AH207,Lookups!$A$42:$A$62,0)),"")</f>
        <v/>
      </c>
      <c r="AL207" s="150" t="str">
        <f>IFERROR(INDEX(Lookups!C$42:C$62,MATCH($AH207,Lookups!$A$42:$A$62,0)),"")</f>
        <v/>
      </c>
      <c r="AM207" s="150" t="str">
        <f>IFERROR(IF(M207="Exit Signs",8760,IF(INDEX('Fixture Codes'!$C$8:$C$976,MATCH(AD207,'Fixture Codes'!$B$8:$B$976,0))="Exit Sign",8760,INDEX(Lookups!$I$2:$I$428,MATCH(_xlfn.CONCAT(B207,H207),Lookups!$H$2:$H$428,0)))),"")</f>
        <v/>
      </c>
      <c r="AN207" s="153">
        <v>1</v>
      </c>
      <c r="AO207" s="150" t="str">
        <f>IF($D207="Interior",INDEX(Lookups!Q$2:Q$86,MATCH(_xlfn.CONCAT($C207,$L207),Lookups!$P$2:$P$86,0)),IF($D207="Exterior",1,""))</f>
        <v/>
      </c>
      <c r="AP207" s="150">
        <f t="shared" si="119"/>
        <v>1</v>
      </c>
      <c r="AQ207" s="150" t="str">
        <f>IF($D207="Interior",INDEX(Lookups!R$2:R$86,MATCH(_xlfn.CONCAT($C207,$L207),Lookups!$P$2:$P$86,0)),IF($D207="Exterior",1,""))</f>
        <v/>
      </c>
      <c r="AR207" s="150" t="str">
        <f>IF($D207="Interior",INDEX(Lookups!S$2:S$86,MATCH(_xlfn.CONCAT($C207,$L207),Lookups!$P$2:$P$86,0)),IF($D207="Exterior",1,""))</f>
        <v/>
      </c>
      <c r="AS207" s="150" t="str">
        <f>IF($D207="Interior",INDEX(Lookups!T$2:T$86,MATCH(_xlfn.CONCAT($C207,$L207),Lookups!$P$2:$P$86,0)),IF($D207="Exterior",1,""))</f>
        <v/>
      </c>
      <c r="AT207" s="150" t="str">
        <f>IFERROR(IF(M207="Exit Signs",1,IF(INDEX('Fixture Codes'!$C$8:$C$976,MATCH($AD207,'Fixture Codes'!$B$8:$B$976,0))="Exit Sign",1,INDEX(Lookups!J$2:J$428,MATCH(_xlfn.CONCAT($B207,$H207),Lookups!$H$2:$H$428,0)))),"")</f>
        <v/>
      </c>
      <c r="AU207" s="150" t="str">
        <f>IFERROR(IF(M207="Exit Signs",1,IF(INDEX('Fixture Codes'!$C$8:$C$976,MATCH($AD207,'Fixture Codes'!$B$8:$B$976,0))="Exit Sign",1,INDEX(Lookups!K$2:K$428,MATCH(_xlfn.CONCAT($B207,$H207),Lookups!$H$2:$H$428,0)))),"")</f>
        <v/>
      </c>
      <c r="AV207" s="150" t="str">
        <f>IFERROR(IF(M207="Exit Signs",1,IF(INDEX('Fixture Codes'!$C$8:$C$976,MATCH($AD207,'Fixture Codes'!$B$8:$B$976,0))="Exit Sign",1,INDEX(Lookups!L$2:L$428,MATCH(_xlfn.CONCAT($B207,$H207),Lookups!$H$2:$H$428,0)))),"")</f>
        <v/>
      </c>
      <c r="AW207" s="150" t="str">
        <f>IF(ISBLANK(K207),"",IF(K207="Gas",INDEX(Lookups!$AG$2:$AG$63,MATCH(O207,Lookups!$AD$2:$AD$63,0),0),0))</f>
        <v/>
      </c>
      <c r="AX207" s="150" t="str">
        <f>IF(ISBLANK(K207),"",IF(K207="Gas",INDEX(Lookups!$AF$2:$AF$63,MATCH(O207,Lookups!$AD$2:$AD$63,0),0),0))</f>
        <v/>
      </c>
      <c r="AY207" s="150" t="str">
        <f>IF(ISBLANK(K207),"",IF(K207="Gas",INDEX(Lookups!$AH$2:$AH$63,MATCH(O207,Lookups!$AD$2:$AD$63,0),0),0))</f>
        <v/>
      </c>
      <c r="AZ207" s="150" t="str">
        <f>IF(ISBLANK(K207),"",IF(K207="Gas",INDEX(Lookups!$AI$2:$AI$63,MATCH(O207,Lookups!$AD$2:$AD$63,0),0),0))</f>
        <v/>
      </c>
      <c r="BA207" s="150" t="str">
        <f t="shared" si="106"/>
        <v/>
      </c>
      <c r="BB207" s="156" t="str">
        <f>IF(ISBLANK(AH207),"",IF(AH207="None",0,IF(K207="Gas",INDEX(Lookups!$AF$51:$AF$69,MATCH(AH207,Lookups!$AD$51:$AD$69,0),0),0)))</f>
        <v/>
      </c>
      <c r="BC207" s="156" t="str">
        <f>IF(ISBLANK(AH207),"",IF(AH207="None",0,IF(K207="Gas",INDEX(Lookups!$AH$51:$AH$69,MATCH(AH207,Lookups!$AD$51:$AD$69,0),0),0)))</f>
        <v/>
      </c>
      <c r="BD207" s="156" t="str">
        <f>IF(ISBLANK(AH207),"",IF(AH207="None",0,IF(K207="Gas",INDEX(Lookups!$AI$51:$AI$69,MATCH(AH207,Lookups!$AD$51:$AD$69,0),0),0)))</f>
        <v/>
      </c>
      <c r="BE207" s="157"/>
      <c r="BF207" s="157"/>
      <c r="BG207" s="147" t="str">
        <f t="shared" si="120"/>
        <v/>
      </c>
      <c r="BH207" s="147" t="str">
        <f t="shared" si="121"/>
        <v/>
      </c>
      <c r="BI207" s="147" t="str">
        <f t="shared" si="107"/>
        <v/>
      </c>
      <c r="BJ207" s="147" t="str">
        <f t="shared" si="108"/>
        <v/>
      </c>
      <c r="BK207" s="148" t="str">
        <f t="shared" si="122"/>
        <v/>
      </c>
      <c r="BL207" s="147" t="str">
        <f t="shared" si="109"/>
        <v/>
      </c>
      <c r="BM207" s="148" t="str">
        <f t="shared" si="123"/>
        <v/>
      </c>
      <c r="BN207" s="147" t="str">
        <f t="shared" si="124"/>
        <v/>
      </c>
      <c r="BO207" s="147" t="str">
        <f t="shared" si="124"/>
        <v/>
      </c>
      <c r="BP207" s="147" t="str">
        <f t="shared" si="125"/>
        <v/>
      </c>
      <c r="BQ207" s="148" t="str">
        <f t="shared" si="126"/>
        <v/>
      </c>
      <c r="BR207" s="148" t="str">
        <f t="shared" si="127"/>
        <v/>
      </c>
      <c r="BS207" s="148" t="str">
        <f t="shared" si="128"/>
        <v/>
      </c>
      <c r="BT207" s="148" t="str">
        <f t="shared" si="110"/>
        <v/>
      </c>
      <c r="BU207" s="148" t="str">
        <f t="shared" si="111"/>
        <v/>
      </c>
      <c r="BV207" s="148" t="str">
        <f t="shared" si="112"/>
        <v/>
      </c>
      <c r="BW207" s="148" t="str">
        <f t="shared" si="113"/>
        <v/>
      </c>
      <c r="BX207" s="148" t="str">
        <f t="shared" si="114"/>
        <v/>
      </c>
      <c r="BY207" s="148" t="str">
        <f t="shared" si="115"/>
        <v/>
      </c>
      <c r="BZ207" s="149" t="str">
        <f>IFERROR(INDEX('Prescriptive Rebate Table'!$B$2:$E$64,MATCH(O207,'Prescriptive Rebate Table'!$C$2:$C$64,0),3),"")</f>
        <v/>
      </c>
      <c r="CA207" s="145" t="str">
        <f>IFERROR(INDEX('Prescriptive Rebate Table'!$B$2:$E$64,MATCH(O207,'Prescriptive Rebate Table'!$C$2:$C$64,0),4),"")</f>
        <v/>
      </c>
      <c r="CB207" s="149" t="str">
        <f t="shared" si="129"/>
        <v/>
      </c>
      <c r="CC207" s="145" t="str">
        <f t="shared" si="130"/>
        <v/>
      </c>
      <c r="CD207" s="149" t="str">
        <f t="shared" si="116"/>
        <v/>
      </c>
      <c r="CE207" s="149" t="str">
        <f t="shared" si="117"/>
        <v/>
      </c>
      <c r="CF207" s="149" t="str">
        <f>IF(BK207&lt;=0,0,IFERROR(IF(OR(ISBLANK(AC207),ISBLANK(CD207))=TRUE,"",IF(CA207="Per Foot",INDEX('Fixture Codes'!$I$8:$I$976,MATCH(AD207,'Fixture Codes'!$B$8:$B$976,0))/12*AF207*BZ207,IF(CA207="Lamp",INDEX('Fixture Codes'!$J$8:$J$976,MATCH(AD207,'Fixture Codes'!$B$8:$B$976,0))*AF207*BZ207,IF(CA207="Fixture",AF207*BZ207,IF(CA207="kWh",BK207*BZ207,0))))),""))</f>
        <v/>
      </c>
      <c r="CG207" s="149" t="str">
        <f t="shared" si="131"/>
        <v/>
      </c>
      <c r="CH207" s="149" t="str">
        <f t="shared" si="132"/>
        <v/>
      </c>
      <c r="CI207" s="152"/>
      <c r="CJ207" s="146"/>
      <c r="CK207" s="241">
        <f>IFERROR(IF(CL207="Yes",'Prescriptive Rebate Table'!$D$69,IF(ISBLANK(AI207),0,IF(AND(AH207=Lookups!$A$62,BK207&gt;0),'Prescriptive Rebate Table'!$D$68,IF(AND(BK207&gt;0,CJ207=AF207),'Prescriptive Rebate Table'!$D$67,IF(AND(BK207&gt;0,CJ207&lt;&gt;AF207),'Prescriptive Rebate Table'!D266,0))))),"")</f>
        <v>0</v>
      </c>
      <c r="CL207" s="240" t="s">
        <v>2712</v>
      </c>
      <c r="CM207" s="152"/>
      <c r="CN207" s="152"/>
      <c r="CO207" s="152"/>
      <c r="CP207" s="146">
        <f t="shared" si="118"/>
        <v>0</v>
      </c>
      <c r="CQ207" s="153">
        <f>IF(D207="Interior",ROUND(($AG207*AF207)/1000*$AM207*(Lookups!$B$54-$AA207)*$AN207*$AO207,3),0)</f>
        <v>0</v>
      </c>
      <c r="CR207" s="153">
        <f>IFERROR(IF(D207="Interior",ROUND(($AG207*$AF207)/1000*(Lookups!$C$54-$AB207)*$AN207*AQ207*AT207,6),0),"")</f>
        <v>0</v>
      </c>
      <c r="CS207" s="165">
        <f t="shared" si="133"/>
        <v>0</v>
      </c>
      <c r="CT207" s="165">
        <f t="shared" si="134"/>
        <v>0</v>
      </c>
      <c r="CV207" s="153"/>
      <c r="CW207" s="153"/>
      <c r="CX207" s="165"/>
      <c r="CY207" s="165"/>
      <c r="DA207" s="153">
        <f>IF(D207="Interior",ROUND(($AG207*AF207*(1-0.15))/1000*$AM207*(Lookups!$B$43+0.097-$AA207)*$AN207*$AO207+((W207*V207)/1000*AN207*AM207*AO207*0.15),3),0)</f>
        <v>0</v>
      </c>
      <c r="DB207" s="153">
        <f>IFERROR(IF(D207="Interior",ROUND(($AG207*$AF207)/1000*(Lookups!$C$43+0.097-$AB207)*$AN207*AQ207*AT207+(($AG207*$AF207)/1000*$AN207*AQ207*AT207*0.15),6),0),"")</f>
        <v>0</v>
      </c>
      <c r="DC207" s="165">
        <f t="shared" si="135"/>
        <v>0</v>
      </c>
      <c r="DD207" s="165">
        <f t="shared" si="136"/>
        <v>0</v>
      </c>
    </row>
    <row r="208" spans="1:108" s="164" customFormat="1">
      <c r="A208" s="150">
        <v>204</v>
      </c>
      <c r="B208" s="153" t="str">
        <f>IFERROR(INDEX(Lookups!$B$2:$B$38,MATCH('Project Info &amp; Summary'!$C$19,Lookups!$A$2:$A$38,0)),"")</f>
        <v/>
      </c>
      <c r="C208" s="153" t="str">
        <f>IFERROR(INDEX(Lookups!$C$2:$C$38,MATCH('Project Info &amp; Summary'!$C$19,Lookups!$A$2:$A$38,0)),"")</f>
        <v/>
      </c>
      <c r="D208" s="163"/>
      <c r="E208" s="160"/>
      <c r="F208" s="158"/>
      <c r="G208" s="158"/>
      <c r="H208" s="158"/>
      <c r="I208" s="158"/>
      <c r="J208" s="154" t="str">
        <f>IFERROR(INDEX(Lookups!$W$21:$W$26,MATCH(I208,Lookups!$V$21:$V$26,0)),"")</f>
        <v/>
      </c>
      <c r="K208" s="158"/>
      <c r="L208" s="162" t="str">
        <f>IFERROR(INDEX(Lookups!$Y$2:$Y$19,MATCH(_xlfn.CONCAT(I208,K208),Lookups!$X$2:$X$19,0)),"")</f>
        <v/>
      </c>
      <c r="M208" s="158"/>
      <c r="N208" s="153" t="str">
        <f>IFERROR(INDEX('Prescriptive Rebate Table'!$M$3:$M$20,MATCH(M208,'Prescriptive Rebate Table'!$L$3:$L$20,0)),"")</f>
        <v/>
      </c>
      <c r="O208" s="158"/>
      <c r="P208" s="154" t="str">
        <f>IFERROR(INDEX('Prescriptive Rebate Table'!$B$2:$H$64, MATCH(O208,'Prescriptive Rebate Table'!$C$2:$C$64,0),7),"")</f>
        <v/>
      </c>
      <c r="Q208" s="155" t="str">
        <f>IFERROR(INDEX('Prescriptive Rebate Table'!$B$2:$I$64, MATCH(O208,'Prescriptive Rebate Table'!$C$2:$C$64,0),8),"")</f>
        <v/>
      </c>
      <c r="R208" s="155" t="str">
        <f>IFERROR(INDEX('Prescriptive Rebate Table'!$B$2:$J$64, MATCH(O208,'Prescriptive Rebate Table'!$C$2:$C$64,0),9),"")</f>
        <v/>
      </c>
      <c r="S208" s="160"/>
      <c r="T208" s="145" t="str">
        <f>IFERROR(INDEX('Fixture Codes'!$M$8:$M$976,MATCH(S208,'Fixture Codes'!$B$8:$B$976,0)),"")</f>
        <v/>
      </c>
      <c r="U208" s="145" t="str">
        <f>IFERROR(INDEX('Fixture Codes'!$B$7:$M$976,MATCH(T208,'Fixture Codes'!$B$7:$B$976,0),5),"")</f>
        <v/>
      </c>
      <c r="V208" s="160"/>
      <c r="W208" s="145" t="str">
        <f>IFERROR(INDEX('Fixture Codes'!$L$8:$L$976,MATCH(T208,'Fixture Codes'!$B$8:$B$976,0)),"")</f>
        <v/>
      </c>
      <c r="X208" s="158"/>
      <c r="Y208" s="159"/>
      <c r="Z208" s="155" t="str">
        <f>IFERROR(INDEX(Lookups!B$68:B$87,MATCH($X208,Lookups!$A$68:$A$87,0)),"")</f>
        <v/>
      </c>
      <c r="AA208" s="150" t="str">
        <f>IFERROR(INDEX(Lookups!B$42:B$62,MATCH($X208,Lookups!$A$42:$A$62,0)),"")</f>
        <v/>
      </c>
      <c r="AB208" s="150" t="str">
        <f>IFERROR(INDEX(Lookups!C$42:C$62,MATCH($X208,Lookups!$A$42:$A$62,0)),"")</f>
        <v/>
      </c>
      <c r="AC208" s="160"/>
      <c r="AD208" s="160"/>
      <c r="AE208" s="150" t="str">
        <f>IFERROR(INDEX('Fixture Codes'!$B$7:$M$976,MATCH(AD208,'Fixture Codes'!$B$7:$B$976,0),5),"")</f>
        <v/>
      </c>
      <c r="AF208" s="160"/>
      <c r="AG208" s="145" t="str">
        <f>IFERROR(INDEX('Fixture Codes'!$L$8:$L$976,MATCH(AD208,'Fixture Codes'!$B$8:$B$976,0)),"")</f>
        <v/>
      </c>
      <c r="AH208" s="158"/>
      <c r="AI208" s="160"/>
      <c r="AJ208" s="150" t="str">
        <f>IFERROR(INDEX(Lookups!B$68:B$87,MATCH($AH208,Lookups!$A$68:$A$87,0)),"")</f>
        <v/>
      </c>
      <c r="AK208" s="150" t="str">
        <f>IFERROR(INDEX(Lookups!B$42:B$62,MATCH($AH208,Lookups!$A$42:$A$62,0)),"")</f>
        <v/>
      </c>
      <c r="AL208" s="150" t="str">
        <f>IFERROR(INDEX(Lookups!C$42:C$62,MATCH($AH208,Lookups!$A$42:$A$62,0)),"")</f>
        <v/>
      </c>
      <c r="AM208" s="150" t="str">
        <f>IFERROR(IF(M208="Exit Signs",8760,IF(INDEX('Fixture Codes'!$C$8:$C$976,MATCH(AD208,'Fixture Codes'!$B$8:$B$976,0))="Exit Sign",8760,INDEX(Lookups!$I$2:$I$428,MATCH(_xlfn.CONCAT(B208,H208),Lookups!$H$2:$H$428,0)))),"")</f>
        <v/>
      </c>
      <c r="AN208" s="153">
        <v>1</v>
      </c>
      <c r="AO208" s="150" t="str">
        <f>IF($D208="Interior",INDEX(Lookups!Q$2:Q$86,MATCH(_xlfn.CONCAT($C208,$L208),Lookups!$P$2:$P$86,0)),IF($D208="Exterior",1,""))</f>
        <v/>
      </c>
      <c r="AP208" s="150">
        <f t="shared" si="119"/>
        <v>1</v>
      </c>
      <c r="AQ208" s="150" t="str">
        <f>IF($D208="Interior",INDEX(Lookups!R$2:R$86,MATCH(_xlfn.CONCAT($C208,$L208),Lookups!$P$2:$P$86,0)),IF($D208="Exterior",1,""))</f>
        <v/>
      </c>
      <c r="AR208" s="150" t="str">
        <f>IF($D208="Interior",INDEX(Lookups!S$2:S$86,MATCH(_xlfn.CONCAT($C208,$L208),Lookups!$P$2:$P$86,0)),IF($D208="Exterior",1,""))</f>
        <v/>
      </c>
      <c r="AS208" s="150" t="str">
        <f>IF($D208="Interior",INDEX(Lookups!T$2:T$86,MATCH(_xlfn.CONCAT($C208,$L208),Lookups!$P$2:$P$86,0)),IF($D208="Exterior",1,""))</f>
        <v/>
      </c>
      <c r="AT208" s="150" t="str">
        <f>IFERROR(IF(M208="Exit Signs",1,IF(INDEX('Fixture Codes'!$C$8:$C$976,MATCH($AD208,'Fixture Codes'!$B$8:$B$976,0))="Exit Sign",1,INDEX(Lookups!J$2:J$428,MATCH(_xlfn.CONCAT($B208,$H208),Lookups!$H$2:$H$428,0)))),"")</f>
        <v/>
      </c>
      <c r="AU208" s="150" t="str">
        <f>IFERROR(IF(M208="Exit Signs",1,IF(INDEX('Fixture Codes'!$C$8:$C$976,MATCH($AD208,'Fixture Codes'!$B$8:$B$976,0))="Exit Sign",1,INDEX(Lookups!K$2:K$428,MATCH(_xlfn.CONCAT($B208,$H208),Lookups!$H$2:$H$428,0)))),"")</f>
        <v/>
      </c>
      <c r="AV208" s="150" t="str">
        <f>IFERROR(IF(M208="Exit Signs",1,IF(INDEX('Fixture Codes'!$C$8:$C$976,MATCH($AD208,'Fixture Codes'!$B$8:$B$976,0))="Exit Sign",1,INDEX(Lookups!L$2:L$428,MATCH(_xlfn.CONCAT($B208,$H208),Lookups!$H$2:$H$428,0)))),"")</f>
        <v/>
      </c>
      <c r="AW208" s="150" t="str">
        <f>IF(ISBLANK(K208),"",IF(K208="Gas",INDEX(Lookups!$AG$2:$AG$63,MATCH(O208,Lookups!$AD$2:$AD$63,0),0),0))</f>
        <v/>
      </c>
      <c r="AX208" s="150" t="str">
        <f>IF(ISBLANK(K208),"",IF(K208="Gas",INDEX(Lookups!$AF$2:$AF$63,MATCH(O208,Lookups!$AD$2:$AD$63,0),0),0))</f>
        <v/>
      </c>
      <c r="AY208" s="150" t="str">
        <f>IF(ISBLANK(K208),"",IF(K208="Gas",INDEX(Lookups!$AH$2:$AH$63,MATCH(O208,Lookups!$AD$2:$AD$63,0),0),0))</f>
        <v/>
      </c>
      <c r="AZ208" s="150" t="str">
        <f>IF(ISBLANK(K208),"",IF(K208="Gas",INDEX(Lookups!$AI$2:$AI$63,MATCH(O208,Lookups!$AD$2:$AD$63,0),0),0))</f>
        <v/>
      </c>
      <c r="BA208" s="150" t="str">
        <f t="shared" si="106"/>
        <v/>
      </c>
      <c r="BB208" s="156" t="str">
        <f>IF(ISBLANK(AH208),"",IF(AH208="None",0,IF(K208="Gas",INDEX(Lookups!$AF$51:$AF$69,MATCH(AH208,Lookups!$AD$51:$AD$69,0),0),0)))</f>
        <v/>
      </c>
      <c r="BC208" s="156" t="str">
        <f>IF(ISBLANK(AH208),"",IF(AH208="None",0,IF(K208="Gas",INDEX(Lookups!$AH$51:$AH$69,MATCH(AH208,Lookups!$AD$51:$AD$69,0),0),0)))</f>
        <v/>
      </c>
      <c r="BD208" s="156" t="str">
        <f>IF(ISBLANK(AH208),"",IF(AH208="None",0,IF(K208="Gas",INDEX(Lookups!$AI$51:$AI$69,MATCH(AH208,Lookups!$AD$51:$AD$69,0),0),0)))</f>
        <v/>
      </c>
      <c r="BE208" s="157"/>
      <c r="BF208" s="157"/>
      <c r="BG208" s="147" t="str">
        <f t="shared" si="120"/>
        <v/>
      </c>
      <c r="BH208" s="147" t="str">
        <f t="shared" si="121"/>
        <v/>
      </c>
      <c r="BI208" s="147" t="str">
        <f t="shared" si="107"/>
        <v/>
      </c>
      <c r="BJ208" s="147" t="str">
        <f t="shared" si="108"/>
        <v/>
      </c>
      <c r="BK208" s="148" t="str">
        <f t="shared" si="122"/>
        <v/>
      </c>
      <c r="BL208" s="147" t="str">
        <f t="shared" si="109"/>
        <v/>
      </c>
      <c r="BM208" s="148" t="str">
        <f t="shared" si="123"/>
        <v/>
      </c>
      <c r="BN208" s="147" t="str">
        <f t="shared" si="124"/>
        <v/>
      </c>
      <c r="BO208" s="147" t="str">
        <f t="shared" si="124"/>
        <v/>
      </c>
      <c r="BP208" s="147" t="str">
        <f t="shared" si="125"/>
        <v/>
      </c>
      <c r="BQ208" s="148" t="str">
        <f t="shared" si="126"/>
        <v/>
      </c>
      <c r="BR208" s="148" t="str">
        <f t="shared" si="127"/>
        <v/>
      </c>
      <c r="BS208" s="148" t="str">
        <f t="shared" si="128"/>
        <v/>
      </c>
      <c r="BT208" s="148" t="str">
        <f t="shared" si="110"/>
        <v/>
      </c>
      <c r="BU208" s="148" t="str">
        <f t="shared" si="111"/>
        <v/>
      </c>
      <c r="BV208" s="148" t="str">
        <f t="shared" si="112"/>
        <v/>
      </c>
      <c r="BW208" s="148" t="str">
        <f t="shared" si="113"/>
        <v/>
      </c>
      <c r="BX208" s="148" t="str">
        <f t="shared" si="114"/>
        <v/>
      </c>
      <c r="BY208" s="148" t="str">
        <f t="shared" si="115"/>
        <v/>
      </c>
      <c r="BZ208" s="149" t="str">
        <f>IFERROR(INDEX('Prescriptive Rebate Table'!$B$2:$E$64,MATCH(O208,'Prescriptive Rebate Table'!$C$2:$C$64,0),3),"")</f>
        <v/>
      </c>
      <c r="CA208" s="145" t="str">
        <f>IFERROR(INDEX('Prescriptive Rebate Table'!$B$2:$E$64,MATCH(O208,'Prescriptive Rebate Table'!$C$2:$C$64,0),4),"")</f>
        <v/>
      </c>
      <c r="CB208" s="149" t="str">
        <f t="shared" si="129"/>
        <v/>
      </c>
      <c r="CC208" s="145" t="str">
        <f t="shared" si="130"/>
        <v/>
      </c>
      <c r="CD208" s="149" t="str">
        <f t="shared" si="116"/>
        <v/>
      </c>
      <c r="CE208" s="149" t="str">
        <f t="shared" si="117"/>
        <v/>
      </c>
      <c r="CF208" s="149" t="str">
        <f>IF(BK208&lt;=0,0,IFERROR(IF(OR(ISBLANK(AC208),ISBLANK(CD208))=TRUE,"",IF(CA208="Per Foot",INDEX('Fixture Codes'!$I$8:$I$976,MATCH(AD208,'Fixture Codes'!$B$8:$B$976,0))/12*AF208*BZ208,IF(CA208="Lamp",INDEX('Fixture Codes'!$J$8:$J$976,MATCH(AD208,'Fixture Codes'!$B$8:$B$976,0))*AF208*BZ208,IF(CA208="Fixture",AF208*BZ208,IF(CA208="kWh",BK208*BZ208,0))))),""))</f>
        <v/>
      </c>
      <c r="CG208" s="149" t="str">
        <f t="shared" si="131"/>
        <v/>
      </c>
      <c r="CH208" s="149" t="str">
        <f t="shared" si="132"/>
        <v/>
      </c>
      <c r="CI208" s="152"/>
      <c r="CJ208" s="146"/>
      <c r="CK208" s="241">
        <f>IFERROR(IF(CL208="Yes",'Prescriptive Rebate Table'!$D$69,IF(ISBLANK(AI208),0,IF(AND(AH208=Lookups!$A$62,BK208&gt;0),'Prescriptive Rebate Table'!$D$68,IF(AND(BK208&gt;0,CJ208=AF208),'Prescriptive Rebate Table'!$D$67,IF(AND(BK208&gt;0,CJ208&lt;&gt;AF208),'Prescriptive Rebate Table'!D267,0))))),"")</f>
        <v>0</v>
      </c>
      <c r="CL208" s="240" t="s">
        <v>2712</v>
      </c>
      <c r="CM208" s="152"/>
      <c r="CN208" s="152"/>
      <c r="CO208" s="152"/>
      <c r="CP208" s="146">
        <f t="shared" si="118"/>
        <v>0</v>
      </c>
      <c r="CQ208" s="153">
        <f>IF(D208="Interior",ROUND(($AG208*AF208)/1000*$AM208*(Lookups!$B$54-$AA208)*$AN208*$AO208,3),0)</f>
        <v>0</v>
      </c>
      <c r="CR208" s="153">
        <f>IFERROR(IF(D208="Interior",ROUND(($AG208*$AF208)/1000*(Lookups!$C$54-$AB208)*$AN208*AQ208*AT208,6),0),"")</f>
        <v>0</v>
      </c>
      <c r="CS208" s="165">
        <f t="shared" si="133"/>
        <v>0</v>
      </c>
      <c r="CT208" s="165">
        <f t="shared" si="134"/>
        <v>0</v>
      </c>
      <c r="CV208" s="153"/>
      <c r="CW208" s="153"/>
      <c r="CX208" s="165"/>
      <c r="CY208" s="165"/>
      <c r="DA208" s="153">
        <f>IF(D208="Interior",ROUND(($AG208*AF208*(1-0.15))/1000*$AM208*(Lookups!$B$43+0.097-$AA208)*$AN208*$AO208+((W208*V208)/1000*AN208*AM208*AO208*0.15),3),0)</f>
        <v>0</v>
      </c>
      <c r="DB208" s="153">
        <f>IFERROR(IF(D208="Interior",ROUND(($AG208*$AF208)/1000*(Lookups!$C$43+0.097-$AB208)*$AN208*AQ208*AT208+(($AG208*$AF208)/1000*$AN208*AQ208*AT208*0.15),6),0),"")</f>
        <v>0</v>
      </c>
      <c r="DC208" s="165">
        <f t="shared" si="135"/>
        <v>0</v>
      </c>
      <c r="DD208" s="165">
        <f t="shared" si="136"/>
        <v>0</v>
      </c>
    </row>
    <row r="209" spans="1:108" s="164" customFormat="1">
      <c r="A209" s="150">
        <v>205</v>
      </c>
      <c r="B209" s="153" t="str">
        <f>IFERROR(INDEX(Lookups!$B$2:$B$38,MATCH('Project Info &amp; Summary'!$C$19,Lookups!$A$2:$A$38,0)),"")</f>
        <v/>
      </c>
      <c r="C209" s="153" t="str">
        <f>IFERROR(INDEX(Lookups!$C$2:$C$38,MATCH('Project Info &amp; Summary'!$C$19,Lookups!$A$2:$A$38,0)),"")</f>
        <v/>
      </c>
      <c r="D209" s="163"/>
      <c r="E209" s="160"/>
      <c r="F209" s="158"/>
      <c r="G209" s="158"/>
      <c r="H209" s="158"/>
      <c r="I209" s="158"/>
      <c r="J209" s="154" t="str">
        <f>IFERROR(INDEX(Lookups!$W$21:$W$26,MATCH(I209,Lookups!$V$21:$V$26,0)),"")</f>
        <v/>
      </c>
      <c r="K209" s="158"/>
      <c r="L209" s="162" t="str">
        <f>IFERROR(INDEX(Lookups!$Y$2:$Y$19,MATCH(_xlfn.CONCAT(I209,K209),Lookups!$X$2:$X$19,0)),"")</f>
        <v/>
      </c>
      <c r="M209" s="158"/>
      <c r="N209" s="153" t="str">
        <f>IFERROR(INDEX('Prescriptive Rebate Table'!$M$3:$M$20,MATCH(M209,'Prescriptive Rebate Table'!$L$3:$L$20,0)),"")</f>
        <v/>
      </c>
      <c r="O209" s="158"/>
      <c r="P209" s="154" t="str">
        <f>IFERROR(INDEX('Prescriptive Rebate Table'!$B$2:$H$64, MATCH(O209,'Prescriptive Rebate Table'!$C$2:$C$64,0),7),"")</f>
        <v/>
      </c>
      <c r="Q209" s="155" t="str">
        <f>IFERROR(INDEX('Prescriptive Rebate Table'!$B$2:$I$64, MATCH(O209,'Prescriptive Rebate Table'!$C$2:$C$64,0),8),"")</f>
        <v/>
      </c>
      <c r="R209" s="155" t="str">
        <f>IFERROR(INDEX('Prescriptive Rebate Table'!$B$2:$J$64, MATCH(O209,'Prescriptive Rebate Table'!$C$2:$C$64,0),9),"")</f>
        <v/>
      </c>
      <c r="S209" s="160"/>
      <c r="T209" s="145" t="str">
        <f>IFERROR(INDEX('Fixture Codes'!$M$8:$M$976,MATCH(S209,'Fixture Codes'!$B$8:$B$976,0)),"")</f>
        <v/>
      </c>
      <c r="U209" s="145" t="str">
        <f>IFERROR(INDEX('Fixture Codes'!$B$7:$M$976,MATCH(T209,'Fixture Codes'!$B$7:$B$976,0),5),"")</f>
        <v/>
      </c>
      <c r="V209" s="160"/>
      <c r="W209" s="145" t="str">
        <f>IFERROR(INDEX('Fixture Codes'!$L$8:$L$976,MATCH(T209,'Fixture Codes'!$B$8:$B$976,0)),"")</f>
        <v/>
      </c>
      <c r="X209" s="158"/>
      <c r="Y209" s="159"/>
      <c r="Z209" s="155" t="str">
        <f>IFERROR(INDEX(Lookups!B$68:B$87,MATCH($X209,Lookups!$A$68:$A$87,0)),"")</f>
        <v/>
      </c>
      <c r="AA209" s="150" t="str">
        <f>IFERROR(INDEX(Lookups!B$42:B$62,MATCH($X209,Lookups!$A$42:$A$62,0)),"")</f>
        <v/>
      </c>
      <c r="AB209" s="150" t="str">
        <f>IFERROR(INDEX(Lookups!C$42:C$62,MATCH($X209,Lookups!$A$42:$A$62,0)),"")</f>
        <v/>
      </c>
      <c r="AC209" s="160"/>
      <c r="AD209" s="160"/>
      <c r="AE209" s="150" t="str">
        <f>IFERROR(INDEX('Fixture Codes'!$B$7:$M$976,MATCH(AD209,'Fixture Codes'!$B$7:$B$976,0),5),"")</f>
        <v/>
      </c>
      <c r="AF209" s="160"/>
      <c r="AG209" s="145" t="str">
        <f>IFERROR(INDEX('Fixture Codes'!$L$8:$L$976,MATCH(AD209,'Fixture Codes'!$B$8:$B$976,0)),"")</f>
        <v/>
      </c>
      <c r="AH209" s="158"/>
      <c r="AI209" s="160"/>
      <c r="AJ209" s="150" t="str">
        <f>IFERROR(INDEX(Lookups!B$68:B$87,MATCH($AH209,Lookups!$A$68:$A$87,0)),"")</f>
        <v/>
      </c>
      <c r="AK209" s="150" t="str">
        <f>IFERROR(INDEX(Lookups!B$42:B$62,MATCH($AH209,Lookups!$A$42:$A$62,0)),"")</f>
        <v/>
      </c>
      <c r="AL209" s="150" t="str">
        <f>IFERROR(INDEX(Lookups!C$42:C$62,MATCH($AH209,Lookups!$A$42:$A$62,0)),"")</f>
        <v/>
      </c>
      <c r="AM209" s="150" t="str">
        <f>IFERROR(IF(M209="Exit Signs",8760,IF(INDEX('Fixture Codes'!$C$8:$C$976,MATCH(AD209,'Fixture Codes'!$B$8:$B$976,0))="Exit Sign",8760,INDEX(Lookups!$I$2:$I$428,MATCH(_xlfn.CONCAT(B209,H209),Lookups!$H$2:$H$428,0)))),"")</f>
        <v/>
      </c>
      <c r="AN209" s="153">
        <v>1</v>
      </c>
      <c r="AO209" s="150" t="str">
        <f>IF($D209="Interior",INDEX(Lookups!Q$2:Q$86,MATCH(_xlfn.CONCAT($C209,$L209),Lookups!$P$2:$P$86,0)),IF($D209="Exterior",1,""))</f>
        <v/>
      </c>
      <c r="AP209" s="150">
        <f t="shared" si="119"/>
        <v>1</v>
      </c>
      <c r="AQ209" s="150" t="str">
        <f>IF($D209="Interior",INDEX(Lookups!R$2:R$86,MATCH(_xlfn.CONCAT($C209,$L209),Lookups!$P$2:$P$86,0)),IF($D209="Exterior",1,""))</f>
        <v/>
      </c>
      <c r="AR209" s="150" t="str">
        <f>IF($D209="Interior",INDEX(Lookups!S$2:S$86,MATCH(_xlfn.CONCAT($C209,$L209),Lookups!$P$2:$P$86,0)),IF($D209="Exterior",1,""))</f>
        <v/>
      </c>
      <c r="AS209" s="150" t="str">
        <f>IF($D209="Interior",INDEX(Lookups!T$2:T$86,MATCH(_xlfn.CONCAT($C209,$L209),Lookups!$P$2:$P$86,0)),IF($D209="Exterior",1,""))</f>
        <v/>
      </c>
      <c r="AT209" s="150" t="str">
        <f>IFERROR(IF(M209="Exit Signs",1,IF(INDEX('Fixture Codes'!$C$8:$C$976,MATCH($AD209,'Fixture Codes'!$B$8:$B$976,0))="Exit Sign",1,INDEX(Lookups!J$2:J$428,MATCH(_xlfn.CONCAT($B209,$H209),Lookups!$H$2:$H$428,0)))),"")</f>
        <v/>
      </c>
      <c r="AU209" s="150" t="str">
        <f>IFERROR(IF(M209="Exit Signs",1,IF(INDEX('Fixture Codes'!$C$8:$C$976,MATCH($AD209,'Fixture Codes'!$B$8:$B$976,0))="Exit Sign",1,INDEX(Lookups!K$2:K$428,MATCH(_xlfn.CONCAT($B209,$H209),Lookups!$H$2:$H$428,0)))),"")</f>
        <v/>
      </c>
      <c r="AV209" s="150" t="str">
        <f>IFERROR(IF(M209="Exit Signs",1,IF(INDEX('Fixture Codes'!$C$8:$C$976,MATCH($AD209,'Fixture Codes'!$B$8:$B$976,0))="Exit Sign",1,INDEX(Lookups!L$2:L$428,MATCH(_xlfn.CONCAT($B209,$H209),Lookups!$H$2:$H$428,0)))),"")</f>
        <v/>
      </c>
      <c r="AW209" s="150" t="str">
        <f>IF(ISBLANK(K209),"",IF(K209="Gas",INDEX(Lookups!$AG$2:$AG$63,MATCH(O209,Lookups!$AD$2:$AD$63,0),0),0))</f>
        <v/>
      </c>
      <c r="AX209" s="150" t="str">
        <f>IF(ISBLANK(K209),"",IF(K209="Gas",INDEX(Lookups!$AF$2:$AF$63,MATCH(O209,Lookups!$AD$2:$AD$63,0),0),0))</f>
        <v/>
      </c>
      <c r="AY209" s="150" t="str">
        <f>IF(ISBLANK(K209),"",IF(K209="Gas",INDEX(Lookups!$AH$2:$AH$63,MATCH(O209,Lookups!$AD$2:$AD$63,0),0),0))</f>
        <v/>
      </c>
      <c r="AZ209" s="150" t="str">
        <f>IF(ISBLANK(K209),"",IF(K209="Gas",INDEX(Lookups!$AI$2:$AI$63,MATCH(O209,Lookups!$AD$2:$AD$63,0),0),0))</f>
        <v/>
      </c>
      <c r="BA209" s="150" t="str">
        <f t="shared" si="106"/>
        <v/>
      </c>
      <c r="BB209" s="156" t="str">
        <f>IF(ISBLANK(AH209),"",IF(AH209="None",0,IF(K209="Gas",INDEX(Lookups!$AF$51:$AF$69,MATCH(AH209,Lookups!$AD$51:$AD$69,0),0),0)))</f>
        <v/>
      </c>
      <c r="BC209" s="156" t="str">
        <f>IF(ISBLANK(AH209),"",IF(AH209="None",0,IF(K209="Gas",INDEX(Lookups!$AH$51:$AH$69,MATCH(AH209,Lookups!$AD$51:$AD$69,0),0),0)))</f>
        <v/>
      </c>
      <c r="BD209" s="156" t="str">
        <f>IF(ISBLANK(AH209),"",IF(AH209="None",0,IF(K209="Gas",INDEX(Lookups!$AI$51:$AI$69,MATCH(AH209,Lookups!$AD$51:$AD$69,0),0),0)))</f>
        <v/>
      </c>
      <c r="BE209" s="157"/>
      <c r="BF209" s="157"/>
      <c r="BG209" s="147" t="str">
        <f t="shared" si="120"/>
        <v/>
      </c>
      <c r="BH209" s="147" t="str">
        <f t="shared" si="121"/>
        <v/>
      </c>
      <c r="BI209" s="147" t="str">
        <f t="shared" si="107"/>
        <v/>
      </c>
      <c r="BJ209" s="147" t="str">
        <f t="shared" si="108"/>
        <v/>
      </c>
      <c r="BK209" s="148" t="str">
        <f t="shared" si="122"/>
        <v/>
      </c>
      <c r="BL209" s="147" t="str">
        <f t="shared" si="109"/>
        <v/>
      </c>
      <c r="BM209" s="148" t="str">
        <f t="shared" si="123"/>
        <v/>
      </c>
      <c r="BN209" s="147" t="str">
        <f t="shared" si="124"/>
        <v/>
      </c>
      <c r="BO209" s="147" t="str">
        <f t="shared" si="124"/>
        <v/>
      </c>
      <c r="BP209" s="147" t="str">
        <f t="shared" si="125"/>
        <v/>
      </c>
      <c r="BQ209" s="148" t="str">
        <f t="shared" si="126"/>
        <v/>
      </c>
      <c r="BR209" s="148" t="str">
        <f t="shared" si="127"/>
        <v/>
      </c>
      <c r="BS209" s="148" t="str">
        <f t="shared" si="128"/>
        <v/>
      </c>
      <c r="BT209" s="148" t="str">
        <f t="shared" si="110"/>
        <v/>
      </c>
      <c r="BU209" s="148" t="str">
        <f t="shared" si="111"/>
        <v/>
      </c>
      <c r="BV209" s="148" t="str">
        <f t="shared" si="112"/>
        <v/>
      </c>
      <c r="BW209" s="148" t="str">
        <f t="shared" si="113"/>
        <v/>
      </c>
      <c r="BX209" s="148" t="str">
        <f t="shared" si="114"/>
        <v/>
      </c>
      <c r="BY209" s="148" t="str">
        <f t="shared" si="115"/>
        <v/>
      </c>
      <c r="BZ209" s="149" t="str">
        <f>IFERROR(INDEX('Prescriptive Rebate Table'!$B$2:$E$64,MATCH(O209,'Prescriptive Rebate Table'!$C$2:$C$64,0),3),"")</f>
        <v/>
      </c>
      <c r="CA209" s="145" t="str">
        <f>IFERROR(INDEX('Prescriptive Rebate Table'!$B$2:$E$64,MATCH(O209,'Prescriptive Rebate Table'!$C$2:$C$64,0),4),"")</f>
        <v/>
      </c>
      <c r="CB209" s="149" t="str">
        <f t="shared" si="129"/>
        <v/>
      </c>
      <c r="CC209" s="145" t="str">
        <f t="shared" si="130"/>
        <v/>
      </c>
      <c r="CD209" s="149" t="str">
        <f t="shared" si="116"/>
        <v/>
      </c>
      <c r="CE209" s="149" t="str">
        <f t="shared" si="117"/>
        <v/>
      </c>
      <c r="CF209" s="149" t="str">
        <f>IF(BK209&lt;=0,0,IFERROR(IF(OR(ISBLANK(AC209),ISBLANK(CD209))=TRUE,"",IF(CA209="Per Foot",INDEX('Fixture Codes'!$I$8:$I$976,MATCH(AD209,'Fixture Codes'!$B$8:$B$976,0))/12*AF209*BZ209,IF(CA209="Lamp",INDEX('Fixture Codes'!$J$8:$J$976,MATCH(AD209,'Fixture Codes'!$B$8:$B$976,0))*AF209*BZ209,IF(CA209="Fixture",AF209*BZ209,IF(CA209="kWh",BK209*BZ209,0))))),""))</f>
        <v/>
      </c>
      <c r="CG209" s="149" t="str">
        <f t="shared" si="131"/>
        <v/>
      </c>
      <c r="CH209" s="149" t="str">
        <f t="shared" si="132"/>
        <v/>
      </c>
      <c r="CI209" s="152"/>
      <c r="CJ209" s="146"/>
      <c r="CK209" s="241">
        <f>IFERROR(IF(CL209="Yes",'Prescriptive Rebate Table'!$D$69,IF(ISBLANK(AI209),0,IF(AND(AH209=Lookups!$A$62,BK209&gt;0),'Prescriptive Rebate Table'!$D$68,IF(AND(BK209&gt;0,CJ209=AF209),'Prescriptive Rebate Table'!$D$67,IF(AND(BK209&gt;0,CJ209&lt;&gt;AF209),'Prescriptive Rebate Table'!D268,0))))),"")</f>
        <v>0</v>
      </c>
      <c r="CL209" s="240" t="s">
        <v>2712</v>
      </c>
      <c r="CM209" s="152"/>
      <c r="CN209" s="152"/>
      <c r="CO209" s="152"/>
      <c r="CP209" s="146">
        <f t="shared" si="118"/>
        <v>0</v>
      </c>
      <c r="CQ209" s="153">
        <f>IF(D209="Interior",ROUND(($AG209*AF209)/1000*$AM209*(Lookups!$B$54-$AA209)*$AN209*$AO209,3),0)</f>
        <v>0</v>
      </c>
      <c r="CR209" s="153">
        <f>IFERROR(IF(D209="Interior",ROUND(($AG209*$AF209)/1000*(Lookups!$C$54-$AB209)*$AN209*AQ209*AT209,6),0),"")</f>
        <v>0</v>
      </c>
      <c r="CS209" s="165">
        <f t="shared" si="133"/>
        <v>0</v>
      </c>
      <c r="CT209" s="165">
        <f t="shared" si="134"/>
        <v>0</v>
      </c>
      <c r="CV209" s="153"/>
      <c r="CW209" s="153"/>
      <c r="CX209" s="165"/>
      <c r="CY209" s="165"/>
      <c r="DA209" s="153">
        <f>IF(D209="Interior",ROUND(($AG209*AF209*(1-0.15))/1000*$AM209*(Lookups!$B$43+0.097-$AA209)*$AN209*$AO209+((W209*V209)/1000*AN209*AM209*AO209*0.15),3),0)</f>
        <v>0</v>
      </c>
      <c r="DB209" s="153">
        <f>IFERROR(IF(D209="Interior",ROUND(($AG209*$AF209)/1000*(Lookups!$C$43+0.097-$AB209)*$AN209*AQ209*AT209+(($AG209*$AF209)/1000*$AN209*AQ209*AT209*0.15),6),0),"")</f>
        <v>0</v>
      </c>
      <c r="DC209" s="165">
        <f t="shared" si="135"/>
        <v>0</v>
      </c>
      <c r="DD209" s="165">
        <f t="shared" si="136"/>
        <v>0</v>
      </c>
    </row>
    <row r="210" spans="1:108" s="164" customFormat="1">
      <c r="A210" s="150">
        <v>206</v>
      </c>
      <c r="B210" s="153" t="str">
        <f>IFERROR(INDEX(Lookups!$B$2:$B$38,MATCH('Project Info &amp; Summary'!$C$19,Lookups!$A$2:$A$38,0)),"")</f>
        <v/>
      </c>
      <c r="C210" s="153" t="str">
        <f>IFERROR(INDEX(Lookups!$C$2:$C$38,MATCH('Project Info &amp; Summary'!$C$19,Lookups!$A$2:$A$38,0)),"")</f>
        <v/>
      </c>
      <c r="D210" s="163"/>
      <c r="E210" s="160"/>
      <c r="F210" s="158"/>
      <c r="G210" s="158"/>
      <c r="H210" s="158"/>
      <c r="I210" s="158"/>
      <c r="J210" s="154" t="str">
        <f>IFERROR(INDEX(Lookups!$W$21:$W$26,MATCH(I210,Lookups!$V$21:$V$26,0)),"")</f>
        <v/>
      </c>
      <c r="K210" s="158"/>
      <c r="L210" s="162" t="str">
        <f>IFERROR(INDEX(Lookups!$Y$2:$Y$19,MATCH(_xlfn.CONCAT(I210,K210),Lookups!$X$2:$X$19,0)),"")</f>
        <v/>
      </c>
      <c r="M210" s="158"/>
      <c r="N210" s="153" t="str">
        <f>IFERROR(INDEX('Prescriptive Rebate Table'!$M$3:$M$20,MATCH(M210,'Prescriptive Rebate Table'!$L$3:$L$20,0)),"")</f>
        <v/>
      </c>
      <c r="O210" s="158"/>
      <c r="P210" s="154" t="str">
        <f>IFERROR(INDEX('Prescriptive Rebate Table'!$B$2:$H$64, MATCH(O210,'Prescriptive Rebate Table'!$C$2:$C$64,0),7),"")</f>
        <v/>
      </c>
      <c r="Q210" s="155" t="str">
        <f>IFERROR(INDEX('Prescriptive Rebate Table'!$B$2:$I$64, MATCH(O210,'Prescriptive Rebate Table'!$C$2:$C$64,0),8),"")</f>
        <v/>
      </c>
      <c r="R210" s="155" t="str">
        <f>IFERROR(INDEX('Prescriptive Rebate Table'!$B$2:$J$64, MATCH(O210,'Prescriptive Rebate Table'!$C$2:$C$64,0),9),"")</f>
        <v/>
      </c>
      <c r="S210" s="160"/>
      <c r="T210" s="145" t="str">
        <f>IFERROR(INDEX('Fixture Codes'!$M$8:$M$976,MATCH(S210,'Fixture Codes'!$B$8:$B$976,0)),"")</f>
        <v/>
      </c>
      <c r="U210" s="145" t="str">
        <f>IFERROR(INDEX('Fixture Codes'!$B$7:$M$976,MATCH(T210,'Fixture Codes'!$B$7:$B$976,0),5),"")</f>
        <v/>
      </c>
      <c r="V210" s="160"/>
      <c r="W210" s="145" t="str">
        <f>IFERROR(INDEX('Fixture Codes'!$L$8:$L$976,MATCH(T210,'Fixture Codes'!$B$8:$B$976,0)),"")</f>
        <v/>
      </c>
      <c r="X210" s="158"/>
      <c r="Y210" s="159"/>
      <c r="Z210" s="155" t="str">
        <f>IFERROR(INDEX(Lookups!B$68:B$87,MATCH($X210,Lookups!$A$68:$A$87,0)),"")</f>
        <v/>
      </c>
      <c r="AA210" s="150" t="str">
        <f>IFERROR(INDEX(Lookups!B$42:B$62,MATCH($X210,Lookups!$A$42:$A$62,0)),"")</f>
        <v/>
      </c>
      <c r="AB210" s="150" t="str">
        <f>IFERROR(INDEX(Lookups!C$42:C$62,MATCH($X210,Lookups!$A$42:$A$62,0)),"")</f>
        <v/>
      </c>
      <c r="AC210" s="160"/>
      <c r="AD210" s="160"/>
      <c r="AE210" s="150" t="str">
        <f>IFERROR(INDEX('Fixture Codes'!$B$7:$M$976,MATCH(AD210,'Fixture Codes'!$B$7:$B$976,0),5),"")</f>
        <v/>
      </c>
      <c r="AF210" s="160"/>
      <c r="AG210" s="145" t="str">
        <f>IFERROR(INDEX('Fixture Codes'!$L$8:$L$976,MATCH(AD210,'Fixture Codes'!$B$8:$B$976,0)),"")</f>
        <v/>
      </c>
      <c r="AH210" s="158"/>
      <c r="AI210" s="160"/>
      <c r="AJ210" s="150" t="str">
        <f>IFERROR(INDEX(Lookups!B$68:B$87,MATCH($AH210,Lookups!$A$68:$A$87,0)),"")</f>
        <v/>
      </c>
      <c r="AK210" s="150" t="str">
        <f>IFERROR(INDEX(Lookups!B$42:B$62,MATCH($AH210,Lookups!$A$42:$A$62,0)),"")</f>
        <v/>
      </c>
      <c r="AL210" s="150" t="str">
        <f>IFERROR(INDEX(Lookups!C$42:C$62,MATCH($AH210,Lookups!$A$42:$A$62,0)),"")</f>
        <v/>
      </c>
      <c r="AM210" s="150" t="str">
        <f>IFERROR(IF(M210="Exit Signs",8760,IF(INDEX('Fixture Codes'!$C$8:$C$976,MATCH(AD210,'Fixture Codes'!$B$8:$B$976,0))="Exit Sign",8760,INDEX(Lookups!$I$2:$I$428,MATCH(_xlfn.CONCAT(B210,H210),Lookups!$H$2:$H$428,0)))),"")</f>
        <v/>
      </c>
      <c r="AN210" s="153">
        <v>1</v>
      </c>
      <c r="AO210" s="150" t="str">
        <f>IF($D210="Interior",INDEX(Lookups!Q$2:Q$86,MATCH(_xlfn.CONCAT($C210,$L210),Lookups!$P$2:$P$86,0)),IF($D210="Exterior",1,""))</f>
        <v/>
      </c>
      <c r="AP210" s="150">
        <f t="shared" si="119"/>
        <v>1</v>
      </c>
      <c r="AQ210" s="150" t="str">
        <f>IF($D210="Interior",INDEX(Lookups!R$2:R$86,MATCH(_xlfn.CONCAT($C210,$L210),Lookups!$P$2:$P$86,0)),IF($D210="Exterior",1,""))</f>
        <v/>
      </c>
      <c r="AR210" s="150" t="str">
        <f>IF($D210="Interior",INDEX(Lookups!S$2:S$86,MATCH(_xlfn.CONCAT($C210,$L210),Lookups!$P$2:$P$86,0)),IF($D210="Exterior",1,""))</f>
        <v/>
      </c>
      <c r="AS210" s="150" t="str">
        <f>IF($D210="Interior",INDEX(Lookups!T$2:T$86,MATCH(_xlfn.CONCAT($C210,$L210),Lookups!$P$2:$P$86,0)),IF($D210="Exterior",1,""))</f>
        <v/>
      </c>
      <c r="AT210" s="150" t="str">
        <f>IFERROR(IF(M210="Exit Signs",1,IF(INDEX('Fixture Codes'!$C$8:$C$976,MATCH($AD210,'Fixture Codes'!$B$8:$B$976,0))="Exit Sign",1,INDEX(Lookups!J$2:J$428,MATCH(_xlfn.CONCAT($B210,$H210),Lookups!$H$2:$H$428,0)))),"")</f>
        <v/>
      </c>
      <c r="AU210" s="150" t="str">
        <f>IFERROR(IF(M210="Exit Signs",1,IF(INDEX('Fixture Codes'!$C$8:$C$976,MATCH($AD210,'Fixture Codes'!$B$8:$B$976,0))="Exit Sign",1,INDEX(Lookups!K$2:K$428,MATCH(_xlfn.CONCAT($B210,$H210),Lookups!$H$2:$H$428,0)))),"")</f>
        <v/>
      </c>
      <c r="AV210" s="150" t="str">
        <f>IFERROR(IF(M210="Exit Signs",1,IF(INDEX('Fixture Codes'!$C$8:$C$976,MATCH($AD210,'Fixture Codes'!$B$8:$B$976,0))="Exit Sign",1,INDEX(Lookups!L$2:L$428,MATCH(_xlfn.CONCAT($B210,$H210),Lookups!$H$2:$H$428,0)))),"")</f>
        <v/>
      </c>
      <c r="AW210" s="150" t="str">
        <f>IF(ISBLANK(K210),"",IF(K210="Gas",INDEX(Lookups!$AG$2:$AG$63,MATCH(O210,Lookups!$AD$2:$AD$63,0),0),0))</f>
        <v/>
      </c>
      <c r="AX210" s="150" t="str">
        <f>IF(ISBLANK(K210),"",IF(K210="Gas",INDEX(Lookups!$AF$2:$AF$63,MATCH(O210,Lookups!$AD$2:$AD$63,0),0),0))</f>
        <v/>
      </c>
      <c r="AY210" s="150" t="str">
        <f>IF(ISBLANK(K210),"",IF(K210="Gas",INDEX(Lookups!$AH$2:$AH$63,MATCH(O210,Lookups!$AD$2:$AD$63,0),0),0))</f>
        <v/>
      </c>
      <c r="AZ210" s="150" t="str">
        <f>IF(ISBLANK(K210),"",IF(K210="Gas",INDEX(Lookups!$AI$2:$AI$63,MATCH(O210,Lookups!$AD$2:$AD$63,0),0),0))</f>
        <v/>
      </c>
      <c r="BA210" s="150" t="str">
        <f t="shared" si="106"/>
        <v/>
      </c>
      <c r="BB210" s="156" t="str">
        <f>IF(ISBLANK(AH210),"",IF(AH210="None",0,IF(K210="Gas",INDEX(Lookups!$AF$51:$AF$69,MATCH(AH210,Lookups!$AD$51:$AD$69,0),0),0)))</f>
        <v/>
      </c>
      <c r="BC210" s="156" t="str">
        <f>IF(ISBLANK(AH210),"",IF(AH210="None",0,IF(K210="Gas",INDEX(Lookups!$AH$51:$AH$69,MATCH(AH210,Lookups!$AD$51:$AD$69,0),0),0)))</f>
        <v/>
      </c>
      <c r="BD210" s="156" t="str">
        <f>IF(ISBLANK(AH210),"",IF(AH210="None",0,IF(K210="Gas",INDEX(Lookups!$AI$51:$AI$69,MATCH(AH210,Lookups!$AD$51:$AD$69,0),0),0)))</f>
        <v/>
      </c>
      <c r="BE210" s="157"/>
      <c r="BF210" s="157"/>
      <c r="BG210" s="147" t="str">
        <f t="shared" si="120"/>
        <v/>
      </c>
      <c r="BH210" s="147" t="str">
        <f t="shared" si="121"/>
        <v/>
      </c>
      <c r="BI210" s="147" t="str">
        <f t="shared" si="107"/>
        <v/>
      </c>
      <c r="BJ210" s="147" t="str">
        <f t="shared" si="108"/>
        <v/>
      </c>
      <c r="BK210" s="148" t="str">
        <f t="shared" si="122"/>
        <v/>
      </c>
      <c r="BL210" s="147" t="str">
        <f t="shared" si="109"/>
        <v/>
      </c>
      <c r="BM210" s="148" t="str">
        <f t="shared" si="123"/>
        <v/>
      </c>
      <c r="BN210" s="147" t="str">
        <f t="shared" si="124"/>
        <v/>
      </c>
      <c r="BO210" s="147" t="str">
        <f t="shared" si="124"/>
        <v/>
      </c>
      <c r="BP210" s="147" t="str">
        <f t="shared" si="125"/>
        <v/>
      </c>
      <c r="BQ210" s="148" t="str">
        <f t="shared" si="126"/>
        <v/>
      </c>
      <c r="BR210" s="148" t="str">
        <f t="shared" si="127"/>
        <v/>
      </c>
      <c r="BS210" s="148" t="str">
        <f t="shared" si="128"/>
        <v/>
      </c>
      <c r="BT210" s="148" t="str">
        <f t="shared" si="110"/>
        <v/>
      </c>
      <c r="BU210" s="148" t="str">
        <f t="shared" si="111"/>
        <v/>
      </c>
      <c r="BV210" s="148" t="str">
        <f t="shared" si="112"/>
        <v/>
      </c>
      <c r="BW210" s="148" t="str">
        <f t="shared" si="113"/>
        <v/>
      </c>
      <c r="BX210" s="148" t="str">
        <f t="shared" si="114"/>
        <v/>
      </c>
      <c r="BY210" s="148" t="str">
        <f t="shared" si="115"/>
        <v/>
      </c>
      <c r="BZ210" s="149" t="str">
        <f>IFERROR(INDEX('Prescriptive Rebate Table'!$B$2:$E$64,MATCH(O210,'Prescriptive Rebate Table'!$C$2:$C$64,0),3),"")</f>
        <v/>
      </c>
      <c r="CA210" s="145" t="str">
        <f>IFERROR(INDEX('Prescriptive Rebate Table'!$B$2:$E$64,MATCH(O210,'Prescriptive Rebate Table'!$C$2:$C$64,0),4),"")</f>
        <v/>
      </c>
      <c r="CB210" s="149" t="str">
        <f t="shared" si="129"/>
        <v/>
      </c>
      <c r="CC210" s="145" t="str">
        <f t="shared" si="130"/>
        <v/>
      </c>
      <c r="CD210" s="149" t="str">
        <f t="shared" si="116"/>
        <v/>
      </c>
      <c r="CE210" s="149" t="str">
        <f t="shared" si="117"/>
        <v/>
      </c>
      <c r="CF210" s="149" t="str">
        <f>IF(BK210&lt;=0,0,IFERROR(IF(OR(ISBLANK(AC210),ISBLANK(CD210))=TRUE,"",IF(CA210="Per Foot",INDEX('Fixture Codes'!$I$8:$I$976,MATCH(AD210,'Fixture Codes'!$B$8:$B$976,0))/12*AF210*BZ210,IF(CA210="Lamp",INDEX('Fixture Codes'!$J$8:$J$976,MATCH(AD210,'Fixture Codes'!$B$8:$B$976,0))*AF210*BZ210,IF(CA210="Fixture",AF210*BZ210,IF(CA210="kWh",BK210*BZ210,0))))),""))</f>
        <v/>
      </c>
      <c r="CG210" s="149" t="str">
        <f t="shared" si="131"/>
        <v/>
      </c>
      <c r="CH210" s="149" t="str">
        <f t="shared" si="132"/>
        <v/>
      </c>
      <c r="CI210" s="152"/>
      <c r="CJ210" s="146"/>
      <c r="CK210" s="241">
        <f>IFERROR(IF(CL210="Yes",'Prescriptive Rebate Table'!$D$69,IF(ISBLANK(AI210),0,IF(AND(AH210=Lookups!$A$62,BK210&gt;0),'Prescriptive Rebate Table'!$D$68,IF(AND(BK210&gt;0,CJ210=AF210),'Prescriptive Rebate Table'!$D$67,IF(AND(BK210&gt;0,CJ210&lt;&gt;AF210),'Prescriptive Rebate Table'!D269,0))))),"")</f>
        <v>0</v>
      </c>
      <c r="CL210" s="240" t="s">
        <v>2712</v>
      </c>
      <c r="CM210" s="152"/>
      <c r="CN210" s="152"/>
      <c r="CO210" s="152"/>
      <c r="CP210" s="146">
        <f t="shared" si="118"/>
        <v>0</v>
      </c>
      <c r="CQ210" s="153">
        <f>IF(D210="Interior",ROUND(($AG210*AF210)/1000*$AM210*(Lookups!$B$54-$AA210)*$AN210*$AO210,3),0)</f>
        <v>0</v>
      </c>
      <c r="CR210" s="153">
        <f>IFERROR(IF(D210="Interior",ROUND(($AG210*$AF210)/1000*(Lookups!$C$54-$AB210)*$AN210*AQ210*AT210,6),0),"")</f>
        <v>0</v>
      </c>
      <c r="CS210" s="165">
        <f t="shared" si="133"/>
        <v>0</v>
      </c>
      <c r="CT210" s="165">
        <f t="shared" si="134"/>
        <v>0</v>
      </c>
      <c r="CV210" s="153"/>
      <c r="CW210" s="153"/>
      <c r="CX210" s="165"/>
      <c r="CY210" s="165"/>
      <c r="DA210" s="153">
        <f>IF(D210="Interior",ROUND(($AG210*AF210*(1-0.15))/1000*$AM210*(Lookups!$B$43+0.097-$AA210)*$AN210*$AO210+((W210*V210)/1000*AN210*AM210*AO210*0.15),3),0)</f>
        <v>0</v>
      </c>
      <c r="DB210" s="153">
        <f>IFERROR(IF(D210="Interior",ROUND(($AG210*$AF210)/1000*(Lookups!$C$43+0.097-$AB210)*$AN210*AQ210*AT210+(($AG210*$AF210)/1000*$AN210*AQ210*AT210*0.15),6),0),"")</f>
        <v>0</v>
      </c>
      <c r="DC210" s="165">
        <f t="shared" si="135"/>
        <v>0</v>
      </c>
      <c r="DD210" s="165">
        <f t="shared" si="136"/>
        <v>0</v>
      </c>
    </row>
    <row r="211" spans="1:108" s="164" customFormat="1">
      <c r="A211" s="150">
        <v>207</v>
      </c>
      <c r="B211" s="153" t="str">
        <f>IFERROR(INDEX(Lookups!$B$2:$B$38,MATCH('Project Info &amp; Summary'!$C$19,Lookups!$A$2:$A$38,0)),"")</f>
        <v/>
      </c>
      <c r="C211" s="153" t="str">
        <f>IFERROR(INDEX(Lookups!$C$2:$C$38,MATCH('Project Info &amp; Summary'!$C$19,Lookups!$A$2:$A$38,0)),"")</f>
        <v/>
      </c>
      <c r="D211" s="163"/>
      <c r="E211" s="160"/>
      <c r="F211" s="158"/>
      <c r="G211" s="158"/>
      <c r="H211" s="158"/>
      <c r="I211" s="158"/>
      <c r="J211" s="154" t="str">
        <f>IFERROR(INDEX(Lookups!$W$21:$W$26,MATCH(I211,Lookups!$V$21:$V$26,0)),"")</f>
        <v/>
      </c>
      <c r="K211" s="158"/>
      <c r="L211" s="162" t="str">
        <f>IFERROR(INDEX(Lookups!$Y$2:$Y$19,MATCH(_xlfn.CONCAT(I211,K211),Lookups!$X$2:$X$19,0)),"")</f>
        <v/>
      </c>
      <c r="M211" s="158"/>
      <c r="N211" s="153" t="str">
        <f>IFERROR(INDEX('Prescriptive Rebate Table'!$M$3:$M$20,MATCH(M211,'Prescriptive Rebate Table'!$L$3:$L$20,0)),"")</f>
        <v/>
      </c>
      <c r="O211" s="158"/>
      <c r="P211" s="154" t="str">
        <f>IFERROR(INDEX('Prescriptive Rebate Table'!$B$2:$H$64, MATCH(O211,'Prescriptive Rebate Table'!$C$2:$C$64,0),7),"")</f>
        <v/>
      </c>
      <c r="Q211" s="155" t="str">
        <f>IFERROR(INDEX('Prescriptive Rebate Table'!$B$2:$I$64, MATCH(O211,'Prescriptive Rebate Table'!$C$2:$C$64,0),8),"")</f>
        <v/>
      </c>
      <c r="R211" s="155" t="str">
        <f>IFERROR(INDEX('Prescriptive Rebate Table'!$B$2:$J$64, MATCH(O211,'Prescriptive Rebate Table'!$C$2:$C$64,0),9),"")</f>
        <v/>
      </c>
      <c r="S211" s="160"/>
      <c r="T211" s="145" t="str">
        <f>IFERROR(INDEX('Fixture Codes'!$M$8:$M$976,MATCH(S211,'Fixture Codes'!$B$8:$B$976,0)),"")</f>
        <v/>
      </c>
      <c r="U211" s="145" t="str">
        <f>IFERROR(INDEX('Fixture Codes'!$B$7:$M$976,MATCH(T211,'Fixture Codes'!$B$7:$B$976,0),5),"")</f>
        <v/>
      </c>
      <c r="V211" s="160"/>
      <c r="W211" s="145" t="str">
        <f>IFERROR(INDEX('Fixture Codes'!$L$8:$L$976,MATCH(T211,'Fixture Codes'!$B$8:$B$976,0)),"")</f>
        <v/>
      </c>
      <c r="X211" s="158"/>
      <c r="Y211" s="159"/>
      <c r="Z211" s="155" t="str">
        <f>IFERROR(INDEX(Lookups!B$68:B$87,MATCH($X211,Lookups!$A$68:$A$87,0)),"")</f>
        <v/>
      </c>
      <c r="AA211" s="150" t="str">
        <f>IFERROR(INDEX(Lookups!B$42:B$62,MATCH($X211,Lookups!$A$42:$A$62,0)),"")</f>
        <v/>
      </c>
      <c r="AB211" s="150" t="str">
        <f>IFERROR(INDEX(Lookups!C$42:C$62,MATCH($X211,Lookups!$A$42:$A$62,0)),"")</f>
        <v/>
      </c>
      <c r="AC211" s="160"/>
      <c r="AD211" s="160"/>
      <c r="AE211" s="150" t="str">
        <f>IFERROR(INDEX('Fixture Codes'!$B$7:$M$976,MATCH(AD211,'Fixture Codes'!$B$7:$B$976,0),5),"")</f>
        <v/>
      </c>
      <c r="AF211" s="160"/>
      <c r="AG211" s="145" t="str">
        <f>IFERROR(INDEX('Fixture Codes'!$L$8:$L$976,MATCH(AD211,'Fixture Codes'!$B$8:$B$976,0)),"")</f>
        <v/>
      </c>
      <c r="AH211" s="158"/>
      <c r="AI211" s="160"/>
      <c r="AJ211" s="150" t="str">
        <f>IFERROR(INDEX(Lookups!B$68:B$87,MATCH($AH211,Lookups!$A$68:$A$87,0)),"")</f>
        <v/>
      </c>
      <c r="AK211" s="150" t="str">
        <f>IFERROR(INDEX(Lookups!B$42:B$62,MATCH($AH211,Lookups!$A$42:$A$62,0)),"")</f>
        <v/>
      </c>
      <c r="AL211" s="150" t="str">
        <f>IFERROR(INDEX(Lookups!C$42:C$62,MATCH($AH211,Lookups!$A$42:$A$62,0)),"")</f>
        <v/>
      </c>
      <c r="AM211" s="150" t="str">
        <f>IFERROR(IF(M211="Exit Signs",8760,IF(INDEX('Fixture Codes'!$C$8:$C$976,MATCH(AD211,'Fixture Codes'!$B$8:$B$976,0))="Exit Sign",8760,INDEX(Lookups!$I$2:$I$428,MATCH(_xlfn.CONCAT(B211,H211),Lookups!$H$2:$H$428,0)))),"")</f>
        <v/>
      </c>
      <c r="AN211" s="153">
        <v>1</v>
      </c>
      <c r="AO211" s="150" t="str">
        <f>IF($D211="Interior",INDEX(Lookups!Q$2:Q$86,MATCH(_xlfn.CONCAT($C211,$L211),Lookups!$P$2:$P$86,0)),IF($D211="Exterior",1,""))</f>
        <v/>
      </c>
      <c r="AP211" s="150">
        <f t="shared" si="119"/>
        <v>1</v>
      </c>
      <c r="AQ211" s="150" t="str">
        <f>IF($D211="Interior",INDEX(Lookups!R$2:R$86,MATCH(_xlfn.CONCAT($C211,$L211),Lookups!$P$2:$P$86,0)),IF($D211="Exterior",1,""))</f>
        <v/>
      </c>
      <c r="AR211" s="150" t="str">
        <f>IF($D211="Interior",INDEX(Lookups!S$2:S$86,MATCH(_xlfn.CONCAT($C211,$L211),Lookups!$P$2:$P$86,0)),IF($D211="Exterior",1,""))</f>
        <v/>
      </c>
      <c r="AS211" s="150" t="str">
        <f>IF($D211="Interior",INDEX(Lookups!T$2:T$86,MATCH(_xlfn.CONCAT($C211,$L211),Lookups!$P$2:$P$86,0)),IF($D211="Exterior",1,""))</f>
        <v/>
      </c>
      <c r="AT211" s="150" t="str">
        <f>IFERROR(IF(M211="Exit Signs",1,IF(INDEX('Fixture Codes'!$C$8:$C$976,MATCH($AD211,'Fixture Codes'!$B$8:$B$976,0))="Exit Sign",1,INDEX(Lookups!J$2:J$428,MATCH(_xlfn.CONCAT($B211,$H211),Lookups!$H$2:$H$428,0)))),"")</f>
        <v/>
      </c>
      <c r="AU211" s="150" t="str">
        <f>IFERROR(IF(M211="Exit Signs",1,IF(INDEX('Fixture Codes'!$C$8:$C$976,MATCH($AD211,'Fixture Codes'!$B$8:$B$976,0))="Exit Sign",1,INDEX(Lookups!K$2:K$428,MATCH(_xlfn.CONCAT($B211,$H211),Lookups!$H$2:$H$428,0)))),"")</f>
        <v/>
      </c>
      <c r="AV211" s="150" t="str">
        <f>IFERROR(IF(M211="Exit Signs",1,IF(INDEX('Fixture Codes'!$C$8:$C$976,MATCH($AD211,'Fixture Codes'!$B$8:$B$976,0))="Exit Sign",1,INDEX(Lookups!L$2:L$428,MATCH(_xlfn.CONCAT($B211,$H211),Lookups!$H$2:$H$428,0)))),"")</f>
        <v/>
      </c>
      <c r="AW211" s="150" t="str">
        <f>IF(ISBLANK(K211),"",IF(K211="Gas",INDEX(Lookups!$AG$2:$AG$63,MATCH(O211,Lookups!$AD$2:$AD$63,0),0),0))</f>
        <v/>
      </c>
      <c r="AX211" s="150" t="str">
        <f>IF(ISBLANK(K211),"",IF(K211="Gas",INDEX(Lookups!$AF$2:$AF$63,MATCH(O211,Lookups!$AD$2:$AD$63,0),0),0))</f>
        <v/>
      </c>
      <c r="AY211" s="150" t="str">
        <f>IF(ISBLANK(K211),"",IF(K211="Gas",INDEX(Lookups!$AH$2:$AH$63,MATCH(O211,Lookups!$AD$2:$AD$63,0),0),0))</f>
        <v/>
      </c>
      <c r="AZ211" s="150" t="str">
        <f>IF(ISBLANK(K211),"",IF(K211="Gas",INDEX(Lookups!$AI$2:$AI$63,MATCH(O211,Lookups!$AD$2:$AD$63,0),0),0))</f>
        <v/>
      </c>
      <c r="BA211" s="150" t="str">
        <f t="shared" si="106"/>
        <v/>
      </c>
      <c r="BB211" s="156" t="str">
        <f>IF(ISBLANK(AH211),"",IF(AH211="None",0,IF(K211="Gas",INDEX(Lookups!$AF$51:$AF$69,MATCH(AH211,Lookups!$AD$51:$AD$69,0),0),0)))</f>
        <v/>
      </c>
      <c r="BC211" s="156" t="str">
        <f>IF(ISBLANK(AH211),"",IF(AH211="None",0,IF(K211="Gas",INDEX(Lookups!$AH$51:$AH$69,MATCH(AH211,Lookups!$AD$51:$AD$69,0),0),0)))</f>
        <v/>
      </c>
      <c r="BD211" s="156" t="str">
        <f>IF(ISBLANK(AH211),"",IF(AH211="None",0,IF(K211="Gas",INDEX(Lookups!$AI$51:$AI$69,MATCH(AH211,Lookups!$AD$51:$AD$69,0),0),0)))</f>
        <v/>
      </c>
      <c r="BE211" s="157"/>
      <c r="BF211" s="157"/>
      <c r="BG211" s="147" t="str">
        <f t="shared" si="120"/>
        <v/>
      </c>
      <c r="BH211" s="147" t="str">
        <f t="shared" si="121"/>
        <v/>
      </c>
      <c r="BI211" s="147" t="str">
        <f t="shared" si="107"/>
        <v/>
      </c>
      <c r="BJ211" s="147" t="str">
        <f t="shared" si="108"/>
        <v/>
      </c>
      <c r="BK211" s="148" t="str">
        <f t="shared" si="122"/>
        <v/>
      </c>
      <c r="BL211" s="147" t="str">
        <f t="shared" si="109"/>
        <v/>
      </c>
      <c r="BM211" s="148" t="str">
        <f t="shared" si="123"/>
        <v/>
      </c>
      <c r="BN211" s="147" t="str">
        <f t="shared" si="124"/>
        <v/>
      </c>
      <c r="BO211" s="147" t="str">
        <f t="shared" si="124"/>
        <v/>
      </c>
      <c r="BP211" s="147" t="str">
        <f t="shared" si="125"/>
        <v/>
      </c>
      <c r="BQ211" s="148" t="str">
        <f t="shared" si="126"/>
        <v/>
      </c>
      <c r="BR211" s="148" t="str">
        <f t="shared" si="127"/>
        <v/>
      </c>
      <c r="BS211" s="148" t="str">
        <f t="shared" si="128"/>
        <v/>
      </c>
      <c r="BT211" s="148" t="str">
        <f t="shared" si="110"/>
        <v/>
      </c>
      <c r="BU211" s="148" t="str">
        <f t="shared" si="111"/>
        <v/>
      </c>
      <c r="BV211" s="148" t="str">
        <f t="shared" si="112"/>
        <v/>
      </c>
      <c r="BW211" s="148" t="str">
        <f t="shared" si="113"/>
        <v/>
      </c>
      <c r="BX211" s="148" t="str">
        <f t="shared" si="114"/>
        <v/>
      </c>
      <c r="BY211" s="148" t="str">
        <f t="shared" si="115"/>
        <v/>
      </c>
      <c r="BZ211" s="149" t="str">
        <f>IFERROR(INDEX('Prescriptive Rebate Table'!$B$2:$E$64,MATCH(O211,'Prescriptive Rebate Table'!$C$2:$C$64,0),3),"")</f>
        <v/>
      </c>
      <c r="CA211" s="145" t="str">
        <f>IFERROR(INDEX('Prescriptive Rebate Table'!$B$2:$E$64,MATCH(O211,'Prescriptive Rebate Table'!$C$2:$C$64,0),4),"")</f>
        <v/>
      </c>
      <c r="CB211" s="149" t="str">
        <f t="shared" si="129"/>
        <v/>
      </c>
      <c r="CC211" s="145" t="str">
        <f t="shared" si="130"/>
        <v/>
      </c>
      <c r="CD211" s="149" t="str">
        <f t="shared" si="116"/>
        <v/>
      </c>
      <c r="CE211" s="149" t="str">
        <f t="shared" si="117"/>
        <v/>
      </c>
      <c r="CF211" s="149" t="str">
        <f>IF(BK211&lt;=0,0,IFERROR(IF(OR(ISBLANK(AC211),ISBLANK(CD211))=TRUE,"",IF(CA211="Per Foot",INDEX('Fixture Codes'!$I$8:$I$976,MATCH(AD211,'Fixture Codes'!$B$8:$B$976,0))/12*AF211*BZ211,IF(CA211="Lamp",INDEX('Fixture Codes'!$J$8:$J$976,MATCH(AD211,'Fixture Codes'!$B$8:$B$976,0))*AF211*BZ211,IF(CA211="Fixture",AF211*BZ211,IF(CA211="kWh",BK211*BZ211,0))))),""))</f>
        <v/>
      </c>
      <c r="CG211" s="149" t="str">
        <f t="shared" si="131"/>
        <v/>
      </c>
      <c r="CH211" s="149" t="str">
        <f t="shared" si="132"/>
        <v/>
      </c>
      <c r="CI211" s="152"/>
      <c r="CJ211" s="146"/>
      <c r="CK211" s="241">
        <f>IFERROR(IF(CL211="Yes",'Prescriptive Rebate Table'!$D$69,IF(ISBLANK(AI211),0,IF(AND(AH211=Lookups!$A$62,BK211&gt;0),'Prescriptive Rebate Table'!$D$68,IF(AND(BK211&gt;0,CJ211=AF211),'Prescriptive Rebate Table'!$D$67,IF(AND(BK211&gt;0,CJ211&lt;&gt;AF211),'Prescriptive Rebate Table'!D270,0))))),"")</f>
        <v>0</v>
      </c>
      <c r="CL211" s="240" t="s">
        <v>2712</v>
      </c>
      <c r="CM211" s="152"/>
      <c r="CN211" s="152"/>
      <c r="CO211" s="152"/>
      <c r="CP211" s="146">
        <f t="shared" si="118"/>
        <v>0</v>
      </c>
      <c r="CQ211" s="153">
        <f>IF(D211="Interior",ROUND(($AG211*AF211)/1000*$AM211*(Lookups!$B$54-$AA211)*$AN211*$AO211,3),0)</f>
        <v>0</v>
      </c>
      <c r="CR211" s="153">
        <f>IFERROR(IF(D211="Interior",ROUND(($AG211*$AF211)/1000*(Lookups!$C$54-$AB211)*$AN211*AQ211*AT211,6),0),"")</f>
        <v>0</v>
      </c>
      <c r="CS211" s="165">
        <f t="shared" si="133"/>
        <v>0</v>
      </c>
      <c r="CT211" s="165">
        <f t="shared" si="134"/>
        <v>0</v>
      </c>
      <c r="CV211" s="153"/>
      <c r="CW211" s="153"/>
      <c r="CX211" s="165"/>
      <c r="CY211" s="165"/>
      <c r="DA211" s="153">
        <f>IF(D211="Interior",ROUND(($AG211*AF211*(1-0.15))/1000*$AM211*(Lookups!$B$43+0.097-$AA211)*$AN211*$AO211+((W211*V211)/1000*AN211*AM211*AO211*0.15),3),0)</f>
        <v>0</v>
      </c>
      <c r="DB211" s="153">
        <f>IFERROR(IF(D211="Interior",ROUND(($AG211*$AF211)/1000*(Lookups!$C$43+0.097-$AB211)*$AN211*AQ211*AT211+(($AG211*$AF211)/1000*$AN211*AQ211*AT211*0.15),6),0),"")</f>
        <v>0</v>
      </c>
      <c r="DC211" s="165">
        <f t="shared" si="135"/>
        <v>0</v>
      </c>
      <c r="DD211" s="165">
        <f t="shared" si="136"/>
        <v>0</v>
      </c>
    </row>
    <row r="212" spans="1:108" s="164" customFormat="1">
      <c r="A212" s="150">
        <v>208</v>
      </c>
      <c r="B212" s="153" t="str">
        <f>IFERROR(INDEX(Lookups!$B$2:$B$38,MATCH('Project Info &amp; Summary'!$C$19,Lookups!$A$2:$A$38,0)),"")</f>
        <v/>
      </c>
      <c r="C212" s="153" t="str">
        <f>IFERROR(INDEX(Lookups!$C$2:$C$38,MATCH('Project Info &amp; Summary'!$C$19,Lookups!$A$2:$A$38,0)),"")</f>
        <v/>
      </c>
      <c r="D212" s="163"/>
      <c r="E212" s="160"/>
      <c r="F212" s="158"/>
      <c r="G212" s="158"/>
      <c r="H212" s="158"/>
      <c r="I212" s="158"/>
      <c r="J212" s="154" t="str">
        <f>IFERROR(INDEX(Lookups!$W$21:$W$26,MATCH(I212,Lookups!$V$21:$V$26,0)),"")</f>
        <v/>
      </c>
      <c r="K212" s="158"/>
      <c r="L212" s="162" t="str">
        <f>IFERROR(INDEX(Lookups!$Y$2:$Y$19,MATCH(_xlfn.CONCAT(I212,K212),Lookups!$X$2:$X$19,0)),"")</f>
        <v/>
      </c>
      <c r="M212" s="158"/>
      <c r="N212" s="153" t="str">
        <f>IFERROR(INDEX('Prescriptive Rebate Table'!$M$3:$M$20,MATCH(M212,'Prescriptive Rebate Table'!$L$3:$L$20,0)),"")</f>
        <v/>
      </c>
      <c r="O212" s="158"/>
      <c r="P212" s="154" t="str">
        <f>IFERROR(INDEX('Prescriptive Rebate Table'!$B$2:$H$64, MATCH(O212,'Prescriptive Rebate Table'!$C$2:$C$64,0),7),"")</f>
        <v/>
      </c>
      <c r="Q212" s="155" t="str">
        <f>IFERROR(INDEX('Prescriptive Rebate Table'!$B$2:$I$64, MATCH(O212,'Prescriptive Rebate Table'!$C$2:$C$64,0),8),"")</f>
        <v/>
      </c>
      <c r="R212" s="155" t="str">
        <f>IFERROR(INDEX('Prescriptive Rebate Table'!$B$2:$J$64, MATCH(O212,'Prescriptive Rebate Table'!$C$2:$C$64,0),9),"")</f>
        <v/>
      </c>
      <c r="S212" s="160"/>
      <c r="T212" s="145" t="str">
        <f>IFERROR(INDEX('Fixture Codes'!$M$8:$M$976,MATCH(S212,'Fixture Codes'!$B$8:$B$976,0)),"")</f>
        <v/>
      </c>
      <c r="U212" s="145" t="str">
        <f>IFERROR(INDEX('Fixture Codes'!$B$7:$M$976,MATCH(T212,'Fixture Codes'!$B$7:$B$976,0),5),"")</f>
        <v/>
      </c>
      <c r="V212" s="160"/>
      <c r="W212" s="145" t="str">
        <f>IFERROR(INDEX('Fixture Codes'!$L$8:$L$976,MATCH(T212,'Fixture Codes'!$B$8:$B$976,0)),"")</f>
        <v/>
      </c>
      <c r="X212" s="158"/>
      <c r="Y212" s="159"/>
      <c r="Z212" s="155" t="str">
        <f>IFERROR(INDEX(Lookups!B$68:B$87,MATCH($X212,Lookups!$A$68:$A$87,0)),"")</f>
        <v/>
      </c>
      <c r="AA212" s="150" t="str">
        <f>IFERROR(INDEX(Lookups!B$42:B$62,MATCH($X212,Lookups!$A$42:$A$62,0)),"")</f>
        <v/>
      </c>
      <c r="AB212" s="150" t="str">
        <f>IFERROR(INDEX(Lookups!C$42:C$62,MATCH($X212,Lookups!$A$42:$A$62,0)),"")</f>
        <v/>
      </c>
      <c r="AC212" s="160"/>
      <c r="AD212" s="160"/>
      <c r="AE212" s="150" t="str">
        <f>IFERROR(INDEX('Fixture Codes'!$B$7:$M$976,MATCH(AD212,'Fixture Codes'!$B$7:$B$976,0),5),"")</f>
        <v/>
      </c>
      <c r="AF212" s="160"/>
      <c r="AG212" s="145" t="str">
        <f>IFERROR(INDEX('Fixture Codes'!$L$8:$L$976,MATCH(AD212,'Fixture Codes'!$B$8:$B$976,0)),"")</f>
        <v/>
      </c>
      <c r="AH212" s="158"/>
      <c r="AI212" s="160"/>
      <c r="AJ212" s="150" t="str">
        <f>IFERROR(INDEX(Lookups!B$68:B$87,MATCH($AH212,Lookups!$A$68:$A$87,0)),"")</f>
        <v/>
      </c>
      <c r="AK212" s="150" t="str">
        <f>IFERROR(INDEX(Lookups!B$42:B$62,MATCH($AH212,Lookups!$A$42:$A$62,0)),"")</f>
        <v/>
      </c>
      <c r="AL212" s="150" t="str">
        <f>IFERROR(INDEX(Lookups!C$42:C$62,MATCH($AH212,Lookups!$A$42:$A$62,0)),"")</f>
        <v/>
      </c>
      <c r="AM212" s="150" t="str">
        <f>IFERROR(IF(M212="Exit Signs",8760,IF(INDEX('Fixture Codes'!$C$8:$C$976,MATCH(AD212,'Fixture Codes'!$B$8:$B$976,0))="Exit Sign",8760,INDEX(Lookups!$I$2:$I$428,MATCH(_xlfn.CONCAT(B212,H212),Lookups!$H$2:$H$428,0)))),"")</f>
        <v/>
      </c>
      <c r="AN212" s="153">
        <v>1</v>
      </c>
      <c r="AO212" s="150" t="str">
        <f>IF($D212="Interior",INDEX(Lookups!Q$2:Q$86,MATCH(_xlfn.CONCAT($C212,$L212),Lookups!$P$2:$P$86,0)),IF($D212="Exterior",1,""))</f>
        <v/>
      </c>
      <c r="AP212" s="150">
        <f t="shared" si="119"/>
        <v>1</v>
      </c>
      <c r="AQ212" s="150" t="str">
        <f>IF($D212="Interior",INDEX(Lookups!R$2:R$86,MATCH(_xlfn.CONCAT($C212,$L212),Lookups!$P$2:$P$86,0)),IF($D212="Exterior",1,""))</f>
        <v/>
      </c>
      <c r="AR212" s="150" t="str">
        <f>IF($D212="Interior",INDEX(Lookups!S$2:S$86,MATCH(_xlfn.CONCAT($C212,$L212),Lookups!$P$2:$P$86,0)),IF($D212="Exterior",1,""))</f>
        <v/>
      </c>
      <c r="AS212" s="150" t="str">
        <f>IF($D212="Interior",INDEX(Lookups!T$2:T$86,MATCH(_xlfn.CONCAT($C212,$L212),Lookups!$P$2:$P$86,0)),IF($D212="Exterior",1,""))</f>
        <v/>
      </c>
      <c r="AT212" s="150" t="str">
        <f>IFERROR(IF(M212="Exit Signs",1,IF(INDEX('Fixture Codes'!$C$8:$C$976,MATCH($AD212,'Fixture Codes'!$B$8:$B$976,0))="Exit Sign",1,INDEX(Lookups!J$2:J$428,MATCH(_xlfn.CONCAT($B212,$H212),Lookups!$H$2:$H$428,0)))),"")</f>
        <v/>
      </c>
      <c r="AU212" s="150" t="str">
        <f>IFERROR(IF(M212="Exit Signs",1,IF(INDEX('Fixture Codes'!$C$8:$C$976,MATCH($AD212,'Fixture Codes'!$B$8:$B$976,0))="Exit Sign",1,INDEX(Lookups!K$2:K$428,MATCH(_xlfn.CONCAT($B212,$H212),Lookups!$H$2:$H$428,0)))),"")</f>
        <v/>
      </c>
      <c r="AV212" s="150" t="str">
        <f>IFERROR(IF(M212="Exit Signs",1,IF(INDEX('Fixture Codes'!$C$8:$C$976,MATCH($AD212,'Fixture Codes'!$B$8:$B$976,0))="Exit Sign",1,INDEX(Lookups!L$2:L$428,MATCH(_xlfn.CONCAT($B212,$H212),Lookups!$H$2:$H$428,0)))),"")</f>
        <v/>
      </c>
      <c r="AW212" s="150" t="str">
        <f>IF(ISBLANK(K212),"",IF(K212="Gas",INDEX(Lookups!$AG$2:$AG$63,MATCH(O212,Lookups!$AD$2:$AD$63,0),0),0))</f>
        <v/>
      </c>
      <c r="AX212" s="150" t="str">
        <f>IF(ISBLANK(K212),"",IF(K212="Gas",INDEX(Lookups!$AF$2:$AF$63,MATCH(O212,Lookups!$AD$2:$AD$63,0),0),0))</f>
        <v/>
      </c>
      <c r="AY212" s="150" t="str">
        <f>IF(ISBLANK(K212),"",IF(K212="Gas",INDEX(Lookups!$AH$2:$AH$63,MATCH(O212,Lookups!$AD$2:$AD$63,0),0),0))</f>
        <v/>
      </c>
      <c r="AZ212" s="150" t="str">
        <f>IF(ISBLANK(K212),"",IF(K212="Gas",INDEX(Lookups!$AI$2:$AI$63,MATCH(O212,Lookups!$AD$2:$AD$63,0),0),0))</f>
        <v/>
      </c>
      <c r="BA212" s="150" t="str">
        <f t="shared" si="106"/>
        <v/>
      </c>
      <c r="BB212" s="156" t="str">
        <f>IF(ISBLANK(AH212),"",IF(AH212="None",0,IF(K212="Gas",INDEX(Lookups!$AF$51:$AF$69,MATCH(AH212,Lookups!$AD$51:$AD$69,0),0),0)))</f>
        <v/>
      </c>
      <c r="BC212" s="156" t="str">
        <f>IF(ISBLANK(AH212),"",IF(AH212="None",0,IF(K212="Gas",INDEX(Lookups!$AH$51:$AH$69,MATCH(AH212,Lookups!$AD$51:$AD$69,0),0),0)))</f>
        <v/>
      </c>
      <c r="BD212" s="156" t="str">
        <f>IF(ISBLANK(AH212),"",IF(AH212="None",0,IF(K212="Gas",INDEX(Lookups!$AI$51:$AI$69,MATCH(AH212,Lookups!$AD$51:$AD$69,0),0),0)))</f>
        <v/>
      </c>
      <c r="BE212" s="157"/>
      <c r="BF212" s="157"/>
      <c r="BG212" s="147" t="str">
        <f t="shared" si="120"/>
        <v/>
      </c>
      <c r="BH212" s="147" t="str">
        <f t="shared" si="121"/>
        <v/>
      </c>
      <c r="BI212" s="147" t="str">
        <f t="shared" si="107"/>
        <v/>
      </c>
      <c r="BJ212" s="147" t="str">
        <f t="shared" si="108"/>
        <v/>
      </c>
      <c r="BK212" s="148" t="str">
        <f t="shared" si="122"/>
        <v/>
      </c>
      <c r="BL212" s="147" t="str">
        <f t="shared" si="109"/>
        <v/>
      </c>
      <c r="BM212" s="148" t="str">
        <f t="shared" si="123"/>
        <v/>
      </c>
      <c r="BN212" s="147" t="str">
        <f t="shared" si="124"/>
        <v/>
      </c>
      <c r="BO212" s="147" t="str">
        <f t="shared" si="124"/>
        <v/>
      </c>
      <c r="BP212" s="147" t="str">
        <f t="shared" si="125"/>
        <v/>
      </c>
      <c r="BQ212" s="148" t="str">
        <f t="shared" si="126"/>
        <v/>
      </c>
      <c r="BR212" s="148" t="str">
        <f t="shared" si="127"/>
        <v/>
      </c>
      <c r="BS212" s="148" t="str">
        <f t="shared" si="128"/>
        <v/>
      </c>
      <c r="BT212" s="148" t="str">
        <f t="shared" si="110"/>
        <v/>
      </c>
      <c r="BU212" s="148" t="str">
        <f t="shared" si="111"/>
        <v/>
      </c>
      <c r="BV212" s="148" t="str">
        <f t="shared" si="112"/>
        <v/>
      </c>
      <c r="BW212" s="148" t="str">
        <f t="shared" si="113"/>
        <v/>
      </c>
      <c r="BX212" s="148" t="str">
        <f t="shared" si="114"/>
        <v/>
      </c>
      <c r="BY212" s="148" t="str">
        <f t="shared" si="115"/>
        <v/>
      </c>
      <c r="BZ212" s="149" t="str">
        <f>IFERROR(INDEX('Prescriptive Rebate Table'!$B$2:$E$64,MATCH(O212,'Prescriptive Rebate Table'!$C$2:$C$64,0),3),"")</f>
        <v/>
      </c>
      <c r="CA212" s="145" t="str">
        <f>IFERROR(INDEX('Prescriptive Rebate Table'!$B$2:$E$64,MATCH(O212,'Prescriptive Rebate Table'!$C$2:$C$64,0),4),"")</f>
        <v/>
      </c>
      <c r="CB212" s="149" t="str">
        <f t="shared" si="129"/>
        <v/>
      </c>
      <c r="CC212" s="145" t="str">
        <f t="shared" si="130"/>
        <v/>
      </c>
      <c r="CD212" s="149" t="str">
        <f t="shared" si="116"/>
        <v/>
      </c>
      <c r="CE212" s="149" t="str">
        <f t="shared" si="117"/>
        <v/>
      </c>
      <c r="CF212" s="149" t="str">
        <f>IF(BK212&lt;=0,0,IFERROR(IF(OR(ISBLANK(AC212),ISBLANK(CD212))=TRUE,"",IF(CA212="Per Foot",INDEX('Fixture Codes'!$I$8:$I$976,MATCH(AD212,'Fixture Codes'!$B$8:$B$976,0))/12*AF212*BZ212,IF(CA212="Lamp",INDEX('Fixture Codes'!$J$8:$J$976,MATCH(AD212,'Fixture Codes'!$B$8:$B$976,0))*AF212*BZ212,IF(CA212="Fixture",AF212*BZ212,IF(CA212="kWh",BK212*BZ212,0))))),""))</f>
        <v/>
      </c>
      <c r="CG212" s="149" t="str">
        <f t="shared" si="131"/>
        <v/>
      </c>
      <c r="CH212" s="149" t="str">
        <f t="shared" si="132"/>
        <v/>
      </c>
      <c r="CI212" s="152"/>
      <c r="CJ212" s="146"/>
      <c r="CK212" s="241">
        <f>IFERROR(IF(CL212="Yes",'Prescriptive Rebate Table'!$D$69,IF(ISBLANK(AI212),0,IF(AND(AH212=Lookups!$A$62,BK212&gt;0),'Prescriptive Rebate Table'!$D$68,IF(AND(BK212&gt;0,CJ212=AF212),'Prescriptive Rebate Table'!$D$67,IF(AND(BK212&gt;0,CJ212&lt;&gt;AF212),'Prescriptive Rebate Table'!D271,0))))),"")</f>
        <v>0</v>
      </c>
      <c r="CL212" s="240" t="s">
        <v>2712</v>
      </c>
      <c r="CM212" s="152"/>
      <c r="CN212" s="152"/>
      <c r="CO212" s="152"/>
      <c r="CP212" s="146">
        <f t="shared" si="118"/>
        <v>0</v>
      </c>
      <c r="CQ212" s="153">
        <f>IF(D212="Interior",ROUND(($AG212*AF212)/1000*$AM212*(Lookups!$B$54-$AA212)*$AN212*$AO212,3),0)</f>
        <v>0</v>
      </c>
      <c r="CR212" s="153">
        <f>IFERROR(IF(D212="Interior",ROUND(($AG212*$AF212)/1000*(Lookups!$C$54-$AB212)*$AN212*AQ212*AT212,6),0),"")</f>
        <v>0</v>
      </c>
      <c r="CS212" s="165">
        <f t="shared" si="133"/>
        <v>0</v>
      </c>
      <c r="CT212" s="165">
        <f t="shared" si="134"/>
        <v>0</v>
      </c>
      <c r="CV212" s="153"/>
      <c r="CW212" s="153"/>
      <c r="CX212" s="165"/>
      <c r="CY212" s="165"/>
      <c r="DA212" s="153">
        <f>IF(D212="Interior",ROUND(($AG212*AF212*(1-0.15))/1000*$AM212*(Lookups!$B$43+0.097-$AA212)*$AN212*$AO212+((W212*V212)/1000*AN212*AM212*AO212*0.15),3),0)</f>
        <v>0</v>
      </c>
      <c r="DB212" s="153">
        <f>IFERROR(IF(D212="Interior",ROUND(($AG212*$AF212)/1000*(Lookups!$C$43+0.097-$AB212)*$AN212*AQ212*AT212+(($AG212*$AF212)/1000*$AN212*AQ212*AT212*0.15),6),0),"")</f>
        <v>0</v>
      </c>
      <c r="DC212" s="165">
        <f t="shared" si="135"/>
        <v>0</v>
      </c>
      <c r="DD212" s="165">
        <f t="shared" si="136"/>
        <v>0</v>
      </c>
    </row>
    <row r="213" spans="1:108" s="164" customFormat="1">
      <c r="A213" s="150">
        <v>209</v>
      </c>
      <c r="B213" s="153" t="str">
        <f>IFERROR(INDEX(Lookups!$B$2:$B$38,MATCH('Project Info &amp; Summary'!$C$19,Lookups!$A$2:$A$38,0)),"")</f>
        <v/>
      </c>
      <c r="C213" s="153" t="str">
        <f>IFERROR(INDEX(Lookups!$C$2:$C$38,MATCH('Project Info &amp; Summary'!$C$19,Lookups!$A$2:$A$38,0)),"")</f>
        <v/>
      </c>
      <c r="D213" s="163"/>
      <c r="E213" s="160"/>
      <c r="F213" s="158"/>
      <c r="G213" s="158"/>
      <c r="H213" s="158"/>
      <c r="I213" s="158"/>
      <c r="J213" s="154" t="str">
        <f>IFERROR(INDEX(Lookups!$W$21:$W$26,MATCH(I213,Lookups!$V$21:$V$26,0)),"")</f>
        <v/>
      </c>
      <c r="K213" s="158"/>
      <c r="L213" s="162" t="str">
        <f>IFERROR(INDEX(Lookups!$Y$2:$Y$19,MATCH(_xlfn.CONCAT(I213,K213),Lookups!$X$2:$X$19,0)),"")</f>
        <v/>
      </c>
      <c r="M213" s="158"/>
      <c r="N213" s="153" t="str">
        <f>IFERROR(INDEX('Prescriptive Rebate Table'!$M$3:$M$20,MATCH(M213,'Prescriptive Rebate Table'!$L$3:$L$20,0)),"")</f>
        <v/>
      </c>
      <c r="O213" s="158"/>
      <c r="P213" s="154" t="str">
        <f>IFERROR(INDEX('Prescriptive Rebate Table'!$B$2:$H$64, MATCH(O213,'Prescriptive Rebate Table'!$C$2:$C$64,0),7),"")</f>
        <v/>
      </c>
      <c r="Q213" s="155" t="str">
        <f>IFERROR(INDEX('Prescriptive Rebate Table'!$B$2:$I$64, MATCH(O213,'Prescriptive Rebate Table'!$C$2:$C$64,0),8),"")</f>
        <v/>
      </c>
      <c r="R213" s="155" t="str">
        <f>IFERROR(INDEX('Prescriptive Rebate Table'!$B$2:$J$64, MATCH(O213,'Prescriptive Rebate Table'!$C$2:$C$64,0),9),"")</f>
        <v/>
      </c>
      <c r="S213" s="160"/>
      <c r="T213" s="145" t="str">
        <f>IFERROR(INDEX('Fixture Codes'!$M$8:$M$976,MATCH(S213,'Fixture Codes'!$B$8:$B$976,0)),"")</f>
        <v/>
      </c>
      <c r="U213" s="145" t="str">
        <f>IFERROR(INDEX('Fixture Codes'!$B$7:$M$976,MATCH(T213,'Fixture Codes'!$B$7:$B$976,0),5),"")</f>
        <v/>
      </c>
      <c r="V213" s="160"/>
      <c r="W213" s="145" t="str">
        <f>IFERROR(INDEX('Fixture Codes'!$L$8:$L$976,MATCH(T213,'Fixture Codes'!$B$8:$B$976,0)),"")</f>
        <v/>
      </c>
      <c r="X213" s="158"/>
      <c r="Y213" s="159"/>
      <c r="Z213" s="155" t="str">
        <f>IFERROR(INDEX(Lookups!B$68:B$87,MATCH($X213,Lookups!$A$68:$A$87,0)),"")</f>
        <v/>
      </c>
      <c r="AA213" s="150" t="str">
        <f>IFERROR(INDEX(Lookups!B$42:B$62,MATCH($X213,Lookups!$A$42:$A$62,0)),"")</f>
        <v/>
      </c>
      <c r="AB213" s="150" t="str">
        <f>IFERROR(INDEX(Lookups!C$42:C$62,MATCH($X213,Lookups!$A$42:$A$62,0)),"")</f>
        <v/>
      </c>
      <c r="AC213" s="160"/>
      <c r="AD213" s="160"/>
      <c r="AE213" s="150" t="str">
        <f>IFERROR(INDEX('Fixture Codes'!$B$7:$M$976,MATCH(AD213,'Fixture Codes'!$B$7:$B$976,0),5),"")</f>
        <v/>
      </c>
      <c r="AF213" s="160"/>
      <c r="AG213" s="145" t="str">
        <f>IFERROR(INDEX('Fixture Codes'!$L$8:$L$976,MATCH(AD213,'Fixture Codes'!$B$8:$B$976,0)),"")</f>
        <v/>
      </c>
      <c r="AH213" s="158"/>
      <c r="AI213" s="160"/>
      <c r="AJ213" s="150" t="str">
        <f>IFERROR(INDEX(Lookups!B$68:B$87,MATCH($AH213,Lookups!$A$68:$A$87,0)),"")</f>
        <v/>
      </c>
      <c r="AK213" s="150" t="str">
        <f>IFERROR(INDEX(Lookups!B$42:B$62,MATCH($AH213,Lookups!$A$42:$A$62,0)),"")</f>
        <v/>
      </c>
      <c r="AL213" s="150" t="str">
        <f>IFERROR(INDEX(Lookups!C$42:C$62,MATCH($AH213,Lookups!$A$42:$A$62,0)),"")</f>
        <v/>
      </c>
      <c r="AM213" s="150" t="str">
        <f>IFERROR(IF(M213="Exit Signs",8760,IF(INDEX('Fixture Codes'!$C$8:$C$976,MATCH(AD213,'Fixture Codes'!$B$8:$B$976,0))="Exit Sign",8760,INDEX(Lookups!$I$2:$I$428,MATCH(_xlfn.CONCAT(B213,H213),Lookups!$H$2:$H$428,0)))),"")</f>
        <v/>
      </c>
      <c r="AN213" s="153">
        <v>1</v>
      </c>
      <c r="AO213" s="150" t="str">
        <f>IF($D213="Interior",INDEX(Lookups!Q$2:Q$86,MATCH(_xlfn.CONCAT($C213,$L213),Lookups!$P$2:$P$86,0)),IF($D213="Exterior",1,""))</f>
        <v/>
      </c>
      <c r="AP213" s="150">
        <f t="shared" si="119"/>
        <v>1</v>
      </c>
      <c r="AQ213" s="150" t="str">
        <f>IF($D213="Interior",INDEX(Lookups!R$2:R$86,MATCH(_xlfn.CONCAT($C213,$L213),Lookups!$P$2:$P$86,0)),IF($D213="Exterior",1,""))</f>
        <v/>
      </c>
      <c r="AR213" s="150" t="str">
        <f>IF($D213="Interior",INDEX(Lookups!S$2:S$86,MATCH(_xlfn.CONCAT($C213,$L213),Lookups!$P$2:$P$86,0)),IF($D213="Exterior",1,""))</f>
        <v/>
      </c>
      <c r="AS213" s="150" t="str">
        <f>IF($D213="Interior",INDEX(Lookups!T$2:T$86,MATCH(_xlfn.CONCAT($C213,$L213),Lookups!$P$2:$P$86,0)),IF($D213="Exterior",1,""))</f>
        <v/>
      </c>
      <c r="AT213" s="150" t="str">
        <f>IFERROR(IF(M213="Exit Signs",1,IF(INDEX('Fixture Codes'!$C$8:$C$976,MATCH($AD213,'Fixture Codes'!$B$8:$B$976,0))="Exit Sign",1,INDEX(Lookups!J$2:J$428,MATCH(_xlfn.CONCAT($B213,$H213),Lookups!$H$2:$H$428,0)))),"")</f>
        <v/>
      </c>
      <c r="AU213" s="150" t="str">
        <f>IFERROR(IF(M213="Exit Signs",1,IF(INDEX('Fixture Codes'!$C$8:$C$976,MATCH($AD213,'Fixture Codes'!$B$8:$B$976,0))="Exit Sign",1,INDEX(Lookups!K$2:K$428,MATCH(_xlfn.CONCAT($B213,$H213),Lookups!$H$2:$H$428,0)))),"")</f>
        <v/>
      </c>
      <c r="AV213" s="150" t="str">
        <f>IFERROR(IF(M213="Exit Signs",1,IF(INDEX('Fixture Codes'!$C$8:$C$976,MATCH($AD213,'Fixture Codes'!$B$8:$B$976,0))="Exit Sign",1,INDEX(Lookups!L$2:L$428,MATCH(_xlfn.CONCAT($B213,$H213),Lookups!$H$2:$H$428,0)))),"")</f>
        <v/>
      </c>
      <c r="AW213" s="150" t="str">
        <f>IF(ISBLANK(K213),"",IF(K213="Gas",INDEX(Lookups!$AG$2:$AG$63,MATCH(O213,Lookups!$AD$2:$AD$63,0),0),0))</f>
        <v/>
      </c>
      <c r="AX213" s="150" t="str">
        <f>IF(ISBLANK(K213),"",IF(K213="Gas",INDEX(Lookups!$AF$2:$AF$63,MATCH(O213,Lookups!$AD$2:$AD$63,0),0),0))</f>
        <v/>
      </c>
      <c r="AY213" s="150" t="str">
        <f>IF(ISBLANK(K213),"",IF(K213="Gas",INDEX(Lookups!$AH$2:$AH$63,MATCH(O213,Lookups!$AD$2:$AD$63,0),0),0))</f>
        <v/>
      </c>
      <c r="AZ213" s="150" t="str">
        <f>IF(ISBLANK(K213),"",IF(K213="Gas",INDEX(Lookups!$AI$2:$AI$63,MATCH(O213,Lookups!$AD$2:$AD$63,0),0),0))</f>
        <v/>
      </c>
      <c r="BA213" s="150" t="str">
        <f t="shared" si="106"/>
        <v/>
      </c>
      <c r="BB213" s="156" t="str">
        <f>IF(ISBLANK(AH213),"",IF(AH213="None",0,IF(K213="Gas",INDEX(Lookups!$AF$51:$AF$69,MATCH(AH213,Lookups!$AD$51:$AD$69,0),0),0)))</f>
        <v/>
      </c>
      <c r="BC213" s="156" t="str">
        <f>IF(ISBLANK(AH213),"",IF(AH213="None",0,IF(K213="Gas",INDEX(Lookups!$AH$51:$AH$69,MATCH(AH213,Lookups!$AD$51:$AD$69,0),0),0)))</f>
        <v/>
      </c>
      <c r="BD213" s="156" t="str">
        <f>IF(ISBLANK(AH213),"",IF(AH213="None",0,IF(K213="Gas",INDEX(Lookups!$AI$51:$AI$69,MATCH(AH213,Lookups!$AD$51:$AD$69,0),0),0)))</f>
        <v/>
      </c>
      <c r="BE213" s="157"/>
      <c r="BF213" s="157"/>
      <c r="BG213" s="147" t="str">
        <f t="shared" si="120"/>
        <v/>
      </c>
      <c r="BH213" s="147" t="str">
        <f t="shared" si="121"/>
        <v/>
      </c>
      <c r="BI213" s="147" t="str">
        <f t="shared" si="107"/>
        <v/>
      </c>
      <c r="BJ213" s="147" t="str">
        <f t="shared" si="108"/>
        <v/>
      </c>
      <c r="BK213" s="148" t="str">
        <f t="shared" si="122"/>
        <v/>
      </c>
      <c r="BL213" s="147" t="str">
        <f t="shared" si="109"/>
        <v/>
      </c>
      <c r="BM213" s="148" t="str">
        <f t="shared" si="123"/>
        <v/>
      </c>
      <c r="BN213" s="147" t="str">
        <f t="shared" si="124"/>
        <v/>
      </c>
      <c r="BO213" s="147" t="str">
        <f t="shared" si="124"/>
        <v/>
      </c>
      <c r="BP213" s="147" t="str">
        <f t="shared" si="125"/>
        <v/>
      </c>
      <c r="BQ213" s="148" t="str">
        <f t="shared" si="126"/>
        <v/>
      </c>
      <c r="BR213" s="148" t="str">
        <f t="shared" si="127"/>
        <v/>
      </c>
      <c r="BS213" s="148" t="str">
        <f t="shared" si="128"/>
        <v/>
      </c>
      <c r="BT213" s="148" t="str">
        <f t="shared" si="110"/>
        <v/>
      </c>
      <c r="BU213" s="148" t="str">
        <f t="shared" si="111"/>
        <v/>
      </c>
      <c r="BV213" s="148" t="str">
        <f t="shared" si="112"/>
        <v/>
      </c>
      <c r="BW213" s="148" t="str">
        <f t="shared" si="113"/>
        <v/>
      </c>
      <c r="BX213" s="148" t="str">
        <f t="shared" si="114"/>
        <v/>
      </c>
      <c r="BY213" s="148" t="str">
        <f t="shared" si="115"/>
        <v/>
      </c>
      <c r="BZ213" s="149" t="str">
        <f>IFERROR(INDEX('Prescriptive Rebate Table'!$B$2:$E$64,MATCH(O213,'Prescriptive Rebate Table'!$C$2:$C$64,0),3),"")</f>
        <v/>
      </c>
      <c r="CA213" s="145" t="str">
        <f>IFERROR(INDEX('Prescriptive Rebate Table'!$B$2:$E$64,MATCH(O213,'Prescriptive Rebate Table'!$C$2:$C$64,0),4),"")</f>
        <v/>
      </c>
      <c r="CB213" s="149" t="str">
        <f t="shared" si="129"/>
        <v/>
      </c>
      <c r="CC213" s="145" t="str">
        <f t="shared" si="130"/>
        <v/>
      </c>
      <c r="CD213" s="149" t="str">
        <f t="shared" si="116"/>
        <v/>
      </c>
      <c r="CE213" s="149" t="str">
        <f t="shared" si="117"/>
        <v/>
      </c>
      <c r="CF213" s="149" t="str">
        <f>IF(BK213&lt;=0,0,IFERROR(IF(OR(ISBLANK(AC213),ISBLANK(CD213))=TRUE,"",IF(CA213="Per Foot",INDEX('Fixture Codes'!$I$8:$I$976,MATCH(AD213,'Fixture Codes'!$B$8:$B$976,0))/12*AF213*BZ213,IF(CA213="Lamp",INDEX('Fixture Codes'!$J$8:$J$976,MATCH(AD213,'Fixture Codes'!$B$8:$B$976,0))*AF213*BZ213,IF(CA213="Fixture",AF213*BZ213,IF(CA213="kWh",BK213*BZ213,0))))),""))</f>
        <v/>
      </c>
      <c r="CG213" s="149" t="str">
        <f t="shared" si="131"/>
        <v/>
      </c>
      <c r="CH213" s="149" t="str">
        <f t="shared" si="132"/>
        <v/>
      </c>
      <c r="CI213" s="152"/>
      <c r="CJ213" s="146"/>
      <c r="CK213" s="241">
        <f>IFERROR(IF(CL213="Yes",'Prescriptive Rebate Table'!$D$69,IF(ISBLANK(AI213),0,IF(AND(AH213=Lookups!$A$62,BK213&gt;0),'Prescriptive Rebate Table'!$D$68,IF(AND(BK213&gt;0,CJ213=AF213),'Prescriptive Rebate Table'!$D$67,IF(AND(BK213&gt;0,CJ213&lt;&gt;AF213),'Prescriptive Rebate Table'!D272,0))))),"")</f>
        <v>0</v>
      </c>
      <c r="CL213" s="240" t="s">
        <v>2712</v>
      </c>
      <c r="CM213" s="152"/>
      <c r="CN213" s="152"/>
      <c r="CO213" s="152"/>
      <c r="CP213" s="146">
        <f t="shared" si="118"/>
        <v>0</v>
      </c>
      <c r="CQ213" s="153">
        <f>IF(D213="Interior",ROUND(($AG213*AF213)/1000*$AM213*(Lookups!$B$54-$AA213)*$AN213*$AO213,3),0)</f>
        <v>0</v>
      </c>
      <c r="CR213" s="153">
        <f>IFERROR(IF(D213="Interior",ROUND(($AG213*$AF213)/1000*(Lookups!$C$54-$AB213)*$AN213*AQ213*AT213,6),0),"")</f>
        <v>0</v>
      </c>
      <c r="CS213" s="165">
        <f t="shared" si="133"/>
        <v>0</v>
      </c>
      <c r="CT213" s="165">
        <f t="shared" si="134"/>
        <v>0</v>
      </c>
      <c r="CV213" s="153"/>
      <c r="CW213" s="153"/>
      <c r="CX213" s="165"/>
      <c r="CY213" s="165"/>
      <c r="DA213" s="153">
        <f>IF(D213="Interior",ROUND(($AG213*AF213*(1-0.15))/1000*$AM213*(Lookups!$B$43+0.097-$AA213)*$AN213*$AO213+((W213*V213)/1000*AN213*AM213*AO213*0.15),3),0)</f>
        <v>0</v>
      </c>
      <c r="DB213" s="153">
        <f>IFERROR(IF(D213="Interior",ROUND(($AG213*$AF213)/1000*(Lookups!$C$43+0.097-$AB213)*$AN213*AQ213*AT213+(($AG213*$AF213)/1000*$AN213*AQ213*AT213*0.15),6),0),"")</f>
        <v>0</v>
      </c>
      <c r="DC213" s="165">
        <f t="shared" si="135"/>
        <v>0</v>
      </c>
      <c r="DD213" s="165">
        <f t="shared" si="136"/>
        <v>0</v>
      </c>
    </row>
    <row r="214" spans="1:108" s="164" customFormat="1">
      <c r="A214" s="150">
        <v>210</v>
      </c>
      <c r="B214" s="153" t="str">
        <f>IFERROR(INDEX(Lookups!$B$2:$B$38,MATCH('Project Info &amp; Summary'!$C$19,Lookups!$A$2:$A$38,0)),"")</f>
        <v/>
      </c>
      <c r="C214" s="153" t="str">
        <f>IFERROR(INDEX(Lookups!$C$2:$C$38,MATCH('Project Info &amp; Summary'!$C$19,Lookups!$A$2:$A$38,0)),"")</f>
        <v/>
      </c>
      <c r="D214" s="163"/>
      <c r="E214" s="160"/>
      <c r="F214" s="158"/>
      <c r="G214" s="158"/>
      <c r="H214" s="158"/>
      <c r="I214" s="158"/>
      <c r="J214" s="154" t="str">
        <f>IFERROR(INDEX(Lookups!$W$21:$W$26,MATCH(I214,Lookups!$V$21:$V$26,0)),"")</f>
        <v/>
      </c>
      <c r="K214" s="158"/>
      <c r="L214" s="162" t="str">
        <f>IFERROR(INDEX(Lookups!$Y$2:$Y$19,MATCH(_xlfn.CONCAT(I214,K214),Lookups!$X$2:$X$19,0)),"")</f>
        <v/>
      </c>
      <c r="M214" s="158"/>
      <c r="N214" s="153" t="str">
        <f>IFERROR(INDEX('Prescriptive Rebate Table'!$M$3:$M$20,MATCH(M214,'Prescriptive Rebate Table'!$L$3:$L$20,0)),"")</f>
        <v/>
      </c>
      <c r="O214" s="158"/>
      <c r="P214" s="154" t="str">
        <f>IFERROR(INDEX('Prescriptive Rebate Table'!$B$2:$H$64, MATCH(O214,'Prescriptive Rebate Table'!$C$2:$C$64,0),7),"")</f>
        <v/>
      </c>
      <c r="Q214" s="155" t="str">
        <f>IFERROR(INDEX('Prescriptive Rebate Table'!$B$2:$I$64, MATCH(O214,'Prescriptive Rebate Table'!$C$2:$C$64,0),8),"")</f>
        <v/>
      </c>
      <c r="R214" s="155" t="str">
        <f>IFERROR(INDEX('Prescriptive Rebate Table'!$B$2:$J$64, MATCH(O214,'Prescriptive Rebate Table'!$C$2:$C$64,0),9),"")</f>
        <v/>
      </c>
      <c r="S214" s="160"/>
      <c r="T214" s="145" t="str">
        <f>IFERROR(INDEX('Fixture Codes'!$M$8:$M$976,MATCH(S214,'Fixture Codes'!$B$8:$B$976,0)),"")</f>
        <v/>
      </c>
      <c r="U214" s="145" t="str">
        <f>IFERROR(INDEX('Fixture Codes'!$B$7:$M$976,MATCH(T214,'Fixture Codes'!$B$7:$B$976,0),5),"")</f>
        <v/>
      </c>
      <c r="V214" s="160"/>
      <c r="W214" s="145" t="str">
        <f>IFERROR(INDEX('Fixture Codes'!$L$8:$L$976,MATCH(T214,'Fixture Codes'!$B$8:$B$976,0)),"")</f>
        <v/>
      </c>
      <c r="X214" s="158"/>
      <c r="Y214" s="159"/>
      <c r="Z214" s="155" t="str">
        <f>IFERROR(INDEX(Lookups!B$68:B$87,MATCH($X214,Lookups!$A$68:$A$87,0)),"")</f>
        <v/>
      </c>
      <c r="AA214" s="150" t="str">
        <f>IFERROR(INDEX(Lookups!B$42:B$62,MATCH($X214,Lookups!$A$42:$A$62,0)),"")</f>
        <v/>
      </c>
      <c r="AB214" s="150" t="str">
        <f>IFERROR(INDEX(Lookups!C$42:C$62,MATCH($X214,Lookups!$A$42:$A$62,0)),"")</f>
        <v/>
      </c>
      <c r="AC214" s="160"/>
      <c r="AD214" s="160"/>
      <c r="AE214" s="150" t="str">
        <f>IFERROR(INDEX('Fixture Codes'!$B$7:$M$976,MATCH(AD214,'Fixture Codes'!$B$7:$B$976,0),5),"")</f>
        <v/>
      </c>
      <c r="AF214" s="160"/>
      <c r="AG214" s="145" t="str">
        <f>IFERROR(INDEX('Fixture Codes'!$L$8:$L$976,MATCH(AD214,'Fixture Codes'!$B$8:$B$976,0)),"")</f>
        <v/>
      </c>
      <c r="AH214" s="158"/>
      <c r="AI214" s="160"/>
      <c r="AJ214" s="150" t="str">
        <f>IFERROR(INDEX(Lookups!B$68:B$87,MATCH($AH214,Lookups!$A$68:$A$87,0)),"")</f>
        <v/>
      </c>
      <c r="AK214" s="150" t="str">
        <f>IFERROR(INDEX(Lookups!B$42:B$62,MATCH($AH214,Lookups!$A$42:$A$62,0)),"")</f>
        <v/>
      </c>
      <c r="AL214" s="150" t="str">
        <f>IFERROR(INDEX(Lookups!C$42:C$62,MATCH($AH214,Lookups!$A$42:$A$62,0)),"")</f>
        <v/>
      </c>
      <c r="AM214" s="150" t="str">
        <f>IFERROR(IF(M214="Exit Signs",8760,IF(INDEX('Fixture Codes'!$C$8:$C$976,MATCH(AD214,'Fixture Codes'!$B$8:$B$976,0))="Exit Sign",8760,INDEX(Lookups!$I$2:$I$428,MATCH(_xlfn.CONCAT(B214,H214),Lookups!$H$2:$H$428,0)))),"")</f>
        <v/>
      </c>
      <c r="AN214" s="153">
        <v>1</v>
      </c>
      <c r="AO214" s="150" t="str">
        <f>IF($D214="Interior",INDEX(Lookups!Q$2:Q$86,MATCH(_xlfn.CONCAT($C214,$L214),Lookups!$P$2:$P$86,0)),IF($D214="Exterior",1,""))</f>
        <v/>
      </c>
      <c r="AP214" s="150">
        <f t="shared" si="119"/>
        <v>1</v>
      </c>
      <c r="AQ214" s="150" t="str">
        <f>IF($D214="Interior",INDEX(Lookups!R$2:R$86,MATCH(_xlfn.CONCAT($C214,$L214),Lookups!$P$2:$P$86,0)),IF($D214="Exterior",1,""))</f>
        <v/>
      </c>
      <c r="AR214" s="150" t="str">
        <f>IF($D214="Interior",INDEX(Lookups!S$2:S$86,MATCH(_xlfn.CONCAT($C214,$L214),Lookups!$P$2:$P$86,0)),IF($D214="Exterior",1,""))</f>
        <v/>
      </c>
      <c r="AS214" s="150" t="str">
        <f>IF($D214="Interior",INDEX(Lookups!T$2:T$86,MATCH(_xlfn.CONCAT($C214,$L214),Lookups!$P$2:$P$86,0)),IF($D214="Exterior",1,""))</f>
        <v/>
      </c>
      <c r="AT214" s="150" t="str">
        <f>IFERROR(IF(M214="Exit Signs",1,IF(INDEX('Fixture Codes'!$C$8:$C$976,MATCH($AD214,'Fixture Codes'!$B$8:$B$976,0))="Exit Sign",1,INDEX(Lookups!J$2:J$428,MATCH(_xlfn.CONCAT($B214,$H214),Lookups!$H$2:$H$428,0)))),"")</f>
        <v/>
      </c>
      <c r="AU214" s="150" t="str">
        <f>IFERROR(IF(M214="Exit Signs",1,IF(INDEX('Fixture Codes'!$C$8:$C$976,MATCH($AD214,'Fixture Codes'!$B$8:$B$976,0))="Exit Sign",1,INDEX(Lookups!K$2:K$428,MATCH(_xlfn.CONCAT($B214,$H214),Lookups!$H$2:$H$428,0)))),"")</f>
        <v/>
      </c>
      <c r="AV214" s="150" t="str">
        <f>IFERROR(IF(M214="Exit Signs",1,IF(INDEX('Fixture Codes'!$C$8:$C$976,MATCH($AD214,'Fixture Codes'!$B$8:$B$976,0))="Exit Sign",1,INDEX(Lookups!L$2:L$428,MATCH(_xlfn.CONCAT($B214,$H214),Lookups!$H$2:$H$428,0)))),"")</f>
        <v/>
      </c>
      <c r="AW214" s="150" t="str">
        <f>IF(ISBLANK(K214),"",IF(K214="Gas",INDEX(Lookups!$AG$2:$AG$63,MATCH(O214,Lookups!$AD$2:$AD$63,0),0),0))</f>
        <v/>
      </c>
      <c r="AX214" s="150" t="str">
        <f>IF(ISBLANK(K214),"",IF(K214="Gas",INDEX(Lookups!$AF$2:$AF$63,MATCH(O214,Lookups!$AD$2:$AD$63,0),0),0))</f>
        <v/>
      </c>
      <c r="AY214" s="150" t="str">
        <f>IF(ISBLANK(K214),"",IF(K214="Gas",INDEX(Lookups!$AH$2:$AH$63,MATCH(O214,Lookups!$AD$2:$AD$63,0),0),0))</f>
        <v/>
      </c>
      <c r="AZ214" s="150" t="str">
        <f>IF(ISBLANK(K214),"",IF(K214="Gas",INDEX(Lookups!$AI$2:$AI$63,MATCH(O214,Lookups!$AD$2:$AD$63,0),0),0))</f>
        <v/>
      </c>
      <c r="BA214" s="150" t="str">
        <f t="shared" si="106"/>
        <v/>
      </c>
      <c r="BB214" s="156" t="str">
        <f>IF(ISBLANK(AH214),"",IF(AH214="None",0,IF(K214="Gas",INDEX(Lookups!$AF$51:$AF$69,MATCH(AH214,Lookups!$AD$51:$AD$69,0),0),0)))</f>
        <v/>
      </c>
      <c r="BC214" s="156" t="str">
        <f>IF(ISBLANK(AH214),"",IF(AH214="None",0,IF(K214="Gas",INDEX(Lookups!$AH$51:$AH$69,MATCH(AH214,Lookups!$AD$51:$AD$69,0),0),0)))</f>
        <v/>
      </c>
      <c r="BD214" s="156" t="str">
        <f>IF(ISBLANK(AH214),"",IF(AH214="None",0,IF(K214="Gas",INDEX(Lookups!$AI$51:$AI$69,MATCH(AH214,Lookups!$AD$51:$AD$69,0),0),0)))</f>
        <v/>
      </c>
      <c r="BE214" s="157"/>
      <c r="BF214" s="157"/>
      <c r="BG214" s="147" t="str">
        <f t="shared" si="120"/>
        <v/>
      </c>
      <c r="BH214" s="147" t="str">
        <f t="shared" si="121"/>
        <v/>
      </c>
      <c r="BI214" s="147" t="str">
        <f t="shared" si="107"/>
        <v/>
      </c>
      <c r="BJ214" s="147" t="str">
        <f t="shared" si="108"/>
        <v/>
      </c>
      <c r="BK214" s="148" t="str">
        <f t="shared" si="122"/>
        <v/>
      </c>
      <c r="BL214" s="147" t="str">
        <f t="shared" si="109"/>
        <v/>
      </c>
      <c r="BM214" s="148" t="str">
        <f t="shared" si="123"/>
        <v/>
      </c>
      <c r="BN214" s="147" t="str">
        <f t="shared" si="124"/>
        <v/>
      </c>
      <c r="BO214" s="147" t="str">
        <f t="shared" si="124"/>
        <v/>
      </c>
      <c r="BP214" s="147" t="str">
        <f t="shared" si="125"/>
        <v/>
      </c>
      <c r="BQ214" s="148" t="str">
        <f t="shared" si="126"/>
        <v/>
      </c>
      <c r="BR214" s="148" t="str">
        <f t="shared" si="127"/>
        <v/>
      </c>
      <c r="BS214" s="148" t="str">
        <f t="shared" si="128"/>
        <v/>
      </c>
      <c r="BT214" s="148" t="str">
        <f t="shared" si="110"/>
        <v/>
      </c>
      <c r="BU214" s="148" t="str">
        <f t="shared" si="111"/>
        <v/>
      </c>
      <c r="BV214" s="148" t="str">
        <f t="shared" si="112"/>
        <v/>
      </c>
      <c r="BW214" s="148" t="str">
        <f t="shared" si="113"/>
        <v/>
      </c>
      <c r="BX214" s="148" t="str">
        <f t="shared" si="114"/>
        <v/>
      </c>
      <c r="BY214" s="148" t="str">
        <f t="shared" si="115"/>
        <v/>
      </c>
      <c r="BZ214" s="149" t="str">
        <f>IFERROR(INDEX('Prescriptive Rebate Table'!$B$2:$E$64,MATCH(O214,'Prescriptive Rebate Table'!$C$2:$C$64,0),3),"")</f>
        <v/>
      </c>
      <c r="CA214" s="145" t="str">
        <f>IFERROR(INDEX('Prescriptive Rebate Table'!$B$2:$E$64,MATCH(O214,'Prescriptive Rebate Table'!$C$2:$C$64,0),4),"")</f>
        <v/>
      </c>
      <c r="CB214" s="149" t="str">
        <f t="shared" si="129"/>
        <v/>
      </c>
      <c r="CC214" s="145" t="str">
        <f t="shared" si="130"/>
        <v/>
      </c>
      <c r="CD214" s="149" t="str">
        <f t="shared" si="116"/>
        <v/>
      </c>
      <c r="CE214" s="149" t="str">
        <f t="shared" si="117"/>
        <v/>
      </c>
      <c r="CF214" s="149" t="str">
        <f>IF(BK214&lt;=0,0,IFERROR(IF(OR(ISBLANK(AC214),ISBLANK(CD214))=TRUE,"",IF(CA214="Per Foot",INDEX('Fixture Codes'!$I$8:$I$976,MATCH(AD214,'Fixture Codes'!$B$8:$B$976,0))/12*AF214*BZ214,IF(CA214="Lamp",INDEX('Fixture Codes'!$J$8:$J$976,MATCH(AD214,'Fixture Codes'!$B$8:$B$976,0))*AF214*BZ214,IF(CA214="Fixture",AF214*BZ214,IF(CA214="kWh",BK214*BZ214,0))))),""))</f>
        <v/>
      </c>
      <c r="CG214" s="149" t="str">
        <f t="shared" si="131"/>
        <v/>
      </c>
      <c r="CH214" s="149" t="str">
        <f t="shared" si="132"/>
        <v/>
      </c>
      <c r="CI214" s="152"/>
      <c r="CJ214" s="146"/>
      <c r="CK214" s="241">
        <f>IFERROR(IF(CL214="Yes",'Prescriptive Rebate Table'!$D$69,IF(ISBLANK(AI214),0,IF(AND(AH214=Lookups!$A$62,BK214&gt;0),'Prescriptive Rebate Table'!$D$68,IF(AND(BK214&gt;0,CJ214=AF214),'Prescriptive Rebate Table'!$D$67,IF(AND(BK214&gt;0,CJ214&lt;&gt;AF214),'Prescriptive Rebate Table'!D273,0))))),"")</f>
        <v>0</v>
      </c>
      <c r="CL214" s="240" t="s">
        <v>2712</v>
      </c>
      <c r="CM214" s="152"/>
      <c r="CN214" s="152"/>
      <c r="CO214" s="152"/>
      <c r="CP214" s="146">
        <f t="shared" si="118"/>
        <v>0</v>
      </c>
      <c r="CQ214" s="153">
        <f>IF(D214="Interior",ROUND(($AG214*AF214)/1000*$AM214*(Lookups!$B$54-$AA214)*$AN214*$AO214,3),0)</f>
        <v>0</v>
      </c>
      <c r="CR214" s="153">
        <f>IFERROR(IF(D214="Interior",ROUND(($AG214*$AF214)/1000*(Lookups!$C$54-$AB214)*$AN214*AQ214*AT214,6),0),"")</f>
        <v>0</v>
      </c>
      <c r="CS214" s="165">
        <f t="shared" si="133"/>
        <v>0</v>
      </c>
      <c r="CT214" s="165">
        <f t="shared" si="134"/>
        <v>0</v>
      </c>
      <c r="CV214" s="153"/>
      <c r="CW214" s="153"/>
      <c r="CX214" s="165"/>
      <c r="CY214" s="165"/>
      <c r="DA214" s="153">
        <f>IF(D214="Interior",ROUND(($AG214*AF214*(1-0.15))/1000*$AM214*(Lookups!$B$43+0.097-$AA214)*$AN214*$AO214+((W214*V214)/1000*AN214*AM214*AO214*0.15),3),0)</f>
        <v>0</v>
      </c>
      <c r="DB214" s="153">
        <f>IFERROR(IF(D214="Interior",ROUND(($AG214*$AF214)/1000*(Lookups!$C$43+0.097-$AB214)*$AN214*AQ214*AT214+(($AG214*$AF214)/1000*$AN214*AQ214*AT214*0.15),6),0),"")</f>
        <v>0</v>
      </c>
      <c r="DC214" s="165">
        <f t="shared" si="135"/>
        <v>0</v>
      </c>
      <c r="DD214" s="165">
        <f t="shared" si="136"/>
        <v>0</v>
      </c>
    </row>
    <row r="215" spans="1:108" s="164" customFormat="1">
      <c r="A215" s="150">
        <v>211</v>
      </c>
      <c r="B215" s="153" t="str">
        <f>IFERROR(INDEX(Lookups!$B$2:$B$38,MATCH('Project Info &amp; Summary'!$C$19,Lookups!$A$2:$A$38,0)),"")</f>
        <v/>
      </c>
      <c r="C215" s="153" t="str">
        <f>IFERROR(INDEX(Lookups!$C$2:$C$38,MATCH('Project Info &amp; Summary'!$C$19,Lookups!$A$2:$A$38,0)),"")</f>
        <v/>
      </c>
      <c r="D215" s="163"/>
      <c r="E215" s="160"/>
      <c r="F215" s="158"/>
      <c r="G215" s="158"/>
      <c r="H215" s="158"/>
      <c r="I215" s="158"/>
      <c r="J215" s="154" t="str">
        <f>IFERROR(INDEX(Lookups!$W$21:$W$26,MATCH(I215,Lookups!$V$21:$V$26,0)),"")</f>
        <v/>
      </c>
      <c r="K215" s="158"/>
      <c r="L215" s="162" t="str">
        <f>IFERROR(INDEX(Lookups!$Y$2:$Y$19,MATCH(_xlfn.CONCAT(I215,K215),Lookups!$X$2:$X$19,0)),"")</f>
        <v/>
      </c>
      <c r="M215" s="158"/>
      <c r="N215" s="153" t="str">
        <f>IFERROR(INDEX('Prescriptive Rebate Table'!$M$3:$M$20,MATCH(M215,'Prescriptive Rebate Table'!$L$3:$L$20,0)),"")</f>
        <v/>
      </c>
      <c r="O215" s="158"/>
      <c r="P215" s="154" t="str">
        <f>IFERROR(INDEX('Prescriptive Rebate Table'!$B$2:$H$64, MATCH(O215,'Prescriptive Rebate Table'!$C$2:$C$64,0),7),"")</f>
        <v/>
      </c>
      <c r="Q215" s="155" t="str">
        <f>IFERROR(INDEX('Prescriptive Rebate Table'!$B$2:$I$64, MATCH(O215,'Prescriptive Rebate Table'!$C$2:$C$64,0),8),"")</f>
        <v/>
      </c>
      <c r="R215" s="155" t="str">
        <f>IFERROR(INDEX('Prescriptive Rebate Table'!$B$2:$J$64, MATCH(O215,'Prescriptive Rebate Table'!$C$2:$C$64,0),9),"")</f>
        <v/>
      </c>
      <c r="S215" s="160"/>
      <c r="T215" s="145" t="str">
        <f>IFERROR(INDEX('Fixture Codes'!$M$8:$M$976,MATCH(S215,'Fixture Codes'!$B$8:$B$976,0)),"")</f>
        <v/>
      </c>
      <c r="U215" s="145" t="str">
        <f>IFERROR(INDEX('Fixture Codes'!$B$7:$M$976,MATCH(T215,'Fixture Codes'!$B$7:$B$976,0),5),"")</f>
        <v/>
      </c>
      <c r="V215" s="160"/>
      <c r="W215" s="145" t="str">
        <f>IFERROR(INDEX('Fixture Codes'!$L$8:$L$976,MATCH(T215,'Fixture Codes'!$B$8:$B$976,0)),"")</f>
        <v/>
      </c>
      <c r="X215" s="158"/>
      <c r="Y215" s="159"/>
      <c r="Z215" s="155" t="str">
        <f>IFERROR(INDEX(Lookups!B$68:B$87,MATCH($X215,Lookups!$A$68:$A$87,0)),"")</f>
        <v/>
      </c>
      <c r="AA215" s="150" t="str">
        <f>IFERROR(INDEX(Lookups!B$42:B$62,MATCH($X215,Lookups!$A$42:$A$62,0)),"")</f>
        <v/>
      </c>
      <c r="AB215" s="150" t="str">
        <f>IFERROR(INDEX(Lookups!C$42:C$62,MATCH($X215,Lookups!$A$42:$A$62,0)),"")</f>
        <v/>
      </c>
      <c r="AC215" s="160"/>
      <c r="AD215" s="160"/>
      <c r="AE215" s="150" t="str">
        <f>IFERROR(INDEX('Fixture Codes'!$B$7:$M$976,MATCH(AD215,'Fixture Codes'!$B$7:$B$976,0),5),"")</f>
        <v/>
      </c>
      <c r="AF215" s="160"/>
      <c r="AG215" s="145" t="str">
        <f>IFERROR(INDEX('Fixture Codes'!$L$8:$L$976,MATCH(AD215,'Fixture Codes'!$B$8:$B$976,0)),"")</f>
        <v/>
      </c>
      <c r="AH215" s="158"/>
      <c r="AI215" s="160"/>
      <c r="AJ215" s="150" t="str">
        <f>IFERROR(INDEX(Lookups!B$68:B$87,MATCH($AH215,Lookups!$A$68:$A$87,0)),"")</f>
        <v/>
      </c>
      <c r="AK215" s="150" t="str">
        <f>IFERROR(INDEX(Lookups!B$42:B$62,MATCH($AH215,Lookups!$A$42:$A$62,0)),"")</f>
        <v/>
      </c>
      <c r="AL215" s="150" t="str">
        <f>IFERROR(INDEX(Lookups!C$42:C$62,MATCH($AH215,Lookups!$A$42:$A$62,0)),"")</f>
        <v/>
      </c>
      <c r="AM215" s="150" t="str">
        <f>IFERROR(IF(M215="Exit Signs",8760,IF(INDEX('Fixture Codes'!$C$8:$C$976,MATCH(AD215,'Fixture Codes'!$B$8:$B$976,0))="Exit Sign",8760,INDEX(Lookups!$I$2:$I$428,MATCH(_xlfn.CONCAT(B215,H215),Lookups!$H$2:$H$428,0)))),"")</f>
        <v/>
      </c>
      <c r="AN215" s="153">
        <v>1</v>
      </c>
      <c r="AO215" s="150" t="str">
        <f>IF($D215="Interior",INDEX(Lookups!Q$2:Q$86,MATCH(_xlfn.CONCAT($C215,$L215),Lookups!$P$2:$P$86,0)),IF($D215="Exterior",1,""))</f>
        <v/>
      </c>
      <c r="AP215" s="150">
        <f t="shared" si="119"/>
        <v>1</v>
      </c>
      <c r="AQ215" s="150" t="str">
        <f>IF($D215="Interior",INDEX(Lookups!R$2:R$86,MATCH(_xlfn.CONCAT($C215,$L215),Lookups!$P$2:$P$86,0)),IF($D215="Exterior",1,""))</f>
        <v/>
      </c>
      <c r="AR215" s="150" t="str">
        <f>IF($D215="Interior",INDEX(Lookups!S$2:S$86,MATCH(_xlfn.CONCAT($C215,$L215),Lookups!$P$2:$P$86,0)),IF($D215="Exterior",1,""))</f>
        <v/>
      </c>
      <c r="AS215" s="150" t="str">
        <f>IF($D215="Interior",INDEX(Lookups!T$2:T$86,MATCH(_xlfn.CONCAT($C215,$L215),Lookups!$P$2:$P$86,0)),IF($D215="Exterior",1,""))</f>
        <v/>
      </c>
      <c r="AT215" s="150" t="str">
        <f>IFERROR(IF(M215="Exit Signs",1,IF(INDEX('Fixture Codes'!$C$8:$C$976,MATCH($AD215,'Fixture Codes'!$B$8:$B$976,0))="Exit Sign",1,INDEX(Lookups!J$2:J$428,MATCH(_xlfn.CONCAT($B215,$H215),Lookups!$H$2:$H$428,0)))),"")</f>
        <v/>
      </c>
      <c r="AU215" s="150" t="str">
        <f>IFERROR(IF(M215="Exit Signs",1,IF(INDEX('Fixture Codes'!$C$8:$C$976,MATCH($AD215,'Fixture Codes'!$B$8:$B$976,0))="Exit Sign",1,INDEX(Lookups!K$2:K$428,MATCH(_xlfn.CONCAT($B215,$H215),Lookups!$H$2:$H$428,0)))),"")</f>
        <v/>
      </c>
      <c r="AV215" s="150" t="str">
        <f>IFERROR(IF(M215="Exit Signs",1,IF(INDEX('Fixture Codes'!$C$8:$C$976,MATCH($AD215,'Fixture Codes'!$B$8:$B$976,0))="Exit Sign",1,INDEX(Lookups!L$2:L$428,MATCH(_xlfn.CONCAT($B215,$H215),Lookups!$H$2:$H$428,0)))),"")</f>
        <v/>
      </c>
      <c r="AW215" s="150" t="str">
        <f>IF(ISBLANK(K215),"",IF(K215="Gas",INDEX(Lookups!$AG$2:$AG$63,MATCH(O215,Lookups!$AD$2:$AD$63,0),0),0))</f>
        <v/>
      </c>
      <c r="AX215" s="150" t="str">
        <f>IF(ISBLANK(K215),"",IF(K215="Gas",INDEX(Lookups!$AF$2:$AF$63,MATCH(O215,Lookups!$AD$2:$AD$63,0),0),0))</f>
        <v/>
      </c>
      <c r="AY215" s="150" t="str">
        <f>IF(ISBLANK(K215),"",IF(K215="Gas",INDEX(Lookups!$AH$2:$AH$63,MATCH(O215,Lookups!$AD$2:$AD$63,0),0),0))</f>
        <v/>
      </c>
      <c r="AZ215" s="150" t="str">
        <f>IF(ISBLANK(K215),"",IF(K215="Gas",INDEX(Lookups!$AI$2:$AI$63,MATCH(O215,Lookups!$AD$2:$AD$63,0),0),0))</f>
        <v/>
      </c>
      <c r="BA215" s="150" t="str">
        <f t="shared" si="106"/>
        <v/>
      </c>
      <c r="BB215" s="156" t="str">
        <f>IF(ISBLANK(AH215),"",IF(AH215="None",0,IF(K215="Gas",INDEX(Lookups!$AF$51:$AF$69,MATCH(AH215,Lookups!$AD$51:$AD$69,0),0),0)))</f>
        <v/>
      </c>
      <c r="BC215" s="156" t="str">
        <f>IF(ISBLANK(AH215),"",IF(AH215="None",0,IF(K215="Gas",INDEX(Lookups!$AH$51:$AH$69,MATCH(AH215,Lookups!$AD$51:$AD$69,0),0),0)))</f>
        <v/>
      </c>
      <c r="BD215" s="156" t="str">
        <f>IF(ISBLANK(AH215),"",IF(AH215="None",0,IF(K215="Gas",INDEX(Lookups!$AI$51:$AI$69,MATCH(AH215,Lookups!$AD$51:$AD$69,0),0),0)))</f>
        <v/>
      </c>
      <c r="BE215" s="157"/>
      <c r="BF215" s="157"/>
      <c r="BG215" s="147" t="str">
        <f t="shared" si="120"/>
        <v/>
      </c>
      <c r="BH215" s="147" t="str">
        <f t="shared" si="121"/>
        <v/>
      </c>
      <c r="BI215" s="147" t="str">
        <f t="shared" si="107"/>
        <v/>
      </c>
      <c r="BJ215" s="147" t="str">
        <f t="shared" si="108"/>
        <v/>
      </c>
      <c r="BK215" s="148" t="str">
        <f t="shared" si="122"/>
        <v/>
      </c>
      <c r="BL215" s="147" t="str">
        <f t="shared" si="109"/>
        <v/>
      </c>
      <c r="BM215" s="148" t="str">
        <f t="shared" si="123"/>
        <v/>
      </c>
      <c r="BN215" s="147" t="str">
        <f t="shared" si="124"/>
        <v/>
      </c>
      <c r="BO215" s="147" t="str">
        <f t="shared" si="124"/>
        <v/>
      </c>
      <c r="BP215" s="147" t="str">
        <f t="shared" si="125"/>
        <v/>
      </c>
      <c r="BQ215" s="148" t="str">
        <f t="shared" si="126"/>
        <v/>
      </c>
      <c r="BR215" s="148" t="str">
        <f t="shared" si="127"/>
        <v/>
      </c>
      <c r="BS215" s="148" t="str">
        <f t="shared" si="128"/>
        <v/>
      </c>
      <c r="BT215" s="148" t="str">
        <f t="shared" si="110"/>
        <v/>
      </c>
      <c r="BU215" s="148" t="str">
        <f t="shared" si="111"/>
        <v/>
      </c>
      <c r="BV215" s="148" t="str">
        <f t="shared" si="112"/>
        <v/>
      </c>
      <c r="BW215" s="148" t="str">
        <f t="shared" si="113"/>
        <v/>
      </c>
      <c r="BX215" s="148" t="str">
        <f t="shared" si="114"/>
        <v/>
      </c>
      <c r="BY215" s="148" t="str">
        <f t="shared" si="115"/>
        <v/>
      </c>
      <c r="BZ215" s="149" t="str">
        <f>IFERROR(INDEX('Prescriptive Rebate Table'!$B$2:$E$64,MATCH(O215,'Prescriptive Rebate Table'!$C$2:$C$64,0),3),"")</f>
        <v/>
      </c>
      <c r="CA215" s="145" t="str">
        <f>IFERROR(INDEX('Prescriptive Rebate Table'!$B$2:$E$64,MATCH(O215,'Prescriptive Rebate Table'!$C$2:$C$64,0),4),"")</f>
        <v/>
      </c>
      <c r="CB215" s="149" t="str">
        <f t="shared" si="129"/>
        <v/>
      </c>
      <c r="CC215" s="145" t="str">
        <f t="shared" si="130"/>
        <v/>
      </c>
      <c r="CD215" s="149" t="str">
        <f t="shared" si="116"/>
        <v/>
      </c>
      <c r="CE215" s="149" t="str">
        <f t="shared" si="117"/>
        <v/>
      </c>
      <c r="CF215" s="149" t="str">
        <f>IF(BK215&lt;=0,0,IFERROR(IF(OR(ISBLANK(AC215),ISBLANK(CD215))=TRUE,"",IF(CA215="Per Foot",INDEX('Fixture Codes'!$I$8:$I$976,MATCH(AD215,'Fixture Codes'!$B$8:$B$976,0))/12*AF215*BZ215,IF(CA215="Lamp",INDEX('Fixture Codes'!$J$8:$J$976,MATCH(AD215,'Fixture Codes'!$B$8:$B$976,0))*AF215*BZ215,IF(CA215="Fixture",AF215*BZ215,IF(CA215="kWh",BK215*BZ215,0))))),""))</f>
        <v/>
      </c>
      <c r="CG215" s="149" t="str">
        <f t="shared" si="131"/>
        <v/>
      </c>
      <c r="CH215" s="149" t="str">
        <f t="shared" si="132"/>
        <v/>
      </c>
      <c r="CI215" s="152"/>
      <c r="CJ215" s="146"/>
      <c r="CK215" s="241">
        <f>IFERROR(IF(CL215="Yes",'Prescriptive Rebate Table'!$D$69,IF(ISBLANK(AI215),0,IF(AND(AH215=Lookups!$A$62,BK215&gt;0),'Prescriptive Rebate Table'!$D$68,IF(AND(BK215&gt;0,CJ215=AF215),'Prescriptive Rebate Table'!$D$67,IF(AND(BK215&gt;0,CJ215&lt;&gt;AF215),'Prescriptive Rebate Table'!D274,0))))),"")</f>
        <v>0</v>
      </c>
      <c r="CL215" s="240" t="s">
        <v>2712</v>
      </c>
      <c r="CM215" s="152"/>
      <c r="CN215" s="152"/>
      <c r="CO215" s="152"/>
      <c r="CP215" s="146">
        <f t="shared" si="118"/>
        <v>0</v>
      </c>
      <c r="CQ215" s="153">
        <f>IF(D215="Interior",ROUND(($AG215*AF215)/1000*$AM215*(Lookups!$B$54-$AA215)*$AN215*$AO215,3),0)</f>
        <v>0</v>
      </c>
      <c r="CR215" s="153">
        <f>IFERROR(IF(D215="Interior",ROUND(($AG215*$AF215)/1000*(Lookups!$C$54-$AB215)*$AN215*AQ215*AT215,6),0),"")</f>
        <v>0</v>
      </c>
      <c r="CS215" s="165">
        <f t="shared" si="133"/>
        <v>0</v>
      </c>
      <c r="CT215" s="165">
        <f t="shared" si="134"/>
        <v>0</v>
      </c>
      <c r="CV215" s="153"/>
      <c r="CW215" s="153"/>
      <c r="CX215" s="165"/>
      <c r="CY215" s="165"/>
      <c r="DA215" s="153">
        <f>IF(D215="Interior",ROUND(($AG215*AF215*(1-0.15))/1000*$AM215*(Lookups!$B$43+0.097-$AA215)*$AN215*$AO215+((W215*V215)/1000*AN215*AM215*AO215*0.15),3),0)</f>
        <v>0</v>
      </c>
      <c r="DB215" s="153">
        <f>IFERROR(IF(D215="Interior",ROUND(($AG215*$AF215)/1000*(Lookups!$C$43+0.097-$AB215)*$AN215*AQ215*AT215+(($AG215*$AF215)/1000*$AN215*AQ215*AT215*0.15),6),0),"")</f>
        <v>0</v>
      </c>
      <c r="DC215" s="165">
        <f t="shared" si="135"/>
        <v>0</v>
      </c>
      <c r="DD215" s="165">
        <f t="shared" si="136"/>
        <v>0</v>
      </c>
    </row>
    <row r="216" spans="1:108" s="164" customFormat="1">
      <c r="A216" s="150">
        <v>212</v>
      </c>
      <c r="B216" s="153" t="str">
        <f>IFERROR(INDEX(Lookups!$B$2:$B$38,MATCH('Project Info &amp; Summary'!$C$19,Lookups!$A$2:$A$38,0)),"")</f>
        <v/>
      </c>
      <c r="C216" s="153" t="str">
        <f>IFERROR(INDEX(Lookups!$C$2:$C$38,MATCH('Project Info &amp; Summary'!$C$19,Lookups!$A$2:$A$38,0)),"")</f>
        <v/>
      </c>
      <c r="D216" s="163"/>
      <c r="E216" s="160"/>
      <c r="F216" s="158"/>
      <c r="G216" s="158"/>
      <c r="H216" s="158"/>
      <c r="I216" s="158"/>
      <c r="J216" s="154" t="str">
        <f>IFERROR(INDEX(Lookups!$W$21:$W$26,MATCH(I216,Lookups!$V$21:$V$26,0)),"")</f>
        <v/>
      </c>
      <c r="K216" s="158"/>
      <c r="L216" s="162" t="str">
        <f>IFERROR(INDEX(Lookups!$Y$2:$Y$19,MATCH(_xlfn.CONCAT(I216,K216),Lookups!$X$2:$X$19,0)),"")</f>
        <v/>
      </c>
      <c r="M216" s="158"/>
      <c r="N216" s="153" t="str">
        <f>IFERROR(INDEX('Prescriptive Rebate Table'!$M$3:$M$20,MATCH(M216,'Prescriptive Rebate Table'!$L$3:$L$20,0)),"")</f>
        <v/>
      </c>
      <c r="O216" s="158"/>
      <c r="P216" s="154" t="str">
        <f>IFERROR(INDEX('Prescriptive Rebate Table'!$B$2:$H$64, MATCH(O216,'Prescriptive Rebate Table'!$C$2:$C$64,0),7),"")</f>
        <v/>
      </c>
      <c r="Q216" s="155" t="str">
        <f>IFERROR(INDEX('Prescriptive Rebate Table'!$B$2:$I$64, MATCH(O216,'Prescriptive Rebate Table'!$C$2:$C$64,0),8),"")</f>
        <v/>
      </c>
      <c r="R216" s="155" t="str">
        <f>IFERROR(INDEX('Prescriptive Rebate Table'!$B$2:$J$64, MATCH(O216,'Prescriptive Rebate Table'!$C$2:$C$64,0),9),"")</f>
        <v/>
      </c>
      <c r="S216" s="160"/>
      <c r="T216" s="145" t="str">
        <f>IFERROR(INDEX('Fixture Codes'!$M$8:$M$976,MATCH(S216,'Fixture Codes'!$B$8:$B$976,0)),"")</f>
        <v/>
      </c>
      <c r="U216" s="145" t="str">
        <f>IFERROR(INDEX('Fixture Codes'!$B$7:$M$976,MATCH(T216,'Fixture Codes'!$B$7:$B$976,0),5),"")</f>
        <v/>
      </c>
      <c r="V216" s="160"/>
      <c r="W216" s="145" t="str">
        <f>IFERROR(INDEX('Fixture Codes'!$L$8:$L$976,MATCH(T216,'Fixture Codes'!$B$8:$B$976,0)),"")</f>
        <v/>
      </c>
      <c r="X216" s="158"/>
      <c r="Y216" s="159"/>
      <c r="Z216" s="155" t="str">
        <f>IFERROR(INDEX(Lookups!B$68:B$87,MATCH($X216,Lookups!$A$68:$A$87,0)),"")</f>
        <v/>
      </c>
      <c r="AA216" s="150" t="str">
        <f>IFERROR(INDEX(Lookups!B$42:B$62,MATCH($X216,Lookups!$A$42:$A$62,0)),"")</f>
        <v/>
      </c>
      <c r="AB216" s="150" t="str">
        <f>IFERROR(INDEX(Lookups!C$42:C$62,MATCH($X216,Lookups!$A$42:$A$62,0)),"")</f>
        <v/>
      </c>
      <c r="AC216" s="160"/>
      <c r="AD216" s="160"/>
      <c r="AE216" s="150" t="str">
        <f>IFERROR(INDEX('Fixture Codes'!$B$7:$M$976,MATCH(AD216,'Fixture Codes'!$B$7:$B$976,0),5),"")</f>
        <v/>
      </c>
      <c r="AF216" s="160"/>
      <c r="AG216" s="145" t="str">
        <f>IFERROR(INDEX('Fixture Codes'!$L$8:$L$976,MATCH(AD216,'Fixture Codes'!$B$8:$B$976,0)),"")</f>
        <v/>
      </c>
      <c r="AH216" s="158"/>
      <c r="AI216" s="160"/>
      <c r="AJ216" s="150" t="str">
        <f>IFERROR(INDEX(Lookups!B$68:B$87,MATCH($AH216,Lookups!$A$68:$A$87,0)),"")</f>
        <v/>
      </c>
      <c r="AK216" s="150" t="str">
        <f>IFERROR(INDEX(Lookups!B$42:B$62,MATCH($AH216,Lookups!$A$42:$A$62,0)),"")</f>
        <v/>
      </c>
      <c r="AL216" s="150" t="str">
        <f>IFERROR(INDEX(Lookups!C$42:C$62,MATCH($AH216,Lookups!$A$42:$A$62,0)),"")</f>
        <v/>
      </c>
      <c r="AM216" s="150" t="str">
        <f>IFERROR(IF(M216="Exit Signs",8760,IF(INDEX('Fixture Codes'!$C$8:$C$976,MATCH(AD216,'Fixture Codes'!$B$8:$B$976,0))="Exit Sign",8760,INDEX(Lookups!$I$2:$I$428,MATCH(_xlfn.CONCAT(B216,H216),Lookups!$H$2:$H$428,0)))),"")</f>
        <v/>
      </c>
      <c r="AN216" s="153">
        <v>1</v>
      </c>
      <c r="AO216" s="150" t="str">
        <f>IF($D216="Interior",INDEX(Lookups!Q$2:Q$86,MATCH(_xlfn.CONCAT($C216,$L216),Lookups!$P$2:$P$86,0)),IF($D216="Exterior",1,""))</f>
        <v/>
      </c>
      <c r="AP216" s="150">
        <f t="shared" si="119"/>
        <v>1</v>
      </c>
      <c r="AQ216" s="150" t="str">
        <f>IF($D216="Interior",INDEX(Lookups!R$2:R$86,MATCH(_xlfn.CONCAT($C216,$L216),Lookups!$P$2:$P$86,0)),IF($D216="Exterior",1,""))</f>
        <v/>
      </c>
      <c r="AR216" s="150" t="str">
        <f>IF($D216="Interior",INDEX(Lookups!S$2:S$86,MATCH(_xlfn.CONCAT($C216,$L216),Lookups!$P$2:$P$86,0)),IF($D216="Exterior",1,""))</f>
        <v/>
      </c>
      <c r="AS216" s="150" t="str">
        <f>IF($D216="Interior",INDEX(Lookups!T$2:T$86,MATCH(_xlfn.CONCAT($C216,$L216),Lookups!$P$2:$P$86,0)),IF($D216="Exterior",1,""))</f>
        <v/>
      </c>
      <c r="AT216" s="150" t="str">
        <f>IFERROR(IF(M216="Exit Signs",1,IF(INDEX('Fixture Codes'!$C$8:$C$976,MATCH($AD216,'Fixture Codes'!$B$8:$B$976,0))="Exit Sign",1,INDEX(Lookups!J$2:J$428,MATCH(_xlfn.CONCAT($B216,$H216),Lookups!$H$2:$H$428,0)))),"")</f>
        <v/>
      </c>
      <c r="AU216" s="150" t="str">
        <f>IFERROR(IF(M216="Exit Signs",1,IF(INDEX('Fixture Codes'!$C$8:$C$976,MATCH($AD216,'Fixture Codes'!$B$8:$B$976,0))="Exit Sign",1,INDEX(Lookups!K$2:K$428,MATCH(_xlfn.CONCAT($B216,$H216),Lookups!$H$2:$H$428,0)))),"")</f>
        <v/>
      </c>
      <c r="AV216" s="150" t="str">
        <f>IFERROR(IF(M216="Exit Signs",1,IF(INDEX('Fixture Codes'!$C$8:$C$976,MATCH($AD216,'Fixture Codes'!$B$8:$B$976,0))="Exit Sign",1,INDEX(Lookups!L$2:L$428,MATCH(_xlfn.CONCAT($B216,$H216),Lookups!$H$2:$H$428,0)))),"")</f>
        <v/>
      </c>
      <c r="AW216" s="150" t="str">
        <f>IF(ISBLANK(K216),"",IF(K216="Gas",INDEX(Lookups!$AG$2:$AG$63,MATCH(O216,Lookups!$AD$2:$AD$63,0),0),0))</f>
        <v/>
      </c>
      <c r="AX216" s="150" t="str">
        <f>IF(ISBLANK(K216),"",IF(K216="Gas",INDEX(Lookups!$AF$2:$AF$63,MATCH(O216,Lookups!$AD$2:$AD$63,0),0),0))</f>
        <v/>
      </c>
      <c r="AY216" s="150" t="str">
        <f>IF(ISBLANK(K216),"",IF(K216="Gas",INDEX(Lookups!$AH$2:$AH$63,MATCH(O216,Lookups!$AD$2:$AD$63,0),0),0))</f>
        <v/>
      </c>
      <c r="AZ216" s="150" t="str">
        <f>IF(ISBLANK(K216),"",IF(K216="Gas",INDEX(Lookups!$AI$2:$AI$63,MATCH(O216,Lookups!$AD$2:$AD$63,0),0),0))</f>
        <v/>
      </c>
      <c r="BA216" s="150" t="str">
        <f t="shared" si="106"/>
        <v/>
      </c>
      <c r="BB216" s="156" t="str">
        <f>IF(ISBLANK(AH216),"",IF(AH216="None",0,IF(K216="Gas",INDEX(Lookups!$AF$51:$AF$69,MATCH(AH216,Lookups!$AD$51:$AD$69,0),0),0)))</f>
        <v/>
      </c>
      <c r="BC216" s="156" t="str">
        <f>IF(ISBLANK(AH216),"",IF(AH216="None",0,IF(K216="Gas",INDEX(Lookups!$AH$51:$AH$69,MATCH(AH216,Lookups!$AD$51:$AD$69,0),0),0)))</f>
        <v/>
      </c>
      <c r="BD216" s="156" t="str">
        <f>IF(ISBLANK(AH216),"",IF(AH216="None",0,IF(K216="Gas",INDEX(Lookups!$AI$51:$AI$69,MATCH(AH216,Lookups!$AD$51:$AD$69,0),0),0)))</f>
        <v/>
      </c>
      <c r="BE216" s="157"/>
      <c r="BF216" s="157"/>
      <c r="BG216" s="147" t="str">
        <f t="shared" si="120"/>
        <v/>
      </c>
      <c r="BH216" s="147" t="str">
        <f t="shared" si="121"/>
        <v/>
      </c>
      <c r="BI216" s="147" t="str">
        <f t="shared" si="107"/>
        <v/>
      </c>
      <c r="BJ216" s="147" t="str">
        <f t="shared" si="108"/>
        <v/>
      </c>
      <c r="BK216" s="148" t="str">
        <f t="shared" si="122"/>
        <v/>
      </c>
      <c r="BL216" s="147" t="str">
        <f t="shared" si="109"/>
        <v/>
      </c>
      <c r="BM216" s="148" t="str">
        <f t="shared" si="123"/>
        <v/>
      </c>
      <c r="BN216" s="147" t="str">
        <f t="shared" si="124"/>
        <v/>
      </c>
      <c r="BO216" s="147" t="str">
        <f t="shared" si="124"/>
        <v/>
      </c>
      <c r="BP216" s="147" t="str">
        <f t="shared" si="125"/>
        <v/>
      </c>
      <c r="BQ216" s="148" t="str">
        <f t="shared" si="126"/>
        <v/>
      </c>
      <c r="BR216" s="148" t="str">
        <f t="shared" si="127"/>
        <v/>
      </c>
      <c r="BS216" s="148" t="str">
        <f t="shared" si="128"/>
        <v/>
      </c>
      <c r="BT216" s="148" t="str">
        <f t="shared" si="110"/>
        <v/>
      </c>
      <c r="BU216" s="148" t="str">
        <f t="shared" si="111"/>
        <v/>
      </c>
      <c r="BV216" s="148" t="str">
        <f t="shared" si="112"/>
        <v/>
      </c>
      <c r="BW216" s="148" t="str">
        <f t="shared" si="113"/>
        <v/>
      </c>
      <c r="BX216" s="148" t="str">
        <f t="shared" si="114"/>
        <v/>
      </c>
      <c r="BY216" s="148" t="str">
        <f t="shared" si="115"/>
        <v/>
      </c>
      <c r="BZ216" s="149" t="str">
        <f>IFERROR(INDEX('Prescriptive Rebate Table'!$B$2:$E$64,MATCH(O216,'Prescriptive Rebate Table'!$C$2:$C$64,0),3),"")</f>
        <v/>
      </c>
      <c r="CA216" s="145" t="str">
        <f>IFERROR(INDEX('Prescriptive Rebate Table'!$B$2:$E$64,MATCH(O216,'Prescriptive Rebate Table'!$C$2:$C$64,0),4),"")</f>
        <v/>
      </c>
      <c r="CB216" s="149" t="str">
        <f t="shared" si="129"/>
        <v/>
      </c>
      <c r="CC216" s="145" t="str">
        <f t="shared" si="130"/>
        <v/>
      </c>
      <c r="CD216" s="149" t="str">
        <f t="shared" si="116"/>
        <v/>
      </c>
      <c r="CE216" s="149" t="str">
        <f t="shared" si="117"/>
        <v/>
      </c>
      <c r="CF216" s="149" t="str">
        <f>IF(BK216&lt;=0,0,IFERROR(IF(OR(ISBLANK(AC216),ISBLANK(CD216))=TRUE,"",IF(CA216="Per Foot",INDEX('Fixture Codes'!$I$8:$I$976,MATCH(AD216,'Fixture Codes'!$B$8:$B$976,0))/12*AF216*BZ216,IF(CA216="Lamp",INDEX('Fixture Codes'!$J$8:$J$976,MATCH(AD216,'Fixture Codes'!$B$8:$B$976,0))*AF216*BZ216,IF(CA216="Fixture",AF216*BZ216,IF(CA216="kWh",BK216*BZ216,0))))),""))</f>
        <v/>
      </c>
      <c r="CG216" s="149" t="str">
        <f t="shared" si="131"/>
        <v/>
      </c>
      <c r="CH216" s="149" t="str">
        <f t="shared" si="132"/>
        <v/>
      </c>
      <c r="CI216" s="152"/>
      <c r="CJ216" s="146"/>
      <c r="CK216" s="241">
        <f>IFERROR(IF(CL216="Yes",'Prescriptive Rebate Table'!$D$69,IF(ISBLANK(AI216),0,IF(AND(AH216=Lookups!$A$62,BK216&gt;0),'Prescriptive Rebate Table'!$D$68,IF(AND(BK216&gt;0,CJ216=AF216),'Prescriptive Rebate Table'!$D$67,IF(AND(BK216&gt;0,CJ216&lt;&gt;AF216),'Prescriptive Rebate Table'!D275,0))))),"")</f>
        <v>0</v>
      </c>
      <c r="CL216" s="240" t="s">
        <v>2712</v>
      </c>
      <c r="CM216" s="152"/>
      <c r="CN216" s="152"/>
      <c r="CO216" s="152"/>
      <c r="CP216" s="146">
        <f t="shared" si="118"/>
        <v>0</v>
      </c>
      <c r="CQ216" s="153">
        <f>IF(D216="Interior",ROUND(($AG216*AF216)/1000*$AM216*(Lookups!$B$54-$AA216)*$AN216*$AO216,3),0)</f>
        <v>0</v>
      </c>
      <c r="CR216" s="153">
        <f>IFERROR(IF(D216="Interior",ROUND(($AG216*$AF216)/1000*(Lookups!$C$54-$AB216)*$AN216*AQ216*AT216,6),0),"")</f>
        <v>0</v>
      </c>
      <c r="CS216" s="165">
        <f t="shared" si="133"/>
        <v>0</v>
      </c>
      <c r="CT216" s="165">
        <f t="shared" si="134"/>
        <v>0</v>
      </c>
      <c r="CV216" s="153"/>
      <c r="CW216" s="153"/>
      <c r="CX216" s="165"/>
      <c r="CY216" s="165"/>
      <c r="DA216" s="153">
        <f>IF(D216="Interior",ROUND(($AG216*AF216*(1-0.15))/1000*$AM216*(Lookups!$B$43+0.097-$AA216)*$AN216*$AO216+((W216*V216)/1000*AN216*AM216*AO216*0.15),3),0)</f>
        <v>0</v>
      </c>
      <c r="DB216" s="153">
        <f>IFERROR(IF(D216="Interior",ROUND(($AG216*$AF216)/1000*(Lookups!$C$43+0.097-$AB216)*$AN216*AQ216*AT216+(($AG216*$AF216)/1000*$AN216*AQ216*AT216*0.15),6),0),"")</f>
        <v>0</v>
      </c>
      <c r="DC216" s="165">
        <f t="shared" si="135"/>
        <v>0</v>
      </c>
      <c r="DD216" s="165">
        <f t="shared" si="136"/>
        <v>0</v>
      </c>
    </row>
    <row r="217" spans="1:108" s="164" customFormat="1">
      <c r="A217" s="150">
        <v>213</v>
      </c>
      <c r="B217" s="153" t="str">
        <f>IFERROR(INDEX(Lookups!$B$2:$B$38,MATCH('Project Info &amp; Summary'!$C$19,Lookups!$A$2:$A$38,0)),"")</f>
        <v/>
      </c>
      <c r="C217" s="153" t="str">
        <f>IFERROR(INDEX(Lookups!$C$2:$C$38,MATCH('Project Info &amp; Summary'!$C$19,Lookups!$A$2:$A$38,0)),"")</f>
        <v/>
      </c>
      <c r="D217" s="163"/>
      <c r="E217" s="160"/>
      <c r="F217" s="158"/>
      <c r="G217" s="158"/>
      <c r="H217" s="158"/>
      <c r="I217" s="158"/>
      <c r="J217" s="154" t="str">
        <f>IFERROR(INDEX(Lookups!$W$21:$W$26,MATCH(I217,Lookups!$V$21:$V$26,0)),"")</f>
        <v/>
      </c>
      <c r="K217" s="158"/>
      <c r="L217" s="162" t="str">
        <f>IFERROR(INDEX(Lookups!$Y$2:$Y$19,MATCH(_xlfn.CONCAT(I217,K217),Lookups!$X$2:$X$19,0)),"")</f>
        <v/>
      </c>
      <c r="M217" s="158"/>
      <c r="N217" s="153" t="str">
        <f>IFERROR(INDEX('Prescriptive Rebate Table'!$M$3:$M$20,MATCH(M217,'Prescriptive Rebate Table'!$L$3:$L$20,0)),"")</f>
        <v/>
      </c>
      <c r="O217" s="158"/>
      <c r="P217" s="154" t="str">
        <f>IFERROR(INDEX('Prescriptive Rebate Table'!$B$2:$H$64, MATCH(O217,'Prescriptive Rebate Table'!$C$2:$C$64,0),7),"")</f>
        <v/>
      </c>
      <c r="Q217" s="155" t="str">
        <f>IFERROR(INDEX('Prescriptive Rebate Table'!$B$2:$I$64, MATCH(O217,'Prescriptive Rebate Table'!$C$2:$C$64,0),8),"")</f>
        <v/>
      </c>
      <c r="R217" s="155" t="str">
        <f>IFERROR(INDEX('Prescriptive Rebate Table'!$B$2:$J$64, MATCH(O217,'Prescriptive Rebate Table'!$C$2:$C$64,0),9),"")</f>
        <v/>
      </c>
      <c r="S217" s="160"/>
      <c r="T217" s="145" t="str">
        <f>IFERROR(INDEX('Fixture Codes'!$M$8:$M$976,MATCH(S217,'Fixture Codes'!$B$8:$B$976,0)),"")</f>
        <v/>
      </c>
      <c r="U217" s="145" t="str">
        <f>IFERROR(INDEX('Fixture Codes'!$B$7:$M$976,MATCH(T217,'Fixture Codes'!$B$7:$B$976,0),5),"")</f>
        <v/>
      </c>
      <c r="V217" s="160"/>
      <c r="W217" s="145" t="str">
        <f>IFERROR(INDEX('Fixture Codes'!$L$8:$L$976,MATCH(T217,'Fixture Codes'!$B$8:$B$976,0)),"")</f>
        <v/>
      </c>
      <c r="X217" s="158"/>
      <c r="Y217" s="159"/>
      <c r="Z217" s="155" t="str">
        <f>IFERROR(INDEX(Lookups!B$68:B$87,MATCH($X217,Lookups!$A$68:$A$87,0)),"")</f>
        <v/>
      </c>
      <c r="AA217" s="150" t="str">
        <f>IFERROR(INDEX(Lookups!B$42:B$62,MATCH($X217,Lookups!$A$42:$A$62,0)),"")</f>
        <v/>
      </c>
      <c r="AB217" s="150" t="str">
        <f>IFERROR(INDEX(Lookups!C$42:C$62,MATCH($X217,Lookups!$A$42:$A$62,0)),"")</f>
        <v/>
      </c>
      <c r="AC217" s="160"/>
      <c r="AD217" s="160"/>
      <c r="AE217" s="150" t="str">
        <f>IFERROR(INDEX('Fixture Codes'!$B$7:$M$976,MATCH(AD217,'Fixture Codes'!$B$7:$B$976,0),5),"")</f>
        <v/>
      </c>
      <c r="AF217" s="160"/>
      <c r="AG217" s="145" t="str">
        <f>IFERROR(INDEX('Fixture Codes'!$L$8:$L$976,MATCH(AD217,'Fixture Codes'!$B$8:$B$976,0)),"")</f>
        <v/>
      </c>
      <c r="AH217" s="158"/>
      <c r="AI217" s="160"/>
      <c r="AJ217" s="150" t="str">
        <f>IFERROR(INDEX(Lookups!B$68:B$87,MATCH($AH217,Lookups!$A$68:$A$87,0)),"")</f>
        <v/>
      </c>
      <c r="AK217" s="150" t="str">
        <f>IFERROR(INDEX(Lookups!B$42:B$62,MATCH($AH217,Lookups!$A$42:$A$62,0)),"")</f>
        <v/>
      </c>
      <c r="AL217" s="150" t="str">
        <f>IFERROR(INDEX(Lookups!C$42:C$62,MATCH($AH217,Lookups!$A$42:$A$62,0)),"")</f>
        <v/>
      </c>
      <c r="AM217" s="150" t="str">
        <f>IFERROR(IF(M217="Exit Signs",8760,IF(INDEX('Fixture Codes'!$C$8:$C$976,MATCH(AD217,'Fixture Codes'!$B$8:$B$976,0))="Exit Sign",8760,INDEX(Lookups!$I$2:$I$428,MATCH(_xlfn.CONCAT(B217,H217),Lookups!$H$2:$H$428,0)))),"")</f>
        <v/>
      </c>
      <c r="AN217" s="153">
        <v>1</v>
      </c>
      <c r="AO217" s="150" t="str">
        <f>IF($D217="Interior",INDEX(Lookups!Q$2:Q$86,MATCH(_xlfn.CONCAT($C217,$L217),Lookups!$P$2:$P$86,0)),IF($D217="Exterior",1,""))</f>
        <v/>
      </c>
      <c r="AP217" s="150">
        <f t="shared" si="119"/>
        <v>1</v>
      </c>
      <c r="AQ217" s="150" t="str">
        <f>IF($D217="Interior",INDEX(Lookups!R$2:R$86,MATCH(_xlfn.CONCAT($C217,$L217),Lookups!$P$2:$P$86,0)),IF($D217="Exterior",1,""))</f>
        <v/>
      </c>
      <c r="AR217" s="150" t="str">
        <f>IF($D217="Interior",INDEX(Lookups!S$2:S$86,MATCH(_xlfn.CONCAT($C217,$L217),Lookups!$P$2:$P$86,0)),IF($D217="Exterior",1,""))</f>
        <v/>
      </c>
      <c r="AS217" s="150" t="str">
        <f>IF($D217="Interior",INDEX(Lookups!T$2:T$86,MATCH(_xlfn.CONCAT($C217,$L217),Lookups!$P$2:$P$86,0)),IF($D217="Exterior",1,""))</f>
        <v/>
      </c>
      <c r="AT217" s="150" t="str">
        <f>IFERROR(IF(M217="Exit Signs",1,IF(INDEX('Fixture Codes'!$C$8:$C$976,MATCH($AD217,'Fixture Codes'!$B$8:$B$976,0))="Exit Sign",1,INDEX(Lookups!J$2:J$428,MATCH(_xlfn.CONCAT($B217,$H217),Lookups!$H$2:$H$428,0)))),"")</f>
        <v/>
      </c>
      <c r="AU217" s="150" t="str">
        <f>IFERROR(IF(M217="Exit Signs",1,IF(INDEX('Fixture Codes'!$C$8:$C$976,MATCH($AD217,'Fixture Codes'!$B$8:$B$976,0))="Exit Sign",1,INDEX(Lookups!K$2:K$428,MATCH(_xlfn.CONCAT($B217,$H217),Lookups!$H$2:$H$428,0)))),"")</f>
        <v/>
      </c>
      <c r="AV217" s="150" t="str">
        <f>IFERROR(IF(M217="Exit Signs",1,IF(INDEX('Fixture Codes'!$C$8:$C$976,MATCH($AD217,'Fixture Codes'!$B$8:$B$976,0))="Exit Sign",1,INDEX(Lookups!L$2:L$428,MATCH(_xlfn.CONCAT($B217,$H217),Lookups!$H$2:$H$428,0)))),"")</f>
        <v/>
      </c>
      <c r="AW217" s="150" t="str">
        <f>IF(ISBLANK(K217),"",IF(K217="Gas",INDEX(Lookups!$AG$2:$AG$63,MATCH(O217,Lookups!$AD$2:$AD$63,0),0),0))</f>
        <v/>
      </c>
      <c r="AX217" s="150" t="str">
        <f>IF(ISBLANK(K217),"",IF(K217="Gas",INDEX(Lookups!$AF$2:$AF$63,MATCH(O217,Lookups!$AD$2:$AD$63,0),0),0))</f>
        <v/>
      </c>
      <c r="AY217" s="150" t="str">
        <f>IF(ISBLANK(K217),"",IF(K217="Gas",INDEX(Lookups!$AH$2:$AH$63,MATCH(O217,Lookups!$AD$2:$AD$63,0),0),0))</f>
        <v/>
      </c>
      <c r="AZ217" s="150" t="str">
        <f>IF(ISBLANK(K217),"",IF(K217="Gas",INDEX(Lookups!$AI$2:$AI$63,MATCH(O217,Lookups!$AD$2:$AD$63,0),0),0))</f>
        <v/>
      </c>
      <c r="BA217" s="150" t="str">
        <f t="shared" si="106"/>
        <v/>
      </c>
      <c r="BB217" s="156" t="str">
        <f>IF(ISBLANK(AH217),"",IF(AH217="None",0,IF(K217="Gas",INDEX(Lookups!$AF$51:$AF$69,MATCH(AH217,Lookups!$AD$51:$AD$69,0),0),0)))</f>
        <v/>
      </c>
      <c r="BC217" s="156" t="str">
        <f>IF(ISBLANK(AH217),"",IF(AH217="None",0,IF(K217="Gas",INDEX(Lookups!$AH$51:$AH$69,MATCH(AH217,Lookups!$AD$51:$AD$69,0),0),0)))</f>
        <v/>
      </c>
      <c r="BD217" s="156" t="str">
        <f>IF(ISBLANK(AH217),"",IF(AH217="None",0,IF(K217="Gas",INDEX(Lookups!$AI$51:$AI$69,MATCH(AH217,Lookups!$AD$51:$AD$69,0),0),0)))</f>
        <v/>
      </c>
      <c r="BE217" s="157"/>
      <c r="BF217" s="157"/>
      <c r="BG217" s="147" t="str">
        <f t="shared" si="120"/>
        <v/>
      </c>
      <c r="BH217" s="147" t="str">
        <f t="shared" si="121"/>
        <v/>
      </c>
      <c r="BI217" s="147" t="str">
        <f t="shared" si="107"/>
        <v/>
      </c>
      <c r="BJ217" s="147" t="str">
        <f t="shared" si="108"/>
        <v/>
      </c>
      <c r="BK217" s="148" t="str">
        <f t="shared" si="122"/>
        <v/>
      </c>
      <c r="BL217" s="147" t="str">
        <f t="shared" si="109"/>
        <v/>
      </c>
      <c r="BM217" s="148" t="str">
        <f t="shared" si="123"/>
        <v/>
      </c>
      <c r="BN217" s="147" t="str">
        <f t="shared" si="124"/>
        <v/>
      </c>
      <c r="BO217" s="147" t="str">
        <f t="shared" si="124"/>
        <v/>
      </c>
      <c r="BP217" s="147" t="str">
        <f t="shared" si="125"/>
        <v/>
      </c>
      <c r="BQ217" s="148" t="str">
        <f t="shared" si="126"/>
        <v/>
      </c>
      <c r="BR217" s="148" t="str">
        <f t="shared" si="127"/>
        <v/>
      </c>
      <c r="BS217" s="148" t="str">
        <f t="shared" si="128"/>
        <v/>
      </c>
      <c r="BT217" s="148" t="str">
        <f t="shared" si="110"/>
        <v/>
      </c>
      <c r="BU217" s="148" t="str">
        <f t="shared" si="111"/>
        <v/>
      </c>
      <c r="BV217" s="148" t="str">
        <f t="shared" si="112"/>
        <v/>
      </c>
      <c r="BW217" s="148" t="str">
        <f t="shared" si="113"/>
        <v/>
      </c>
      <c r="BX217" s="148" t="str">
        <f t="shared" si="114"/>
        <v/>
      </c>
      <c r="BY217" s="148" t="str">
        <f t="shared" si="115"/>
        <v/>
      </c>
      <c r="BZ217" s="149" t="str">
        <f>IFERROR(INDEX('Prescriptive Rebate Table'!$B$2:$E$64,MATCH(O217,'Prescriptive Rebate Table'!$C$2:$C$64,0),3),"")</f>
        <v/>
      </c>
      <c r="CA217" s="145" t="str">
        <f>IFERROR(INDEX('Prescriptive Rebate Table'!$B$2:$E$64,MATCH(O217,'Prescriptive Rebate Table'!$C$2:$C$64,0),4),"")</f>
        <v/>
      </c>
      <c r="CB217" s="149" t="str">
        <f t="shared" si="129"/>
        <v/>
      </c>
      <c r="CC217" s="145" t="str">
        <f t="shared" si="130"/>
        <v/>
      </c>
      <c r="CD217" s="149" t="str">
        <f t="shared" si="116"/>
        <v/>
      </c>
      <c r="CE217" s="149" t="str">
        <f t="shared" si="117"/>
        <v/>
      </c>
      <c r="CF217" s="149" t="str">
        <f>IF(BK217&lt;=0,0,IFERROR(IF(OR(ISBLANK(AC217),ISBLANK(CD217))=TRUE,"",IF(CA217="Per Foot",INDEX('Fixture Codes'!$I$8:$I$976,MATCH(AD217,'Fixture Codes'!$B$8:$B$976,0))/12*AF217*BZ217,IF(CA217="Lamp",INDEX('Fixture Codes'!$J$8:$J$976,MATCH(AD217,'Fixture Codes'!$B$8:$B$976,0))*AF217*BZ217,IF(CA217="Fixture",AF217*BZ217,IF(CA217="kWh",BK217*BZ217,0))))),""))</f>
        <v/>
      </c>
      <c r="CG217" s="149" t="str">
        <f t="shared" si="131"/>
        <v/>
      </c>
      <c r="CH217" s="149" t="str">
        <f t="shared" si="132"/>
        <v/>
      </c>
      <c r="CI217" s="152"/>
      <c r="CJ217" s="146"/>
      <c r="CK217" s="241">
        <f>IFERROR(IF(CL217="Yes",'Prescriptive Rebate Table'!$D$69,IF(ISBLANK(AI217),0,IF(AND(AH217=Lookups!$A$62,BK217&gt;0),'Prescriptive Rebate Table'!$D$68,IF(AND(BK217&gt;0,CJ217=AF217),'Prescriptive Rebate Table'!$D$67,IF(AND(BK217&gt;0,CJ217&lt;&gt;AF217),'Prescriptive Rebate Table'!D276,0))))),"")</f>
        <v>0</v>
      </c>
      <c r="CL217" s="240" t="s">
        <v>2712</v>
      </c>
      <c r="CM217" s="152"/>
      <c r="CN217" s="152"/>
      <c r="CO217" s="152"/>
      <c r="CP217" s="146">
        <f t="shared" si="118"/>
        <v>0</v>
      </c>
      <c r="CQ217" s="153">
        <f>IF(D217="Interior",ROUND(($AG217*AF217)/1000*$AM217*(Lookups!$B$54-$AA217)*$AN217*$AO217,3),0)</f>
        <v>0</v>
      </c>
      <c r="CR217" s="153">
        <f>IFERROR(IF(D217="Interior",ROUND(($AG217*$AF217)/1000*(Lookups!$C$54-$AB217)*$AN217*AQ217*AT217,6),0),"")</f>
        <v>0</v>
      </c>
      <c r="CS217" s="165">
        <f t="shared" si="133"/>
        <v>0</v>
      </c>
      <c r="CT217" s="165">
        <f t="shared" si="134"/>
        <v>0</v>
      </c>
      <c r="CV217" s="153"/>
      <c r="CW217" s="153"/>
      <c r="CX217" s="165"/>
      <c r="CY217" s="165"/>
      <c r="DA217" s="153">
        <f>IF(D217="Interior",ROUND(($AG217*AF217*(1-0.15))/1000*$AM217*(Lookups!$B$43+0.097-$AA217)*$AN217*$AO217+((W217*V217)/1000*AN217*AM217*AO217*0.15),3),0)</f>
        <v>0</v>
      </c>
      <c r="DB217" s="153">
        <f>IFERROR(IF(D217="Interior",ROUND(($AG217*$AF217)/1000*(Lookups!$C$43+0.097-$AB217)*$AN217*AQ217*AT217+(($AG217*$AF217)/1000*$AN217*AQ217*AT217*0.15),6),0),"")</f>
        <v>0</v>
      </c>
      <c r="DC217" s="165">
        <f t="shared" si="135"/>
        <v>0</v>
      </c>
      <c r="DD217" s="165">
        <f t="shared" si="136"/>
        <v>0</v>
      </c>
    </row>
    <row r="218" spans="1:108" s="164" customFormat="1">
      <c r="A218" s="150">
        <v>214</v>
      </c>
      <c r="B218" s="153" t="str">
        <f>IFERROR(INDEX(Lookups!$B$2:$B$38,MATCH('Project Info &amp; Summary'!$C$19,Lookups!$A$2:$A$38,0)),"")</f>
        <v/>
      </c>
      <c r="C218" s="153" t="str">
        <f>IFERROR(INDEX(Lookups!$C$2:$C$38,MATCH('Project Info &amp; Summary'!$C$19,Lookups!$A$2:$A$38,0)),"")</f>
        <v/>
      </c>
      <c r="D218" s="163"/>
      <c r="E218" s="160"/>
      <c r="F218" s="158"/>
      <c r="G218" s="158"/>
      <c r="H218" s="158"/>
      <c r="I218" s="158"/>
      <c r="J218" s="154" t="str">
        <f>IFERROR(INDEX(Lookups!$W$21:$W$26,MATCH(I218,Lookups!$V$21:$V$26,0)),"")</f>
        <v/>
      </c>
      <c r="K218" s="158"/>
      <c r="L218" s="162" t="str">
        <f>IFERROR(INDEX(Lookups!$Y$2:$Y$19,MATCH(_xlfn.CONCAT(I218,K218),Lookups!$X$2:$X$19,0)),"")</f>
        <v/>
      </c>
      <c r="M218" s="158"/>
      <c r="N218" s="153" t="str">
        <f>IFERROR(INDEX('Prescriptive Rebate Table'!$M$3:$M$20,MATCH(M218,'Prescriptive Rebate Table'!$L$3:$L$20,0)),"")</f>
        <v/>
      </c>
      <c r="O218" s="158"/>
      <c r="P218" s="154" t="str">
        <f>IFERROR(INDEX('Prescriptive Rebate Table'!$B$2:$H$64, MATCH(O218,'Prescriptive Rebate Table'!$C$2:$C$64,0),7),"")</f>
        <v/>
      </c>
      <c r="Q218" s="155" t="str">
        <f>IFERROR(INDEX('Prescriptive Rebate Table'!$B$2:$I$64, MATCH(O218,'Prescriptive Rebate Table'!$C$2:$C$64,0),8),"")</f>
        <v/>
      </c>
      <c r="R218" s="155" t="str">
        <f>IFERROR(INDEX('Prescriptive Rebate Table'!$B$2:$J$64, MATCH(O218,'Prescriptive Rebate Table'!$C$2:$C$64,0),9),"")</f>
        <v/>
      </c>
      <c r="S218" s="160"/>
      <c r="T218" s="145" t="str">
        <f>IFERROR(INDEX('Fixture Codes'!$M$8:$M$976,MATCH(S218,'Fixture Codes'!$B$8:$B$976,0)),"")</f>
        <v/>
      </c>
      <c r="U218" s="145" t="str">
        <f>IFERROR(INDEX('Fixture Codes'!$B$7:$M$976,MATCH(T218,'Fixture Codes'!$B$7:$B$976,0),5),"")</f>
        <v/>
      </c>
      <c r="V218" s="160"/>
      <c r="W218" s="145" t="str">
        <f>IFERROR(INDEX('Fixture Codes'!$L$8:$L$976,MATCH(T218,'Fixture Codes'!$B$8:$B$976,0)),"")</f>
        <v/>
      </c>
      <c r="X218" s="158"/>
      <c r="Y218" s="159"/>
      <c r="Z218" s="155" t="str">
        <f>IFERROR(INDEX(Lookups!B$68:B$87,MATCH($X218,Lookups!$A$68:$A$87,0)),"")</f>
        <v/>
      </c>
      <c r="AA218" s="150" t="str">
        <f>IFERROR(INDEX(Lookups!B$42:B$62,MATCH($X218,Lookups!$A$42:$A$62,0)),"")</f>
        <v/>
      </c>
      <c r="AB218" s="150" t="str">
        <f>IFERROR(INDEX(Lookups!C$42:C$62,MATCH($X218,Lookups!$A$42:$A$62,0)),"")</f>
        <v/>
      </c>
      <c r="AC218" s="160"/>
      <c r="AD218" s="160"/>
      <c r="AE218" s="150" t="str">
        <f>IFERROR(INDEX('Fixture Codes'!$B$7:$M$976,MATCH(AD218,'Fixture Codes'!$B$7:$B$976,0),5),"")</f>
        <v/>
      </c>
      <c r="AF218" s="160"/>
      <c r="AG218" s="145" t="str">
        <f>IFERROR(INDEX('Fixture Codes'!$L$8:$L$976,MATCH(AD218,'Fixture Codes'!$B$8:$B$976,0)),"")</f>
        <v/>
      </c>
      <c r="AH218" s="158"/>
      <c r="AI218" s="160"/>
      <c r="AJ218" s="150" t="str">
        <f>IFERROR(INDEX(Lookups!B$68:B$87,MATCH($AH218,Lookups!$A$68:$A$87,0)),"")</f>
        <v/>
      </c>
      <c r="AK218" s="150" t="str">
        <f>IFERROR(INDEX(Lookups!B$42:B$62,MATCH($AH218,Lookups!$A$42:$A$62,0)),"")</f>
        <v/>
      </c>
      <c r="AL218" s="150" t="str">
        <f>IFERROR(INDEX(Lookups!C$42:C$62,MATCH($AH218,Lookups!$A$42:$A$62,0)),"")</f>
        <v/>
      </c>
      <c r="AM218" s="150" t="str">
        <f>IFERROR(IF(M218="Exit Signs",8760,IF(INDEX('Fixture Codes'!$C$8:$C$976,MATCH(AD218,'Fixture Codes'!$B$8:$B$976,0))="Exit Sign",8760,INDEX(Lookups!$I$2:$I$428,MATCH(_xlfn.CONCAT(B218,H218),Lookups!$H$2:$H$428,0)))),"")</f>
        <v/>
      </c>
      <c r="AN218" s="153">
        <v>1</v>
      </c>
      <c r="AO218" s="150" t="str">
        <f>IF($D218="Interior",INDEX(Lookups!Q$2:Q$86,MATCH(_xlfn.CONCAT($C218,$L218),Lookups!$P$2:$P$86,0)),IF($D218="Exterior",1,""))</f>
        <v/>
      </c>
      <c r="AP218" s="150">
        <f t="shared" si="119"/>
        <v>1</v>
      </c>
      <c r="AQ218" s="150" t="str">
        <f>IF($D218="Interior",INDEX(Lookups!R$2:R$86,MATCH(_xlfn.CONCAT($C218,$L218),Lookups!$P$2:$P$86,0)),IF($D218="Exterior",1,""))</f>
        <v/>
      </c>
      <c r="AR218" s="150" t="str">
        <f>IF($D218="Interior",INDEX(Lookups!S$2:S$86,MATCH(_xlfn.CONCAT($C218,$L218),Lookups!$P$2:$P$86,0)),IF($D218="Exterior",1,""))</f>
        <v/>
      </c>
      <c r="AS218" s="150" t="str">
        <f>IF($D218="Interior",INDEX(Lookups!T$2:T$86,MATCH(_xlfn.CONCAT($C218,$L218),Lookups!$P$2:$P$86,0)),IF($D218="Exterior",1,""))</f>
        <v/>
      </c>
      <c r="AT218" s="150" t="str">
        <f>IFERROR(IF(M218="Exit Signs",1,IF(INDEX('Fixture Codes'!$C$8:$C$976,MATCH($AD218,'Fixture Codes'!$B$8:$B$976,0))="Exit Sign",1,INDEX(Lookups!J$2:J$428,MATCH(_xlfn.CONCAT($B218,$H218),Lookups!$H$2:$H$428,0)))),"")</f>
        <v/>
      </c>
      <c r="AU218" s="150" t="str">
        <f>IFERROR(IF(M218="Exit Signs",1,IF(INDEX('Fixture Codes'!$C$8:$C$976,MATCH($AD218,'Fixture Codes'!$B$8:$B$976,0))="Exit Sign",1,INDEX(Lookups!K$2:K$428,MATCH(_xlfn.CONCAT($B218,$H218),Lookups!$H$2:$H$428,0)))),"")</f>
        <v/>
      </c>
      <c r="AV218" s="150" t="str">
        <f>IFERROR(IF(M218="Exit Signs",1,IF(INDEX('Fixture Codes'!$C$8:$C$976,MATCH($AD218,'Fixture Codes'!$B$8:$B$976,0))="Exit Sign",1,INDEX(Lookups!L$2:L$428,MATCH(_xlfn.CONCAT($B218,$H218),Lookups!$H$2:$H$428,0)))),"")</f>
        <v/>
      </c>
      <c r="AW218" s="150" t="str">
        <f>IF(ISBLANK(K218),"",IF(K218="Gas",INDEX(Lookups!$AG$2:$AG$63,MATCH(O218,Lookups!$AD$2:$AD$63,0),0),0))</f>
        <v/>
      </c>
      <c r="AX218" s="150" t="str">
        <f>IF(ISBLANK(K218),"",IF(K218="Gas",INDEX(Lookups!$AF$2:$AF$63,MATCH(O218,Lookups!$AD$2:$AD$63,0),0),0))</f>
        <v/>
      </c>
      <c r="AY218" s="150" t="str">
        <f>IF(ISBLANK(K218),"",IF(K218="Gas",INDEX(Lookups!$AH$2:$AH$63,MATCH(O218,Lookups!$AD$2:$AD$63,0),0),0))</f>
        <v/>
      </c>
      <c r="AZ218" s="150" t="str">
        <f>IF(ISBLANK(K218),"",IF(K218="Gas",INDEX(Lookups!$AI$2:$AI$63,MATCH(O218,Lookups!$AD$2:$AD$63,0),0),0))</f>
        <v/>
      </c>
      <c r="BA218" s="150" t="str">
        <f t="shared" si="106"/>
        <v/>
      </c>
      <c r="BB218" s="156" t="str">
        <f>IF(ISBLANK(AH218),"",IF(AH218="None",0,IF(K218="Gas",INDEX(Lookups!$AF$51:$AF$69,MATCH(AH218,Lookups!$AD$51:$AD$69,0),0),0)))</f>
        <v/>
      </c>
      <c r="BC218" s="156" t="str">
        <f>IF(ISBLANK(AH218),"",IF(AH218="None",0,IF(K218="Gas",INDEX(Lookups!$AH$51:$AH$69,MATCH(AH218,Lookups!$AD$51:$AD$69,0),0),0)))</f>
        <v/>
      </c>
      <c r="BD218" s="156" t="str">
        <f>IF(ISBLANK(AH218),"",IF(AH218="None",0,IF(K218="Gas",INDEX(Lookups!$AI$51:$AI$69,MATCH(AH218,Lookups!$AD$51:$AD$69,0),0),0)))</f>
        <v/>
      </c>
      <c r="BE218" s="157"/>
      <c r="BF218" s="157"/>
      <c r="BG218" s="147" t="str">
        <f t="shared" si="120"/>
        <v/>
      </c>
      <c r="BH218" s="147" t="str">
        <f t="shared" si="121"/>
        <v/>
      </c>
      <c r="BI218" s="147" t="str">
        <f t="shared" si="107"/>
        <v/>
      </c>
      <c r="BJ218" s="147" t="str">
        <f t="shared" si="108"/>
        <v/>
      </c>
      <c r="BK218" s="148" t="str">
        <f t="shared" si="122"/>
        <v/>
      </c>
      <c r="BL218" s="147" t="str">
        <f t="shared" si="109"/>
        <v/>
      </c>
      <c r="BM218" s="148" t="str">
        <f t="shared" si="123"/>
        <v/>
      </c>
      <c r="BN218" s="147" t="str">
        <f t="shared" si="124"/>
        <v/>
      </c>
      <c r="BO218" s="147" t="str">
        <f t="shared" si="124"/>
        <v/>
      </c>
      <c r="BP218" s="147" t="str">
        <f t="shared" si="125"/>
        <v/>
      </c>
      <c r="BQ218" s="148" t="str">
        <f t="shared" si="126"/>
        <v/>
      </c>
      <c r="BR218" s="148" t="str">
        <f t="shared" si="127"/>
        <v/>
      </c>
      <c r="BS218" s="148" t="str">
        <f t="shared" si="128"/>
        <v/>
      </c>
      <c r="BT218" s="148" t="str">
        <f t="shared" si="110"/>
        <v/>
      </c>
      <c r="BU218" s="148" t="str">
        <f t="shared" si="111"/>
        <v/>
      </c>
      <c r="BV218" s="148" t="str">
        <f t="shared" si="112"/>
        <v/>
      </c>
      <c r="BW218" s="148" t="str">
        <f t="shared" si="113"/>
        <v/>
      </c>
      <c r="BX218" s="148" t="str">
        <f t="shared" si="114"/>
        <v/>
      </c>
      <c r="BY218" s="148" t="str">
        <f t="shared" si="115"/>
        <v/>
      </c>
      <c r="BZ218" s="149" t="str">
        <f>IFERROR(INDEX('Prescriptive Rebate Table'!$B$2:$E$64,MATCH(O218,'Prescriptive Rebate Table'!$C$2:$C$64,0),3),"")</f>
        <v/>
      </c>
      <c r="CA218" s="145" t="str">
        <f>IFERROR(INDEX('Prescriptive Rebate Table'!$B$2:$E$64,MATCH(O218,'Prescriptive Rebate Table'!$C$2:$C$64,0),4),"")</f>
        <v/>
      </c>
      <c r="CB218" s="149" t="str">
        <f t="shared" si="129"/>
        <v/>
      </c>
      <c r="CC218" s="145" t="str">
        <f t="shared" si="130"/>
        <v/>
      </c>
      <c r="CD218" s="149" t="str">
        <f t="shared" si="116"/>
        <v/>
      </c>
      <c r="CE218" s="149" t="str">
        <f t="shared" si="117"/>
        <v/>
      </c>
      <c r="CF218" s="149" t="str">
        <f>IF(BK218&lt;=0,0,IFERROR(IF(OR(ISBLANK(AC218),ISBLANK(CD218))=TRUE,"",IF(CA218="Per Foot",INDEX('Fixture Codes'!$I$8:$I$976,MATCH(AD218,'Fixture Codes'!$B$8:$B$976,0))/12*AF218*BZ218,IF(CA218="Lamp",INDEX('Fixture Codes'!$J$8:$J$976,MATCH(AD218,'Fixture Codes'!$B$8:$B$976,0))*AF218*BZ218,IF(CA218="Fixture",AF218*BZ218,IF(CA218="kWh",BK218*BZ218,0))))),""))</f>
        <v/>
      </c>
      <c r="CG218" s="149" t="str">
        <f t="shared" si="131"/>
        <v/>
      </c>
      <c r="CH218" s="149" t="str">
        <f t="shared" si="132"/>
        <v/>
      </c>
      <c r="CI218" s="152"/>
      <c r="CJ218" s="146"/>
      <c r="CK218" s="241">
        <f>IFERROR(IF(CL218="Yes",'Prescriptive Rebate Table'!$D$69,IF(ISBLANK(AI218),0,IF(AND(AH218=Lookups!$A$62,BK218&gt;0),'Prescriptive Rebate Table'!$D$68,IF(AND(BK218&gt;0,CJ218=AF218),'Prescriptive Rebate Table'!$D$67,IF(AND(BK218&gt;0,CJ218&lt;&gt;AF218),'Prescriptive Rebate Table'!D277,0))))),"")</f>
        <v>0</v>
      </c>
      <c r="CL218" s="240" t="s">
        <v>2712</v>
      </c>
      <c r="CM218" s="152"/>
      <c r="CN218" s="152"/>
      <c r="CO218" s="152"/>
      <c r="CP218" s="146">
        <f t="shared" si="118"/>
        <v>0</v>
      </c>
      <c r="CQ218" s="153">
        <f>IF(D218="Interior",ROUND(($AG218*AF218)/1000*$AM218*(Lookups!$B$54-$AA218)*$AN218*$AO218,3),0)</f>
        <v>0</v>
      </c>
      <c r="CR218" s="153">
        <f>IFERROR(IF(D218="Interior",ROUND(($AG218*$AF218)/1000*(Lookups!$C$54-$AB218)*$AN218*AQ218*AT218,6),0),"")</f>
        <v>0</v>
      </c>
      <c r="CS218" s="165">
        <f t="shared" si="133"/>
        <v>0</v>
      </c>
      <c r="CT218" s="165">
        <f t="shared" si="134"/>
        <v>0</v>
      </c>
      <c r="CV218" s="153"/>
      <c r="CW218" s="153"/>
      <c r="CX218" s="165"/>
      <c r="CY218" s="165"/>
      <c r="DA218" s="153">
        <f>IF(D218="Interior",ROUND(($AG218*AF218*(1-0.15))/1000*$AM218*(Lookups!$B$43+0.097-$AA218)*$AN218*$AO218+((W218*V218)/1000*AN218*AM218*AO218*0.15),3),0)</f>
        <v>0</v>
      </c>
      <c r="DB218" s="153">
        <f>IFERROR(IF(D218="Interior",ROUND(($AG218*$AF218)/1000*(Lookups!$C$43+0.097-$AB218)*$AN218*AQ218*AT218+(($AG218*$AF218)/1000*$AN218*AQ218*AT218*0.15),6),0),"")</f>
        <v>0</v>
      </c>
      <c r="DC218" s="165">
        <f t="shared" si="135"/>
        <v>0</v>
      </c>
      <c r="DD218" s="165">
        <f t="shared" si="136"/>
        <v>0</v>
      </c>
    </row>
    <row r="219" spans="1:108" s="164" customFormat="1">
      <c r="A219" s="150">
        <v>215</v>
      </c>
      <c r="B219" s="153" t="str">
        <f>IFERROR(INDEX(Lookups!$B$2:$B$38,MATCH('Project Info &amp; Summary'!$C$19,Lookups!$A$2:$A$38,0)),"")</f>
        <v/>
      </c>
      <c r="C219" s="153" t="str">
        <f>IFERROR(INDEX(Lookups!$C$2:$C$38,MATCH('Project Info &amp; Summary'!$C$19,Lookups!$A$2:$A$38,0)),"")</f>
        <v/>
      </c>
      <c r="D219" s="163"/>
      <c r="E219" s="160"/>
      <c r="F219" s="158"/>
      <c r="G219" s="158"/>
      <c r="H219" s="158"/>
      <c r="I219" s="158"/>
      <c r="J219" s="154" t="str">
        <f>IFERROR(INDEX(Lookups!$W$21:$W$26,MATCH(I219,Lookups!$V$21:$V$26,0)),"")</f>
        <v/>
      </c>
      <c r="K219" s="158"/>
      <c r="L219" s="162" t="str">
        <f>IFERROR(INDEX(Lookups!$Y$2:$Y$19,MATCH(_xlfn.CONCAT(I219,K219),Lookups!$X$2:$X$19,0)),"")</f>
        <v/>
      </c>
      <c r="M219" s="158"/>
      <c r="N219" s="153" t="str">
        <f>IFERROR(INDEX('Prescriptive Rebate Table'!$M$3:$M$20,MATCH(M219,'Prescriptive Rebate Table'!$L$3:$L$20,0)),"")</f>
        <v/>
      </c>
      <c r="O219" s="158"/>
      <c r="P219" s="154" t="str">
        <f>IFERROR(INDEX('Prescriptive Rebate Table'!$B$2:$H$64, MATCH(O219,'Prescriptive Rebate Table'!$C$2:$C$64,0),7),"")</f>
        <v/>
      </c>
      <c r="Q219" s="155" t="str">
        <f>IFERROR(INDEX('Prescriptive Rebate Table'!$B$2:$I$64, MATCH(O219,'Prescriptive Rebate Table'!$C$2:$C$64,0),8),"")</f>
        <v/>
      </c>
      <c r="R219" s="155" t="str">
        <f>IFERROR(INDEX('Prescriptive Rebate Table'!$B$2:$J$64, MATCH(O219,'Prescriptive Rebate Table'!$C$2:$C$64,0),9),"")</f>
        <v/>
      </c>
      <c r="S219" s="160"/>
      <c r="T219" s="145" t="str">
        <f>IFERROR(INDEX('Fixture Codes'!$M$8:$M$976,MATCH(S219,'Fixture Codes'!$B$8:$B$976,0)),"")</f>
        <v/>
      </c>
      <c r="U219" s="145" t="str">
        <f>IFERROR(INDEX('Fixture Codes'!$B$7:$M$976,MATCH(T219,'Fixture Codes'!$B$7:$B$976,0),5),"")</f>
        <v/>
      </c>
      <c r="V219" s="160"/>
      <c r="W219" s="145" t="str">
        <f>IFERROR(INDEX('Fixture Codes'!$L$8:$L$976,MATCH(T219,'Fixture Codes'!$B$8:$B$976,0)),"")</f>
        <v/>
      </c>
      <c r="X219" s="158"/>
      <c r="Y219" s="159"/>
      <c r="Z219" s="155" t="str">
        <f>IFERROR(INDEX(Lookups!B$68:B$87,MATCH($X219,Lookups!$A$68:$A$87,0)),"")</f>
        <v/>
      </c>
      <c r="AA219" s="150" t="str">
        <f>IFERROR(INDEX(Lookups!B$42:B$62,MATCH($X219,Lookups!$A$42:$A$62,0)),"")</f>
        <v/>
      </c>
      <c r="AB219" s="150" t="str">
        <f>IFERROR(INDEX(Lookups!C$42:C$62,MATCH($X219,Lookups!$A$42:$A$62,0)),"")</f>
        <v/>
      </c>
      <c r="AC219" s="160"/>
      <c r="AD219" s="160"/>
      <c r="AE219" s="150" t="str">
        <f>IFERROR(INDEX('Fixture Codes'!$B$7:$M$976,MATCH(AD219,'Fixture Codes'!$B$7:$B$976,0),5),"")</f>
        <v/>
      </c>
      <c r="AF219" s="160"/>
      <c r="AG219" s="145" t="str">
        <f>IFERROR(INDEX('Fixture Codes'!$L$8:$L$976,MATCH(AD219,'Fixture Codes'!$B$8:$B$976,0)),"")</f>
        <v/>
      </c>
      <c r="AH219" s="158"/>
      <c r="AI219" s="160"/>
      <c r="AJ219" s="150" t="str">
        <f>IFERROR(INDEX(Lookups!B$68:B$87,MATCH($AH219,Lookups!$A$68:$A$87,0)),"")</f>
        <v/>
      </c>
      <c r="AK219" s="150" t="str">
        <f>IFERROR(INDEX(Lookups!B$42:B$62,MATCH($AH219,Lookups!$A$42:$A$62,0)),"")</f>
        <v/>
      </c>
      <c r="AL219" s="150" t="str">
        <f>IFERROR(INDEX(Lookups!C$42:C$62,MATCH($AH219,Lookups!$A$42:$A$62,0)),"")</f>
        <v/>
      </c>
      <c r="AM219" s="150" t="str">
        <f>IFERROR(IF(M219="Exit Signs",8760,IF(INDEX('Fixture Codes'!$C$8:$C$976,MATCH(AD219,'Fixture Codes'!$B$8:$B$976,0))="Exit Sign",8760,INDEX(Lookups!$I$2:$I$428,MATCH(_xlfn.CONCAT(B219,H219),Lookups!$H$2:$H$428,0)))),"")</f>
        <v/>
      </c>
      <c r="AN219" s="153">
        <v>1</v>
      </c>
      <c r="AO219" s="150" t="str">
        <f>IF($D219="Interior",INDEX(Lookups!Q$2:Q$86,MATCH(_xlfn.CONCAT($C219,$L219),Lookups!$P$2:$P$86,0)),IF($D219="Exterior",1,""))</f>
        <v/>
      </c>
      <c r="AP219" s="150">
        <f t="shared" si="119"/>
        <v>1</v>
      </c>
      <c r="AQ219" s="150" t="str">
        <f>IF($D219="Interior",INDEX(Lookups!R$2:R$86,MATCH(_xlfn.CONCAT($C219,$L219),Lookups!$P$2:$P$86,0)),IF($D219="Exterior",1,""))</f>
        <v/>
      </c>
      <c r="AR219" s="150" t="str">
        <f>IF($D219="Interior",INDEX(Lookups!S$2:S$86,MATCH(_xlfn.CONCAT($C219,$L219),Lookups!$P$2:$P$86,0)),IF($D219="Exterior",1,""))</f>
        <v/>
      </c>
      <c r="AS219" s="150" t="str">
        <f>IF($D219="Interior",INDEX(Lookups!T$2:T$86,MATCH(_xlfn.CONCAT($C219,$L219),Lookups!$P$2:$P$86,0)),IF($D219="Exterior",1,""))</f>
        <v/>
      </c>
      <c r="AT219" s="150" t="str">
        <f>IFERROR(IF(M219="Exit Signs",1,IF(INDEX('Fixture Codes'!$C$8:$C$976,MATCH($AD219,'Fixture Codes'!$B$8:$B$976,0))="Exit Sign",1,INDEX(Lookups!J$2:J$428,MATCH(_xlfn.CONCAT($B219,$H219),Lookups!$H$2:$H$428,0)))),"")</f>
        <v/>
      </c>
      <c r="AU219" s="150" t="str">
        <f>IFERROR(IF(M219="Exit Signs",1,IF(INDEX('Fixture Codes'!$C$8:$C$976,MATCH($AD219,'Fixture Codes'!$B$8:$B$976,0))="Exit Sign",1,INDEX(Lookups!K$2:K$428,MATCH(_xlfn.CONCAT($B219,$H219),Lookups!$H$2:$H$428,0)))),"")</f>
        <v/>
      </c>
      <c r="AV219" s="150" t="str">
        <f>IFERROR(IF(M219="Exit Signs",1,IF(INDEX('Fixture Codes'!$C$8:$C$976,MATCH($AD219,'Fixture Codes'!$B$8:$B$976,0))="Exit Sign",1,INDEX(Lookups!L$2:L$428,MATCH(_xlfn.CONCAT($B219,$H219),Lookups!$H$2:$H$428,0)))),"")</f>
        <v/>
      </c>
      <c r="AW219" s="150" t="str">
        <f>IF(ISBLANK(K219),"",IF(K219="Gas",INDEX(Lookups!$AG$2:$AG$63,MATCH(O219,Lookups!$AD$2:$AD$63,0),0),0))</f>
        <v/>
      </c>
      <c r="AX219" s="150" t="str">
        <f>IF(ISBLANK(K219),"",IF(K219="Gas",INDEX(Lookups!$AF$2:$AF$63,MATCH(O219,Lookups!$AD$2:$AD$63,0),0),0))</f>
        <v/>
      </c>
      <c r="AY219" s="150" t="str">
        <f>IF(ISBLANK(K219),"",IF(K219="Gas",INDEX(Lookups!$AH$2:$AH$63,MATCH(O219,Lookups!$AD$2:$AD$63,0),0),0))</f>
        <v/>
      </c>
      <c r="AZ219" s="150" t="str">
        <f>IF(ISBLANK(K219),"",IF(K219="Gas",INDEX(Lookups!$AI$2:$AI$63,MATCH(O219,Lookups!$AD$2:$AD$63,0),0),0))</f>
        <v/>
      </c>
      <c r="BA219" s="150" t="str">
        <f t="shared" si="106"/>
        <v/>
      </c>
      <c r="BB219" s="156" t="str">
        <f>IF(ISBLANK(AH219),"",IF(AH219="None",0,IF(K219="Gas",INDEX(Lookups!$AF$51:$AF$69,MATCH(AH219,Lookups!$AD$51:$AD$69,0),0),0)))</f>
        <v/>
      </c>
      <c r="BC219" s="156" t="str">
        <f>IF(ISBLANK(AH219),"",IF(AH219="None",0,IF(K219="Gas",INDEX(Lookups!$AH$51:$AH$69,MATCH(AH219,Lookups!$AD$51:$AD$69,0),0),0)))</f>
        <v/>
      </c>
      <c r="BD219" s="156" t="str">
        <f>IF(ISBLANK(AH219),"",IF(AH219="None",0,IF(K219="Gas",INDEX(Lookups!$AI$51:$AI$69,MATCH(AH219,Lookups!$AD$51:$AD$69,0),0),0)))</f>
        <v/>
      </c>
      <c r="BE219" s="157"/>
      <c r="BF219" s="157"/>
      <c r="BG219" s="147" t="str">
        <f t="shared" si="120"/>
        <v/>
      </c>
      <c r="BH219" s="147" t="str">
        <f t="shared" si="121"/>
        <v/>
      </c>
      <c r="BI219" s="147" t="str">
        <f t="shared" si="107"/>
        <v/>
      </c>
      <c r="BJ219" s="147" t="str">
        <f t="shared" si="108"/>
        <v/>
      </c>
      <c r="BK219" s="148" t="str">
        <f t="shared" si="122"/>
        <v/>
      </c>
      <c r="BL219" s="147" t="str">
        <f t="shared" si="109"/>
        <v/>
      </c>
      <c r="BM219" s="148" t="str">
        <f t="shared" si="123"/>
        <v/>
      </c>
      <c r="BN219" s="147" t="str">
        <f t="shared" si="124"/>
        <v/>
      </c>
      <c r="BO219" s="147" t="str">
        <f t="shared" si="124"/>
        <v/>
      </c>
      <c r="BP219" s="147" t="str">
        <f t="shared" si="125"/>
        <v/>
      </c>
      <c r="BQ219" s="148" t="str">
        <f t="shared" si="126"/>
        <v/>
      </c>
      <c r="BR219" s="148" t="str">
        <f t="shared" si="127"/>
        <v/>
      </c>
      <c r="BS219" s="148" t="str">
        <f t="shared" si="128"/>
        <v/>
      </c>
      <c r="BT219" s="148" t="str">
        <f t="shared" si="110"/>
        <v/>
      </c>
      <c r="BU219" s="148" t="str">
        <f t="shared" si="111"/>
        <v/>
      </c>
      <c r="BV219" s="148" t="str">
        <f t="shared" si="112"/>
        <v/>
      </c>
      <c r="BW219" s="148" t="str">
        <f t="shared" si="113"/>
        <v/>
      </c>
      <c r="BX219" s="148" t="str">
        <f t="shared" si="114"/>
        <v/>
      </c>
      <c r="BY219" s="148" t="str">
        <f t="shared" si="115"/>
        <v/>
      </c>
      <c r="BZ219" s="149" t="str">
        <f>IFERROR(INDEX('Prescriptive Rebate Table'!$B$2:$E$64,MATCH(O219,'Prescriptive Rebate Table'!$C$2:$C$64,0),3),"")</f>
        <v/>
      </c>
      <c r="CA219" s="145" t="str">
        <f>IFERROR(INDEX('Prescriptive Rebate Table'!$B$2:$E$64,MATCH(O219,'Prescriptive Rebate Table'!$C$2:$C$64,0),4),"")</f>
        <v/>
      </c>
      <c r="CB219" s="149" t="str">
        <f t="shared" si="129"/>
        <v/>
      </c>
      <c r="CC219" s="145" t="str">
        <f t="shared" si="130"/>
        <v/>
      </c>
      <c r="CD219" s="149" t="str">
        <f t="shared" si="116"/>
        <v/>
      </c>
      <c r="CE219" s="149" t="str">
        <f t="shared" si="117"/>
        <v/>
      </c>
      <c r="CF219" s="149" t="str">
        <f>IF(BK219&lt;=0,0,IFERROR(IF(OR(ISBLANK(AC219),ISBLANK(CD219))=TRUE,"",IF(CA219="Per Foot",INDEX('Fixture Codes'!$I$8:$I$976,MATCH(AD219,'Fixture Codes'!$B$8:$B$976,0))/12*AF219*BZ219,IF(CA219="Lamp",INDEX('Fixture Codes'!$J$8:$J$976,MATCH(AD219,'Fixture Codes'!$B$8:$B$976,0))*AF219*BZ219,IF(CA219="Fixture",AF219*BZ219,IF(CA219="kWh",BK219*BZ219,0))))),""))</f>
        <v/>
      </c>
      <c r="CG219" s="149" t="str">
        <f t="shared" si="131"/>
        <v/>
      </c>
      <c r="CH219" s="149" t="str">
        <f t="shared" si="132"/>
        <v/>
      </c>
      <c r="CI219" s="152"/>
      <c r="CJ219" s="146"/>
      <c r="CK219" s="241">
        <f>IFERROR(IF(CL219="Yes",'Prescriptive Rebate Table'!$D$69,IF(ISBLANK(AI219),0,IF(AND(AH219=Lookups!$A$62,BK219&gt;0),'Prescriptive Rebate Table'!$D$68,IF(AND(BK219&gt;0,CJ219=AF219),'Prescriptive Rebate Table'!$D$67,IF(AND(BK219&gt;0,CJ219&lt;&gt;AF219),'Prescriptive Rebate Table'!D278,0))))),"")</f>
        <v>0</v>
      </c>
      <c r="CL219" s="240" t="s">
        <v>2712</v>
      </c>
      <c r="CM219" s="152"/>
      <c r="CN219" s="152"/>
      <c r="CO219" s="152"/>
      <c r="CP219" s="146">
        <f t="shared" si="118"/>
        <v>0</v>
      </c>
      <c r="CQ219" s="153">
        <f>IF(D219="Interior",ROUND(($AG219*AF219)/1000*$AM219*(Lookups!$B$54-$AA219)*$AN219*$AO219,3),0)</f>
        <v>0</v>
      </c>
      <c r="CR219" s="153">
        <f>IFERROR(IF(D219="Interior",ROUND(($AG219*$AF219)/1000*(Lookups!$C$54-$AB219)*$AN219*AQ219*AT219,6),0),"")</f>
        <v>0</v>
      </c>
      <c r="CS219" s="165">
        <f t="shared" si="133"/>
        <v>0</v>
      </c>
      <c r="CT219" s="165">
        <f t="shared" si="134"/>
        <v>0</v>
      </c>
      <c r="CV219" s="153"/>
      <c r="CW219" s="153"/>
      <c r="CX219" s="165"/>
      <c r="CY219" s="165"/>
      <c r="DA219" s="153">
        <f>IF(D219="Interior",ROUND(($AG219*AF219*(1-0.15))/1000*$AM219*(Lookups!$B$43+0.097-$AA219)*$AN219*$AO219+((W219*V219)/1000*AN219*AM219*AO219*0.15),3),0)</f>
        <v>0</v>
      </c>
      <c r="DB219" s="153">
        <f>IFERROR(IF(D219="Interior",ROUND(($AG219*$AF219)/1000*(Lookups!$C$43+0.097-$AB219)*$AN219*AQ219*AT219+(($AG219*$AF219)/1000*$AN219*AQ219*AT219*0.15),6),0),"")</f>
        <v>0</v>
      </c>
      <c r="DC219" s="165">
        <f t="shared" si="135"/>
        <v>0</v>
      </c>
      <c r="DD219" s="165">
        <f t="shared" si="136"/>
        <v>0</v>
      </c>
    </row>
    <row r="220" spans="1:108" s="164" customFormat="1">
      <c r="A220" s="150">
        <v>216</v>
      </c>
      <c r="B220" s="153" t="str">
        <f>IFERROR(INDEX(Lookups!$B$2:$B$38,MATCH('Project Info &amp; Summary'!$C$19,Lookups!$A$2:$A$38,0)),"")</f>
        <v/>
      </c>
      <c r="C220" s="153" t="str">
        <f>IFERROR(INDEX(Lookups!$C$2:$C$38,MATCH('Project Info &amp; Summary'!$C$19,Lookups!$A$2:$A$38,0)),"")</f>
        <v/>
      </c>
      <c r="D220" s="163"/>
      <c r="E220" s="160"/>
      <c r="F220" s="158"/>
      <c r="G220" s="158"/>
      <c r="H220" s="158"/>
      <c r="I220" s="158"/>
      <c r="J220" s="154" t="str">
        <f>IFERROR(INDEX(Lookups!$W$21:$W$26,MATCH(I220,Lookups!$V$21:$V$26,0)),"")</f>
        <v/>
      </c>
      <c r="K220" s="158"/>
      <c r="L220" s="162" t="str">
        <f>IFERROR(INDEX(Lookups!$Y$2:$Y$19,MATCH(_xlfn.CONCAT(I220,K220),Lookups!$X$2:$X$19,0)),"")</f>
        <v/>
      </c>
      <c r="M220" s="158"/>
      <c r="N220" s="153" t="str">
        <f>IFERROR(INDEX('Prescriptive Rebate Table'!$M$3:$M$20,MATCH(M220,'Prescriptive Rebate Table'!$L$3:$L$20,0)),"")</f>
        <v/>
      </c>
      <c r="O220" s="158"/>
      <c r="P220" s="154" t="str">
        <f>IFERROR(INDEX('Prescriptive Rebate Table'!$B$2:$H$64, MATCH(O220,'Prescriptive Rebate Table'!$C$2:$C$64,0),7),"")</f>
        <v/>
      </c>
      <c r="Q220" s="155" t="str">
        <f>IFERROR(INDEX('Prescriptive Rebate Table'!$B$2:$I$64, MATCH(O220,'Prescriptive Rebate Table'!$C$2:$C$64,0),8),"")</f>
        <v/>
      </c>
      <c r="R220" s="155" t="str">
        <f>IFERROR(INDEX('Prescriptive Rebate Table'!$B$2:$J$64, MATCH(O220,'Prescriptive Rebate Table'!$C$2:$C$64,0),9),"")</f>
        <v/>
      </c>
      <c r="S220" s="160"/>
      <c r="T220" s="145" t="str">
        <f>IFERROR(INDEX('Fixture Codes'!$M$8:$M$976,MATCH(S220,'Fixture Codes'!$B$8:$B$976,0)),"")</f>
        <v/>
      </c>
      <c r="U220" s="145" t="str">
        <f>IFERROR(INDEX('Fixture Codes'!$B$7:$M$976,MATCH(T220,'Fixture Codes'!$B$7:$B$976,0),5),"")</f>
        <v/>
      </c>
      <c r="V220" s="160"/>
      <c r="W220" s="145" t="str">
        <f>IFERROR(INDEX('Fixture Codes'!$L$8:$L$976,MATCH(T220,'Fixture Codes'!$B$8:$B$976,0)),"")</f>
        <v/>
      </c>
      <c r="X220" s="158"/>
      <c r="Y220" s="159"/>
      <c r="Z220" s="155" t="str">
        <f>IFERROR(INDEX(Lookups!B$68:B$87,MATCH($X220,Lookups!$A$68:$A$87,0)),"")</f>
        <v/>
      </c>
      <c r="AA220" s="150" t="str">
        <f>IFERROR(INDEX(Lookups!B$42:B$62,MATCH($X220,Lookups!$A$42:$A$62,0)),"")</f>
        <v/>
      </c>
      <c r="AB220" s="150" t="str">
        <f>IFERROR(INDEX(Lookups!C$42:C$62,MATCH($X220,Lookups!$A$42:$A$62,0)),"")</f>
        <v/>
      </c>
      <c r="AC220" s="160"/>
      <c r="AD220" s="160"/>
      <c r="AE220" s="150" t="str">
        <f>IFERROR(INDEX('Fixture Codes'!$B$7:$M$976,MATCH(AD220,'Fixture Codes'!$B$7:$B$976,0),5),"")</f>
        <v/>
      </c>
      <c r="AF220" s="160"/>
      <c r="AG220" s="145" t="str">
        <f>IFERROR(INDEX('Fixture Codes'!$L$8:$L$976,MATCH(AD220,'Fixture Codes'!$B$8:$B$976,0)),"")</f>
        <v/>
      </c>
      <c r="AH220" s="158"/>
      <c r="AI220" s="160"/>
      <c r="AJ220" s="150" t="str">
        <f>IFERROR(INDEX(Lookups!B$68:B$87,MATCH($AH220,Lookups!$A$68:$A$87,0)),"")</f>
        <v/>
      </c>
      <c r="AK220" s="150" t="str">
        <f>IFERROR(INDEX(Lookups!B$42:B$62,MATCH($AH220,Lookups!$A$42:$A$62,0)),"")</f>
        <v/>
      </c>
      <c r="AL220" s="150" t="str">
        <f>IFERROR(INDEX(Lookups!C$42:C$62,MATCH($AH220,Lookups!$A$42:$A$62,0)),"")</f>
        <v/>
      </c>
      <c r="AM220" s="150" t="str">
        <f>IFERROR(IF(M220="Exit Signs",8760,IF(INDEX('Fixture Codes'!$C$8:$C$976,MATCH(AD220,'Fixture Codes'!$B$8:$B$976,0))="Exit Sign",8760,INDEX(Lookups!$I$2:$I$428,MATCH(_xlfn.CONCAT(B220,H220),Lookups!$H$2:$H$428,0)))),"")</f>
        <v/>
      </c>
      <c r="AN220" s="153">
        <v>1</v>
      </c>
      <c r="AO220" s="150" t="str">
        <f>IF($D220="Interior",INDEX(Lookups!Q$2:Q$86,MATCH(_xlfn.CONCAT($C220,$L220),Lookups!$P$2:$P$86,0)),IF($D220="Exterior",1,""))</f>
        <v/>
      </c>
      <c r="AP220" s="150">
        <f t="shared" si="119"/>
        <v>1</v>
      </c>
      <c r="AQ220" s="150" t="str">
        <f>IF($D220="Interior",INDEX(Lookups!R$2:R$86,MATCH(_xlfn.CONCAT($C220,$L220),Lookups!$P$2:$P$86,0)),IF($D220="Exterior",1,""))</f>
        <v/>
      </c>
      <c r="AR220" s="150" t="str">
        <f>IF($D220="Interior",INDEX(Lookups!S$2:S$86,MATCH(_xlfn.CONCAT($C220,$L220),Lookups!$P$2:$P$86,0)),IF($D220="Exterior",1,""))</f>
        <v/>
      </c>
      <c r="AS220" s="150" t="str">
        <f>IF($D220="Interior",INDEX(Lookups!T$2:T$86,MATCH(_xlfn.CONCAT($C220,$L220),Lookups!$P$2:$P$86,0)),IF($D220="Exterior",1,""))</f>
        <v/>
      </c>
      <c r="AT220" s="150" t="str">
        <f>IFERROR(IF(M220="Exit Signs",1,IF(INDEX('Fixture Codes'!$C$8:$C$976,MATCH($AD220,'Fixture Codes'!$B$8:$B$976,0))="Exit Sign",1,INDEX(Lookups!J$2:J$428,MATCH(_xlfn.CONCAT($B220,$H220),Lookups!$H$2:$H$428,0)))),"")</f>
        <v/>
      </c>
      <c r="AU220" s="150" t="str">
        <f>IFERROR(IF(M220="Exit Signs",1,IF(INDEX('Fixture Codes'!$C$8:$C$976,MATCH($AD220,'Fixture Codes'!$B$8:$B$976,0))="Exit Sign",1,INDEX(Lookups!K$2:K$428,MATCH(_xlfn.CONCAT($B220,$H220),Lookups!$H$2:$H$428,0)))),"")</f>
        <v/>
      </c>
      <c r="AV220" s="150" t="str">
        <f>IFERROR(IF(M220="Exit Signs",1,IF(INDEX('Fixture Codes'!$C$8:$C$976,MATCH($AD220,'Fixture Codes'!$B$8:$B$976,0))="Exit Sign",1,INDEX(Lookups!L$2:L$428,MATCH(_xlfn.CONCAT($B220,$H220),Lookups!$H$2:$H$428,0)))),"")</f>
        <v/>
      </c>
      <c r="AW220" s="150" t="str">
        <f>IF(ISBLANK(K220),"",IF(K220="Gas",INDEX(Lookups!$AG$2:$AG$63,MATCH(O220,Lookups!$AD$2:$AD$63,0),0),0))</f>
        <v/>
      </c>
      <c r="AX220" s="150" t="str">
        <f>IF(ISBLANK(K220),"",IF(K220="Gas",INDEX(Lookups!$AF$2:$AF$63,MATCH(O220,Lookups!$AD$2:$AD$63,0),0),0))</f>
        <v/>
      </c>
      <c r="AY220" s="150" t="str">
        <f>IF(ISBLANK(K220),"",IF(K220="Gas",INDEX(Lookups!$AH$2:$AH$63,MATCH(O220,Lookups!$AD$2:$AD$63,0),0),0))</f>
        <v/>
      </c>
      <c r="AZ220" s="150" t="str">
        <f>IF(ISBLANK(K220),"",IF(K220="Gas",INDEX(Lookups!$AI$2:$AI$63,MATCH(O220,Lookups!$AD$2:$AD$63,0),0),0))</f>
        <v/>
      </c>
      <c r="BA220" s="150" t="str">
        <f t="shared" si="106"/>
        <v/>
      </c>
      <c r="BB220" s="156" t="str">
        <f>IF(ISBLANK(AH220),"",IF(AH220="None",0,IF(K220="Gas",INDEX(Lookups!$AF$51:$AF$69,MATCH(AH220,Lookups!$AD$51:$AD$69,0),0),0)))</f>
        <v/>
      </c>
      <c r="BC220" s="156" t="str">
        <f>IF(ISBLANK(AH220),"",IF(AH220="None",0,IF(K220="Gas",INDEX(Lookups!$AH$51:$AH$69,MATCH(AH220,Lookups!$AD$51:$AD$69,0),0),0)))</f>
        <v/>
      </c>
      <c r="BD220" s="156" t="str">
        <f>IF(ISBLANK(AH220),"",IF(AH220="None",0,IF(K220="Gas",INDEX(Lookups!$AI$51:$AI$69,MATCH(AH220,Lookups!$AD$51:$AD$69,0),0),0)))</f>
        <v/>
      </c>
      <c r="BE220" s="157"/>
      <c r="BF220" s="157"/>
      <c r="BG220" s="147" t="str">
        <f t="shared" si="120"/>
        <v/>
      </c>
      <c r="BH220" s="147" t="str">
        <f t="shared" si="121"/>
        <v/>
      </c>
      <c r="BI220" s="147" t="str">
        <f t="shared" si="107"/>
        <v/>
      </c>
      <c r="BJ220" s="147" t="str">
        <f t="shared" si="108"/>
        <v/>
      </c>
      <c r="BK220" s="148" t="str">
        <f t="shared" si="122"/>
        <v/>
      </c>
      <c r="BL220" s="147" t="str">
        <f t="shared" si="109"/>
        <v/>
      </c>
      <c r="BM220" s="148" t="str">
        <f t="shared" si="123"/>
        <v/>
      </c>
      <c r="BN220" s="147" t="str">
        <f t="shared" si="124"/>
        <v/>
      </c>
      <c r="BO220" s="147" t="str">
        <f t="shared" si="124"/>
        <v/>
      </c>
      <c r="BP220" s="147" t="str">
        <f t="shared" si="125"/>
        <v/>
      </c>
      <c r="BQ220" s="148" t="str">
        <f t="shared" si="126"/>
        <v/>
      </c>
      <c r="BR220" s="148" t="str">
        <f t="shared" si="127"/>
        <v/>
      </c>
      <c r="BS220" s="148" t="str">
        <f t="shared" si="128"/>
        <v/>
      </c>
      <c r="BT220" s="148" t="str">
        <f t="shared" si="110"/>
        <v/>
      </c>
      <c r="BU220" s="148" t="str">
        <f t="shared" si="111"/>
        <v/>
      </c>
      <c r="BV220" s="148" t="str">
        <f t="shared" si="112"/>
        <v/>
      </c>
      <c r="BW220" s="148" t="str">
        <f t="shared" si="113"/>
        <v/>
      </c>
      <c r="BX220" s="148" t="str">
        <f t="shared" si="114"/>
        <v/>
      </c>
      <c r="BY220" s="148" t="str">
        <f t="shared" si="115"/>
        <v/>
      </c>
      <c r="BZ220" s="149" t="str">
        <f>IFERROR(INDEX('Prescriptive Rebate Table'!$B$2:$E$64,MATCH(O220,'Prescriptive Rebate Table'!$C$2:$C$64,0),3),"")</f>
        <v/>
      </c>
      <c r="CA220" s="145" t="str">
        <f>IFERROR(INDEX('Prescriptive Rebate Table'!$B$2:$E$64,MATCH(O220,'Prescriptive Rebate Table'!$C$2:$C$64,0),4),"")</f>
        <v/>
      </c>
      <c r="CB220" s="149" t="str">
        <f t="shared" si="129"/>
        <v/>
      </c>
      <c r="CC220" s="145" t="str">
        <f t="shared" si="130"/>
        <v/>
      </c>
      <c r="CD220" s="149" t="str">
        <f t="shared" si="116"/>
        <v/>
      </c>
      <c r="CE220" s="149" t="str">
        <f t="shared" si="117"/>
        <v/>
      </c>
      <c r="CF220" s="149" t="str">
        <f>IF(BK220&lt;=0,0,IFERROR(IF(OR(ISBLANK(AC220),ISBLANK(CD220))=TRUE,"",IF(CA220="Per Foot",INDEX('Fixture Codes'!$I$8:$I$976,MATCH(AD220,'Fixture Codes'!$B$8:$B$976,0))/12*AF220*BZ220,IF(CA220="Lamp",INDEX('Fixture Codes'!$J$8:$J$976,MATCH(AD220,'Fixture Codes'!$B$8:$B$976,0))*AF220*BZ220,IF(CA220="Fixture",AF220*BZ220,IF(CA220="kWh",BK220*BZ220,0))))),""))</f>
        <v/>
      </c>
      <c r="CG220" s="149" t="str">
        <f t="shared" si="131"/>
        <v/>
      </c>
      <c r="CH220" s="149" t="str">
        <f t="shared" si="132"/>
        <v/>
      </c>
      <c r="CI220" s="152"/>
      <c r="CJ220" s="146"/>
      <c r="CK220" s="241">
        <f>IFERROR(IF(CL220="Yes",'Prescriptive Rebate Table'!$D$69,IF(ISBLANK(AI220),0,IF(AND(AH220=Lookups!$A$62,BK220&gt;0),'Prescriptive Rebate Table'!$D$68,IF(AND(BK220&gt;0,CJ220=AF220),'Prescriptive Rebate Table'!$D$67,IF(AND(BK220&gt;0,CJ220&lt;&gt;AF220),'Prescriptive Rebate Table'!D279,0))))),"")</f>
        <v>0</v>
      </c>
      <c r="CL220" s="240" t="s">
        <v>2712</v>
      </c>
      <c r="CM220" s="152"/>
      <c r="CN220" s="152"/>
      <c r="CO220" s="152"/>
      <c r="CP220" s="146">
        <f t="shared" si="118"/>
        <v>0</v>
      </c>
      <c r="CQ220" s="153">
        <f>IF(D220="Interior",ROUND(($AG220*AF220)/1000*$AM220*(Lookups!$B$54-$AA220)*$AN220*$AO220,3),0)</f>
        <v>0</v>
      </c>
      <c r="CR220" s="153">
        <f>IFERROR(IF(D220="Interior",ROUND(($AG220*$AF220)/1000*(Lookups!$C$54-$AB220)*$AN220*AQ220*AT220,6),0),"")</f>
        <v>0</v>
      </c>
      <c r="CS220" s="165">
        <f t="shared" si="133"/>
        <v>0</v>
      </c>
      <c r="CT220" s="165">
        <f t="shared" si="134"/>
        <v>0</v>
      </c>
      <c r="CV220" s="153"/>
      <c r="CW220" s="153"/>
      <c r="CX220" s="165"/>
      <c r="CY220" s="165"/>
      <c r="DA220" s="153">
        <f>IF(D220="Interior",ROUND(($AG220*AF220*(1-0.15))/1000*$AM220*(Lookups!$B$43+0.097-$AA220)*$AN220*$AO220+((W220*V220)/1000*AN220*AM220*AO220*0.15),3),0)</f>
        <v>0</v>
      </c>
      <c r="DB220" s="153">
        <f>IFERROR(IF(D220="Interior",ROUND(($AG220*$AF220)/1000*(Lookups!$C$43+0.097-$AB220)*$AN220*AQ220*AT220+(($AG220*$AF220)/1000*$AN220*AQ220*AT220*0.15),6),0),"")</f>
        <v>0</v>
      </c>
      <c r="DC220" s="165">
        <f t="shared" si="135"/>
        <v>0</v>
      </c>
      <c r="DD220" s="165">
        <f t="shared" si="136"/>
        <v>0</v>
      </c>
    </row>
    <row r="221" spans="1:108" s="164" customFormat="1">
      <c r="A221" s="150">
        <v>217</v>
      </c>
      <c r="B221" s="153" t="str">
        <f>IFERROR(INDEX(Lookups!$B$2:$B$38,MATCH('Project Info &amp; Summary'!$C$19,Lookups!$A$2:$A$38,0)),"")</f>
        <v/>
      </c>
      <c r="C221" s="153" t="str">
        <f>IFERROR(INDEX(Lookups!$C$2:$C$38,MATCH('Project Info &amp; Summary'!$C$19,Lookups!$A$2:$A$38,0)),"")</f>
        <v/>
      </c>
      <c r="D221" s="163"/>
      <c r="E221" s="160"/>
      <c r="F221" s="158"/>
      <c r="G221" s="158"/>
      <c r="H221" s="158"/>
      <c r="I221" s="158"/>
      <c r="J221" s="154" t="str">
        <f>IFERROR(INDEX(Lookups!$W$21:$W$26,MATCH(I221,Lookups!$V$21:$V$26,0)),"")</f>
        <v/>
      </c>
      <c r="K221" s="158"/>
      <c r="L221" s="162" t="str">
        <f>IFERROR(INDEX(Lookups!$Y$2:$Y$19,MATCH(_xlfn.CONCAT(I221,K221),Lookups!$X$2:$X$19,0)),"")</f>
        <v/>
      </c>
      <c r="M221" s="158"/>
      <c r="N221" s="153" t="str">
        <f>IFERROR(INDEX('Prescriptive Rebate Table'!$M$3:$M$20,MATCH(M221,'Prescriptive Rebate Table'!$L$3:$L$20,0)),"")</f>
        <v/>
      </c>
      <c r="O221" s="158"/>
      <c r="P221" s="154" t="str">
        <f>IFERROR(INDEX('Prescriptive Rebate Table'!$B$2:$H$64, MATCH(O221,'Prescriptive Rebate Table'!$C$2:$C$64,0),7),"")</f>
        <v/>
      </c>
      <c r="Q221" s="155" t="str">
        <f>IFERROR(INDEX('Prescriptive Rebate Table'!$B$2:$I$64, MATCH(O221,'Prescriptive Rebate Table'!$C$2:$C$64,0),8),"")</f>
        <v/>
      </c>
      <c r="R221" s="155" t="str">
        <f>IFERROR(INDEX('Prescriptive Rebate Table'!$B$2:$J$64, MATCH(O221,'Prescriptive Rebate Table'!$C$2:$C$64,0),9),"")</f>
        <v/>
      </c>
      <c r="S221" s="160"/>
      <c r="T221" s="145" t="str">
        <f>IFERROR(INDEX('Fixture Codes'!$M$8:$M$976,MATCH(S221,'Fixture Codes'!$B$8:$B$976,0)),"")</f>
        <v/>
      </c>
      <c r="U221" s="145" t="str">
        <f>IFERROR(INDEX('Fixture Codes'!$B$7:$M$976,MATCH(T221,'Fixture Codes'!$B$7:$B$976,0),5),"")</f>
        <v/>
      </c>
      <c r="V221" s="160"/>
      <c r="W221" s="145" t="str">
        <f>IFERROR(INDEX('Fixture Codes'!$L$8:$L$976,MATCH(T221,'Fixture Codes'!$B$8:$B$976,0)),"")</f>
        <v/>
      </c>
      <c r="X221" s="158"/>
      <c r="Y221" s="159"/>
      <c r="Z221" s="155" t="str">
        <f>IFERROR(INDEX(Lookups!B$68:B$87,MATCH($X221,Lookups!$A$68:$A$87,0)),"")</f>
        <v/>
      </c>
      <c r="AA221" s="150" t="str">
        <f>IFERROR(INDEX(Lookups!B$42:B$62,MATCH($X221,Lookups!$A$42:$A$62,0)),"")</f>
        <v/>
      </c>
      <c r="AB221" s="150" t="str">
        <f>IFERROR(INDEX(Lookups!C$42:C$62,MATCH($X221,Lookups!$A$42:$A$62,0)),"")</f>
        <v/>
      </c>
      <c r="AC221" s="160"/>
      <c r="AD221" s="160"/>
      <c r="AE221" s="150" t="str">
        <f>IFERROR(INDEX('Fixture Codes'!$B$7:$M$976,MATCH(AD221,'Fixture Codes'!$B$7:$B$976,0),5),"")</f>
        <v/>
      </c>
      <c r="AF221" s="160"/>
      <c r="AG221" s="145" t="str">
        <f>IFERROR(INDEX('Fixture Codes'!$L$8:$L$976,MATCH(AD221,'Fixture Codes'!$B$8:$B$976,0)),"")</f>
        <v/>
      </c>
      <c r="AH221" s="158"/>
      <c r="AI221" s="160"/>
      <c r="AJ221" s="150" t="str">
        <f>IFERROR(INDEX(Lookups!B$68:B$87,MATCH($AH221,Lookups!$A$68:$A$87,0)),"")</f>
        <v/>
      </c>
      <c r="AK221" s="150" t="str">
        <f>IFERROR(INDEX(Lookups!B$42:B$62,MATCH($AH221,Lookups!$A$42:$A$62,0)),"")</f>
        <v/>
      </c>
      <c r="AL221" s="150" t="str">
        <f>IFERROR(INDEX(Lookups!C$42:C$62,MATCH($AH221,Lookups!$A$42:$A$62,0)),"")</f>
        <v/>
      </c>
      <c r="AM221" s="150" t="str">
        <f>IFERROR(IF(M221="Exit Signs",8760,IF(INDEX('Fixture Codes'!$C$8:$C$976,MATCH(AD221,'Fixture Codes'!$B$8:$B$976,0))="Exit Sign",8760,INDEX(Lookups!$I$2:$I$428,MATCH(_xlfn.CONCAT(B221,H221),Lookups!$H$2:$H$428,0)))),"")</f>
        <v/>
      </c>
      <c r="AN221" s="153">
        <v>1</v>
      </c>
      <c r="AO221" s="150" t="str">
        <f>IF($D221="Interior",INDEX(Lookups!Q$2:Q$86,MATCH(_xlfn.CONCAT($C221,$L221),Lookups!$P$2:$P$86,0)),IF($D221="Exterior",1,""))</f>
        <v/>
      </c>
      <c r="AP221" s="150">
        <f t="shared" si="119"/>
        <v>1</v>
      </c>
      <c r="AQ221" s="150" t="str">
        <f>IF($D221="Interior",INDEX(Lookups!R$2:R$86,MATCH(_xlfn.CONCAT($C221,$L221),Lookups!$P$2:$P$86,0)),IF($D221="Exterior",1,""))</f>
        <v/>
      </c>
      <c r="AR221" s="150" t="str">
        <f>IF($D221="Interior",INDEX(Lookups!S$2:S$86,MATCH(_xlfn.CONCAT($C221,$L221),Lookups!$P$2:$P$86,0)),IF($D221="Exterior",1,""))</f>
        <v/>
      </c>
      <c r="AS221" s="150" t="str">
        <f>IF($D221="Interior",INDEX(Lookups!T$2:T$86,MATCH(_xlfn.CONCAT($C221,$L221),Lookups!$P$2:$P$86,0)),IF($D221="Exterior",1,""))</f>
        <v/>
      </c>
      <c r="AT221" s="150" t="str">
        <f>IFERROR(IF(M221="Exit Signs",1,IF(INDEX('Fixture Codes'!$C$8:$C$976,MATCH($AD221,'Fixture Codes'!$B$8:$B$976,0))="Exit Sign",1,INDEX(Lookups!J$2:J$428,MATCH(_xlfn.CONCAT($B221,$H221),Lookups!$H$2:$H$428,0)))),"")</f>
        <v/>
      </c>
      <c r="AU221" s="150" t="str">
        <f>IFERROR(IF(M221="Exit Signs",1,IF(INDEX('Fixture Codes'!$C$8:$C$976,MATCH($AD221,'Fixture Codes'!$B$8:$B$976,0))="Exit Sign",1,INDEX(Lookups!K$2:K$428,MATCH(_xlfn.CONCAT($B221,$H221),Lookups!$H$2:$H$428,0)))),"")</f>
        <v/>
      </c>
      <c r="AV221" s="150" t="str">
        <f>IFERROR(IF(M221="Exit Signs",1,IF(INDEX('Fixture Codes'!$C$8:$C$976,MATCH($AD221,'Fixture Codes'!$B$8:$B$976,0))="Exit Sign",1,INDEX(Lookups!L$2:L$428,MATCH(_xlfn.CONCAT($B221,$H221),Lookups!$H$2:$H$428,0)))),"")</f>
        <v/>
      </c>
      <c r="AW221" s="150" t="str">
        <f>IF(ISBLANK(K221),"",IF(K221="Gas",INDEX(Lookups!$AG$2:$AG$63,MATCH(O221,Lookups!$AD$2:$AD$63,0),0),0))</f>
        <v/>
      </c>
      <c r="AX221" s="150" t="str">
        <f>IF(ISBLANK(K221),"",IF(K221="Gas",INDEX(Lookups!$AF$2:$AF$63,MATCH(O221,Lookups!$AD$2:$AD$63,0),0),0))</f>
        <v/>
      </c>
      <c r="AY221" s="150" t="str">
        <f>IF(ISBLANK(K221),"",IF(K221="Gas",INDEX(Lookups!$AH$2:$AH$63,MATCH(O221,Lookups!$AD$2:$AD$63,0),0),0))</f>
        <v/>
      </c>
      <c r="AZ221" s="150" t="str">
        <f>IF(ISBLANK(K221),"",IF(K221="Gas",INDEX(Lookups!$AI$2:$AI$63,MATCH(O221,Lookups!$AD$2:$AD$63,0),0),0))</f>
        <v/>
      </c>
      <c r="BA221" s="150" t="str">
        <f t="shared" si="106"/>
        <v/>
      </c>
      <c r="BB221" s="156" t="str">
        <f>IF(ISBLANK(AH221),"",IF(AH221="None",0,IF(K221="Gas",INDEX(Lookups!$AF$51:$AF$69,MATCH(AH221,Lookups!$AD$51:$AD$69,0),0),0)))</f>
        <v/>
      </c>
      <c r="BC221" s="156" t="str">
        <f>IF(ISBLANK(AH221),"",IF(AH221="None",0,IF(K221="Gas",INDEX(Lookups!$AH$51:$AH$69,MATCH(AH221,Lookups!$AD$51:$AD$69,0),0),0)))</f>
        <v/>
      </c>
      <c r="BD221" s="156" t="str">
        <f>IF(ISBLANK(AH221),"",IF(AH221="None",0,IF(K221="Gas",INDEX(Lookups!$AI$51:$AI$69,MATCH(AH221,Lookups!$AD$51:$AD$69,0),0),0)))</f>
        <v/>
      </c>
      <c r="BE221" s="157"/>
      <c r="BF221" s="157"/>
      <c r="BG221" s="147" t="str">
        <f t="shared" si="120"/>
        <v/>
      </c>
      <c r="BH221" s="147" t="str">
        <f t="shared" si="121"/>
        <v/>
      </c>
      <c r="BI221" s="147" t="str">
        <f t="shared" si="107"/>
        <v/>
      </c>
      <c r="BJ221" s="147" t="str">
        <f t="shared" si="108"/>
        <v/>
      </c>
      <c r="BK221" s="148" t="str">
        <f t="shared" si="122"/>
        <v/>
      </c>
      <c r="BL221" s="147" t="str">
        <f t="shared" si="109"/>
        <v/>
      </c>
      <c r="BM221" s="148" t="str">
        <f t="shared" si="123"/>
        <v/>
      </c>
      <c r="BN221" s="147" t="str">
        <f t="shared" si="124"/>
        <v/>
      </c>
      <c r="BO221" s="147" t="str">
        <f t="shared" si="124"/>
        <v/>
      </c>
      <c r="BP221" s="147" t="str">
        <f t="shared" si="125"/>
        <v/>
      </c>
      <c r="BQ221" s="148" t="str">
        <f t="shared" si="126"/>
        <v/>
      </c>
      <c r="BR221" s="148" t="str">
        <f t="shared" si="127"/>
        <v/>
      </c>
      <c r="BS221" s="148" t="str">
        <f t="shared" si="128"/>
        <v/>
      </c>
      <c r="BT221" s="148" t="str">
        <f t="shared" si="110"/>
        <v/>
      </c>
      <c r="BU221" s="148" t="str">
        <f t="shared" si="111"/>
        <v/>
      </c>
      <c r="BV221" s="148" t="str">
        <f t="shared" si="112"/>
        <v/>
      </c>
      <c r="BW221" s="148" t="str">
        <f t="shared" si="113"/>
        <v/>
      </c>
      <c r="BX221" s="148" t="str">
        <f t="shared" si="114"/>
        <v/>
      </c>
      <c r="BY221" s="148" t="str">
        <f t="shared" si="115"/>
        <v/>
      </c>
      <c r="BZ221" s="149" t="str">
        <f>IFERROR(INDEX('Prescriptive Rebate Table'!$B$2:$E$64,MATCH(O221,'Prescriptive Rebate Table'!$C$2:$C$64,0),3),"")</f>
        <v/>
      </c>
      <c r="CA221" s="145" t="str">
        <f>IFERROR(INDEX('Prescriptive Rebate Table'!$B$2:$E$64,MATCH(O221,'Prescriptive Rebate Table'!$C$2:$C$64,0),4),"")</f>
        <v/>
      </c>
      <c r="CB221" s="149" t="str">
        <f t="shared" si="129"/>
        <v/>
      </c>
      <c r="CC221" s="145" t="str">
        <f t="shared" si="130"/>
        <v/>
      </c>
      <c r="CD221" s="149" t="str">
        <f t="shared" si="116"/>
        <v/>
      </c>
      <c r="CE221" s="149" t="str">
        <f t="shared" si="117"/>
        <v/>
      </c>
      <c r="CF221" s="149" t="str">
        <f>IF(BK221&lt;=0,0,IFERROR(IF(OR(ISBLANK(AC221),ISBLANK(CD221))=TRUE,"",IF(CA221="Per Foot",INDEX('Fixture Codes'!$I$8:$I$976,MATCH(AD221,'Fixture Codes'!$B$8:$B$976,0))/12*AF221*BZ221,IF(CA221="Lamp",INDEX('Fixture Codes'!$J$8:$J$976,MATCH(AD221,'Fixture Codes'!$B$8:$B$976,0))*AF221*BZ221,IF(CA221="Fixture",AF221*BZ221,IF(CA221="kWh",BK221*BZ221,0))))),""))</f>
        <v/>
      </c>
      <c r="CG221" s="149" t="str">
        <f t="shared" si="131"/>
        <v/>
      </c>
      <c r="CH221" s="149" t="str">
        <f t="shared" si="132"/>
        <v/>
      </c>
      <c r="CI221" s="152"/>
      <c r="CJ221" s="146"/>
      <c r="CK221" s="241">
        <f>IFERROR(IF(CL221="Yes",'Prescriptive Rebate Table'!$D$69,IF(ISBLANK(AI221),0,IF(AND(AH221=Lookups!$A$62,BK221&gt;0),'Prescriptive Rebate Table'!$D$68,IF(AND(BK221&gt;0,CJ221=AF221),'Prescriptive Rebate Table'!$D$67,IF(AND(BK221&gt;0,CJ221&lt;&gt;AF221),'Prescriptive Rebate Table'!D280,0))))),"")</f>
        <v>0</v>
      </c>
      <c r="CL221" s="240" t="s">
        <v>2712</v>
      </c>
      <c r="CM221" s="152"/>
      <c r="CN221" s="152"/>
      <c r="CO221" s="152"/>
      <c r="CP221" s="146">
        <f t="shared" si="118"/>
        <v>0</v>
      </c>
      <c r="CQ221" s="153">
        <f>IF(D221="Interior",ROUND(($AG221*AF221)/1000*$AM221*(Lookups!$B$54-$AA221)*$AN221*$AO221,3),0)</f>
        <v>0</v>
      </c>
      <c r="CR221" s="153">
        <f>IFERROR(IF(D221="Interior",ROUND(($AG221*$AF221)/1000*(Lookups!$C$54-$AB221)*$AN221*AQ221*AT221,6),0),"")</f>
        <v>0</v>
      </c>
      <c r="CS221" s="165">
        <f t="shared" si="133"/>
        <v>0</v>
      </c>
      <c r="CT221" s="165">
        <f t="shared" si="134"/>
        <v>0</v>
      </c>
      <c r="CV221" s="153"/>
      <c r="CW221" s="153"/>
      <c r="CX221" s="165"/>
      <c r="CY221" s="165"/>
      <c r="DA221" s="153">
        <f>IF(D221="Interior",ROUND(($AG221*AF221*(1-0.15))/1000*$AM221*(Lookups!$B$43+0.097-$AA221)*$AN221*$AO221+((W221*V221)/1000*AN221*AM221*AO221*0.15),3),0)</f>
        <v>0</v>
      </c>
      <c r="DB221" s="153">
        <f>IFERROR(IF(D221="Interior",ROUND(($AG221*$AF221)/1000*(Lookups!$C$43+0.097-$AB221)*$AN221*AQ221*AT221+(($AG221*$AF221)/1000*$AN221*AQ221*AT221*0.15),6),0),"")</f>
        <v>0</v>
      </c>
      <c r="DC221" s="165">
        <f t="shared" si="135"/>
        <v>0</v>
      </c>
      <c r="DD221" s="165">
        <f t="shared" si="136"/>
        <v>0</v>
      </c>
    </row>
    <row r="222" spans="1:108" s="164" customFormat="1">
      <c r="A222" s="150">
        <v>218</v>
      </c>
      <c r="B222" s="153" t="str">
        <f>IFERROR(INDEX(Lookups!$B$2:$B$38,MATCH('Project Info &amp; Summary'!$C$19,Lookups!$A$2:$A$38,0)),"")</f>
        <v/>
      </c>
      <c r="C222" s="153" t="str">
        <f>IFERROR(INDEX(Lookups!$C$2:$C$38,MATCH('Project Info &amp; Summary'!$C$19,Lookups!$A$2:$A$38,0)),"")</f>
        <v/>
      </c>
      <c r="D222" s="163"/>
      <c r="E222" s="160"/>
      <c r="F222" s="158"/>
      <c r="G222" s="158"/>
      <c r="H222" s="158"/>
      <c r="I222" s="158"/>
      <c r="J222" s="154" t="str">
        <f>IFERROR(INDEX(Lookups!$W$21:$W$26,MATCH(I222,Lookups!$V$21:$V$26,0)),"")</f>
        <v/>
      </c>
      <c r="K222" s="158"/>
      <c r="L222" s="162" t="str">
        <f>IFERROR(INDEX(Lookups!$Y$2:$Y$19,MATCH(_xlfn.CONCAT(I222,K222),Lookups!$X$2:$X$19,0)),"")</f>
        <v/>
      </c>
      <c r="M222" s="158"/>
      <c r="N222" s="153" t="str">
        <f>IFERROR(INDEX('Prescriptive Rebate Table'!$M$3:$M$20,MATCH(M222,'Prescriptive Rebate Table'!$L$3:$L$20,0)),"")</f>
        <v/>
      </c>
      <c r="O222" s="158"/>
      <c r="P222" s="154" t="str">
        <f>IFERROR(INDEX('Prescriptive Rebate Table'!$B$2:$H$64, MATCH(O222,'Prescriptive Rebate Table'!$C$2:$C$64,0),7),"")</f>
        <v/>
      </c>
      <c r="Q222" s="155" t="str">
        <f>IFERROR(INDEX('Prescriptive Rebate Table'!$B$2:$I$64, MATCH(O222,'Prescriptive Rebate Table'!$C$2:$C$64,0),8),"")</f>
        <v/>
      </c>
      <c r="R222" s="155" t="str">
        <f>IFERROR(INDEX('Prescriptive Rebate Table'!$B$2:$J$64, MATCH(O222,'Prescriptive Rebate Table'!$C$2:$C$64,0),9),"")</f>
        <v/>
      </c>
      <c r="S222" s="160"/>
      <c r="T222" s="145" t="str">
        <f>IFERROR(INDEX('Fixture Codes'!$M$8:$M$976,MATCH(S222,'Fixture Codes'!$B$8:$B$976,0)),"")</f>
        <v/>
      </c>
      <c r="U222" s="145" t="str">
        <f>IFERROR(INDEX('Fixture Codes'!$B$7:$M$976,MATCH(T222,'Fixture Codes'!$B$7:$B$976,0),5),"")</f>
        <v/>
      </c>
      <c r="V222" s="160"/>
      <c r="W222" s="145" t="str">
        <f>IFERROR(INDEX('Fixture Codes'!$L$8:$L$976,MATCH(T222,'Fixture Codes'!$B$8:$B$976,0)),"")</f>
        <v/>
      </c>
      <c r="X222" s="158"/>
      <c r="Y222" s="159"/>
      <c r="Z222" s="155" t="str">
        <f>IFERROR(INDEX(Lookups!B$68:B$87,MATCH($X222,Lookups!$A$68:$A$87,0)),"")</f>
        <v/>
      </c>
      <c r="AA222" s="150" t="str">
        <f>IFERROR(INDEX(Lookups!B$42:B$62,MATCH($X222,Lookups!$A$42:$A$62,0)),"")</f>
        <v/>
      </c>
      <c r="AB222" s="150" t="str">
        <f>IFERROR(INDEX(Lookups!C$42:C$62,MATCH($X222,Lookups!$A$42:$A$62,0)),"")</f>
        <v/>
      </c>
      <c r="AC222" s="160"/>
      <c r="AD222" s="160"/>
      <c r="AE222" s="150" t="str">
        <f>IFERROR(INDEX('Fixture Codes'!$B$7:$M$976,MATCH(AD222,'Fixture Codes'!$B$7:$B$976,0),5),"")</f>
        <v/>
      </c>
      <c r="AF222" s="160"/>
      <c r="AG222" s="145" t="str">
        <f>IFERROR(INDEX('Fixture Codes'!$L$8:$L$976,MATCH(AD222,'Fixture Codes'!$B$8:$B$976,0)),"")</f>
        <v/>
      </c>
      <c r="AH222" s="158"/>
      <c r="AI222" s="160"/>
      <c r="AJ222" s="150" t="str">
        <f>IFERROR(INDEX(Lookups!B$68:B$87,MATCH($AH222,Lookups!$A$68:$A$87,0)),"")</f>
        <v/>
      </c>
      <c r="AK222" s="150" t="str">
        <f>IFERROR(INDEX(Lookups!B$42:B$62,MATCH($AH222,Lookups!$A$42:$A$62,0)),"")</f>
        <v/>
      </c>
      <c r="AL222" s="150" t="str">
        <f>IFERROR(INDEX(Lookups!C$42:C$62,MATCH($AH222,Lookups!$A$42:$A$62,0)),"")</f>
        <v/>
      </c>
      <c r="AM222" s="150" t="str">
        <f>IFERROR(IF(M222="Exit Signs",8760,IF(INDEX('Fixture Codes'!$C$8:$C$976,MATCH(AD222,'Fixture Codes'!$B$8:$B$976,0))="Exit Sign",8760,INDEX(Lookups!$I$2:$I$428,MATCH(_xlfn.CONCAT(B222,H222),Lookups!$H$2:$H$428,0)))),"")</f>
        <v/>
      </c>
      <c r="AN222" s="153">
        <v>1</v>
      </c>
      <c r="AO222" s="150" t="str">
        <f>IF($D222="Interior",INDEX(Lookups!Q$2:Q$86,MATCH(_xlfn.CONCAT($C222,$L222),Lookups!$P$2:$P$86,0)),IF($D222="Exterior",1,""))</f>
        <v/>
      </c>
      <c r="AP222" s="150">
        <f t="shared" si="119"/>
        <v>1</v>
      </c>
      <c r="AQ222" s="150" t="str">
        <f>IF($D222="Interior",INDEX(Lookups!R$2:R$86,MATCH(_xlfn.CONCAT($C222,$L222),Lookups!$P$2:$P$86,0)),IF($D222="Exterior",1,""))</f>
        <v/>
      </c>
      <c r="AR222" s="150" t="str">
        <f>IF($D222="Interior",INDEX(Lookups!S$2:S$86,MATCH(_xlfn.CONCAT($C222,$L222),Lookups!$P$2:$P$86,0)),IF($D222="Exterior",1,""))</f>
        <v/>
      </c>
      <c r="AS222" s="150" t="str">
        <f>IF($D222="Interior",INDEX(Lookups!T$2:T$86,MATCH(_xlfn.CONCAT($C222,$L222),Lookups!$P$2:$P$86,0)),IF($D222="Exterior",1,""))</f>
        <v/>
      </c>
      <c r="AT222" s="150" t="str">
        <f>IFERROR(IF(M222="Exit Signs",1,IF(INDEX('Fixture Codes'!$C$8:$C$976,MATCH($AD222,'Fixture Codes'!$B$8:$B$976,0))="Exit Sign",1,INDEX(Lookups!J$2:J$428,MATCH(_xlfn.CONCAT($B222,$H222),Lookups!$H$2:$H$428,0)))),"")</f>
        <v/>
      </c>
      <c r="AU222" s="150" t="str">
        <f>IFERROR(IF(M222="Exit Signs",1,IF(INDEX('Fixture Codes'!$C$8:$C$976,MATCH($AD222,'Fixture Codes'!$B$8:$B$976,0))="Exit Sign",1,INDEX(Lookups!K$2:K$428,MATCH(_xlfn.CONCAT($B222,$H222),Lookups!$H$2:$H$428,0)))),"")</f>
        <v/>
      </c>
      <c r="AV222" s="150" t="str">
        <f>IFERROR(IF(M222="Exit Signs",1,IF(INDEX('Fixture Codes'!$C$8:$C$976,MATCH($AD222,'Fixture Codes'!$B$8:$B$976,0))="Exit Sign",1,INDEX(Lookups!L$2:L$428,MATCH(_xlfn.CONCAT($B222,$H222),Lookups!$H$2:$H$428,0)))),"")</f>
        <v/>
      </c>
      <c r="AW222" s="150" t="str">
        <f>IF(ISBLANK(K222),"",IF(K222="Gas",INDEX(Lookups!$AG$2:$AG$63,MATCH(O222,Lookups!$AD$2:$AD$63,0),0),0))</f>
        <v/>
      </c>
      <c r="AX222" s="150" t="str">
        <f>IF(ISBLANK(K222),"",IF(K222="Gas",INDEX(Lookups!$AF$2:$AF$63,MATCH(O222,Lookups!$AD$2:$AD$63,0),0),0))</f>
        <v/>
      </c>
      <c r="AY222" s="150" t="str">
        <f>IF(ISBLANK(K222),"",IF(K222="Gas",INDEX(Lookups!$AH$2:$AH$63,MATCH(O222,Lookups!$AD$2:$AD$63,0),0),0))</f>
        <v/>
      </c>
      <c r="AZ222" s="150" t="str">
        <f>IF(ISBLANK(K222),"",IF(K222="Gas",INDEX(Lookups!$AI$2:$AI$63,MATCH(O222,Lookups!$AD$2:$AD$63,0),0),0))</f>
        <v/>
      </c>
      <c r="BA222" s="150" t="str">
        <f t="shared" si="106"/>
        <v/>
      </c>
      <c r="BB222" s="156" t="str">
        <f>IF(ISBLANK(AH222),"",IF(AH222="None",0,IF(K222="Gas",INDEX(Lookups!$AF$51:$AF$69,MATCH(AH222,Lookups!$AD$51:$AD$69,0),0),0)))</f>
        <v/>
      </c>
      <c r="BC222" s="156" t="str">
        <f>IF(ISBLANK(AH222),"",IF(AH222="None",0,IF(K222="Gas",INDEX(Lookups!$AH$51:$AH$69,MATCH(AH222,Lookups!$AD$51:$AD$69,0),0),0)))</f>
        <v/>
      </c>
      <c r="BD222" s="156" t="str">
        <f>IF(ISBLANK(AH222),"",IF(AH222="None",0,IF(K222="Gas",INDEX(Lookups!$AI$51:$AI$69,MATCH(AH222,Lookups!$AD$51:$AD$69,0),0),0)))</f>
        <v/>
      </c>
      <c r="BE222" s="157"/>
      <c r="BF222" s="157"/>
      <c r="BG222" s="147" t="str">
        <f t="shared" si="120"/>
        <v/>
      </c>
      <c r="BH222" s="147" t="str">
        <f t="shared" si="121"/>
        <v/>
      </c>
      <c r="BI222" s="147" t="str">
        <f t="shared" si="107"/>
        <v/>
      </c>
      <c r="BJ222" s="147" t="str">
        <f t="shared" si="108"/>
        <v/>
      </c>
      <c r="BK222" s="148" t="str">
        <f t="shared" si="122"/>
        <v/>
      </c>
      <c r="BL222" s="147" t="str">
        <f t="shared" si="109"/>
        <v/>
      </c>
      <c r="BM222" s="148" t="str">
        <f t="shared" si="123"/>
        <v/>
      </c>
      <c r="BN222" s="147" t="str">
        <f t="shared" si="124"/>
        <v/>
      </c>
      <c r="BO222" s="147" t="str">
        <f t="shared" si="124"/>
        <v/>
      </c>
      <c r="BP222" s="147" t="str">
        <f t="shared" si="125"/>
        <v/>
      </c>
      <c r="BQ222" s="148" t="str">
        <f t="shared" si="126"/>
        <v/>
      </c>
      <c r="BR222" s="148" t="str">
        <f t="shared" si="127"/>
        <v/>
      </c>
      <c r="BS222" s="148" t="str">
        <f t="shared" si="128"/>
        <v/>
      </c>
      <c r="BT222" s="148" t="str">
        <f t="shared" si="110"/>
        <v/>
      </c>
      <c r="BU222" s="148" t="str">
        <f t="shared" si="111"/>
        <v/>
      </c>
      <c r="BV222" s="148" t="str">
        <f t="shared" si="112"/>
        <v/>
      </c>
      <c r="BW222" s="148" t="str">
        <f t="shared" si="113"/>
        <v/>
      </c>
      <c r="BX222" s="148" t="str">
        <f t="shared" si="114"/>
        <v/>
      </c>
      <c r="BY222" s="148" t="str">
        <f t="shared" si="115"/>
        <v/>
      </c>
      <c r="BZ222" s="149" t="str">
        <f>IFERROR(INDEX('Prescriptive Rebate Table'!$B$2:$E$64,MATCH(O222,'Prescriptive Rebate Table'!$C$2:$C$64,0),3),"")</f>
        <v/>
      </c>
      <c r="CA222" s="145" t="str">
        <f>IFERROR(INDEX('Prescriptive Rebate Table'!$B$2:$E$64,MATCH(O222,'Prescriptive Rebate Table'!$C$2:$C$64,0),4),"")</f>
        <v/>
      </c>
      <c r="CB222" s="149" t="str">
        <f t="shared" si="129"/>
        <v/>
      </c>
      <c r="CC222" s="145" t="str">
        <f t="shared" si="130"/>
        <v/>
      </c>
      <c r="CD222" s="149" t="str">
        <f t="shared" si="116"/>
        <v/>
      </c>
      <c r="CE222" s="149" t="str">
        <f t="shared" si="117"/>
        <v/>
      </c>
      <c r="CF222" s="149" t="str">
        <f>IF(BK222&lt;=0,0,IFERROR(IF(OR(ISBLANK(AC222),ISBLANK(CD222))=TRUE,"",IF(CA222="Per Foot",INDEX('Fixture Codes'!$I$8:$I$976,MATCH(AD222,'Fixture Codes'!$B$8:$B$976,0))/12*AF222*BZ222,IF(CA222="Lamp",INDEX('Fixture Codes'!$J$8:$J$976,MATCH(AD222,'Fixture Codes'!$B$8:$B$976,0))*AF222*BZ222,IF(CA222="Fixture",AF222*BZ222,IF(CA222="kWh",BK222*BZ222,0))))),""))</f>
        <v/>
      </c>
      <c r="CG222" s="149" t="str">
        <f t="shared" si="131"/>
        <v/>
      </c>
      <c r="CH222" s="149" t="str">
        <f t="shared" si="132"/>
        <v/>
      </c>
      <c r="CI222" s="152"/>
      <c r="CJ222" s="146"/>
      <c r="CK222" s="241">
        <f>IFERROR(IF(CL222="Yes",'Prescriptive Rebate Table'!$D$69,IF(ISBLANK(AI222),0,IF(AND(AH222=Lookups!$A$62,BK222&gt;0),'Prescriptive Rebate Table'!$D$68,IF(AND(BK222&gt;0,CJ222=AF222),'Prescriptive Rebate Table'!$D$67,IF(AND(BK222&gt;0,CJ222&lt;&gt;AF222),'Prescriptive Rebate Table'!D281,0))))),"")</f>
        <v>0</v>
      </c>
      <c r="CL222" s="240" t="s">
        <v>2712</v>
      </c>
      <c r="CM222" s="152"/>
      <c r="CN222" s="152"/>
      <c r="CO222" s="152"/>
      <c r="CP222" s="146">
        <f t="shared" si="118"/>
        <v>0</v>
      </c>
      <c r="CQ222" s="153">
        <f>IF(D222="Interior",ROUND(($AG222*AF222)/1000*$AM222*(Lookups!$B$54-$AA222)*$AN222*$AO222,3),0)</f>
        <v>0</v>
      </c>
      <c r="CR222" s="153">
        <f>IFERROR(IF(D222="Interior",ROUND(($AG222*$AF222)/1000*(Lookups!$C$54-$AB222)*$AN222*AQ222*AT222,6),0),"")</f>
        <v>0</v>
      </c>
      <c r="CS222" s="165">
        <f t="shared" si="133"/>
        <v>0</v>
      </c>
      <c r="CT222" s="165">
        <f t="shared" si="134"/>
        <v>0</v>
      </c>
      <c r="CV222" s="153"/>
      <c r="CW222" s="153"/>
      <c r="CX222" s="165"/>
      <c r="CY222" s="165"/>
      <c r="DA222" s="153">
        <f>IF(D222="Interior",ROUND(($AG222*AF222*(1-0.15))/1000*$AM222*(Lookups!$B$43+0.097-$AA222)*$AN222*$AO222+((W222*V222)/1000*AN222*AM222*AO222*0.15),3),0)</f>
        <v>0</v>
      </c>
      <c r="DB222" s="153">
        <f>IFERROR(IF(D222="Interior",ROUND(($AG222*$AF222)/1000*(Lookups!$C$43+0.097-$AB222)*$AN222*AQ222*AT222+(($AG222*$AF222)/1000*$AN222*AQ222*AT222*0.15),6),0),"")</f>
        <v>0</v>
      </c>
      <c r="DC222" s="165">
        <f t="shared" si="135"/>
        <v>0</v>
      </c>
      <c r="DD222" s="165">
        <f t="shared" si="136"/>
        <v>0</v>
      </c>
    </row>
    <row r="223" spans="1:108" s="164" customFormat="1">
      <c r="A223" s="150">
        <v>219</v>
      </c>
      <c r="B223" s="153" t="str">
        <f>IFERROR(INDEX(Lookups!$B$2:$B$38,MATCH('Project Info &amp; Summary'!$C$19,Lookups!$A$2:$A$38,0)),"")</f>
        <v/>
      </c>
      <c r="C223" s="153" t="str">
        <f>IFERROR(INDEX(Lookups!$C$2:$C$38,MATCH('Project Info &amp; Summary'!$C$19,Lookups!$A$2:$A$38,0)),"")</f>
        <v/>
      </c>
      <c r="D223" s="163"/>
      <c r="E223" s="160"/>
      <c r="F223" s="158"/>
      <c r="G223" s="158"/>
      <c r="H223" s="158"/>
      <c r="I223" s="158"/>
      <c r="J223" s="154" t="str">
        <f>IFERROR(INDEX(Lookups!$W$21:$W$26,MATCH(I223,Lookups!$V$21:$V$26,0)),"")</f>
        <v/>
      </c>
      <c r="K223" s="158"/>
      <c r="L223" s="162" t="str">
        <f>IFERROR(INDEX(Lookups!$Y$2:$Y$19,MATCH(_xlfn.CONCAT(I223,K223),Lookups!$X$2:$X$19,0)),"")</f>
        <v/>
      </c>
      <c r="M223" s="158"/>
      <c r="N223" s="153" t="str">
        <f>IFERROR(INDEX('Prescriptive Rebate Table'!$M$3:$M$20,MATCH(M223,'Prescriptive Rebate Table'!$L$3:$L$20,0)),"")</f>
        <v/>
      </c>
      <c r="O223" s="158"/>
      <c r="P223" s="154" t="str">
        <f>IFERROR(INDEX('Prescriptive Rebate Table'!$B$2:$H$64, MATCH(O223,'Prescriptive Rebate Table'!$C$2:$C$64,0),7),"")</f>
        <v/>
      </c>
      <c r="Q223" s="155" t="str">
        <f>IFERROR(INDEX('Prescriptive Rebate Table'!$B$2:$I$64, MATCH(O223,'Prescriptive Rebate Table'!$C$2:$C$64,0),8),"")</f>
        <v/>
      </c>
      <c r="R223" s="155" t="str">
        <f>IFERROR(INDEX('Prescriptive Rebate Table'!$B$2:$J$64, MATCH(O223,'Prescriptive Rebate Table'!$C$2:$C$64,0),9),"")</f>
        <v/>
      </c>
      <c r="S223" s="160"/>
      <c r="T223" s="145" t="str">
        <f>IFERROR(INDEX('Fixture Codes'!$M$8:$M$976,MATCH(S223,'Fixture Codes'!$B$8:$B$976,0)),"")</f>
        <v/>
      </c>
      <c r="U223" s="145" t="str">
        <f>IFERROR(INDEX('Fixture Codes'!$B$7:$M$976,MATCH(T223,'Fixture Codes'!$B$7:$B$976,0),5),"")</f>
        <v/>
      </c>
      <c r="V223" s="160"/>
      <c r="W223" s="145" t="str">
        <f>IFERROR(INDEX('Fixture Codes'!$L$8:$L$976,MATCH(T223,'Fixture Codes'!$B$8:$B$976,0)),"")</f>
        <v/>
      </c>
      <c r="X223" s="158"/>
      <c r="Y223" s="159"/>
      <c r="Z223" s="155" t="str">
        <f>IFERROR(INDEX(Lookups!B$68:B$87,MATCH($X223,Lookups!$A$68:$A$87,0)),"")</f>
        <v/>
      </c>
      <c r="AA223" s="150" t="str">
        <f>IFERROR(INDEX(Lookups!B$42:B$62,MATCH($X223,Lookups!$A$42:$A$62,0)),"")</f>
        <v/>
      </c>
      <c r="AB223" s="150" t="str">
        <f>IFERROR(INDEX(Lookups!C$42:C$62,MATCH($X223,Lookups!$A$42:$A$62,0)),"")</f>
        <v/>
      </c>
      <c r="AC223" s="160"/>
      <c r="AD223" s="160"/>
      <c r="AE223" s="150" t="str">
        <f>IFERROR(INDEX('Fixture Codes'!$B$7:$M$976,MATCH(AD223,'Fixture Codes'!$B$7:$B$976,0),5),"")</f>
        <v/>
      </c>
      <c r="AF223" s="160"/>
      <c r="AG223" s="145" t="str">
        <f>IFERROR(INDEX('Fixture Codes'!$L$8:$L$976,MATCH(AD223,'Fixture Codes'!$B$8:$B$976,0)),"")</f>
        <v/>
      </c>
      <c r="AH223" s="158"/>
      <c r="AI223" s="160"/>
      <c r="AJ223" s="150" t="str">
        <f>IFERROR(INDEX(Lookups!B$68:B$87,MATCH($AH223,Lookups!$A$68:$A$87,0)),"")</f>
        <v/>
      </c>
      <c r="AK223" s="150" t="str">
        <f>IFERROR(INDEX(Lookups!B$42:B$62,MATCH($AH223,Lookups!$A$42:$A$62,0)),"")</f>
        <v/>
      </c>
      <c r="AL223" s="150" t="str">
        <f>IFERROR(INDEX(Lookups!C$42:C$62,MATCH($AH223,Lookups!$A$42:$A$62,0)),"")</f>
        <v/>
      </c>
      <c r="AM223" s="150" t="str">
        <f>IFERROR(IF(M223="Exit Signs",8760,IF(INDEX('Fixture Codes'!$C$8:$C$976,MATCH(AD223,'Fixture Codes'!$B$8:$B$976,0))="Exit Sign",8760,INDEX(Lookups!$I$2:$I$428,MATCH(_xlfn.CONCAT(B223,H223),Lookups!$H$2:$H$428,0)))),"")</f>
        <v/>
      </c>
      <c r="AN223" s="153">
        <v>1</v>
      </c>
      <c r="AO223" s="150" t="str">
        <f>IF($D223="Interior",INDEX(Lookups!Q$2:Q$86,MATCH(_xlfn.CONCAT($C223,$L223),Lookups!$P$2:$P$86,0)),IF($D223="Exterior",1,""))</f>
        <v/>
      </c>
      <c r="AP223" s="150">
        <f t="shared" si="119"/>
        <v>1</v>
      </c>
      <c r="AQ223" s="150" t="str">
        <f>IF($D223="Interior",INDEX(Lookups!R$2:R$86,MATCH(_xlfn.CONCAT($C223,$L223),Lookups!$P$2:$P$86,0)),IF($D223="Exterior",1,""))</f>
        <v/>
      </c>
      <c r="AR223" s="150" t="str">
        <f>IF($D223="Interior",INDEX(Lookups!S$2:S$86,MATCH(_xlfn.CONCAT($C223,$L223),Lookups!$P$2:$P$86,0)),IF($D223="Exterior",1,""))</f>
        <v/>
      </c>
      <c r="AS223" s="150" t="str">
        <f>IF($D223="Interior",INDEX(Lookups!T$2:T$86,MATCH(_xlfn.CONCAT($C223,$L223),Lookups!$P$2:$P$86,0)),IF($D223="Exterior",1,""))</f>
        <v/>
      </c>
      <c r="AT223" s="150" t="str">
        <f>IFERROR(IF(M223="Exit Signs",1,IF(INDEX('Fixture Codes'!$C$8:$C$976,MATCH($AD223,'Fixture Codes'!$B$8:$B$976,0))="Exit Sign",1,INDEX(Lookups!J$2:J$428,MATCH(_xlfn.CONCAT($B223,$H223),Lookups!$H$2:$H$428,0)))),"")</f>
        <v/>
      </c>
      <c r="AU223" s="150" t="str">
        <f>IFERROR(IF(M223="Exit Signs",1,IF(INDEX('Fixture Codes'!$C$8:$C$976,MATCH($AD223,'Fixture Codes'!$B$8:$B$976,0))="Exit Sign",1,INDEX(Lookups!K$2:K$428,MATCH(_xlfn.CONCAT($B223,$H223),Lookups!$H$2:$H$428,0)))),"")</f>
        <v/>
      </c>
      <c r="AV223" s="150" t="str">
        <f>IFERROR(IF(M223="Exit Signs",1,IF(INDEX('Fixture Codes'!$C$8:$C$976,MATCH($AD223,'Fixture Codes'!$B$8:$B$976,0))="Exit Sign",1,INDEX(Lookups!L$2:L$428,MATCH(_xlfn.CONCAT($B223,$H223),Lookups!$H$2:$H$428,0)))),"")</f>
        <v/>
      </c>
      <c r="AW223" s="150" t="str">
        <f>IF(ISBLANK(K223),"",IF(K223="Gas",INDEX(Lookups!$AG$2:$AG$63,MATCH(O223,Lookups!$AD$2:$AD$63,0),0),0))</f>
        <v/>
      </c>
      <c r="AX223" s="150" t="str">
        <f>IF(ISBLANK(K223),"",IF(K223="Gas",INDEX(Lookups!$AF$2:$AF$63,MATCH(O223,Lookups!$AD$2:$AD$63,0),0),0))</f>
        <v/>
      </c>
      <c r="AY223" s="150" t="str">
        <f>IF(ISBLANK(K223),"",IF(K223="Gas",INDEX(Lookups!$AH$2:$AH$63,MATCH(O223,Lookups!$AD$2:$AD$63,0),0),0))</f>
        <v/>
      </c>
      <c r="AZ223" s="150" t="str">
        <f>IF(ISBLANK(K223),"",IF(K223="Gas",INDEX(Lookups!$AI$2:$AI$63,MATCH(O223,Lookups!$AD$2:$AD$63,0),0),0))</f>
        <v/>
      </c>
      <c r="BA223" s="150" t="str">
        <f t="shared" si="106"/>
        <v/>
      </c>
      <c r="BB223" s="156" t="str">
        <f>IF(ISBLANK(AH223),"",IF(AH223="None",0,IF(K223="Gas",INDEX(Lookups!$AF$51:$AF$69,MATCH(AH223,Lookups!$AD$51:$AD$69,0),0),0)))</f>
        <v/>
      </c>
      <c r="BC223" s="156" t="str">
        <f>IF(ISBLANK(AH223),"",IF(AH223="None",0,IF(K223="Gas",INDEX(Lookups!$AH$51:$AH$69,MATCH(AH223,Lookups!$AD$51:$AD$69,0),0),0)))</f>
        <v/>
      </c>
      <c r="BD223" s="156" t="str">
        <f>IF(ISBLANK(AH223),"",IF(AH223="None",0,IF(K223="Gas",INDEX(Lookups!$AI$51:$AI$69,MATCH(AH223,Lookups!$AD$51:$AD$69,0),0),0)))</f>
        <v/>
      </c>
      <c r="BE223" s="157"/>
      <c r="BF223" s="157"/>
      <c r="BG223" s="147" t="str">
        <f t="shared" si="120"/>
        <v/>
      </c>
      <c r="BH223" s="147" t="str">
        <f t="shared" si="121"/>
        <v/>
      </c>
      <c r="BI223" s="147" t="str">
        <f t="shared" si="107"/>
        <v/>
      </c>
      <c r="BJ223" s="147" t="str">
        <f t="shared" si="108"/>
        <v/>
      </c>
      <c r="BK223" s="148" t="str">
        <f t="shared" si="122"/>
        <v/>
      </c>
      <c r="BL223" s="147" t="str">
        <f t="shared" si="109"/>
        <v/>
      </c>
      <c r="BM223" s="148" t="str">
        <f t="shared" si="123"/>
        <v/>
      </c>
      <c r="BN223" s="147" t="str">
        <f t="shared" si="124"/>
        <v/>
      </c>
      <c r="BO223" s="147" t="str">
        <f t="shared" si="124"/>
        <v/>
      </c>
      <c r="BP223" s="147" t="str">
        <f t="shared" si="125"/>
        <v/>
      </c>
      <c r="BQ223" s="148" t="str">
        <f t="shared" si="126"/>
        <v/>
      </c>
      <c r="BR223" s="148" t="str">
        <f t="shared" si="127"/>
        <v/>
      </c>
      <c r="BS223" s="148" t="str">
        <f t="shared" si="128"/>
        <v/>
      </c>
      <c r="BT223" s="148" t="str">
        <f t="shared" si="110"/>
        <v/>
      </c>
      <c r="BU223" s="148" t="str">
        <f t="shared" si="111"/>
        <v/>
      </c>
      <c r="BV223" s="148" t="str">
        <f t="shared" si="112"/>
        <v/>
      </c>
      <c r="BW223" s="148" t="str">
        <f t="shared" si="113"/>
        <v/>
      </c>
      <c r="BX223" s="148" t="str">
        <f t="shared" si="114"/>
        <v/>
      </c>
      <c r="BY223" s="148" t="str">
        <f t="shared" si="115"/>
        <v/>
      </c>
      <c r="BZ223" s="149" t="str">
        <f>IFERROR(INDEX('Prescriptive Rebate Table'!$B$2:$E$64,MATCH(O223,'Prescriptive Rebate Table'!$C$2:$C$64,0),3),"")</f>
        <v/>
      </c>
      <c r="CA223" s="145" t="str">
        <f>IFERROR(INDEX('Prescriptive Rebate Table'!$B$2:$E$64,MATCH(O223,'Prescriptive Rebate Table'!$C$2:$C$64,0),4),"")</f>
        <v/>
      </c>
      <c r="CB223" s="149" t="str">
        <f t="shared" si="129"/>
        <v/>
      </c>
      <c r="CC223" s="145" t="str">
        <f t="shared" si="130"/>
        <v/>
      </c>
      <c r="CD223" s="149" t="str">
        <f t="shared" si="116"/>
        <v/>
      </c>
      <c r="CE223" s="149" t="str">
        <f t="shared" si="117"/>
        <v/>
      </c>
      <c r="CF223" s="149" t="str">
        <f>IF(BK223&lt;=0,0,IFERROR(IF(OR(ISBLANK(AC223),ISBLANK(CD223))=TRUE,"",IF(CA223="Per Foot",INDEX('Fixture Codes'!$I$8:$I$976,MATCH(AD223,'Fixture Codes'!$B$8:$B$976,0))/12*AF223*BZ223,IF(CA223="Lamp",INDEX('Fixture Codes'!$J$8:$J$976,MATCH(AD223,'Fixture Codes'!$B$8:$B$976,0))*AF223*BZ223,IF(CA223="Fixture",AF223*BZ223,IF(CA223="kWh",BK223*BZ223,0))))),""))</f>
        <v/>
      </c>
      <c r="CG223" s="149" t="str">
        <f t="shared" si="131"/>
        <v/>
      </c>
      <c r="CH223" s="149" t="str">
        <f t="shared" si="132"/>
        <v/>
      </c>
      <c r="CI223" s="152"/>
      <c r="CJ223" s="146"/>
      <c r="CK223" s="241">
        <f>IFERROR(IF(CL223="Yes",'Prescriptive Rebate Table'!$D$69,IF(ISBLANK(AI223),0,IF(AND(AH223=Lookups!$A$62,BK223&gt;0),'Prescriptive Rebate Table'!$D$68,IF(AND(BK223&gt;0,CJ223=AF223),'Prescriptive Rebate Table'!$D$67,IF(AND(BK223&gt;0,CJ223&lt;&gt;AF223),'Prescriptive Rebate Table'!D282,0))))),"")</f>
        <v>0</v>
      </c>
      <c r="CL223" s="240" t="s">
        <v>2712</v>
      </c>
      <c r="CM223" s="152"/>
      <c r="CN223" s="152"/>
      <c r="CO223" s="152"/>
      <c r="CP223" s="146">
        <f t="shared" si="118"/>
        <v>0</v>
      </c>
      <c r="CQ223" s="153">
        <f>IF(D223="Interior",ROUND(($AG223*AF223)/1000*$AM223*(Lookups!$B$54-$AA223)*$AN223*$AO223,3),0)</f>
        <v>0</v>
      </c>
      <c r="CR223" s="153">
        <f>IFERROR(IF(D223="Interior",ROUND(($AG223*$AF223)/1000*(Lookups!$C$54-$AB223)*$AN223*AQ223*AT223,6),0),"")</f>
        <v>0</v>
      </c>
      <c r="CS223" s="165">
        <f t="shared" si="133"/>
        <v>0</v>
      </c>
      <c r="CT223" s="165">
        <f t="shared" si="134"/>
        <v>0</v>
      </c>
      <c r="CV223" s="153"/>
      <c r="CW223" s="153"/>
      <c r="CX223" s="165"/>
      <c r="CY223" s="165"/>
      <c r="DA223" s="153">
        <f>IF(D223="Interior",ROUND(($AG223*AF223*(1-0.15))/1000*$AM223*(Lookups!$B$43+0.097-$AA223)*$AN223*$AO223+((W223*V223)/1000*AN223*AM223*AO223*0.15),3),0)</f>
        <v>0</v>
      </c>
      <c r="DB223" s="153">
        <f>IFERROR(IF(D223="Interior",ROUND(($AG223*$AF223)/1000*(Lookups!$C$43+0.097-$AB223)*$AN223*AQ223*AT223+(($AG223*$AF223)/1000*$AN223*AQ223*AT223*0.15),6),0),"")</f>
        <v>0</v>
      </c>
      <c r="DC223" s="165">
        <f t="shared" si="135"/>
        <v>0</v>
      </c>
      <c r="DD223" s="165">
        <f t="shared" si="136"/>
        <v>0</v>
      </c>
    </row>
    <row r="224" spans="1:108" s="164" customFormat="1">
      <c r="A224" s="150">
        <v>220</v>
      </c>
      <c r="B224" s="153" t="str">
        <f>IFERROR(INDEX(Lookups!$B$2:$B$38,MATCH('Project Info &amp; Summary'!$C$19,Lookups!$A$2:$A$38,0)),"")</f>
        <v/>
      </c>
      <c r="C224" s="153" t="str">
        <f>IFERROR(INDEX(Lookups!$C$2:$C$38,MATCH('Project Info &amp; Summary'!$C$19,Lookups!$A$2:$A$38,0)),"")</f>
        <v/>
      </c>
      <c r="D224" s="163"/>
      <c r="E224" s="160"/>
      <c r="F224" s="158"/>
      <c r="G224" s="158"/>
      <c r="H224" s="158"/>
      <c r="I224" s="158"/>
      <c r="J224" s="154" t="str">
        <f>IFERROR(INDEX(Lookups!$W$21:$W$26,MATCH(I224,Lookups!$V$21:$V$26,0)),"")</f>
        <v/>
      </c>
      <c r="K224" s="158"/>
      <c r="L224" s="162" t="str">
        <f>IFERROR(INDEX(Lookups!$Y$2:$Y$19,MATCH(_xlfn.CONCAT(I224,K224),Lookups!$X$2:$X$19,0)),"")</f>
        <v/>
      </c>
      <c r="M224" s="158"/>
      <c r="N224" s="153" t="str">
        <f>IFERROR(INDEX('Prescriptive Rebate Table'!$M$3:$M$20,MATCH(M224,'Prescriptive Rebate Table'!$L$3:$L$20,0)),"")</f>
        <v/>
      </c>
      <c r="O224" s="158"/>
      <c r="P224" s="154" t="str">
        <f>IFERROR(INDEX('Prescriptive Rebate Table'!$B$2:$H$64, MATCH(O224,'Prescriptive Rebate Table'!$C$2:$C$64,0),7),"")</f>
        <v/>
      </c>
      <c r="Q224" s="155" t="str">
        <f>IFERROR(INDEX('Prescriptive Rebate Table'!$B$2:$I$64, MATCH(O224,'Prescriptive Rebate Table'!$C$2:$C$64,0),8),"")</f>
        <v/>
      </c>
      <c r="R224" s="155" t="str">
        <f>IFERROR(INDEX('Prescriptive Rebate Table'!$B$2:$J$64, MATCH(O224,'Prescriptive Rebate Table'!$C$2:$C$64,0),9),"")</f>
        <v/>
      </c>
      <c r="S224" s="160"/>
      <c r="T224" s="145" t="str">
        <f>IFERROR(INDEX('Fixture Codes'!$M$8:$M$976,MATCH(S224,'Fixture Codes'!$B$8:$B$976,0)),"")</f>
        <v/>
      </c>
      <c r="U224" s="145" t="str">
        <f>IFERROR(INDEX('Fixture Codes'!$B$7:$M$976,MATCH(T224,'Fixture Codes'!$B$7:$B$976,0),5),"")</f>
        <v/>
      </c>
      <c r="V224" s="160"/>
      <c r="W224" s="145" t="str">
        <f>IFERROR(INDEX('Fixture Codes'!$L$8:$L$976,MATCH(T224,'Fixture Codes'!$B$8:$B$976,0)),"")</f>
        <v/>
      </c>
      <c r="X224" s="158"/>
      <c r="Y224" s="159"/>
      <c r="Z224" s="155" t="str">
        <f>IFERROR(INDEX(Lookups!B$68:B$87,MATCH($X224,Lookups!$A$68:$A$87,0)),"")</f>
        <v/>
      </c>
      <c r="AA224" s="150" t="str">
        <f>IFERROR(INDEX(Lookups!B$42:B$62,MATCH($X224,Lookups!$A$42:$A$62,0)),"")</f>
        <v/>
      </c>
      <c r="AB224" s="150" t="str">
        <f>IFERROR(INDEX(Lookups!C$42:C$62,MATCH($X224,Lookups!$A$42:$A$62,0)),"")</f>
        <v/>
      </c>
      <c r="AC224" s="160"/>
      <c r="AD224" s="160"/>
      <c r="AE224" s="150" t="str">
        <f>IFERROR(INDEX('Fixture Codes'!$B$7:$M$976,MATCH(AD224,'Fixture Codes'!$B$7:$B$976,0),5),"")</f>
        <v/>
      </c>
      <c r="AF224" s="160"/>
      <c r="AG224" s="145" t="str">
        <f>IFERROR(INDEX('Fixture Codes'!$L$8:$L$976,MATCH(AD224,'Fixture Codes'!$B$8:$B$976,0)),"")</f>
        <v/>
      </c>
      <c r="AH224" s="158"/>
      <c r="AI224" s="160"/>
      <c r="AJ224" s="150" t="str">
        <f>IFERROR(INDEX(Lookups!B$68:B$87,MATCH($AH224,Lookups!$A$68:$A$87,0)),"")</f>
        <v/>
      </c>
      <c r="AK224" s="150" t="str">
        <f>IFERROR(INDEX(Lookups!B$42:B$62,MATCH($AH224,Lookups!$A$42:$A$62,0)),"")</f>
        <v/>
      </c>
      <c r="AL224" s="150" t="str">
        <f>IFERROR(INDEX(Lookups!C$42:C$62,MATCH($AH224,Lookups!$A$42:$A$62,0)),"")</f>
        <v/>
      </c>
      <c r="AM224" s="150" t="str">
        <f>IFERROR(IF(M224="Exit Signs",8760,IF(INDEX('Fixture Codes'!$C$8:$C$976,MATCH(AD224,'Fixture Codes'!$B$8:$B$976,0))="Exit Sign",8760,INDEX(Lookups!$I$2:$I$428,MATCH(_xlfn.CONCAT(B224,H224),Lookups!$H$2:$H$428,0)))),"")</f>
        <v/>
      </c>
      <c r="AN224" s="153">
        <v>1</v>
      </c>
      <c r="AO224" s="150" t="str">
        <f>IF($D224="Interior",INDEX(Lookups!Q$2:Q$86,MATCH(_xlfn.CONCAT($C224,$L224),Lookups!$P$2:$P$86,0)),IF($D224="Exterior",1,""))</f>
        <v/>
      </c>
      <c r="AP224" s="150">
        <f t="shared" si="119"/>
        <v>1</v>
      </c>
      <c r="AQ224" s="150" t="str">
        <f>IF($D224="Interior",INDEX(Lookups!R$2:R$86,MATCH(_xlfn.CONCAT($C224,$L224),Lookups!$P$2:$P$86,0)),IF($D224="Exterior",1,""))</f>
        <v/>
      </c>
      <c r="AR224" s="150" t="str">
        <f>IF($D224="Interior",INDEX(Lookups!S$2:S$86,MATCH(_xlfn.CONCAT($C224,$L224),Lookups!$P$2:$P$86,0)),IF($D224="Exterior",1,""))</f>
        <v/>
      </c>
      <c r="AS224" s="150" t="str">
        <f>IF($D224="Interior",INDEX(Lookups!T$2:T$86,MATCH(_xlfn.CONCAT($C224,$L224),Lookups!$P$2:$P$86,0)),IF($D224="Exterior",1,""))</f>
        <v/>
      </c>
      <c r="AT224" s="150" t="str">
        <f>IFERROR(IF(M224="Exit Signs",1,IF(INDEX('Fixture Codes'!$C$8:$C$976,MATCH($AD224,'Fixture Codes'!$B$8:$B$976,0))="Exit Sign",1,INDEX(Lookups!J$2:J$428,MATCH(_xlfn.CONCAT($B224,$H224),Lookups!$H$2:$H$428,0)))),"")</f>
        <v/>
      </c>
      <c r="AU224" s="150" t="str">
        <f>IFERROR(IF(M224="Exit Signs",1,IF(INDEX('Fixture Codes'!$C$8:$C$976,MATCH($AD224,'Fixture Codes'!$B$8:$B$976,0))="Exit Sign",1,INDEX(Lookups!K$2:K$428,MATCH(_xlfn.CONCAT($B224,$H224),Lookups!$H$2:$H$428,0)))),"")</f>
        <v/>
      </c>
      <c r="AV224" s="150" t="str">
        <f>IFERROR(IF(M224="Exit Signs",1,IF(INDEX('Fixture Codes'!$C$8:$C$976,MATCH($AD224,'Fixture Codes'!$B$8:$B$976,0))="Exit Sign",1,INDEX(Lookups!L$2:L$428,MATCH(_xlfn.CONCAT($B224,$H224),Lookups!$H$2:$H$428,0)))),"")</f>
        <v/>
      </c>
      <c r="AW224" s="150" t="str">
        <f>IF(ISBLANK(K224),"",IF(K224="Gas",INDEX(Lookups!$AG$2:$AG$63,MATCH(O224,Lookups!$AD$2:$AD$63,0),0),0))</f>
        <v/>
      </c>
      <c r="AX224" s="150" t="str">
        <f>IF(ISBLANK(K224),"",IF(K224="Gas",INDEX(Lookups!$AF$2:$AF$63,MATCH(O224,Lookups!$AD$2:$AD$63,0),0),0))</f>
        <v/>
      </c>
      <c r="AY224" s="150" t="str">
        <f>IF(ISBLANK(K224),"",IF(K224="Gas",INDEX(Lookups!$AH$2:$AH$63,MATCH(O224,Lookups!$AD$2:$AD$63,0),0),0))</f>
        <v/>
      </c>
      <c r="AZ224" s="150" t="str">
        <f>IF(ISBLANK(K224),"",IF(K224="Gas",INDEX(Lookups!$AI$2:$AI$63,MATCH(O224,Lookups!$AD$2:$AD$63,0),0),0))</f>
        <v/>
      </c>
      <c r="BA224" s="150" t="str">
        <f t="shared" si="106"/>
        <v/>
      </c>
      <c r="BB224" s="156" t="str">
        <f>IF(ISBLANK(AH224),"",IF(AH224="None",0,IF(K224="Gas",INDEX(Lookups!$AF$51:$AF$69,MATCH(AH224,Lookups!$AD$51:$AD$69,0),0),0)))</f>
        <v/>
      </c>
      <c r="BC224" s="156" t="str">
        <f>IF(ISBLANK(AH224),"",IF(AH224="None",0,IF(K224="Gas",INDEX(Lookups!$AH$51:$AH$69,MATCH(AH224,Lookups!$AD$51:$AD$69,0),0),0)))</f>
        <v/>
      </c>
      <c r="BD224" s="156" t="str">
        <f>IF(ISBLANK(AH224),"",IF(AH224="None",0,IF(K224="Gas",INDEX(Lookups!$AI$51:$AI$69,MATCH(AH224,Lookups!$AD$51:$AD$69,0),0),0)))</f>
        <v/>
      </c>
      <c r="BE224" s="157"/>
      <c r="BF224" s="157"/>
      <c r="BG224" s="147" t="str">
        <f t="shared" si="120"/>
        <v/>
      </c>
      <c r="BH224" s="147" t="str">
        <f t="shared" si="121"/>
        <v/>
      </c>
      <c r="BI224" s="147" t="str">
        <f t="shared" si="107"/>
        <v/>
      </c>
      <c r="BJ224" s="147" t="str">
        <f t="shared" si="108"/>
        <v/>
      </c>
      <c r="BK224" s="148" t="str">
        <f t="shared" si="122"/>
        <v/>
      </c>
      <c r="BL224" s="147" t="str">
        <f t="shared" si="109"/>
        <v/>
      </c>
      <c r="BM224" s="148" t="str">
        <f t="shared" si="123"/>
        <v/>
      </c>
      <c r="BN224" s="147" t="str">
        <f t="shared" si="124"/>
        <v/>
      </c>
      <c r="BO224" s="147" t="str">
        <f t="shared" si="124"/>
        <v/>
      </c>
      <c r="BP224" s="147" t="str">
        <f t="shared" si="125"/>
        <v/>
      </c>
      <c r="BQ224" s="148" t="str">
        <f t="shared" si="126"/>
        <v/>
      </c>
      <c r="BR224" s="148" t="str">
        <f t="shared" si="127"/>
        <v/>
      </c>
      <c r="BS224" s="148" t="str">
        <f t="shared" si="128"/>
        <v/>
      </c>
      <c r="BT224" s="148" t="str">
        <f t="shared" si="110"/>
        <v/>
      </c>
      <c r="BU224" s="148" t="str">
        <f t="shared" si="111"/>
        <v/>
      </c>
      <c r="BV224" s="148" t="str">
        <f t="shared" si="112"/>
        <v/>
      </c>
      <c r="BW224" s="148" t="str">
        <f t="shared" si="113"/>
        <v/>
      </c>
      <c r="BX224" s="148" t="str">
        <f t="shared" si="114"/>
        <v/>
      </c>
      <c r="BY224" s="148" t="str">
        <f t="shared" si="115"/>
        <v/>
      </c>
      <c r="BZ224" s="149" t="str">
        <f>IFERROR(INDEX('Prescriptive Rebate Table'!$B$2:$E$64,MATCH(O224,'Prescriptive Rebate Table'!$C$2:$C$64,0),3),"")</f>
        <v/>
      </c>
      <c r="CA224" s="145" t="str">
        <f>IFERROR(INDEX('Prescriptive Rebate Table'!$B$2:$E$64,MATCH(O224,'Prescriptive Rebate Table'!$C$2:$C$64,0),4),"")</f>
        <v/>
      </c>
      <c r="CB224" s="149" t="str">
        <f t="shared" si="129"/>
        <v/>
      </c>
      <c r="CC224" s="145" t="str">
        <f t="shared" si="130"/>
        <v/>
      </c>
      <c r="CD224" s="149" t="str">
        <f t="shared" si="116"/>
        <v/>
      </c>
      <c r="CE224" s="149" t="str">
        <f t="shared" si="117"/>
        <v/>
      </c>
      <c r="CF224" s="149" t="str">
        <f>IF(BK224&lt;=0,0,IFERROR(IF(OR(ISBLANK(AC224),ISBLANK(CD224))=TRUE,"",IF(CA224="Per Foot",INDEX('Fixture Codes'!$I$8:$I$976,MATCH(AD224,'Fixture Codes'!$B$8:$B$976,0))/12*AF224*BZ224,IF(CA224="Lamp",INDEX('Fixture Codes'!$J$8:$J$976,MATCH(AD224,'Fixture Codes'!$B$8:$B$976,0))*AF224*BZ224,IF(CA224="Fixture",AF224*BZ224,IF(CA224="kWh",BK224*BZ224,0))))),""))</f>
        <v/>
      </c>
      <c r="CG224" s="149" t="str">
        <f t="shared" si="131"/>
        <v/>
      </c>
      <c r="CH224" s="149" t="str">
        <f t="shared" si="132"/>
        <v/>
      </c>
      <c r="CI224" s="152"/>
      <c r="CJ224" s="146"/>
      <c r="CK224" s="241">
        <f>IFERROR(IF(CL224="Yes",'Prescriptive Rebate Table'!$D$69,IF(ISBLANK(AI224),0,IF(AND(AH224=Lookups!$A$62,BK224&gt;0),'Prescriptive Rebate Table'!$D$68,IF(AND(BK224&gt;0,CJ224=AF224),'Prescriptive Rebate Table'!$D$67,IF(AND(BK224&gt;0,CJ224&lt;&gt;AF224),'Prescriptive Rebate Table'!D283,0))))),"")</f>
        <v>0</v>
      </c>
      <c r="CL224" s="240" t="s">
        <v>2712</v>
      </c>
      <c r="CM224" s="152"/>
      <c r="CN224" s="152"/>
      <c r="CO224" s="152"/>
      <c r="CP224" s="146">
        <f t="shared" si="118"/>
        <v>0</v>
      </c>
      <c r="CQ224" s="153">
        <f>IF(D224="Interior",ROUND(($AG224*AF224)/1000*$AM224*(Lookups!$B$54-$AA224)*$AN224*$AO224,3),0)</f>
        <v>0</v>
      </c>
      <c r="CR224" s="153">
        <f>IFERROR(IF(D224="Interior",ROUND(($AG224*$AF224)/1000*(Lookups!$C$54-$AB224)*$AN224*AQ224*AT224,6),0),"")</f>
        <v>0</v>
      </c>
      <c r="CS224" s="165">
        <f t="shared" si="133"/>
        <v>0</v>
      </c>
      <c r="CT224" s="165">
        <f t="shared" si="134"/>
        <v>0</v>
      </c>
      <c r="CV224" s="153"/>
      <c r="CW224" s="153"/>
      <c r="CX224" s="165"/>
      <c r="CY224" s="165"/>
      <c r="DA224" s="153">
        <f>IF(D224="Interior",ROUND(($AG224*AF224*(1-0.15))/1000*$AM224*(Lookups!$B$43+0.097-$AA224)*$AN224*$AO224+((W224*V224)/1000*AN224*AM224*AO224*0.15),3),0)</f>
        <v>0</v>
      </c>
      <c r="DB224" s="153">
        <f>IFERROR(IF(D224="Interior",ROUND(($AG224*$AF224)/1000*(Lookups!$C$43+0.097-$AB224)*$AN224*AQ224*AT224+(($AG224*$AF224)/1000*$AN224*AQ224*AT224*0.15),6),0),"")</f>
        <v>0</v>
      </c>
      <c r="DC224" s="165">
        <f t="shared" si="135"/>
        <v>0</v>
      </c>
      <c r="DD224" s="165">
        <f t="shared" si="136"/>
        <v>0</v>
      </c>
    </row>
    <row r="225" spans="1:108" s="164" customFormat="1">
      <c r="A225" s="150">
        <v>221</v>
      </c>
      <c r="B225" s="153" t="str">
        <f>IFERROR(INDEX(Lookups!$B$2:$B$38,MATCH('Project Info &amp; Summary'!$C$19,Lookups!$A$2:$A$38,0)),"")</f>
        <v/>
      </c>
      <c r="C225" s="153" t="str">
        <f>IFERROR(INDEX(Lookups!$C$2:$C$38,MATCH('Project Info &amp; Summary'!$C$19,Lookups!$A$2:$A$38,0)),"")</f>
        <v/>
      </c>
      <c r="D225" s="163"/>
      <c r="E225" s="160"/>
      <c r="F225" s="158"/>
      <c r="G225" s="158"/>
      <c r="H225" s="158"/>
      <c r="I225" s="158"/>
      <c r="J225" s="154" t="str">
        <f>IFERROR(INDEX(Lookups!$W$21:$W$26,MATCH(I225,Lookups!$V$21:$V$26,0)),"")</f>
        <v/>
      </c>
      <c r="K225" s="158"/>
      <c r="L225" s="162" t="str">
        <f>IFERROR(INDEX(Lookups!$Y$2:$Y$19,MATCH(_xlfn.CONCAT(I225,K225),Lookups!$X$2:$X$19,0)),"")</f>
        <v/>
      </c>
      <c r="M225" s="158"/>
      <c r="N225" s="153" t="str">
        <f>IFERROR(INDEX('Prescriptive Rebate Table'!$M$3:$M$20,MATCH(M225,'Prescriptive Rebate Table'!$L$3:$L$20,0)),"")</f>
        <v/>
      </c>
      <c r="O225" s="158"/>
      <c r="P225" s="154" t="str">
        <f>IFERROR(INDEX('Prescriptive Rebate Table'!$B$2:$H$64, MATCH(O225,'Prescriptive Rebate Table'!$C$2:$C$64,0),7),"")</f>
        <v/>
      </c>
      <c r="Q225" s="155" t="str">
        <f>IFERROR(INDEX('Prescriptive Rebate Table'!$B$2:$I$64, MATCH(O225,'Prescriptive Rebate Table'!$C$2:$C$64,0),8),"")</f>
        <v/>
      </c>
      <c r="R225" s="155" t="str">
        <f>IFERROR(INDEX('Prescriptive Rebate Table'!$B$2:$J$64, MATCH(O225,'Prescriptive Rebate Table'!$C$2:$C$64,0),9),"")</f>
        <v/>
      </c>
      <c r="S225" s="160"/>
      <c r="T225" s="145" t="str">
        <f>IFERROR(INDEX('Fixture Codes'!$M$8:$M$976,MATCH(S225,'Fixture Codes'!$B$8:$B$976,0)),"")</f>
        <v/>
      </c>
      <c r="U225" s="145" t="str">
        <f>IFERROR(INDEX('Fixture Codes'!$B$7:$M$976,MATCH(T225,'Fixture Codes'!$B$7:$B$976,0),5),"")</f>
        <v/>
      </c>
      <c r="V225" s="160"/>
      <c r="W225" s="145" t="str">
        <f>IFERROR(INDEX('Fixture Codes'!$L$8:$L$976,MATCH(T225,'Fixture Codes'!$B$8:$B$976,0)),"")</f>
        <v/>
      </c>
      <c r="X225" s="158"/>
      <c r="Y225" s="159"/>
      <c r="Z225" s="155" t="str">
        <f>IFERROR(INDEX(Lookups!B$68:B$87,MATCH($X225,Lookups!$A$68:$A$87,0)),"")</f>
        <v/>
      </c>
      <c r="AA225" s="150" t="str">
        <f>IFERROR(INDEX(Lookups!B$42:B$62,MATCH($X225,Lookups!$A$42:$A$62,0)),"")</f>
        <v/>
      </c>
      <c r="AB225" s="150" t="str">
        <f>IFERROR(INDEX(Lookups!C$42:C$62,MATCH($X225,Lookups!$A$42:$A$62,0)),"")</f>
        <v/>
      </c>
      <c r="AC225" s="160"/>
      <c r="AD225" s="160"/>
      <c r="AE225" s="150" t="str">
        <f>IFERROR(INDEX('Fixture Codes'!$B$7:$M$976,MATCH(AD225,'Fixture Codes'!$B$7:$B$976,0),5),"")</f>
        <v/>
      </c>
      <c r="AF225" s="160"/>
      <c r="AG225" s="145" t="str">
        <f>IFERROR(INDEX('Fixture Codes'!$L$8:$L$976,MATCH(AD225,'Fixture Codes'!$B$8:$B$976,0)),"")</f>
        <v/>
      </c>
      <c r="AH225" s="158"/>
      <c r="AI225" s="160"/>
      <c r="AJ225" s="150" t="str">
        <f>IFERROR(INDEX(Lookups!B$68:B$87,MATCH($AH225,Lookups!$A$68:$A$87,0)),"")</f>
        <v/>
      </c>
      <c r="AK225" s="150" t="str">
        <f>IFERROR(INDEX(Lookups!B$42:B$62,MATCH($AH225,Lookups!$A$42:$A$62,0)),"")</f>
        <v/>
      </c>
      <c r="AL225" s="150" t="str">
        <f>IFERROR(INDEX(Lookups!C$42:C$62,MATCH($AH225,Lookups!$A$42:$A$62,0)),"")</f>
        <v/>
      </c>
      <c r="AM225" s="150" t="str">
        <f>IFERROR(IF(M225="Exit Signs",8760,IF(INDEX('Fixture Codes'!$C$8:$C$976,MATCH(AD225,'Fixture Codes'!$B$8:$B$976,0))="Exit Sign",8760,INDEX(Lookups!$I$2:$I$428,MATCH(_xlfn.CONCAT(B225,H225),Lookups!$H$2:$H$428,0)))),"")</f>
        <v/>
      </c>
      <c r="AN225" s="153">
        <v>1</v>
      </c>
      <c r="AO225" s="150" t="str">
        <f>IF($D225="Interior",INDEX(Lookups!Q$2:Q$86,MATCH(_xlfn.CONCAT($C225,$L225),Lookups!$P$2:$P$86,0)),IF($D225="Exterior",1,""))</f>
        <v/>
      </c>
      <c r="AP225" s="150">
        <f t="shared" si="119"/>
        <v>1</v>
      </c>
      <c r="AQ225" s="150" t="str">
        <f>IF($D225="Interior",INDEX(Lookups!R$2:R$86,MATCH(_xlfn.CONCAT($C225,$L225),Lookups!$P$2:$P$86,0)),IF($D225="Exterior",1,""))</f>
        <v/>
      </c>
      <c r="AR225" s="150" t="str">
        <f>IF($D225="Interior",INDEX(Lookups!S$2:S$86,MATCH(_xlfn.CONCAT($C225,$L225),Lookups!$P$2:$P$86,0)),IF($D225="Exterior",1,""))</f>
        <v/>
      </c>
      <c r="AS225" s="150" t="str">
        <f>IF($D225="Interior",INDEX(Lookups!T$2:T$86,MATCH(_xlfn.CONCAT($C225,$L225),Lookups!$P$2:$P$86,0)),IF($D225="Exterior",1,""))</f>
        <v/>
      </c>
      <c r="AT225" s="150" t="str">
        <f>IFERROR(IF(M225="Exit Signs",1,IF(INDEX('Fixture Codes'!$C$8:$C$976,MATCH($AD225,'Fixture Codes'!$B$8:$B$976,0))="Exit Sign",1,INDEX(Lookups!J$2:J$428,MATCH(_xlfn.CONCAT($B225,$H225),Lookups!$H$2:$H$428,0)))),"")</f>
        <v/>
      </c>
      <c r="AU225" s="150" t="str">
        <f>IFERROR(IF(M225="Exit Signs",1,IF(INDEX('Fixture Codes'!$C$8:$C$976,MATCH($AD225,'Fixture Codes'!$B$8:$B$976,0))="Exit Sign",1,INDEX(Lookups!K$2:K$428,MATCH(_xlfn.CONCAT($B225,$H225),Lookups!$H$2:$H$428,0)))),"")</f>
        <v/>
      </c>
      <c r="AV225" s="150" t="str">
        <f>IFERROR(IF(M225="Exit Signs",1,IF(INDEX('Fixture Codes'!$C$8:$C$976,MATCH($AD225,'Fixture Codes'!$B$8:$B$976,0))="Exit Sign",1,INDEX(Lookups!L$2:L$428,MATCH(_xlfn.CONCAT($B225,$H225),Lookups!$H$2:$H$428,0)))),"")</f>
        <v/>
      </c>
      <c r="AW225" s="150" t="str">
        <f>IF(ISBLANK(K225),"",IF(K225="Gas",INDEX(Lookups!$AG$2:$AG$63,MATCH(O225,Lookups!$AD$2:$AD$63,0),0),0))</f>
        <v/>
      </c>
      <c r="AX225" s="150" t="str">
        <f>IF(ISBLANK(K225),"",IF(K225="Gas",INDEX(Lookups!$AF$2:$AF$63,MATCH(O225,Lookups!$AD$2:$AD$63,0),0),0))</f>
        <v/>
      </c>
      <c r="AY225" s="150" t="str">
        <f>IF(ISBLANK(K225),"",IF(K225="Gas",INDEX(Lookups!$AH$2:$AH$63,MATCH(O225,Lookups!$AD$2:$AD$63,0),0),0))</f>
        <v/>
      </c>
      <c r="AZ225" s="150" t="str">
        <f>IF(ISBLANK(K225),"",IF(K225="Gas",INDEX(Lookups!$AI$2:$AI$63,MATCH(O225,Lookups!$AD$2:$AD$63,0),0),0))</f>
        <v/>
      </c>
      <c r="BA225" s="150" t="str">
        <f t="shared" si="106"/>
        <v/>
      </c>
      <c r="BB225" s="156" t="str">
        <f>IF(ISBLANK(AH225),"",IF(AH225="None",0,IF(K225="Gas",INDEX(Lookups!$AF$51:$AF$69,MATCH(AH225,Lookups!$AD$51:$AD$69,0),0),0)))</f>
        <v/>
      </c>
      <c r="BC225" s="156" t="str">
        <f>IF(ISBLANK(AH225),"",IF(AH225="None",0,IF(K225="Gas",INDEX(Lookups!$AH$51:$AH$69,MATCH(AH225,Lookups!$AD$51:$AD$69,0),0),0)))</f>
        <v/>
      </c>
      <c r="BD225" s="156" t="str">
        <f>IF(ISBLANK(AH225),"",IF(AH225="None",0,IF(K225="Gas",INDEX(Lookups!$AI$51:$AI$69,MATCH(AH225,Lookups!$AD$51:$AD$69,0),0),0)))</f>
        <v/>
      </c>
      <c r="BE225" s="157"/>
      <c r="BF225" s="157"/>
      <c r="BG225" s="147" t="str">
        <f t="shared" si="120"/>
        <v/>
      </c>
      <c r="BH225" s="147" t="str">
        <f t="shared" si="121"/>
        <v/>
      </c>
      <c r="BI225" s="147" t="str">
        <f t="shared" si="107"/>
        <v/>
      </c>
      <c r="BJ225" s="147" t="str">
        <f t="shared" si="108"/>
        <v/>
      </c>
      <c r="BK225" s="148" t="str">
        <f t="shared" si="122"/>
        <v/>
      </c>
      <c r="BL225" s="147" t="str">
        <f t="shared" si="109"/>
        <v/>
      </c>
      <c r="BM225" s="148" t="str">
        <f t="shared" si="123"/>
        <v/>
      </c>
      <c r="BN225" s="147" t="str">
        <f t="shared" si="124"/>
        <v/>
      </c>
      <c r="BO225" s="147" t="str">
        <f t="shared" si="124"/>
        <v/>
      </c>
      <c r="BP225" s="147" t="str">
        <f t="shared" si="125"/>
        <v/>
      </c>
      <c r="BQ225" s="148" t="str">
        <f t="shared" si="126"/>
        <v/>
      </c>
      <c r="BR225" s="148" t="str">
        <f t="shared" si="127"/>
        <v/>
      </c>
      <c r="BS225" s="148" t="str">
        <f t="shared" si="128"/>
        <v/>
      </c>
      <c r="BT225" s="148" t="str">
        <f t="shared" si="110"/>
        <v/>
      </c>
      <c r="BU225" s="148" t="str">
        <f t="shared" si="111"/>
        <v/>
      </c>
      <c r="BV225" s="148" t="str">
        <f t="shared" si="112"/>
        <v/>
      </c>
      <c r="BW225" s="148" t="str">
        <f t="shared" si="113"/>
        <v/>
      </c>
      <c r="BX225" s="148" t="str">
        <f t="shared" si="114"/>
        <v/>
      </c>
      <c r="BY225" s="148" t="str">
        <f t="shared" si="115"/>
        <v/>
      </c>
      <c r="BZ225" s="149" t="str">
        <f>IFERROR(INDEX('Prescriptive Rebate Table'!$B$2:$E$64,MATCH(O225,'Prescriptive Rebate Table'!$C$2:$C$64,0),3),"")</f>
        <v/>
      </c>
      <c r="CA225" s="145" t="str">
        <f>IFERROR(INDEX('Prescriptive Rebate Table'!$B$2:$E$64,MATCH(O225,'Prescriptive Rebate Table'!$C$2:$C$64,0),4),"")</f>
        <v/>
      </c>
      <c r="CB225" s="149" t="str">
        <f t="shared" si="129"/>
        <v/>
      </c>
      <c r="CC225" s="145" t="str">
        <f t="shared" si="130"/>
        <v/>
      </c>
      <c r="CD225" s="149" t="str">
        <f t="shared" si="116"/>
        <v/>
      </c>
      <c r="CE225" s="149" t="str">
        <f t="shared" si="117"/>
        <v/>
      </c>
      <c r="CF225" s="149" t="str">
        <f>IF(BK225&lt;=0,0,IFERROR(IF(OR(ISBLANK(AC225),ISBLANK(CD225))=TRUE,"",IF(CA225="Per Foot",INDEX('Fixture Codes'!$I$8:$I$976,MATCH(AD225,'Fixture Codes'!$B$8:$B$976,0))/12*AF225*BZ225,IF(CA225="Lamp",INDEX('Fixture Codes'!$J$8:$J$976,MATCH(AD225,'Fixture Codes'!$B$8:$B$976,0))*AF225*BZ225,IF(CA225="Fixture",AF225*BZ225,IF(CA225="kWh",BK225*BZ225,0))))),""))</f>
        <v/>
      </c>
      <c r="CG225" s="149" t="str">
        <f t="shared" si="131"/>
        <v/>
      </c>
      <c r="CH225" s="149" t="str">
        <f t="shared" si="132"/>
        <v/>
      </c>
      <c r="CI225" s="152"/>
      <c r="CJ225" s="146"/>
      <c r="CK225" s="241">
        <f>IFERROR(IF(CL225="Yes",'Prescriptive Rebate Table'!$D$69,IF(ISBLANK(AI225),0,IF(AND(AH225=Lookups!$A$62,BK225&gt;0),'Prescriptive Rebate Table'!$D$68,IF(AND(BK225&gt;0,CJ225=AF225),'Prescriptive Rebate Table'!$D$67,IF(AND(BK225&gt;0,CJ225&lt;&gt;AF225),'Prescriptive Rebate Table'!D284,0))))),"")</f>
        <v>0</v>
      </c>
      <c r="CL225" s="240" t="s">
        <v>2712</v>
      </c>
      <c r="CM225" s="152"/>
      <c r="CN225" s="152"/>
      <c r="CO225" s="152"/>
      <c r="CP225" s="146">
        <f t="shared" si="118"/>
        <v>0</v>
      </c>
      <c r="CQ225" s="153">
        <f>IF(D225="Interior",ROUND(($AG225*AF225)/1000*$AM225*(Lookups!$B$54-$AA225)*$AN225*$AO225,3),0)</f>
        <v>0</v>
      </c>
      <c r="CR225" s="153">
        <f>IFERROR(IF(D225="Interior",ROUND(($AG225*$AF225)/1000*(Lookups!$C$54-$AB225)*$AN225*AQ225*AT225,6),0),"")</f>
        <v>0</v>
      </c>
      <c r="CS225" s="165">
        <f t="shared" si="133"/>
        <v>0</v>
      </c>
      <c r="CT225" s="165">
        <f t="shared" si="134"/>
        <v>0</v>
      </c>
      <c r="CV225" s="153"/>
      <c r="CW225" s="153"/>
      <c r="CX225" s="165"/>
      <c r="CY225" s="165"/>
      <c r="DA225" s="153">
        <f>IF(D225="Interior",ROUND(($AG225*AF225*(1-0.15))/1000*$AM225*(Lookups!$B$43+0.097-$AA225)*$AN225*$AO225+((W225*V225)/1000*AN225*AM225*AO225*0.15),3),0)</f>
        <v>0</v>
      </c>
      <c r="DB225" s="153">
        <f>IFERROR(IF(D225="Interior",ROUND(($AG225*$AF225)/1000*(Lookups!$C$43+0.097-$AB225)*$AN225*AQ225*AT225+(($AG225*$AF225)/1000*$AN225*AQ225*AT225*0.15),6),0),"")</f>
        <v>0</v>
      </c>
      <c r="DC225" s="165">
        <f t="shared" si="135"/>
        <v>0</v>
      </c>
      <c r="DD225" s="165">
        <f t="shared" si="136"/>
        <v>0</v>
      </c>
    </row>
    <row r="226" spans="1:108" s="164" customFormat="1">
      <c r="A226" s="150">
        <v>222</v>
      </c>
      <c r="B226" s="153" t="str">
        <f>IFERROR(INDEX(Lookups!$B$2:$B$38,MATCH('Project Info &amp; Summary'!$C$19,Lookups!$A$2:$A$38,0)),"")</f>
        <v/>
      </c>
      <c r="C226" s="153" t="str">
        <f>IFERROR(INDEX(Lookups!$C$2:$C$38,MATCH('Project Info &amp; Summary'!$C$19,Lookups!$A$2:$A$38,0)),"")</f>
        <v/>
      </c>
      <c r="D226" s="163"/>
      <c r="E226" s="160"/>
      <c r="F226" s="158"/>
      <c r="G226" s="158"/>
      <c r="H226" s="158"/>
      <c r="I226" s="158"/>
      <c r="J226" s="154" t="str">
        <f>IFERROR(INDEX(Lookups!$W$21:$W$26,MATCH(I226,Lookups!$V$21:$V$26,0)),"")</f>
        <v/>
      </c>
      <c r="K226" s="158"/>
      <c r="L226" s="162" t="str">
        <f>IFERROR(INDEX(Lookups!$Y$2:$Y$19,MATCH(_xlfn.CONCAT(I226,K226),Lookups!$X$2:$X$19,0)),"")</f>
        <v/>
      </c>
      <c r="M226" s="158"/>
      <c r="N226" s="153" t="str">
        <f>IFERROR(INDEX('Prescriptive Rebate Table'!$M$3:$M$20,MATCH(M226,'Prescriptive Rebate Table'!$L$3:$L$20,0)),"")</f>
        <v/>
      </c>
      <c r="O226" s="158"/>
      <c r="P226" s="154" t="str">
        <f>IFERROR(INDEX('Prescriptive Rebate Table'!$B$2:$H$64, MATCH(O226,'Prescriptive Rebate Table'!$C$2:$C$64,0),7),"")</f>
        <v/>
      </c>
      <c r="Q226" s="155" t="str">
        <f>IFERROR(INDEX('Prescriptive Rebate Table'!$B$2:$I$64, MATCH(O226,'Prescriptive Rebate Table'!$C$2:$C$64,0),8),"")</f>
        <v/>
      </c>
      <c r="R226" s="155" t="str">
        <f>IFERROR(INDEX('Prescriptive Rebate Table'!$B$2:$J$64, MATCH(O226,'Prescriptive Rebate Table'!$C$2:$C$64,0),9),"")</f>
        <v/>
      </c>
      <c r="S226" s="160"/>
      <c r="T226" s="145" t="str">
        <f>IFERROR(INDEX('Fixture Codes'!$M$8:$M$976,MATCH(S226,'Fixture Codes'!$B$8:$B$976,0)),"")</f>
        <v/>
      </c>
      <c r="U226" s="145" t="str">
        <f>IFERROR(INDEX('Fixture Codes'!$B$7:$M$976,MATCH(T226,'Fixture Codes'!$B$7:$B$976,0),5),"")</f>
        <v/>
      </c>
      <c r="V226" s="160"/>
      <c r="W226" s="145" t="str">
        <f>IFERROR(INDEX('Fixture Codes'!$L$8:$L$976,MATCH(T226,'Fixture Codes'!$B$8:$B$976,0)),"")</f>
        <v/>
      </c>
      <c r="X226" s="158"/>
      <c r="Y226" s="159"/>
      <c r="Z226" s="155" t="str">
        <f>IFERROR(INDEX(Lookups!B$68:B$87,MATCH($X226,Lookups!$A$68:$A$87,0)),"")</f>
        <v/>
      </c>
      <c r="AA226" s="150" t="str">
        <f>IFERROR(INDEX(Lookups!B$42:B$62,MATCH($X226,Lookups!$A$42:$A$62,0)),"")</f>
        <v/>
      </c>
      <c r="AB226" s="150" t="str">
        <f>IFERROR(INDEX(Lookups!C$42:C$62,MATCH($X226,Lookups!$A$42:$A$62,0)),"")</f>
        <v/>
      </c>
      <c r="AC226" s="160"/>
      <c r="AD226" s="160"/>
      <c r="AE226" s="150" t="str">
        <f>IFERROR(INDEX('Fixture Codes'!$B$7:$M$976,MATCH(AD226,'Fixture Codes'!$B$7:$B$976,0),5),"")</f>
        <v/>
      </c>
      <c r="AF226" s="160"/>
      <c r="AG226" s="145" t="str">
        <f>IFERROR(INDEX('Fixture Codes'!$L$8:$L$976,MATCH(AD226,'Fixture Codes'!$B$8:$B$976,0)),"")</f>
        <v/>
      </c>
      <c r="AH226" s="158"/>
      <c r="AI226" s="160"/>
      <c r="AJ226" s="150" t="str">
        <f>IFERROR(INDEX(Lookups!B$68:B$87,MATCH($AH226,Lookups!$A$68:$A$87,0)),"")</f>
        <v/>
      </c>
      <c r="AK226" s="150" t="str">
        <f>IFERROR(INDEX(Lookups!B$42:B$62,MATCH($AH226,Lookups!$A$42:$A$62,0)),"")</f>
        <v/>
      </c>
      <c r="AL226" s="150" t="str">
        <f>IFERROR(INDEX(Lookups!C$42:C$62,MATCH($AH226,Lookups!$A$42:$A$62,0)),"")</f>
        <v/>
      </c>
      <c r="AM226" s="150" t="str">
        <f>IFERROR(IF(M226="Exit Signs",8760,IF(INDEX('Fixture Codes'!$C$8:$C$976,MATCH(AD226,'Fixture Codes'!$B$8:$B$976,0))="Exit Sign",8760,INDEX(Lookups!$I$2:$I$428,MATCH(_xlfn.CONCAT(B226,H226),Lookups!$H$2:$H$428,0)))),"")</f>
        <v/>
      </c>
      <c r="AN226" s="153">
        <v>1</v>
      </c>
      <c r="AO226" s="150" t="str">
        <f>IF($D226="Interior",INDEX(Lookups!Q$2:Q$86,MATCH(_xlfn.CONCAT($C226,$L226),Lookups!$P$2:$P$86,0)),IF($D226="Exterior",1,""))</f>
        <v/>
      </c>
      <c r="AP226" s="150">
        <f t="shared" si="119"/>
        <v>1</v>
      </c>
      <c r="AQ226" s="150" t="str">
        <f>IF($D226="Interior",INDEX(Lookups!R$2:R$86,MATCH(_xlfn.CONCAT($C226,$L226),Lookups!$P$2:$P$86,0)),IF($D226="Exterior",1,""))</f>
        <v/>
      </c>
      <c r="AR226" s="150" t="str">
        <f>IF($D226="Interior",INDEX(Lookups!S$2:S$86,MATCH(_xlfn.CONCAT($C226,$L226),Lookups!$P$2:$P$86,0)),IF($D226="Exterior",1,""))</f>
        <v/>
      </c>
      <c r="AS226" s="150" t="str">
        <f>IF($D226="Interior",INDEX(Lookups!T$2:T$86,MATCH(_xlfn.CONCAT($C226,$L226),Lookups!$P$2:$P$86,0)),IF($D226="Exterior",1,""))</f>
        <v/>
      </c>
      <c r="AT226" s="150" t="str">
        <f>IFERROR(IF(M226="Exit Signs",1,IF(INDEX('Fixture Codes'!$C$8:$C$976,MATCH($AD226,'Fixture Codes'!$B$8:$B$976,0))="Exit Sign",1,INDEX(Lookups!J$2:J$428,MATCH(_xlfn.CONCAT($B226,$H226),Lookups!$H$2:$H$428,0)))),"")</f>
        <v/>
      </c>
      <c r="AU226" s="150" t="str">
        <f>IFERROR(IF(M226="Exit Signs",1,IF(INDEX('Fixture Codes'!$C$8:$C$976,MATCH($AD226,'Fixture Codes'!$B$8:$B$976,0))="Exit Sign",1,INDEX(Lookups!K$2:K$428,MATCH(_xlfn.CONCAT($B226,$H226),Lookups!$H$2:$H$428,0)))),"")</f>
        <v/>
      </c>
      <c r="AV226" s="150" t="str">
        <f>IFERROR(IF(M226="Exit Signs",1,IF(INDEX('Fixture Codes'!$C$8:$C$976,MATCH($AD226,'Fixture Codes'!$B$8:$B$976,0))="Exit Sign",1,INDEX(Lookups!L$2:L$428,MATCH(_xlfn.CONCAT($B226,$H226),Lookups!$H$2:$H$428,0)))),"")</f>
        <v/>
      </c>
      <c r="AW226" s="150" t="str">
        <f>IF(ISBLANK(K226),"",IF(K226="Gas",INDEX(Lookups!$AG$2:$AG$63,MATCH(O226,Lookups!$AD$2:$AD$63,0),0),0))</f>
        <v/>
      </c>
      <c r="AX226" s="150" t="str">
        <f>IF(ISBLANK(K226),"",IF(K226="Gas",INDEX(Lookups!$AF$2:$AF$63,MATCH(O226,Lookups!$AD$2:$AD$63,0),0),0))</f>
        <v/>
      </c>
      <c r="AY226" s="150" t="str">
        <f>IF(ISBLANK(K226),"",IF(K226="Gas",INDEX(Lookups!$AH$2:$AH$63,MATCH(O226,Lookups!$AD$2:$AD$63,0),0),0))</f>
        <v/>
      </c>
      <c r="AZ226" s="150" t="str">
        <f>IF(ISBLANK(K226),"",IF(K226="Gas",INDEX(Lookups!$AI$2:$AI$63,MATCH(O226,Lookups!$AD$2:$AD$63,0),0),0))</f>
        <v/>
      </c>
      <c r="BA226" s="150" t="str">
        <f t="shared" si="106"/>
        <v/>
      </c>
      <c r="BB226" s="156" t="str">
        <f>IF(ISBLANK(AH226),"",IF(AH226="None",0,IF(K226="Gas",INDEX(Lookups!$AF$51:$AF$69,MATCH(AH226,Lookups!$AD$51:$AD$69,0),0),0)))</f>
        <v/>
      </c>
      <c r="BC226" s="156" t="str">
        <f>IF(ISBLANK(AH226),"",IF(AH226="None",0,IF(K226="Gas",INDEX(Lookups!$AH$51:$AH$69,MATCH(AH226,Lookups!$AD$51:$AD$69,0),0),0)))</f>
        <v/>
      </c>
      <c r="BD226" s="156" t="str">
        <f>IF(ISBLANK(AH226),"",IF(AH226="None",0,IF(K226="Gas",INDEX(Lookups!$AI$51:$AI$69,MATCH(AH226,Lookups!$AD$51:$AD$69,0),0),0)))</f>
        <v/>
      </c>
      <c r="BE226" s="157"/>
      <c r="BF226" s="157"/>
      <c r="BG226" s="147" t="str">
        <f t="shared" si="120"/>
        <v/>
      </c>
      <c r="BH226" s="147" t="str">
        <f t="shared" si="121"/>
        <v/>
      </c>
      <c r="BI226" s="147" t="str">
        <f t="shared" si="107"/>
        <v/>
      </c>
      <c r="BJ226" s="147" t="str">
        <f t="shared" si="108"/>
        <v/>
      </c>
      <c r="BK226" s="148" t="str">
        <f t="shared" si="122"/>
        <v/>
      </c>
      <c r="BL226" s="147" t="str">
        <f t="shared" si="109"/>
        <v/>
      </c>
      <c r="BM226" s="148" t="str">
        <f t="shared" si="123"/>
        <v/>
      </c>
      <c r="BN226" s="147" t="str">
        <f t="shared" si="124"/>
        <v/>
      </c>
      <c r="BO226" s="147" t="str">
        <f t="shared" si="124"/>
        <v/>
      </c>
      <c r="BP226" s="147" t="str">
        <f t="shared" si="125"/>
        <v/>
      </c>
      <c r="BQ226" s="148" t="str">
        <f t="shared" si="126"/>
        <v/>
      </c>
      <c r="BR226" s="148" t="str">
        <f t="shared" si="127"/>
        <v/>
      </c>
      <c r="BS226" s="148" t="str">
        <f t="shared" si="128"/>
        <v/>
      </c>
      <c r="BT226" s="148" t="str">
        <f t="shared" si="110"/>
        <v/>
      </c>
      <c r="BU226" s="148" t="str">
        <f t="shared" si="111"/>
        <v/>
      </c>
      <c r="BV226" s="148" t="str">
        <f t="shared" si="112"/>
        <v/>
      </c>
      <c r="BW226" s="148" t="str">
        <f t="shared" si="113"/>
        <v/>
      </c>
      <c r="BX226" s="148" t="str">
        <f t="shared" si="114"/>
        <v/>
      </c>
      <c r="BY226" s="148" t="str">
        <f t="shared" si="115"/>
        <v/>
      </c>
      <c r="BZ226" s="149" t="str">
        <f>IFERROR(INDEX('Prescriptive Rebate Table'!$B$2:$E$64,MATCH(O226,'Prescriptive Rebate Table'!$C$2:$C$64,0),3),"")</f>
        <v/>
      </c>
      <c r="CA226" s="145" t="str">
        <f>IFERROR(INDEX('Prescriptive Rebate Table'!$B$2:$E$64,MATCH(O226,'Prescriptive Rebate Table'!$C$2:$C$64,0),4),"")</f>
        <v/>
      </c>
      <c r="CB226" s="149" t="str">
        <f t="shared" si="129"/>
        <v/>
      </c>
      <c r="CC226" s="145" t="str">
        <f t="shared" si="130"/>
        <v/>
      </c>
      <c r="CD226" s="149" t="str">
        <f t="shared" si="116"/>
        <v/>
      </c>
      <c r="CE226" s="149" t="str">
        <f t="shared" si="117"/>
        <v/>
      </c>
      <c r="CF226" s="149" t="str">
        <f>IF(BK226&lt;=0,0,IFERROR(IF(OR(ISBLANK(AC226),ISBLANK(CD226))=TRUE,"",IF(CA226="Per Foot",INDEX('Fixture Codes'!$I$8:$I$976,MATCH(AD226,'Fixture Codes'!$B$8:$B$976,0))/12*AF226*BZ226,IF(CA226="Lamp",INDEX('Fixture Codes'!$J$8:$J$976,MATCH(AD226,'Fixture Codes'!$B$8:$B$976,0))*AF226*BZ226,IF(CA226="Fixture",AF226*BZ226,IF(CA226="kWh",BK226*BZ226,0))))),""))</f>
        <v/>
      </c>
      <c r="CG226" s="149" t="str">
        <f t="shared" si="131"/>
        <v/>
      </c>
      <c r="CH226" s="149" t="str">
        <f t="shared" si="132"/>
        <v/>
      </c>
      <c r="CI226" s="152"/>
      <c r="CJ226" s="146"/>
      <c r="CK226" s="241">
        <f>IFERROR(IF(CL226="Yes",'Prescriptive Rebate Table'!$D$69,IF(ISBLANK(AI226),0,IF(AND(AH226=Lookups!$A$62,BK226&gt;0),'Prescriptive Rebate Table'!$D$68,IF(AND(BK226&gt;0,CJ226=AF226),'Prescriptive Rebate Table'!$D$67,IF(AND(BK226&gt;0,CJ226&lt;&gt;AF226),'Prescriptive Rebate Table'!D285,0))))),"")</f>
        <v>0</v>
      </c>
      <c r="CL226" s="240" t="s">
        <v>2712</v>
      </c>
      <c r="CM226" s="152"/>
      <c r="CN226" s="152"/>
      <c r="CO226" s="152"/>
      <c r="CP226" s="146">
        <f t="shared" si="118"/>
        <v>0</v>
      </c>
      <c r="CQ226" s="153">
        <f>IF(D226="Interior",ROUND(($AG226*AF226)/1000*$AM226*(Lookups!$B$54-$AA226)*$AN226*$AO226,3),0)</f>
        <v>0</v>
      </c>
      <c r="CR226" s="153">
        <f>IFERROR(IF(D226="Interior",ROUND(($AG226*$AF226)/1000*(Lookups!$C$54-$AB226)*$AN226*AQ226*AT226,6),0),"")</f>
        <v>0</v>
      </c>
      <c r="CS226" s="165">
        <f t="shared" si="133"/>
        <v>0</v>
      </c>
      <c r="CT226" s="165">
        <f t="shared" si="134"/>
        <v>0</v>
      </c>
      <c r="CV226" s="153"/>
      <c r="CW226" s="153"/>
      <c r="CX226" s="165"/>
      <c r="CY226" s="165"/>
      <c r="DA226" s="153">
        <f>IF(D226="Interior",ROUND(($AG226*AF226*(1-0.15))/1000*$AM226*(Lookups!$B$43+0.097-$AA226)*$AN226*$AO226+((W226*V226)/1000*AN226*AM226*AO226*0.15),3),0)</f>
        <v>0</v>
      </c>
      <c r="DB226" s="153">
        <f>IFERROR(IF(D226="Interior",ROUND(($AG226*$AF226)/1000*(Lookups!$C$43+0.097-$AB226)*$AN226*AQ226*AT226+(($AG226*$AF226)/1000*$AN226*AQ226*AT226*0.15),6),0),"")</f>
        <v>0</v>
      </c>
      <c r="DC226" s="165">
        <f t="shared" si="135"/>
        <v>0</v>
      </c>
      <c r="DD226" s="165">
        <f t="shared" si="136"/>
        <v>0</v>
      </c>
    </row>
    <row r="227" spans="1:108" s="164" customFormat="1">
      <c r="A227" s="150">
        <v>223</v>
      </c>
      <c r="B227" s="153" t="str">
        <f>IFERROR(INDEX(Lookups!$B$2:$B$38,MATCH('Project Info &amp; Summary'!$C$19,Lookups!$A$2:$A$38,0)),"")</f>
        <v/>
      </c>
      <c r="C227" s="153" t="str">
        <f>IFERROR(INDEX(Lookups!$C$2:$C$38,MATCH('Project Info &amp; Summary'!$C$19,Lookups!$A$2:$A$38,0)),"")</f>
        <v/>
      </c>
      <c r="D227" s="163"/>
      <c r="E227" s="160"/>
      <c r="F227" s="158"/>
      <c r="G227" s="158"/>
      <c r="H227" s="158"/>
      <c r="I227" s="158"/>
      <c r="J227" s="154" t="str">
        <f>IFERROR(INDEX(Lookups!$W$21:$W$26,MATCH(I227,Lookups!$V$21:$V$26,0)),"")</f>
        <v/>
      </c>
      <c r="K227" s="158"/>
      <c r="L227" s="162" t="str">
        <f>IFERROR(INDEX(Lookups!$Y$2:$Y$19,MATCH(_xlfn.CONCAT(I227,K227),Lookups!$X$2:$X$19,0)),"")</f>
        <v/>
      </c>
      <c r="M227" s="158"/>
      <c r="N227" s="153" t="str">
        <f>IFERROR(INDEX('Prescriptive Rebate Table'!$M$3:$M$20,MATCH(M227,'Prescriptive Rebate Table'!$L$3:$L$20,0)),"")</f>
        <v/>
      </c>
      <c r="O227" s="158"/>
      <c r="P227" s="154" t="str">
        <f>IFERROR(INDEX('Prescriptive Rebate Table'!$B$2:$H$64, MATCH(O227,'Prescriptive Rebate Table'!$C$2:$C$64,0),7),"")</f>
        <v/>
      </c>
      <c r="Q227" s="155" t="str">
        <f>IFERROR(INDEX('Prescriptive Rebate Table'!$B$2:$I$64, MATCH(O227,'Prescriptive Rebate Table'!$C$2:$C$64,0),8),"")</f>
        <v/>
      </c>
      <c r="R227" s="155" t="str">
        <f>IFERROR(INDEX('Prescriptive Rebate Table'!$B$2:$J$64, MATCH(O227,'Prescriptive Rebate Table'!$C$2:$C$64,0),9),"")</f>
        <v/>
      </c>
      <c r="S227" s="160"/>
      <c r="T227" s="145" t="str">
        <f>IFERROR(INDEX('Fixture Codes'!$M$8:$M$976,MATCH(S227,'Fixture Codes'!$B$8:$B$976,0)),"")</f>
        <v/>
      </c>
      <c r="U227" s="145" t="str">
        <f>IFERROR(INDEX('Fixture Codes'!$B$7:$M$976,MATCH(T227,'Fixture Codes'!$B$7:$B$976,0),5),"")</f>
        <v/>
      </c>
      <c r="V227" s="160"/>
      <c r="W227" s="145" t="str">
        <f>IFERROR(INDEX('Fixture Codes'!$L$8:$L$976,MATCH(T227,'Fixture Codes'!$B$8:$B$976,0)),"")</f>
        <v/>
      </c>
      <c r="X227" s="158"/>
      <c r="Y227" s="159"/>
      <c r="Z227" s="155" t="str">
        <f>IFERROR(INDEX(Lookups!B$68:B$87,MATCH($X227,Lookups!$A$68:$A$87,0)),"")</f>
        <v/>
      </c>
      <c r="AA227" s="150" t="str">
        <f>IFERROR(INDEX(Lookups!B$42:B$62,MATCH($X227,Lookups!$A$42:$A$62,0)),"")</f>
        <v/>
      </c>
      <c r="AB227" s="150" t="str">
        <f>IFERROR(INDEX(Lookups!C$42:C$62,MATCH($X227,Lookups!$A$42:$A$62,0)),"")</f>
        <v/>
      </c>
      <c r="AC227" s="160"/>
      <c r="AD227" s="160"/>
      <c r="AE227" s="150" t="str">
        <f>IFERROR(INDEX('Fixture Codes'!$B$7:$M$976,MATCH(AD227,'Fixture Codes'!$B$7:$B$976,0),5),"")</f>
        <v/>
      </c>
      <c r="AF227" s="160"/>
      <c r="AG227" s="145" t="str">
        <f>IFERROR(INDEX('Fixture Codes'!$L$8:$L$976,MATCH(AD227,'Fixture Codes'!$B$8:$B$976,0)),"")</f>
        <v/>
      </c>
      <c r="AH227" s="158"/>
      <c r="AI227" s="160"/>
      <c r="AJ227" s="150" t="str">
        <f>IFERROR(INDEX(Lookups!B$68:B$87,MATCH($AH227,Lookups!$A$68:$A$87,0)),"")</f>
        <v/>
      </c>
      <c r="AK227" s="150" t="str">
        <f>IFERROR(INDEX(Lookups!B$42:B$62,MATCH($AH227,Lookups!$A$42:$A$62,0)),"")</f>
        <v/>
      </c>
      <c r="AL227" s="150" t="str">
        <f>IFERROR(INDEX(Lookups!C$42:C$62,MATCH($AH227,Lookups!$A$42:$A$62,0)),"")</f>
        <v/>
      </c>
      <c r="AM227" s="150" t="str">
        <f>IFERROR(IF(M227="Exit Signs",8760,IF(INDEX('Fixture Codes'!$C$8:$C$976,MATCH(AD227,'Fixture Codes'!$B$8:$B$976,0))="Exit Sign",8760,INDEX(Lookups!$I$2:$I$428,MATCH(_xlfn.CONCAT(B227,H227),Lookups!$H$2:$H$428,0)))),"")</f>
        <v/>
      </c>
      <c r="AN227" s="153">
        <v>1</v>
      </c>
      <c r="AO227" s="150" t="str">
        <f>IF($D227="Interior",INDEX(Lookups!Q$2:Q$86,MATCH(_xlfn.CONCAT($C227,$L227),Lookups!$P$2:$P$86,0)),IF($D227="Exterior",1,""))</f>
        <v/>
      </c>
      <c r="AP227" s="150">
        <f t="shared" si="119"/>
        <v>1</v>
      </c>
      <c r="AQ227" s="150" t="str">
        <f>IF($D227="Interior",INDEX(Lookups!R$2:R$86,MATCH(_xlfn.CONCAT($C227,$L227),Lookups!$P$2:$P$86,0)),IF($D227="Exterior",1,""))</f>
        <v/>
      </c>
      <c r="AR227" s="150" t="str">
        <f>IF($D227="Interior",INDEX(Lookups!S$2:S$86,MATCH(_xlfn.CONCAT($C227,$L227),Lookups!$P$2:$P$86,0)),IF($D227="Exterior",1,""))</f>
        <v/>
      </c>
      <c r="AS227" s="150" t="str">
        <f>IF($D227="Interior",INDEX(Lookups!T$2:T$86,MATCH(_xlfn.CONCAT($C227,$L227),Lookups!$P$2:$P$86,0)),IF($D227="Exterior",1,""))</f>
        <v/>
      </c>
      <c r="AT227" s="150" t="str">
        <f>IFERROR(IF(M227="Exit Signs",1,IF(INDEX('Fixture Codes'!$C$8:$C$976,MATCH($AD227,'Fixture Codes'!$B$8:$B$976,0))="Exit Sign",1,INDEX(Lookups!J$2:J$428,MATCH(_xlfn.CONCAT($B227,$H227),Lookups!$H$2:$H$428,0)))),"")</f>
        <v/>
      </c>
      <c r="AU227" s="150" t="str">
        <f>IFERROR(IF(M227="Exit Signs",1,IF(INDEX('Fixture Codes'!$C$8:$C$976,MATCH($AD227,'Fixture Codes'!$B$8:$B$976,0))="Exit Sign",1,INDEX(Lookups!K$2:K$428,MATCH(_xlfn.CONCAT($B227,$H227),Lookups!$H$2:$H$428,0)))),"")</f>
        <v/>
      </c>
      <c r="AV227" s="150" t="str">
        <f>IFERROR(IF(M227="Exit Signs",1,IF(INDEX('Fixture Codes'!$C$8:$C$976,MATCH($AD227,'Fixture Codes'!$B$8:$B$976,0))="Exit Sign",1,INDEX(Lookups!L$2:L$428,MATCH(_xlfn.CONCAT($B227,$H227),Lookups!$H$2:$H$428,0)))),"")</f>
        <v/>
      </c>
      <c r="AW227" s="150" t="str">
        <f>IF(ISBLANK(K227),"",IF(K227="Gas",INDEX(Lookups!$AG$2:$AG$63,MATCH(O227,Lookups!$AD$2:$AD$63,0),0),0))</f>
        <v/>
      </c>
      <c r="AX227" s="150" t="str">
        <f>IF(ISBLANK(K227),"",IF(K227="Gas",INDEX(Lookups!$AF$2:$AF$63,MATCH(O227,Lookups!$AD$2:$AD$63,0),0),0))</f>
        <v/>
      </c>
      <c r="AY227" s="150" t="str">
        <f>IF(ISBLANK(K227),"",IF(K227="Gas",INDEX(Lookups!$AH$2:$AH$63,MATCH(O227,Lookups!$AD$2:$AD$63,0),0),0))</f>
        <v/>
      </c>
      <c r="AZ227" s="150" t="str">
        <f>IF(ISBLANK(K227),"",IF(K227="Gas",INDEX(Lookups!$AI$2:$AI$63,MATCH(O227,Lookups!$AD$2:$AD$63,0),0),0))</f>
        <v/>
      </c>
      <c r="BA227" s="150" t="str">
        <f t="shared" si="106"/>
        <v/>
      </c>
      <c r="BB227" s="156" t="str">
        <f>IF(ISBLANK(AH227),"",IF(AH227="None",0,IF(K227="Gas",INDEX(Lookups!$AF$51:$AF$69,MATCH(AH227,Lookups!$AD$51:$AD$69,0),0),0)))</f>
        <v/>
      </c>
      <c r="BC227" s="156" t="str">
        <f>IF(ISBLANK(AH227),"",IF(AH227="None",0,IF(K227="Gas",INDEX(Lookups!$AH$51:$AH$69,MATCH(AH227,Lookups!$AD$51:$AD$69,0),0),0)))</f>
        <v/>
      </c>
      <c r="BD227" s="156" t="str">
        <f>IF(ISBLANK(AH227),"",IF(AH227="None",0,IF(K227="Gas",INDEX(Lookups!$AI$51:$AI$69,MATCH(AH227,Lookups!$AD$51:$AD$69,0),0),0)))</f>
        <v/>
      </c>
      <c r="BE227" s="157"/>
      <c r="BF227" s="157"/>
      <c r="BG227" s="147" t="str">
        <f t="shared" si="120"/>
        <v/>
      </c>
      <c r="BH227" s="147" t="str">
        <f t="shared" si="121"/>
        <v/>
      </c>
      <c r="BI227" s="147" t="str">
        <f t="shared" si="107"/>
        <v/>
      </c>
      <c r="BJ227" s="147" t="str">
        <f t="shared" si="108"/>
        <v/>
      </c>
      <c r="BK227" s="148" t="str">
        <f t="shared" si="122"/>
        <v/>
      </c>
      <c r="BL227" s="147" t="str">
        <f t="shared" si="109"/>
        <v/>
      </c>
      <c r="BM227" s="148" t="str">
        <f t="shared" si="123"/>
        <v/>
      </c>
      <c r="BN227" s="147" t="str">
        <f t="shared" si="124"/>
        <v/>
      </c>
      <c r="BO227" s="147" t="str">
        <f t="shared" si="124"/>
        <v/>
      </c>
      <c r="BP227" s="147" t="str">
        <f t="shared" si="125"/>
        <v/>
      </c>
      <c r="BQ227" s="148" t="str">
        <f t="shared" si="126"/>
        <v/>
      </c>
      <c r="BR227" s="148" t="str">
        <f t="shared" si="127"/>
        <v/>
      </c>
      <c r="BS227" s="148" t="str">
        <f t="shared" si="128"/>
        <v/>
      </c>
      <c r="BT227" s="148" t="str">
        <f t="shared" si="110"/>
        <v/>
      </c>
      <c r="BU227" s="148" t="str">
        <f t="shared" si="111"/>
        <v/>
      </c>
      <c r="BV227" s="148" t="str">
        <f t="shared" si="112"/>
        <v/>
      </c>
      <c r="BW227" s="148" t="str">
        <f t="shared" si="113"/>
        <v/>
      </c>
      <c r="BX227" s="148" t="str">
        <f t="shared" si="114"/>
        <v/>
      </c>
      <c r="BY227" s="148" t="str">
        <f t="shared" si="115"/>
        <v/>
      </c>
      <c r="BZ227" s="149" t="str">
        <f>IFERROR(INDEX('Prescriptive Rebate Table'!$B$2:$E$64,MATCH(O227,'Prescriptive Rebate Table'!$C$2:$C$64,0),3),"")</f>
        <v/>
      </c>
      <c r="CA227" s="145" t="str">
        <f>IFERROR(INDEX('Prescriptive Rebate Table'!$B$2:$E$64,MATCH(O227,'Prescriptive Rebate Table'!$C$2:$C$64,0),4),"")</f>
        <v/>
      </c>
      <c r="CB227" s="149" t="str">
        <f t="shared" si="129"/>
        <v/>
      </c>
      <c r="CC227" s="145" t="str">
        <f t="shared" si="130"/>
        <v/>
      </c>
      <c r="CD227" s="149" t="str">
        <f t="shared" si="116"/>
        <v/>
      </c>
      <c r="CE227" s="149" t="str">
        <f t="shared" si="117"/>
        <v/>
      </c>
      <c r="CF227" s="149" t="str">
        <f>IF(BK227&lt;=0,0,IFERROR(IF(OR(ISBLANK(AC227),ISBLANK(CD227))=TRUE,"",IF(CA227="Per Foot",INDEX('Fixture Codes'!$I$8:$I$976,MATCH(AD227,'Fixture Codes'!$B$8:$B$976,0))/12*AF227*BZ227,IF(CA227="Lamp",INDEX('Fixture Codes'!$J$8:$J$976,MATCH(AD227,'Fixture Codes'!$B$8:$B$976,0))*AF227*BZ227,IF(CA227="Fixture",AF227*BZ227,IF(CA227="kWh",BK227*BZ227,0))))),""))</f>
        <v/>
      </c>
      <c r="CG227" s="149" t="str">
        <f t="shared" si="131"/>
        <v/>
      </c>
      <c r="CH227" s="149" t="str">
        <f t="shared" si="132"/>
        <v/>
      </c>
      <c r="CI227" s="152"/>
      <c r="CJ227" s="146"/>
      <c r="CK227" s="241">
        <f>IFERROR(IF(CL227="Yes",'Prescriptive Rebate Table'!$D$69,IF(ISBLANK(AI227),0,IF(AND(AH227=Lookups!$A$62,BK227&gt;0),'Prescriptive Rebate Table'!$D$68,IF(AND(BK227&gt;0,CJ227=AF227),'Prescriptive Rebate Table'!$D$67,IF(AND(BK227&gt;0,CJ227&lt;&gt;AF227),'Prescriptive Rebate Table'!D286,0))))),"")</f>
        <v>0</v>
      </c>
      <c r="CL227" s="240" t="s">
        <v>2712</v>
      </c>
      <c r="CM227" s="152"/>
      <c r="CN227" s="152"/>
      <c r="CO227" s="152"/>
      <c r="CP227" s="146">
        <f t="shared" si="118"/>
        <v>0</v>
      </c>
      <c r="CQ227" s="153">
        <f>IF(D227="Interior",ROUND(($AG227*AF227)/1000*$AM227*(Lookups!$B$54-$AA227)*$AN227*$AO227,3),0)</f>
        <v>0</v>
      </c>
      <c r="CR227" s="153">
        <f>IFERROR(IF(D227="Interior",ROUND(($AG227*$AF227)/1000*(Lookups!$C$54-$AB227)*$AN227*AQ227*AT227,6),0),"")</f>
        <v>0</v>
      </c>
      <c r="CS227" s="165">
        <f t="shared" si="133"/>
        <v>0</v>
      </c>
      <c r="CT227" s="165">
        <f t="shared" si="134"/>
        <v>0</v>
      </c>
      <c r="CV227" s="153"/>
      <c r="CW227" s="153"/>
      <c r="CX227" s="165"/>
      <c r="CY227" s="165"/>
      <c r="DA227" s="153">
        <f>IF(D227="Interior",ROUND(($AG227*AF227*(1-0.15))/1000*$AM227*(Lookups!$B$43+0.097-$AA227)*$AN227*$AO227+((W227*V227)/1000*AN227*AM227*AO227*0.15),3),0)</f>
        <v>0</v>
      </c>
      <c r="DB227" s="153">
        <f>IFERROR(IF(D227="Interior",ROUND(($AG227*$AF227)/1000*(Lookups!$C$43+0.097-$AB227)*$AN227*AQ227*AT227+(($AG227*$AF227)/1000*$AN227*AQ227*AT227*0.15),6),0),"")</f>
        <v>0</v>
      </c>
      <c r="DC227" s="165">
        <f t="shared" si="135"/>
        <v>0</v>
      </c>
      <c r="DD227" s="165">
        <f t="shared" si="136"/>
        <v>0</v>
      </c>
    </row>
    <row r="228" spans="1:108" s="164" customFormat="1">
      <c r="A228" s="150">
        <v>224</v>
      </c>
      <c r="B228" s="153" t="str">
        <f>IFERROR(INDEX(Lookups!$B$2:$B$38,MATCH('Project Info &amp; Summary'!$C$19,Lookups!$A$2:$A$38,0)),"")</f>
        <v/>
      </c>
      <c r="C228" s="153" t="str">
        <f>IFERROR(INDEX(Lookups!$C$2:$C$38,MATCH('Project Info &amp; Summary'!$C$19,Lookups!$A$2:$A$38,0)),"")</f>
        <v/>
      </c>
      <c r="D228" s="163"/>
      <c r="E228" s="160"/>
      <c r="F228" s="158"/>
      <c r="G228" s="158"/>
      <c r="H228" s="158"/>
      <c r="I228" s="158"/>
      <c r="J228" s="154" t="str">
        <f>IFERROR(INDEX(Lookups!$W$21:$W$26,MATCH(I228,Lookups!$V$21:$V$26,0)),"")</f>
        <v/>
      </c>
      <c r="K228" s="158"/>
      <c r="L228" s="162" t="str">
        <f>IFERROR(INDEX(Lookups!$Y$2:$Y$19,MATCH(_xlfn.CONCAT(I228,K228),Lookups!$X$2:$X$19,0)),"")</f>
        <v/>
      </c>
      <c r="M228" s="158"/>
      <c r="N228" s="153" t="str">
        <f>IFERROR(INDEX('Prescriptive Rebate Table'!$M$3:$M$20,MATCH(M228,'Prescriptive Rebate Table'!$L$3:$L$20,0)),"")</f>
        <v/>
      </c>
      <c r="O228" s="158"/>
      <c r="P228" s="154" t="str">
        <f>IFERROR(INDEX('Prescriptive Rebate Table'!$B$2:$H$64, MATCH(O228,'Prescriptive Rebate Table'!$C$2:$C$64,0),7),"")</f>
        <v/>
      </c>
      <c r="Q228" s="155" t="str">
        <f>IFERROR(INDEX('Prescriptive Rebate Table'!$B$2:$I$64, MATCH(O228,'Prescriptive Rebate Table'!$C$2:$C$64,0),8),"")</f>
        <v/>
      </c>
      <c r="R228" s="155" t="str">
        <f>IFERROR(INDEX('Prescriptive Rebate Table'!$B$2:$J$64, MATCH(O228,'Prescriptive Rebate Table'!$C$2:$C$64,0),9),"")</f>
        <v/>
      </c>
      <c r="S228" s="160"/>
      <c r="T228" s="145" t="str">
        <f>IFERROR(INDEX('Fixture Codes'!$M$8:$M$976,MATCH(S228,'Fixture Codes'!$B$8:$B$976,0)),"")</f>
        <v/>
      </c>
      <c r="U228" s="145" t="str">
        <f>IFERROR(INDEX('Fixture Codes'!$B$7:$M$976,MATCH(T228,'Fixture Codes'!$B$7:$B$976,0),5),"")</f>
        <v/>
      </c>
      <c r="V228" s="160"/>
      <c r="W228" s="145" t="str">
        <f>IFERROR(INDEX('Fixture Codes'!$L$8:$L$976,MATCH(T228,'Fixture Codes'!$B$8:$B$976,0)),"")</f>
        <v/>
      </c>
      <c r="X228" s="158"/>
      <c r="Y228" s="159"/>
      <c r="Z228" s="155" t="str">
        <f>IFERROR(INDEX(Lookups!B$68:B$87,MATCH($X228,Lookups!$A$68:$A$87,0)),"")</f>
        <v/>
      </c>
      <c r="AA228" s="150" t="str">
        <f>IFERROR(INDEX(Lookups!B$42:B$62,MATCH($X228,Lookups!$A$42:$A$62,0)),"")</f>
        <v/>
      </c>
      <c r="AB228" s="150" t="str">
        <f>IFERROR(INDEX(Lookups!C$42:C$62,MATCH($X228,Lookups!$A$42:$A$62,0)),"")</f>
        <v/>
      </c>
      <c r="AC228" s="160"/>
      <c r="AD228" s="160"/>
      <c r="AE228" s="150" t="str">
        <f>IFERROR(INDEX('Fixture Codes'!$B$7:$M$976,MATCH(AD228,'Fixture Codes'!$B$7:$B$976,0),5),"")</f>
        <v/>
      </c>
      <c r="AF228" s="160"/>
      <c r="AG228" s="145" t="str">
        <f>IFERROR(INDEX('Fixture Codes'!$L$8:$L$976,MATCH(AD228,'Fixture Codes'!$B$8:$B$976,0)),"")</f>
        <v/>
      </c>
      <c r="AH228" s="158"/>
      <c r="AI228" s="160"/>
      <c r="AJ228" s="150" t="str">
        <f>IFERROR(INDEX(Lookups!B$68:B$87,MATCH($AH228,Lookups!$A$68:$A$87,0)),"")</f>
        <v/>
      </c>
      <c r="AK228" s="150" t="str">
        <f>IFERROR(INDEX(Lookups!B$42:B$62,MATCH($AH228,Lookups!$A$42:$A$62,0)),"")</f>
        <v/>
      </c>
      <c r="AL228" s="150" t="str">
        <f>IFERROR(INDEX(Lookups!C$42:C$62,MATCH($AH228,Lookups!$A$42:$A$62,0)),"")</f>
        <v/>
      </c>
      <c r="AM228" s="150" t="str">
        <f>IFERROR(IF(M228="Exit Signs",8760,IF(INDEX('Fixture Codes'!$C$8:$C$976,MATCH(AD228,'Fixture Codes'!$B$8:$B$976,0))="Exit Sign",8760,INDEX(Lookups!$I$2:$I$428,MATCH(_xlfn.CONCAT(B228,H228),Lookups!$H$2:$H$428,0)))),"")</f>
        <v/>
      </c>
      <c r="AN228" s="153">
        <v>1</v>
      </c>
      <c r="AO228" s="150" t="str">
        <f>IF($D228="Interior",INDEX(Lookups!Q$2:Q$86,MATCH(_xlfn.CONCAT($C228,$L228),Lookups!$P$2:$P$86,0)),IF($D228="Exterior",1,""))</f>
        <v/>
      </c>
      <c r="AP228" s="150">
        <f t="shared" si="119"/>
        <v>1</v>
      </c>
      <c r="AQ228" s="150" t="str">
        <f>IF($D228="Interior",INDEX(Lookups!R$2:R$86,MATCH(_xlfn.CONCAT($C228,$L228),Lookups!$P$2:$P$86,0)),IF($D228="Exterior",1,""))</f>
        <v/>
      </c>
      <c r="AR228" s="150" t="str">
        <f>IF($D228="Interior",INDEX(Lookups!S$2:S$86,MATCH(_xlfn.CONCAT($C228,$L228),Lookups!$P$2:$P$86,0)),IF($D228="Exterior",1,""))</f>
        <v/>
      </c>
      <c r="AS228" s="150" t="str">
        <f>IF($D228="Interior",INDEX(Lookups!T$2:T$86,MATCH(_xlfn.CONCAT($C228,$L228),Lookups!$P$2:$P$86,0)),IF($D228="Exterior",1,""))</f>
        <v/>
      </c>
      <c r="AT228" s="150" t="str">
        <f>IFERROR(IF(M228="Exit Signs",1,IF(INDEX('Fixture Codes'!$C$8:$C$976,MATCH($AD228,'Fixture Codes'!$B$8:$B$976,0))="Exit Sign",1,INDEX(Lookups!J$2:J$428,MATCH(_xlfn.CONCAT($B228,$H228),Lookups!$H$2:$H$428,0)))),"")</f>
        <v/>
      </c>
      <c r="AU228" s="150" t="str">
        <f>IFERROR(IF(M228="Exit Signs",1,IF(INDEX('Fixture Codes'!$C$8:$C$976,MATCH($AD228,'Fixture Codes'!$B$8:$B$976,0))="Exit Sign",1,INDEX(Lookups!K$2:K$428,MATCH(_xlfn.CONCAT($B228,$H228),Lookups!$H$2:$H$428,0)))),"")</f>
        <v/>
      </c>
      <c r="AV228" s="150" t="str">
        <f>IFERROR(IF(M228="Exit Signs",1,IF(INDEX('Fixture Codes'!$C$8:$C$976,MATCH($AD228,'Fixture Codes'!$B$8:$B$976,0))="Exit Sign",1,INDEX(Lookups!L$2:L$428,MATCH(_xlfn.CONCAT($B228,$H228),Lookups!$H$2:$H$428,0)))),"")</f>
        <v/>
      </c>
      <c r="AW228" s="150" t="str">
        <f>IF(ISBLANK(K228),"",IF(K228="Gas",INDEX(Lookups!$AG$2:$AG$63,MATCH(O228,Lookups!$AD$2:$AD$63,0),0),0))</f>
        <v/>
      </c>
      <c r="AX228" s="150" t="str">
        <f>IF(ISBLANK(K228),"",IF(K228="Gas",INDEX(Lookups!$AF$2:$AF$63,MATCH(O228,Lookups!$AD$2:$AD$63,0),0),0))</f>
        <v/>
      </c>
      <c r="AY228" s="150" t="str">
        <f>IF(ISBLANK(K228),"",IF(K228="Gas",INDEX(Lookups!$AH$2:$AH$63,MATCH(O228,Lookups!$AD$2:$AD$63,0),0),0))</f>
        <v/>
      </c>
      <c r="AZ228" s="150" t="str">
        <f>IF(ISBLANK(K228),"",IF(K228="Gas",INDEX(Lookups!$AI$2:$AI$63,MATCH(O228,Lookups!$AD$2:$AD$63,0),0),0))</f>
        <v/>
      </c>
      <c r="BA228" s="150" t="str">
        <f t="shared" si="106"/>
        <v/>
      </c>
      <c r="BB228" s="156" t="str">
        <f>IF(ISBLANK(AH228),"",IF(AH228="None",0,IF(K228="Gas",INDEX(Lookups!$AF$51:$AF$69,MATCH(AH228,Lookups!$AD$51:$AD$69,0),0),0)))</f>
        <v/>
      </c>
      <c r="BC228" s="156" t="str">
        <f>IF(ISBLANK(AH228),"",IF(AH228="None",0,IF(K228="Gas",INDEX(Lookups!$AH$51:$AH$69,MATCH(AH228,Lookups!$AD$51:$AD$69,0),0),0)))</f>
        <v/>
      </c>
      <c r="BD228" s="156" t="str">
        <f>IF(ISBLANK(AH228),"",IF(AH228="None",0,IF(K228="Gas",INDEX(Lookups!$AI$51:$AI$69,MATCH(AH228,Lookups!$AD$51:$AD$69,0),0),0)))</f>
        <v/>
      </c>
      <c r="BE228" s="157"/>
      <c r="BF228" s="157"/>
      <c r="BG228" s="147" t="str">
        <f t="shared" si="120"/>
        <v/>
      </c>
      <c r="BH228" s="147" t="str">
        <f t="shared" si="121"/>
        <v/>
      </c>
      <c r="BI228" s="147" t="str">
        <f t="shared" si="107"/>
        <v/>
      </c>
      <c r="BJ228" s="147" t="str">
        <f t="shared" si="108"/>
        <v/>
      </c>
      <c r="BK228" s="148" t="str">
        <f t="shared" si="122"/>
        <v/>
      </c>
      <c r="BL228" s="147" t="str">
        <f t="shared" si="109"/>
        <v/>
      </c>
      <c r="BM228" s="148" t="str">
        <f t="shared" si="123"/>
        <v/>
      </c>
      <c r="BN228" s="147" t="str">
        <f t="shared" si="124"/>
        <v/>
      </c>
      <c r="BO228" s="147" t="str">
        <f t="shared" si="124"/>
        <v/>
      </c>
      <c r="BP228" s="147" t="str">
        <f t="shared" si="125"/>
        <v/>
      </c>
      <c r="BQ228" s="148" t="str">
        <f t="shared" si="126"/>
        <v/>
      </c>
      <c r="BR228" s="148" t="str">
        <f t="shared" si="127"/>
        <v/>
      </c>
      <c r="BS228" s="148" t="str">
        <f t="shared" si="128"/>
        <v/>
      </c>
      <c r="BT228" s="148" t="str">
        <f t="shared" si="110"/>
        <v/>
      </c>
      <c r="BU228" s="148" t="str">
        <f t="shared" si="111"/>
        <v/>
      </c>
      <c r="BV228" s="148" t="str">
        <f t="shared" si="112"/>
        <v/>
      </c>
      <c r="BW228" s="148" t="str">
        <f t="shared" si="113"/>
        <v/>
      </c>
      <c r="BX228" s="148" t="str">
        <f t="shared" si="114"/>
        <v/>
      </c>
      <c r="BY228" s="148" t="str">
        <f t="shared" si="115"/>
        <v/>
      </c>
      <c r="BZ228" s="149" t="str">
        <f>IFERROR(INDEX('Prescriptive Rebate Table'!$B$2:$E$64,MATCH(O228,'Prescriptive Rebate Table'!$C$2:$C$64,0),3),"")</f>
        <v/>
      </c>
      <c r="CA228" s="145" t="str">
        <f>IFERROR(INDEX('Prescriptive Rebate Table'!$B$2:$E$64,MATCH(O228,'Prescriptive Rebate Table'!$C$2:$C$64,0),4),"")</f>
        <v/>
      </c>
      <c r="CB228" s="149" t="str">
        <f t="shared" si="129"/>
        <v/>
      </c>
      <c r="CC228" s="145" t="str">
        <f t="shared" si="130"/>
        <v/>
      </c>
      <c r="CD228" s="149" t="str">
        <f t="shared" si="116"/>
        <v/>
      </c>
      <c r="CE228" s="149" t="str">
        <f t="shared" si="117"/>
        <v/>
      </c>
      <c r="CF228" s="149" t="str">
        <f>IF(BK228&lt;=0,0,IFERROR(IF(OR(ISBLANK(AC228),ISBLANK(CD228))=TRUE,"",IF(CA228="Per Foot",INDEX('Fixture Codes'!$I$8:$I$976,MATCH(AD228,'Fixture Codes'!$B$8:$B$976,0))/12*AF228*BZ228,IF(CA228="Lamp",INDEX('Fixture Codes'!$J$8:$J$976,MATCH(AD228,'Fixture Codes'!$B$8:$B$976,0))*AF228*BZ228,IF(CA228="Fixture",AF228*BZ228,IF(CA228="kWh",BK228*BZ228,0))))),""))</f>
        <v/>
      </c>
      <c r="CG228" s="149" t="str">
        <f t="shared" si="131"/>
        <v/>
      </c>
      <c r="CH228" s="149" t="str">
        <f t="shared" si="132"/>
        <v/>
      </c>
      <c r="CI228" s="152"/>
      <c r="CJ228" s="146"/>
      <c r="CK228" s="241">
        <f>IFERROR(IF(CL228="Yes",'Prescriptive Rebate Table'!$D$69,IF(ISBLANK(AI228),0,IF(AND(AH228=Lookups!$A$62,BK228&gt;0),'Prescriptive Rebate Table'!$D$68,IF(AND(BK228&gt;0,CJ228=AF228),'Prescriptive Rebate Table'!$D$67,IF(AND(BK228&gt;0,CJ228&lt;&gt;AF228),'Prescriptive Rebate Table'!D287,0))))),"")</f>
        <v>0</v>
      </c>
      <c r="CL228" s="240" t="s">
        <v>2712</v>
      </c>
      <c r="CM228" s="152"/>
      <c r="CN228" s="152"/>
      <c r="CO228" s="152"/>
      <c r="CP228" s="146">
        <f t="shared" si="118"/>
        <v>0</v>
      </c>
      <c r="CQ228" s="153">
        <f>IF(D228="Interior",ROUND(($AG228*AF228)/1000*$AM228*(Lookups!$B$54-$AA228)*$AN228*$AO228,3),0)</f>
        <v>0</v>
      </c>
      <c r="CR228" s="153">
        <f>IFERROR(IF(D228="Interior",ROUND(($AG228*$AF228)/1000*(Lookups!$C$54-$AB228)*$AN228*AQ228*AT228,6),0),"")</f>
        <v>0</v>
      </c>
      <c r="CS228" s="165">
        <f t="shared" si="133"/>
        <v>0</v>
      </c>
      <c r="CT228" s="165">
        <f t="shared" si="134"/>
        <v>0</v>
      </c>
      <c r="CV228" s="153"/>
      <c r="CW228" s="153"/>
      <c r="CX228" s="165"/>
      <c r="CY228" s="165"/>
      <c r="DA228" s="153">
        <f>IF(D228="Interior",ROUND(($AG228*AF228*(1-0.15))/1000*$AM228*(Lookups!$B$43+0.097-$AA228)*$AN228*$AO228+((W228*V228)/1000*AN228*AM228*AO228*0.15),3),0)</f>
        <v>0</v>
      </c>
      <c r="DB228" s="153">
        <f>IFERROR(IF(D228="Interior",ROUND(($AG228*$AF228)/1000*(Lookups!$C$43+0.097-$AB228)*$AN228*AQ228*AT228+(($AG228*$AF228)/1000*$AN228*AQ228*AT228*0.15),6),0),"")</f>
        <v>0</v>
      </c>
      <c r="DC228" s="165">
        <f t="shared" si="135"/>
        <v>0</v>
      </c>
      <c r="DD228" s="165">
        <f t="shared" si="136"/>
        <v>0</v>
      </c>
    </row>
    <row r="229" spans="1:108" s="164" customFormat="1">
      <c r="A229" s="150">
        <v>225</v>
      </c>
      <c r="B229" s="153" t="str">
        <f>IFERROR(INDEX(Lookups!$B$2:$B$38,MATCH('Project Info &amp; Summary'!$C$19,Lookups!$A$2:$A$38,0)),"")</f>
        <v/>
      </c>
      <c r="C229" s="153" t="str">
        <f>IFERROR(INDEX(Lookups!$C$2:$C$38,MATCH('Project Info &amp; Summary'!$C$19,Lookups!$A$2:$A$38,0)),"")</f>
        <v/>
      </c>
      <c r="D229" s="163"/>
      <c r="E229" s="160"/>
      <c r="F229" s="158"/>
      <c r="G229" s="158"/>
      <c r="H229" s="158"/>
      <c r="I229" s="158"/>
      <c r="J229" s="154" t="str">
        <f>IFERROR(INDEX(Lookups!$W$21:$W$26,MATCH(I229,Lookups!$V$21:$V$26,0)),"")</f>
        <v/>
      </c>
      <c r="K229" s="158"/>
      <c r="L229" s="162" t="str">
        <f>IFERROR(INDEX(Lookups!$Y$2:$Y$19,MATCH(_xlfn.CONCAT(I229,K229),Lookups!$X$2:$X$19,0)),"")</f>
        <v/>
      </c>
      <c r="M229" s="158"/>
      <c r="N229" s="153" t="str">
        <f>IFERROR(INDEX('Prescriptive Rebate Table'!$M$3:$M$20,MATCH(M229,'Prescriptive Rebate Table'!$L$3:$L$20,0)),"")</f>
        <v/>
      </c>
      <c r="O229" s="158"/>
      <c r="P229" s="154" t="str">
        <f>IFERROR(INDEX('Prescriptive Rebate Table'!$B$2:$H$64, MATCH(O229,'Prescriptive Rebate Table'!$C$2:$C$64,0),7),"")</f>
        <v/>
      </c>
      <c r="Q229" s="155" t="str">
        <f>IFERROR(INDEX('Prescriptive Rebate Table'!$B$2:$I$64, MATCH(O229,'Prescriptive Rebate Table'!$C$2:$C$64,0),8),"")</f>
        <v/>
      </c>
      <c r="R229" s="155" t="str">
        <f>IFERROR(INDEX('Prescriptive Rebate Table'!$B$2:$J$64, MATCH(O229,'Prescriptive Rebate Table'!$C$2:$C$64,0),9),"")</f>
        <v/>
      </c>
      <c r="S229" s="160"/>
      <c r="T229" s="145" t="str">
        <f>IFERROR(INDEX('Fixture Codes'!$M$8:$M$976,MATCH(S229,'Fixture Codes'!$B$8:$B$976,0)),"")</f>
        <v/>
      </c>
      <c r="U229" s="145" t="str">
        <f>IFERROR(INDEX('Fixture Codes'!$B$7:$M$976,MATCH(T229,'Fixture Codes'!$B$7:$B$976,0),5),"")</f>
        <v/>
      </c>
      <c r="V229" s="160"/>
      <c r="W229" s="145" t="str">
        <f>IFERROR(INDEX('Fixture Codes'!$L$8:$L$976,MATCH(T229,'Fixture Codes'!$B$8:$B$976,0)),"")</f>
        <v/>
      </c>
      <c r="X229" s="158"/>
      <c r="Y229" s="159"/>
      <c r="Z229" s="155" t="str">
        <f>IFERROR(INDEX(Lookups!B$68:B$87,MATCH($X229,Lookups!$A$68:$A$87,0)),"")</f>
        <v/>
      </c>
      <c r="AA229" s="150" t="str">
        <f>IFERROR(INDEX(Lookups!B$42:B$62,MATCH($X229,Lookups!$A$42:$A$62,0)),"")</f>
        <v/>
      </c>
      <c r="AB229" s="150" t="str">
        <f>IFERROR(INDEX(Lookups!C$42:C$62,MATCH($X229,Lookups!$A$42:$A$62,0)),"")</f>
        <v/>
      </c>
      <c r="AC229" s="160"/>
      <c r="AD229" s="160"/>
      <c r="AE229" s="150" t="str">
        <f>IFERROR(INDEX('Fixture Codes'!$B$7:$M$976,MATCH(AD229,'Fixture Codes'!$B$7:$B$976,0),5),"")</f>
        <v/>
      </c>
      <c r="AF229" s="160"/>
      <c r="AG229" s="145" t="str">
        <f>IFERROR(INDEX('Fixture Codes'!$L$8:$L$976,MATCH(AD229,'Fixture Codes'!$B$8:$B$976,0)),"")</f>
        <v/>
      </c>
      <c r="AH229" s="158"/>
      <c r="AI229" s="160"/>
      <c r="AJ229" s="150" t="str">
        <f>IFERROR(INDEX(Lookups!B$68:B$87,MATCH($AH229,Lookups!$A$68:$A$87,0)),"")</f>
        <v/>
      </c>
      <c r="AK229" s="150" t="str">
        <f>IFERROR(INDEX(Lookups!B$42:B$62,MATCH($AH229,Lookups!$A$42:$A$62,0)),"")</f>
        <v/>
      </c>
      <c r="AL229" s="150" t="str">
        <f>IFERROR(INDEX(Lookups!C$42:C$62,MATCH($AH229,Lookups!$A$42:$A$62,0)),"")</f>
        <v/>
      </c>
      <c r="AM229" s="150" t="str">
        <f>IFERROR(IF(M229="Exit Signs",8760,IF(INDEX('Fixture Codes'!$C$8:$C$976,MATCH(AD229,'Fixture Codes'!$B$8:$B$976,0))="Exit Sign",8760,INDEX(Lookups!$I$2:$I$428,MATCH(_xlfn.CONCAT(B229,H229),Lookups!$H$2:$H$428,0)))),"")</f>
        <v/>
      </c>
      <c r="AN229" s="153">
        <v>1</v>
      </c>
      <c r="AO229" s="150" t="str">
        <f>IF($D229="Interior",INDEX(Lookups!Q$2:Q$86,MATCH(_xlfn.CONCAT($C229,$L229),Lookups!$P$2:$P$86,0)),IF($D229="Exterior",1,""))</f>
        <v/>
      </c>
      <c r="AP229" s="150">
        <f t="shared" si="119"/>
        <v>1</v>
      </c>
      <c r="AQ229" s="150" t="str">
        <f>IF($D229="Interior",INDEX(Lookups!R$2:R$86,MATCH(_xlfn.CONCAT($C229,$L229),Lookups!$P$2:$P$86,0)),IF($D229="Exterior",1,""))</f>
        <v/>
      </c>
      <c r="AR229" s="150" t="str">
        <f>IF($D229="Interior",INDEX(Lookups!S$2:S$86,MATCH(_xlfn.CONCAT($C229,$L229),Lookups!$P$2:$P$86,0)),IF($D229="Exterior",1,""))</f>
        <v/>
      </c>
      <c r="AS229" s="150" t="str">
        <f>IF($D229="Interior",INDEX(Lookups!T$2:T$86,MATCH(_xlfn.CONCAT($C229,$L229),Lookups!$P$2:$P$86,0)),IF($D229="Exterior",1,""))</f>
        <v/>
      </c>
      <c r="AT229" s="150" t="str">
        <f>IFERROR(IF(M229="Exit Signs",1,IF(INDEX('Fixture Codes'!$C$8:$C$976,MATCH($AD229,'Fixture Codes'!$B$8:$B$976,0))="Exit Sign",1,INDEX(Lookups!J$2:J$428,MATCH(_xlfn.CONCAT($B229,$H229),Lookups!$H$2:$H$428,0)))),"")</f>
        <v/>
      </c>
      <c r="AU229" s="150" t="str">
        <f>IFERROR(IF(M229="Exit Signs",1,IF(INDEX('Fixture Codes'!$C$8:$C$976,MATCH($AD229,'Fixture Codes'!$B$8:$B$976,0))="Exit Sign",1,INDEX(Lookups!K$2:K$428,MATCH(_xlfn.CONCAT($B229,$H229),Lookups!$H$2:$H$428,0)))),"")</f>
        <v/>
      </c>
      <c r="AV229" s="150" t="str">
        <f>IFERROR(IF(M229="Exit Signs",1,IF(INDEX('Fixture Codes'!$C$8:$C$976,MATCH($AD229,'Fixture Codes'!$B$8:$B$976,0))="Exit Sign",1,INDEX(Lookups!L$2:L$428,MATCH(_xlfn.CONCAT($B229,$H229),Lookups!$H$2:$H$428,0)))),"")</f>
        <v/>
      </c>
      <c r="AW229" s="150" t="str">
        <f>IF(ISBLANK(K229),"",IF(K229="Gas",INDEX(Lookups!$AG$2:$AG$63,MATCH(O229,Lookups!$AD$2:$AD$63,0),0),0))</f>
        <v/>
      </c>
      <c r="AX229" s="150" t="str">
        <f>IF(ISBLANK(K229),"",IF(K229="Gas",INDEX(Lookups!$AF$2:$AF$63,MATCH(O229,Lookups!$AD$2:$AD$63,0),0),0))</f>
        <v/>
      </c>
      <c r="AY229" s="150" t="str">
        <f>IF(ISBLANK(K229),"",IF(K229="Gas",INDEX(Lookups!$AH$2:$AH$63,MATCH(O229,Lookups!$AD$2:$AD$63,0),0),0))</f>
        <v/>
      </c>
      <c r="AZ229" s="150" t="str">
        <f>IF(ISBLANK(K229),"",IF(K229="Gas",INDEX(Lookups!$AI$2:$AI$63,MATCH(O229,Lookups!$AD$2:$AD$63,0),0),0))</f>
        <v/>
      </c>
      <c r="BA229" s="150" t="str">
        <f t="shared" si="106"/>
        <v/>
      </c>
      <c r="BB229" s="156" t="str">
        <f>IF(ISBLANK(AH229),"",IF(AH229="None",0,IF(K229="Gas",INDEX(Lookups!$AF$51:$AF$69,MATCH(AH229,Lookups!$AD$51:$AD$69,0),0),0)))</f>
        <v/>
      </c>
      <c r="BC229" s="156" t="str">
        <f>IF(ISBLANK(AH229),"",IF(AH229="None",0,IF(K229="Gas",INDEX(Lookups!$AH$51:$AH$69,MATCH(AH229,Lookups!$AD$51:$AD$69,0),0),0)))</f>
        <v/>
      </c>
      <c r="BD229" s="156" t="str">
        <f>IF(ISBLANK(AH229),"",IF(AH229="None",0,IF(K229="Gas",INDEX(Lookups!$AI$51:$AI$69,MATCH(AH229,Lookups!$AD$51:$AD$69,0),0),0)))</f>
        <v/>
      </c>
      <c r="BE229" s="157"/>
      <c r="BF229" s="157"/>
      <c r="BG229" s="147" t="str">
        <f t="shared" si="120"/>
        <v/>
      </c>
      <c r="BH229" s="147" t="str">
        <f t="shared" si="121"/>
        <v/>
      </c>
      <c r="BI229" s="147" t="str">
        <f t="shared" si="107"/>
        <v/>
      </c>
      <c r="BJ229" s="147" t="str">
        <f t="shared" si="108"/>
        <v/>
      </c>
      <c r="BK229" s="148" t="str">
        <f t="shared" si="122"/>
        <v/>
      </c>
      <c r="BL229" s="147" t="str">
        <f t="shared" si="109"/>
        <v/>
      </c>
      <c r="BM229" s="148" t="str">
        <f t="shared" si="123"/>
        <v/>
      </c>
      <c r="BN229" s="147" t="str">
        <f t="shared" si="124"/>
        <v/>
      </c>
      <c r="BO229" s="147" t="str">
        <f t="shared" si="124"/>
        <v/>
      </c>
      <c r="BP229" s="147" t="str">
        <f t="shared" si="125"/>
        <v/>
      </c>
      <c r="BQ229" s="148" t="str">
        <f t="shared" si="126"/>
        <v/>
      </c>
      <c r="BR229" s="148" t="str">
        <f t="shared" si="127"/>
        <v/>
      </c>
      <c r="BS229" s="148" t="str">
        <f t="shared" si="128"/>
        <v/>
      </c>
      <c r="BT229" s="148" t="str">
        <f t="shared" si="110"/>
        <v/>
      </c>
      <c r="BU229" s="148" t="str">
        <f t="shared" si="111"/>
        <v/>
      </c>
      <c r="BV229" s="148" t="str">
        <f t="shared" si="112"/>
        <v/>
      </c>
      <c r="BW229" s="148" t="str">
        <f t="shared" si="113"/>
        <v/>
      </c>
      <c r="BX229" s="148" t="str">
        <f t="shared" si="114"/>
        <v/>
      </c>
      <c r="BY229" s="148" t="str">
        <f t="shared" si="115"/>
        <v/>
      </c>
      <c r="BZ229" s="149" t="str">
        <f>IFERROR(INDEX('Prescriptive Rebate Table'!$B$2:$E$64,MATCH(O229,'Prescriptive Rebate Table'!$C$2:$C$64,0),3),"")</f>
        <v/>
      </c>
      <c r="CA229" s="145" t="str">
        <f>IFERROR(INDEX('Prescriptive Rebate Table'!$B$2:$E$64,MATCH(O229,'Prescriptive Rebate Table'!$C$2:$C$64,0),4),"")</f>
        <v/>
      </c>
      <c r="CB229" s="149" t="str">
        <f t="shared" si="129"/>
        <v/>
      </c>
      <c r="CC229" s="145" t="str">
        <f t="shared" si="130"/>
        <v/>
      </c>
      <c r="CD229" s="149" t="str">
        <f t="shared" si="116"/>
        <v/>
      </c>
      <c r="CE229" s="149" t="str">
        <f t="shared" si="117"/>
        <v/>
      </c>
      <c r="CF229" s="149" t="str">
        <f>IF(BK229&lt;=0,0,IFERROR(IF(OR(ISBLANK(AC229),ISBLANK(CD229))=TRUE,"",IF(CA229="Per Foot",INDEX('Fixture Codes'!$I$8:$I$976,MATCH(AD229,'Fixture Codes'!$B$8:$B$976,0))/12*AF229*BZ229,IF(CA229="Lamp",INDEX('Fixture Codes'!$J$8:$J$976,MATCH(AD229,'Fixture Codes'!$B$8:$B$976,0))*AF229*BZ229,IF(CA229="Fixture",AF229*BZ229,IF(CA229="kWh",BK229*BZ229,0))))),""))</f>
        <v/>
      </c>
      <c r="CG229" s="149" t="str">
        <f t="shared" si="131"/>
        <v/>
      </c>
      <c r="CH229" s="149" t="str">
        <f t="shared" si="132"/>
        <v/>
      </c>
      <c r="CI229" s="152"/>
      <c r="CJ229" s="146"/>
      <c r="CK229" s="241">
        <f>IFERROR(IF(CL229="Yes",'Prescriptive Rebate Table'!$D$69,IF(ISBLANK(AI229),0,IF(AND(AH229=Lookups!$A$62,BK229&gt;0),'Prescriptive Rebate Table'!$D$68,IF(AND(BK229&gt;0,CJ229=AF229),'Prescriptive Rebate Table'!$D$67,IF(AND(BK229&gt;0,CJ229&lt;&gt;AF229),'Prescriptive Rebate Table'!D288,0))))),"")</f>
        <v>0</v>
      </c>
      <c r="CL229" s="240" t="s">
        <v>2712</v>
      </c>
      <c r="CM229" s="152"/>
      <c r="CN229" s="152"/>
      <c r="CO229" s="152"/>
      <c r="CP229" s="146">
        <f t="shared" si="118"/>
        <v>0</v>
      </c>
      <c r="CQ229" s="153">
        <f>IF(D229="Interior",ROUND(($AG229*AF229)/1000*$AM229*(Lookups!$B$54-$AA229)*$AN229*$AO229,3),0)</f>
        <v>0</v>
      </c>
      <c r="CR229" s="153">
        <f>IFERROR(IF(D229="Interior",ROUND(($AG229*$AF229)/1000*(Lookups!$C$54-$AB229)*$AN229*AQ229*AT229,6),0),"")</f>
        <v>0</v>
      </c>
      <c r="CS229" s="165">
        <f t="shared" si="133"/>
        <v>0</v>
      </c>
      <c r="CT229" s="165">
        <f t="shared" si="134"/>
        <v>0</v>
      </c>
      <c r="CV229" s="153"/>
      <c r="CW229" s="153"/>
      <c r="CX229" s="165"/>
      <c r="CY229" s="165"/>
      <c r="DA229" s="153">
        <f>IF(D229="Interior",ROUND(($AG229*AF229*(1-0.15))/1000*$AM229*(Lookups!$B$43+0.097-$AA229)*$AN229*$AO229+((W229*V229)/1000*AN229*AM229*AO229*0.15),3),0)</f>
        <v>0</v>
      </c>
      <c r="DB229" s="153">
        <f>IFERROR(IF(D229="Interior",ROUND(($AG229*$AF229)/1000*(Lookups!$C$43+0.097-$AB229)*$AN229*AQ229*AT229+(($AG229*$AF229)/1000*$AN229*AQ229*AT229*0.15),6),0),"")</f>
        <v>0</v>
      </c>
      <c r="DC229" s="165">
        <f t="shared" si="135"/>
        <v>0</v>
      </c>
      <c r="DD229" s="165">
        <f t="shared" si="136"/>
        <v>0</v>
      </c>
    </row>
    <row r="230" spans="1:108" s="164" customFormat="1">
      <c r="A230" s="150">
        <v>226</v>
      </c>
      <c r="B230" s="153" t="str">
        <f>IFERROR(INDEX(Lookups!$B$2:$B$38,MATCH('Project Info &amp; Summary'!$C$19,Lookups!$A$2:$A$38,0)),"")</f>
        <v/>
      </c>
      <c r="C230" s="153" t="str">
        <f>IFERROR(INDEX(Lookups!$C$2:$C$38,MATCH('Project Info &amp; Summary'!$C$19,Lookups!$A$2:$A$38,0)),"")</f>
        <v/>
      </c>
      <c r="D230" s="163"/>
      <c r="E230" s="160"/>
      <c r="F230" s="158"/>
      <c r="G230" s="158"/>
      <c r="H230" s="158"/>
      <c r="I230" s="158"/>
      <c r="J230" s="154" t="str">
        <f>IFERROR(INDEX(Lookups!$W$21:$W$26,MATCH(I230,Lookups!$V$21:$V$26,0)),"")</f>
        <v/>
      </c>
      <c r="K230" s="158"/>
      <c r="L230" s="162" t="str">
        <f>IFERROR(INDEX(Lookups!$Y$2:$Y$19,MATCH(_xlfn.CONCAT(I230,K230),Lookups!$X$2:$X$19,0)),"")</f>
        <v/>
      </c>
      <c r="M230" s="158"/>
      <c r="N230" s="153" t="str">
        <f>IFERROR(INDEX('Prescriptive Rebate Table'!$M$3:$M$20,MATCH(M230,'Prescriptive Rebate Table'!$L$3:$L$20,0)),"")</f>
        <v/>
      </c>
      <c r="O230" s="158"/>
      <c r="P230" s="154" t="str">
        <f>IFERROR(INDEX('Prescriptive Rebate Table'!$B$2:$H$64, MATCH(O230,'Prescriptive Rebate Table'!$C$2:$C$64,0),7),"")</f>
        <v/>
      </c>
      <c r="Q230" s="155" t="str">
        <f>IFERROR(INDEX('Prescriptive Rebate Table'!$B$2:$I$64, MATCH(O230,'Prescriptive Rebate Table'!$C$2:$C$64,0),8),"")</f>
        <v/>
      </c>
      <c r="R230" s="155" t="str">
        <f>IFERROR(INDEX('Prescriptive Rebate Table'!$B$2:$J$64, MATCH(O230,'Prescriptive Rebate Table'!$C$2:$C$64,0),9),"")</f>
        <v/>
      </c>
      <c r="S230" s="160"/>
      <c r="T230" s="145" t="str">
        <f>IFERROR(INDEX('Fixture Codes'!$M$8:$M$976,MATCH(S230,'Fixture Codes'!$B$8:$B$976,0)),"")</f>
        <v/>
      </c>
      <c r="U230" s="145" t="str">
        <f>IFERROR(INDEX('Fixture Codes'!$B$7:$M$976,MATCH(T230,'Fixture Codes'!$B$7:$B$976,0),5),"")</f>
        <v/>
      </c>
      <c r="V230" s="160"/>
      <c r="W230" s="145" t="str">
        <f>IFERROR(INDEX('Fixture Codes'!$L$8:$L$976,MATCH(T230,'Fixture Codes'!$B$8:$B$976,0)),"")</f>
        <v/>
      </c>
      <c r="X230" s="158"/>
      <c r="Y230" s="159"/>
      <c r="Z230" s="155" t="str">
        <f>IFERROR(INDEX(Lookups!B$68:B$87,MATCH($X230,Lookups!$A$68:$A$87,0)),"")</f>
        <v/>
      </c>
      <c r="AA230" s="150" t="str">
        <f>IFERROR(INDEX(Lookups!B$42:B$62,MATCH($X230,Lookups!$A$42:$A$62,0)),"")</f>
        <v/>
      </c>
      <c r="AB230" s="150" t="str">
        <f>IFERROR(INDEX(Lookups!C$42:C$62,MATCH($X230,Lookups!$A$42:$A$62,0)),"")</f>
        <v/>
      </c>
      <c r="AC230" s="160"/>
      <c r="AD230" s="160"/>
      <c r="AE230" s="150" t="str">
        <f>IFERROR(INDEX('Fixture Codes'!$B$7:$M$976,MATCH(AD230,'Fixture Codes'!$B$7:$B$976,0),5),"")</f>
        <v/>
      </c>
      <c r="AF230" s="160"/>
      <c r="AG230" s="145" t="str">
        <f>IFERROR(INDEX('Fixture Codes'!$L$8:$L$976,MATCH(AD230,'Fixture Codes'!$B$8:$B$976,0)),"")</f>
        <v/>
      </c>
      <c r="AH230" s="158"/>
      <c r="AI230" s="160"/>
      <c r="AJ230" s="150" t="str">
        <f>IFERROR(INDEX(Lookups!B$68:B$87,MATCH($AH230,Lookups!$A$68:$A$87,0)),"")</f>
        <v/>
      </c>
      <c r="AK230" s="150" t="str">
        <f>IFERROR(INDEX(Lookups!B$42:B$62,MATCH($AH230,Lookups!$A$42:$A$62,0)),"")</f>
        <v/>
      </c>
      <c r="AL230" s="150" t="str">
        <f>IFERROR(INDEX(Lookups!C$42:C$62,MATCH($AH230,Lookups!$A$42:$A$62,0)),"")</f>
        <v/>
      </c>
      <c r="AM230" s="150" t="str">
        <f>IFERROR(IF(M230="Exit Signs",8760,IF(INDEX('Fixture Codes'!$C$8:$C$976,MATCH(AD230,'Fixture Codes'!$B$8:$B$976,0))="Exit Sign",8760,INDEX(Lookups!$I$2:$I$428,MATCH(_xlfn.CONCAT(B230,H230),Lookups!$H$2:$H$428,0)))),"")</f>
        <v/>
      </c>
      <c r="AN230" s="153">
        <v>1</v>
      </c>
      <c r="AO230" s="150" t="str">
        <f>IF($D230="Interior",INDEX(Lookups!Q$2:Q$86,MATCH(_xlfn.CONCAT($C230,$L230),Lookups!$P$2:$P$86,0)),IF($D230="Exterior",1,""))</f>
        <v/>
      </c>
      <c r="AP230" s="150">
        <f t="shared" si="119"/>
        <v>1</v>
      </c>
      <c r="AQ230" s="150" t="str">
        <f>IF($D230="Interior",INDEX(Lookups!R$2:R$86,MATCH(_xlfn.CONCAT($C230,$L230),Lookups!$P$2:$P$86,0)),IF($D230="Exterior",1,""))</f>
        <v/>
      </c>
      <c r="AR230" s="150" t="str">
        <f>IF($D230="Interior",INDEX(Lookups!S$2:S$86,MATCH(_xlfn.CONCAT($C230,$L230),Lookups!$P$2:$P$86,0)),IF($D230="Exterior",1,""))</f>
        <v/>
      </c>
      <c r="AS230" s="150" t="str">
        <f>IF($D230="Interior",INDEX(Lookups!T$2:T$86,MATCH(_xlfn.CONCAT($C230,$L230),Lookups!$P$2:$P$86,0)),IF($D230="Exterior",1,""))</f>
        <v/>
      </c>
      <c r="AT230" s="150" t="str">
        <f>IFERROR(IF(M230="Exit Signs",1,IF(INDEX('Fixture Codes'!$C$8:$C$976,MATCH($AD230,'Fixture Codes'!$B$8:$B$976,0))="Exit Sign",1,INDEX(Lookups!J$2:J$428,MATCH(_xlfn.CONCAT($B230,$H230),Lookups!$H$2:$H$428,0)))),"")</f>
        <v/>
      </c>
      <c r="AU230" s="150" t="str">
        <f>IFERROR(IF(M230="Exit Signs",1,IF(INDEX('Fixture Codes'!$C$8:$C$976,MATCH($AD230,'Fixture Codes'!$B$8:$B$976,0))="Exit Sign",1,INDEX(Lookups!K$2:K$428,MATCH(_xlfn.CONCAT($B230,$H230),Lookups!$H$2:$H$428,0)))),"")</f>
        <v/>
      </c>
      <c r="AV230" s="150" t="str">
        <f>IFERROR(IF(M230="Exit Signs",1,IF(INDEX('Fixture Codes'!$C$8:$C$976,MATCH($AD230,'Fixture Codes'!$B$8:$B$976,0))="Exit Sign",1,INDEX(Lookups!L$2:L$428,MATCH(_xlfn.CONCAT($B230,$H230),Lookups!$H$2:$H$428,0)))),"")</f>
        <v/>
      </c>
      <c r="AW230" s="150" t="str">
        <f>IF(ISBLANK(K230),"",IF(K230="Gas",INDEX(Lookups!$AG$2:$AG$63,MATCH(O230,Lookups!$AD$2:$AD$63,0),0),0))</f>
        <v/>
      </c>
      <c r="AX230" s="150" t="str">
        <f>IF(ISBLANK(K230),"",IF(K230="Gas",INDEX(Lookups!$AF$2:$AF$63,MATCH(O230,Lookups!$AD$2:$AD$63,0),0),0))</f>
        <v/>
      </c>
      <c r="AY230" s="150" t="str">
        <f>IF(ISBLANK(K230),"",IF(K230="Gas",INDEX(Lookups!$AH$2:$AH$63,MATCH(O230,Lookups!$AD$2:$AD$63,0),0),0))</f>
        <v/>
      </c>
      <c r="AZ230" s="150" t="str">
        <f>IF(ISBLANK(K230),"",IF(K230="Gas",INDEX(Lookups!$AI$2:$AI$63,MATCH(O230,Lookups!$AD$2:$AD$63,0),0),0))</f>
        <v/>
      </c>
      <c r="BA230" s="150" t="str">
        <f t="shared" si="106"/>
        <v/>
      </c>
      <c r="BB230" s="156" t="str">
        <f>IF(ISBLANK(AH230),"",IF(AH230="None",0,IF(K230="Gas",INDEX(Lookups!$AF$51:$AF$69,MATCH(AH230,Lookups!$AD$51:$AD$69,0),0),0)))</f>
        <v/>
      </c>
      <c r="BC230" s="156" t="str">
        <f>IF(ISBLANK(AH230),"",IF(AH230="None",0,IF(K230="Gas",INDEX(Lookups!$AH$51:$AH$69,MATCH(AH230,Lookups!$AD$51:$AD$69,0),0),0)))</f>
        <v/>
      </c>
      <c r="BD230" s="156" t="str">
        <f>IF(ISBLANK(AH230),"",IF(AH230="None",0,IF(K230="Gas",INDEX(Lookups!$AI$51:$AI$69,MATCH(AH230,Lookups!$AD$51:$AD$69,0),0),0)))</f>
        <v/>
      </c>
      <c r="BE230" s="157"/>
      <c r="BF230" s="157"/>
      <c r="BG230" s="147" t="str">
        <f t="shared" si="120"/>
        <v/>
      </c>
      <c r="BH230" s="147" t="str">
        <f t="shared" si="121"/>
        <v/>
      </c>
      <c r="BI230" s="147" t="str">
        <f t="shared" si="107"/>
        <v/>
      </c>
      <c r="BJ230" s="147" t="str">
        <f t="shared" si="108"/>
        <v/>
      </c>
      <c r="BK230" s="148" t="str">
        <f t="shared" si="122"/>
        <v/>
      </c>
      <c r="BL230" s="147" t="str">
        <f t="shared" si="109"/>
        <v/>
      </c>
      <c r="BM230" s="148" t="str">
        <f t="shared" si="123"/>
        <v/>
      </c>
      <c r="BN230" s="147" t="str">
        <f t="shared" si="124"/>
        <v/>
      </c>
      <c r="BO230" s="147" t="str">
        <f t="shared" si="124"/>
        <v/>
      </c>
      <c r="BP230" s="147" t="str">
        <f t="shared" si="125"/>
        <v/>
      </c>
      <c r="BQ230" s="148" t="str">
        <f t="shared" si="126"/>
        <v/>
      </c>
      <c r="BR230" s="148" t="str">
        <f t="shared" si="127"/>
        <v/>
      </c>
      <c r="BS230" s="148" t="str">
        <f t="shared" si="128"/>
        <v/>
      </c>
      <c r="BT230" s="148" t="str">
        <f t="shared" si="110"/>
        <v/>
      </c>
      <c r="BU230" s="148" t="str">
        <f t="shared" si="111"/>
        <v/>
      </c>
      <c r="BV230" s="148" t="str">
        <f t="shared" si="112"/>
        <v/>
      </c>
      <c r="BW230" s="148" t="str">
        <f t="shared" si="113"/>
        <v/>
      </c>
      <c r="BX230" s="148" t="str">
        <f t="shared" si="114"/>
        <v/>
      </c>
      <c r="BY230" s="148" t="str">
        <f t="shared" si="115"/>
        <v/>
      </c>
      <c r="BZ230" s="149" t="str">
        <f>IFERROR(INDEX('Prescriptive Rebate Table'!$B$2:$E$64,MATCH(O230,'Prescriptive Rebate Table'!$C$2:$C$64,0),3),"")</f>
        <v/>
      </c>
      <c r="CA230" s="145" t="str">
        <f>IFERROR(INDEX('Prescriptive Rebate Table'!$B$2:$E$64,MATCH(O230,'Prescriptive Rebate Table'!$C$2:$C$64,0),4),"")</f>
        <v/>
      </c>
      <c r="CB230" s="149" t="str">
        <f t="shared" si="129"/>
        <v/>
      </c>
      <c r="CC230" s="145" t="str">
        <f t="shared" si="130"/>
        <v/>
      </c>
      <c r="CD230" s="149" t="str">
        <f t="shared" si="116"/>
        <v/>
      </c>
      <c r="CE230" s="149" t="str">
        <f t="shared" si="117"/>
        <v/>
      </c>
      <c r="CF230" s="149" t="str">
        <f>IF(BK230&lt;=0,0,IFERROR(IF(OR(ISBLANK(AC230),ISBLANK(CD230))=TRUE,"",IF(CA230="Per Foot",INDEX('Fixture Codes'!$I$8:$I$976,MATCH(AD230,'Fixture Codes'!$B$8:$B$976,0))/12*AF230*BZ230,IF(CA230="Lamp",INDEX('Fixture Codes'!$J$8:$J$976,MATCH(AD230,'Fixture Codes'!$B$8:$B$976,0))*AF230*BZ230,IF(CA230="Fixture",AF230*BZ230,IF(CA230="kWh",BK230*BZ230,0))))),""))</f>
        <v/>
      </c>
      <c r="CG230" s="149" t="str">
        <f t="shared" si="131"/>
        <v/>
      </c>
      <c r="CH230" s="149" t="str">
        <f t="shared" si="132"/>
        <v/>
      </c>
      <c r="CI230" s="152"/>
      <c r="CJ230" s="146"/>
      <c r="CK230" s="241">
        <f>IFERROR(IF(CL230="Yes",'Prescriptive Rebate Table'!$D$69,IF(ISBLANK(AI230),0,IF(AND(AH230=Lookups!$A$62,BK230&gt;0),'Prescriptive Rebate Table'!$D$68,IF(AND(BK230&gt;0,CJ230=AF230),'Prescriptive Rebate Table'!$D$67,IF(AND(BK230&gt;0,CJ230&lt;&gt;AF230),'Prescriptive Rebate Table'!D289,0))))),"")</f>
        <v>0</v>
      </c>
      <c r="CL230" s="240" t="s">
        <v>2712</v>
      </c>
      <c r="CM230" s="152"/>
      <c r="CN230" s="152"/>
      <c r="CO230" s="152"/>
      <c r="CP230" s="146">
        <f t="shared" si="118"/>
        <v>0</v>
      </c>
      <c r="CQ230" s="153">
        <f>IF(D230="Interior",ROUND(($AG230*AF230)/1000*$AM230*(Lookups!$B$54-$AA230)*$AN230*$AO230,3),0)</f>
        <v>0</v>
      </c>
      <c r="CR230" s="153">
        <f>IFERROR(IF(D230="Interior",ROUND(($AG230*$AF230)/1000*(Lookups!$C$54-$AB230)*$AN230*AQ230*AT230,6),0),"")</f>
        <v>0</v>
      </c>
      <c r="CS230" s="165">
        <f t="shared" si="133"/>
        <v>0</v>
      </c>
      <c r="CT230" s="165">
        <f t="shared" si="134"/>
        <v>0</v>
      </c>
      <c r="CV230" s="153"/>
      <c r="CW230" s="153"/>
      <c r="CX230" s="165"/>
      <c r="CY230" s="165"/>
      <c r="DA230" s="153">
        <f>IF(D230="Interior",ROUND(($AG230*AF230*(1-0.15))/1000*$AM230*(Lookups!$B$43+0.097-$AA230)*$AN230*$AO230+((W230*V230)/1000*AN230*AM230*AO230*0.15),3),0)</f>
        <v>0</v>
      </c>
      <c r="DB230" s="153">
        <f>IFERROR(IF(D230="Interior",ROUND(($AG230*$AF230)/1000*(Lookups!$C$43+0.097-$AB230)*$AN230*AQ230*AT230+(($AG230*$AF230)/1000*$AN230*AQ230*AT230*0.15),6),0),"")</f>
        <v>0</v>
      </c>
      <c r="DC230" s="165">
        <f t="shared" si="135"/>
        <v>0</v>
      </c>
      <c r="DD230" s="165">
        <f t="shared" si="136"/>
        <v>0</v>
      </c>
    </row>
    <row r="231" spans="1:108" s="164" customFormat="1">
      <c r="A231" s="150">
        <v>227</v>
      </c>
      <c r="B231" s="153" t="str">
        <f>IFERROR(INDEX(Lookups!$B$2:$B$38,MATCH('Project Info &amp; Summary'!$C$19,Lookups!$A$2:$A$38,0)),"")</f>
        <v/>
      </c>
      <c r="C231" s="153" t="str">
        <f>IFERROR(INDEX(Lookups!$C$2:$C$38,MATCH('Project Info &amp; Summary'!$C$19,Lookups!$A$2:$A$38,0)),"")</f>
        <v/>
      </c>
      <c r="D231" s="163"/>
      <c r="E231" s="160"/>
      <c r="F231" s="158"/>
      <c r="G231" s="158"/>
      <c r="H231" s="158"/>
      <c r="I231" s="158"/>
      <c r="J231" s="154" t="str">
        <f>IFERROR(INDEX(Lookups!$W$21:$W$26,MATCH(I231,Lookups!$V$21:$V$26,0)),"")</f>
        <v/>
      </c>
      <c r="K231" s="158"/>
      <c r="L231" s="162" t="str">
        <f>IFERROR(INDEX(Lookups!$Y$2:$Y$19,MATCH(_xlfn.CONCAT(I231,K231),Lookups!$X$2:$X$19,0)),"")</f>
        <v/>
      </c>
      <c r="M231" s="158"/>
      <c r="N231" s="153" t="str">
        <f>IFERROR(INDEX('Prescriptive Rebate Table'!$M$3:$M$20,MATCH(M231,'Prescriptive Rebate Table'!$L$3:$L$20,0)),"")</f>
        <v/>
      </c>
      <c r="O231" s="158"/>
      <c r="P231" s="154" t="str">
        <f>IFERROR(INDEX('Prescriptive Rebate Table'!$B$2:$H$64, MATCH(O231,'Prescriptive Rebate Table'!$C$2:$C$64,0),7),"")</f>
        <v/>
      </c>
      <c r="Q231" s="155" t="str">
        <f>IFERROR(INDEX('Prescriptive Rebate Table'!$B$2:$I$64, MATCH(O231,'Prescriptive Rebate Table'!$C$2:$C$64,0),8),"")</f>
        <v/>
      </c>
      <c r="R231" s="155" t="str">
        <f>IFERROR(INDEX('Prescriptive Rebate Table'!$B$2:$J$64, MATCH(O231,'Prescriptive Rebate Table'!$C$2:$C$64,0),9),"")</f>
        <v/>
      </c>
      <c r="S231" s="160"/>
      <c r="T231" s="145" t="str">
        <f>IFERROR(INDEX('Fixture Codes'!$M$8:$M$976,MATCH(S231,'Fixture Codes'!$B$8:$B$976,0)),"")</f>
        <v/>
      </c>
      <c r="U231" s="145" t="str">
        <f>IFERROR(INDEX('Fixture Codes'!$B$7:$M$976,MATCH(T231,'Fixture Codes'!$B$7:$B$976,0),5),"")</f>
        <v/>
      </c>
      <c r="V231" s="160"/>
      <c r="W231" s="145" t="str">
        <f>IFERROR(INDEX('Fixture Codes'!$L$8:$L$976,MATCH(T231,'Fixture Codes'!$B$8:$B$976,0)),"")</f>
        <v/>
      </c>
      <c r="X231" s="158"/>
      <c r="Y231" s="159"/>
      <c r="Z231" s="155" t="str">
        <f>IFERROR(INDEX(Lookups!B$68:B$87,MATCH($X231,Lookups!$A$68:$A$87,0)),"")</f>
        <v/>
      </c>
      <c r="AA231" s="150" t="str">
        <f>IFERROR(INDEX(Lookups!B$42:B$62,MATCH($X231,Lookups!$A$42:$A$62,0)),"")</f>
        <v/>
      </c>
      <c r="AB231" s="150" t="str">
        <f>IFERROR(INDEX(Lookups!C$42:C$62,MATCH($X231,Lookups!$A$42:$A$62,0)),"")</f>
        <v/>
      </c>
      <c r="AC231" s="160"/>
      <c r="AD231" s="160"/>
      <c r="AE231" s="150" t="str">
        <f>IFERROR(INDEX('Fixture Codes'!$B$7:$M$976,MATCH(AD231,'Fixture Codes'!$B$7:$B$976,0),5),"")</f>
        <v/>
      </c>
      <c r="AF231" s="160"/>
      <c r="AG231" s="145" t="str">
        <f>IFERROR(INDEX('Fixture Codes'!$L$8:$L$976,MATCH(AD231,'Fixture Codes'!$B$8:$B$976,0)),"")</f>
        <v/>
      </c>
      <c r="AH231" s="158"/>
      <c r="AI231" s="160"/>
      <c r="AJ231" s="150" t="str">
        <f>IFERROR(INDEX(Lookups!B$68:B$87,MATCH($AH231,Lookups!$A$68:$A$87,0)),"")</f>
        <v/>
      </c>
      <c r="AK231" s="150" t="str">
        <f>IFERROR(INDEX(Lookups!B$42:B$62,MATCH($AH231,Lookups!$A$42:$A$62,0)),"")</f>
        <v/>
      </c>
      <c r="AL231" s="150" t="str">
        <f>IFERROR(INDEX(Lookups!C$42:C$62,MATCH($AH231,Lookups!$A$42:$A$62,0)),"")</f>
        <v/>
      </c>
      <c r="AM231" s="150" t="str">
        <f>IFERROR(IF(M231="Exit Signs",8760,IF(INDEX('Fixture Codes'!$C$8:$C$976,MATCH(AD231,'Fixture Codes'!$B$8:$B$976,0))="Exit Sign",8760,INDEX(Lookups!$I$2:$I$428,MATCH(_xlfn.CONCAT(B231,H231),Lookups!$H$2:$H$428,0)))),"")</f>
        <v/>
      </c>
      <c r="AN231" s="153">
        <v>1</v>
      </c>
      <c r="AO231" s="150" t="str">
        <f>IF($D231="Interior",INDEX(Lookups!Q$2:Q$86,MATCH(_xlfn.CONCAT($C231,$L231),Lookups!$P$2:$P$86,0)),IF($D231="Exterior",1,""))</f>
        <v/>
      </c>
      <c r="AP231" s="150">
        <f t="shared" si="119"/>
        <v>1</v>
      </c>
      <c r="AQ231" s="150" t="str">
        <f>IF($D231="Interior",INDEX(Lookups!R$2:R$86,MATCH(_xlfn.CONCAT($C231,$L231),Lookups!$P$2:$P$86,0)),IF($D231="Exterior",1,""))</f>
        <v/>
      </c>
      <c r="AR231" s="150" t="str">
        <f>IF($D231="Interior",INDEX(Lookups!S$2:S$86,MATCH(_xlfn.CONCAT($C231,$L231),Lookups!$P$2:$P$86,0)),IF($D231="Exterior",1,""))</f>
        <v/>
      </c>
      <c r="AS231" s="150" t="str">
        <f>IF($D231="Interior",INDEX(Lookups!T$2:T$86,MATCH(_xlfn.CONCAT($C231,$L231),Lookups!$P$2:$P$86,0)),IF($D231="Exterior",1,""))</f>
        <v/>
      </c>
      <c r="AT231" s="150" t="str">
        <f>IFERROR(IF(M231="Exit Signs",1,IF(INDEX('Fixture Codes'!$C$8:$C$976,MATCH($AD231,'Fixture Codes'!$B$8:$B$976,0))="Exit Sign",1,INDEX(Lookups!J$2:J$428,MATCH(_xlfn.CONCAT($B231,$H231),Lookups!$H$2:$H$428,0)))),"")</f>
        <v/>
      </c>
      <c r="AU231" s="150" t="str">
        <f>IFERROR(IF(M231="Exit Signs",1,IF(INDEX('Fixture Codes'!$C$8:$C$976,MATCH($AD231,'Fixture Codes'!$B$8:$B$976,0))="Exit Sign",1,INDEX(Lookups!K$2:K$428,MATCH(_xlfn.CONCAT($B231,$H231),Lookups!$H$2:$H$428,0)))),"")</f>
        <v/>
      </c>
      <c r="AV231" s="150" t="str">
        <f>IFERROR(IF(M231="Exit Signs",1,IF(INDEX('Fixture Codes'!$C$8:$C$976,MATCH($AD231,'Fixture Codes'!$B$8:$B$976,0))="Exit Sign",1,INDEX(Lookups!L$2:L$428,MATCH(_xlfn.CONCAT($B231,$H231),Lookups!$H$2:$H$428,0)))),"")</f>
        <v/>
      </c>
      <c r="AW231" s="150" t="str">
        <f>IF(ISBLANK(K231),"",IF(K231="Gas",INDEX(Lookups!$AG$2:$AG$63,MATCH(O231,Lookups!$AD$2:$AD$63,0),0),0))</f>
        <v/>
      </c>
      <c r="AX231" s="150" t="str">
        <f>IF(ISBLANK(K231),"",IF(K231="Gas",INDEX(Lookups!$AF$2:$AF$63,MATCH(O231,Lookups!$AD$2:$AD$63,0),0),0))</f>
        <v/>
      </c>
      <c r="AY231" s="150" t="str">
        <f>IF(ISBLANK(K231),"",IF(K231="Gas",INDEX(Lookups!$AH$2:$AH$63,MATCH(O231,Lookups!$AD$2:$AD$63,0),0),0))</f>
        <v/>
      </c>
      <c r="AZ231" s="150" t="str">
        <f>IF(ISBLANK(K231),"",IF(K231="Gas",INDEX(Lookups!$AI$2:$AI$63,MATCH(O231,Lookups!$AD$2:$AD$63,0),0),0))</f>
        <v/>
      </c>
      <c r="BA231" s="150" t="str">
        <f t="shared" si="106"/>
        <v/>
      </c>
      <c r="BB231" s="156" t="str">
        <f>IF(ISBLANK(AH231),"",IF(AH231="None",0,IF(K231="Gas",INDEX(Lookups!$AF$51:$AF$69,MATCH(AH231,Lookups!$AD$51:$AD$69,0),0),0)))</f>
        <v/>
      </c>
      <c r="BC231" s="156" t="str">
        <f>IF(ISBLANK(AH231),"",IF(AH231="None",0,IF(K231="Gas",INDEX(Lookups!$AH$51:$AH$69,MATCH(AH231,Lookups!$AD$51:$AD$69,0),0),0)))</f>
        <v/>
      </c>
      <c r="BD231" s="156" t="str">
        <f>IF(ISBLANK(AH231),"",IF(AH231="None",0,IF(K231="Gas",INDEX(Lookups!$AI$51:$AI$69,MATCH(AH231,Lookups!$AD$51:$AD$69,0),0),0)))</f>
        <v/>
      </c>
      <c r="BE231" s="157"/>
      <c r="BF231" s="157"/>
      <c r="BG231" s="147" t="str">
        <f t="shared" si="120"/>
        <v/>
      </c>
      <c r="BH231" s="147" t="str">
        <f t="shared" si="121"/>
        <v/>
      </c>
      <c r="BI231" s="147" t="str">
        <f t="shared" si="107"/>
        <v/>
      </c>
      <c r="BJ231" s="147" t="str">
        <f t="shared" si="108"/>
        <v/>
      </c>
      <c r="BK231" s="148" t="str">
        <f t="shared" si="122"/>
        <v/>
      </c>
      <c r="BL231" s="147" t="str">
        <f t="shared" si="109"/>
        <v/>
      </c>
      <c r="BM231" s="148" t="str">
        <f t="shared" si="123"/>
        <v/>
      </c>
      <c r="BN231" s="147" t="str">
        <f t="shared" si="124"/>
        <v/>
      </c>
      <c r="BO231" s="147" t="str">
        <f t="shared" si="124"/>
        <v/>
      </c>
      <c r="BP231" s="147" t="str">
        <f t="shared" si="125"/>
        <v/>
      </c>
      <c r="BQ231" s="148" t="str">
        <f t="shared" si="126"/>
        <v/>
      </c>
      <c r="BR231" s="148" t="str">
        <f t="shared" si="127"/>
        <v/>
      </c>
      <c r="BS231" s="148" t="str">
        <f t="shared" si="128"/>
        <v/>
      </c>
      <c r="BT231" s="148" t="str">
        <f t="shared" si="110"/>
        <v/>
      </c>
      <c r="BU231" s="148" t="str">
        <f t="shared" si="111"/>
        <v/>
      </c>
      <c r="BV231" s="148" t="str">
        <f t="shared" si="112"/>
        <v/>
      </c>
      <c r="BW231" s="148" t="str">
        <f t="shared" si="113"/>
        <v/>
      </c>
      <c r="BX231" s="148" t="str">
        <f t="shared" si="114"/>
        <v/>
      </c>
      <c r="BY231" s="148" t="str">
        <f t="shared" si="115"/>
        <v/>
      </c>
      <c r="BZ231" s="149" t="str">
        <f>IFERROR(INDEX('Prescriptive Rebate Table'!$B$2:$E$64,MATCH(O231,'Prescriptive Rebate Table'!$C$2:$C$64,0),3),"")</f>
        <v/>
      </c>
      <c r="CA231" s="145" t="str">
        <f>IFERROR(INDEX('Prescriptive Rebate Table'!$B$2:$E$64,MATCH(O231,'Prescriptive Rebate Table'!$C$2:$C$64,0),4),"")</f>
        <v/>
      </c>
      <c r="CB231" s="149" t="str">
        <f t="shared" si="129"/>
        <v/>
      </c>
      <c r="CC231" s="145" t="str">
        <f t="shared" si="130"/>
        <v/>
      </c>
      <c r="CD231" s="149" t="str">
        <f t="shared" si="116"/>
        <v/>
      </c>
      <c r="CE231" s="149" t="str">
        <f t="shared" si="117"/>
        <v/>
      </c>
      <c r="CF231" s="149" t="str">
        <f>IF(BK231&lt;=0,0,IFERROR(IF(OR(ISBLANK(AC231),ISBLANK(CD231))=TRUE,"",IF(CA231="Per Foot",INDEX('Fixture Codes'!$I$8:$I$976,MATCH(AD231,'Fixture Codes'!$B$8:$B$976,0))/12*AF231*BZ231,IF(CA231="Lamp",INDEX('Fixture Codes'!$J$8:$J$976,MATCH(AD231,'Fixture Codes'!$B$8:$B$976,0))*AF231*BZ231,IF(CA231="Fixture",AF231*BZ231,IF(CA231="kWh",BK231*BZ231,0))))),""))</f>
        <v/>
      </c>
      <c r="CG231" s="149" t="str">
        <f t="shared" si="131"/>
        <v/>
      </c>
      <c r="CH231" s="149" t="str">
        <f t="shared" si="132"/>
        <v/>
      </c>
      <c r="CI231" s="152"/>
      <c r="CJ231" s="146"/>
      <c r="CK231" s="241">
        <f>IFERROR(IF(CL231="Yes",'Prescriptive Rebate Table'!$D$69,IF(ISBLANK(AI231),0,IF(AND(AH231=Lookups!$A$62,BK231&gt;0),'Prescriptive Rebate Table'!$D$68,IF(AND(BK231&gt;0,CJ231=AF231),'Prescriptive Rebate Table'!$D$67,IF(AND(BK231&gt;0,CJ231&lt;&gt;AF231),'Prescriptive Rebate Table'!D290,0))))),"")</f>
        <v>0</v>
      </c>
      <c r="CL231" s="240" t="s">
        <v>2712</v>
      </c>
      <c r="CM231" s="152"/>
      <c r="CN231" s="152"/>
      <c r="CO231" s="152"/>
      <c r="CP231" s="146">
        <f t="shared" si="118"/>
        <v>0</v>
      </c>
      <c r="CQ231" s="153">
        <f>IF(D231="Interior",ROUND(($AG231*AF231)/1000*$AM231*(Lookups!$B$54-$AA231)*$AN231*$AO231,3),0)</f>
        <v>0</v>
      </c>
      <c r="CR231" s="153">
        <f>IFERROR(IF(D231="Interior",ROUND(($AG231*$AF231)/1000*(Lookups!$C$54-$AB231)*$AN231*AQ231*AT231,6),0),"")</f>
        <v>0</v>
      </c>
      <c r="CS231" s="165">
        <f t="shared" si="133"/>
        <v>0</v>
      </c>
      <c r="CT231" s="165">
        <f t="shared" si="134"/>
        <v>0</v>
      </c>
      <c r="CV231" s="153"/>
      <c r="CW231" s="153"/>
      <c r="CX231" s="165"/>
      <c r="CY231" s="165"/>
      <c r="DA231" s="153">
        <f>IF(D231="Interior",ROUND(($AG231*AF231*(1-0.15))/1000*$AM231*(Lookups!$B$43+0.097-$AA231)*$AN231*$AO231+((W231*V231)/1000*AN231*AM231*AO231*0.15),3),0)</f>
        <v>0</v>
      </c>
      <c r="DB231" s="153">
        <f>IFERROR(IF(D231="Interior",ROUND(($AG231*$AF231)/1000*(Lookups!$C$43+0.097-$AB231)*$AN231*AQ231*AT231+(($AG231*$AF231)/1000*$AN231*AQ231*AT231*0.15),6),0),"")</f>
        <v>0</v>
      </c>
      <c r="DC231" s="165">
        <f t="shared" si="135"/>
        <v>0</v>
      </c>
      <c r="DD231" s="165">
        <f t="shared" si="136"/>
        <v>0</v>
      </c>
    </row>
    <row r="232" spans="1:108" s="164" customFormat="1">
      <c r="A232" s="150">
        <v>228</v>
      </c>
      <c r="B232" s="153" t="str">
        <f>IFERROR(INDEX(Lookups!$B$2:$B$38,MATCH('Project Info &amp; Summary'!$C$19,Lookups!$A$2:$A$38,0)),"")</f>
        <v/>
      </c>
      <c r="C232" s="153" t="str">
        <f>IFERROR(INDEX(Lookups!$C$2:$C$38,MATCH('Project Info &amp; Summary'!$C$19,Lookups!$A$2:$A$38,0)),"")</f>
        <v/>
      </c>
      <c r="D232" s="163"/>
      <c r="E232" s="160"/>
      <c r="F232" s="158"/>
      <c r="G232" s="158"/>
      <c r="H232" s="158"/>
      <c r="I232" s="158"/>
      <c r="J232" s="154" t="str">
        <f>IFERROR(INDEX(Lookups!$W$21:$W$26,MATCH(I232,Lookups!$V$21:$V$26,0)),"")</f>
        <v/>
      </c>
      <c r="K232" s="158"/>
      <c r="L232" s="162" t="str">
        <f>IFERROR(INDEX(Lookups!$Y$2:$Y$19,MATCH(_xlfn.CONCAT(I232,K232),Lookups!$X$2:$X$19,0)),"")</f>
        <v/>
      </c>
      <c r="M232" s="158"/>
      <c r="N232" s="153" t="str">
        <f>IFERROR(INDEX('Prescriptive Rebate Table'!$M$3:$M$20,MATCH(M232,'Prescriptive Rebate Table'!$L$3:$L$20,0)),"")</f>
        <v/>
      </c>
      <c r="O232" s="158"/>
      <c r="P232" s="154" t="str">
        <f>IFERROR(INDEX('Prescriptive Rebate Table'!$B$2:$H$64, MATCH(O232,'Prescriptive Rebate Table'!$C$2:$C$64,0),7),"")</f>
        <v/>
      </c>
      <c r="Q232" s="155" t="str">
        <f>IFERROR(INDEX('Prescriptive Rebate Table'!$B$2:$I$64, MATCH(O232,'Prescriptive Rebate Table'!$C$2:$C$64,0),8),"")</f>
        <v/>
      </c>
      <c r="R232" s="155" t="str">
        <f>IFERROR(INDEX('Prescriptive Rebate Table'!$B$2:$J$64, MATCH(O232,'Prescriptive Rebate Table'!$C$2:$C$64,0),9),"")</f>
        <v/>
      </c>
      <c r="S232" s="160"/>
      <c r="T232" s="145" t="str">
        <f>IFERROR(INDEX('Fixture Codes'!$M$8:$M$976,MATCH(S232,'Fixture Codes'!$B$8:$B$976,0)),"")</f>
        <v/>
      </c>
      <c r="U232" s="145" t="str">
        <f>IFERROR(INDEX('Fixture Codes'!$B$7:$M$976,MATCH(T232,'Fixture Codes'!$B$7:$B$976,0),5),"")</f>
        <v/>
      </c>
      <c r="V232" s="160"/>
      <c r="W232" s="145" t="str">
        <f>IFERROR(INDEX('Fixture Codes'!$L$8:$L$976,MATCH(T232,'Fixture Codes'!$B$8:$B$976,0)),"")</f>
        <v/>
      </c>
      <c r="X232" s="158"/>
      <c r="Y232" s="159"/>
      <c r="Z232" s="155" t="str">
        <f>IFERROR(INDEX(Lookups!B$68:B$87,MATCH($X232,Lookups!$A$68:$A$87,0)),"")</f>
        <v/>
      </c>
      <c r="AA232" s="150" t="str">
        <f>IFERROR(INDEX(Lookups!B$42:B$62,MATCH($X232,Lookups!$A$42:$A$62,0)),"")</f>
        <v/>
      </c>
      <c r="AB232" s="150" t="str">
        <f>IFERROR(INDEX(Lookups!C$42:C$62,MATCH($X232,Lookups!$A$42:$A$62,0)),"")</f>
        <v/>
      </c>
      <c r="AC232" s="160"/>
      <c r="AD232" s="160"/>
      <c r="AE232" s="150" t="str">
        <f>IFERROR(INDEX('Fixture Codes'!$B$7:$M$976,MATCH(AD232,'Fixture Codes'!$B$7:$B$976,0),5),"")</f>
        <v/>
      </c>
      <c r="AF232" s="160"/>
      <c r="AG232" s="145" t="str">
        <f>IFERROR(INDEX('Fixture Codes'!$L$8:$L$976,MATCH(AD232,'Fixture Codes'!$B$8:$B$976,0)),"")</f>
        <v/>
      </c>
      <c r="AH232" s="158"/>
      <c r="AI232" s="160"/>
      <c r="AJ232" s="150" t="str">
        <f>IFERROR(INDEX(Lookups!B$68:B$87,MATCH($AH232,Lookups!$A$68:$A$87,0)),"")</f>
        <v/>
      </c>
      <c r="AK232" s="150" t="str">
        <f>IFERROR(INDEX(Lookups!B$42:B$62,MATCH($AH232,Lookups!$A$42:$A$62,0)),"")</f>
        <v/>
      </c>
      <c r="AL232" s="150" t="str">
        <f>IFERROR(INDEX(Lookups!C$42:C$62,MATCH($AH232,Lookups!$A$42:$A$62,0)),"")</f>
        <v/>
      </c>
      <c r="AM232" s="150" t="str">
        <f>IFERROR(IF(M232="Exit Signs",8760,IF(INDEX('Fixture Codes'!$C$8:$C$976,MATCH(AD232,'Fixture Codes'!$B$8:$B$976,0))="Exit Sign",8760,INDEX(Lookups!$I$2:$I$428,MATCH(_xlfn.CONCAT(B232,H232),Lookups!$H$2:$H$428,0)))),"")</f>
        <v/>
      </c>
      <c r="AN232" s="153">
        <v>1</v>
      </c>
      <c r="AO232" s="150" t="str">
        <f>IF($D232="Interior",INDEX(Lookups!Q$2:Q$86,MATCH(_xlfn.CONCAT($C232,$L232),Lookups!$P$2:$P$86,0)),IF($D232="Exterior",1,""))</f>
        <v/>
      </c>
      <c r="AP232" s="150">
        <f t="shared" si="119"/>
        <v>1</v>
      </c>
      <c r="AQ232" s="150" t="str">
        <f>IF($D232="Interior",INDEX(Lookups!R$2:R$86,MATCH(_xlfn.CONCAT($C232,$L232),Lookups!$P$2:$P$86,0)),IF($D232="Exterior",1,""))</f>
        <v/>
      </c>
      <c r="AR232" s="150" t="str">
        <f>IF($D232="Interior",INDEX(Lookups!S$2:S$86,MATCH(_xlfn.CONCAT($C232,$L232),Lookups!$P$2:$P$86,0)),IF($D232="Exterior",1,""))</f>
        <v/>
      </c>
      <c r="AS232" s="150" t="str">
        <f>IF($D232="Interior",INDEX(Lookups!T$2:T$86,MATCH(_xlfn.CONCAT($C232,$L232),Lookups!$P$2:$P$86,0)),IF($D232="Exterior",1,""))</f>
        <v/>
      </c>
      <c r="AT232" s="150" t="str">
        <f>IFERROR(IF(M232="Exit Signs",1,IF(INDEX('Fixture Codes'!$C$8:$C$976,MATCH($AD232,'Fixture Codes'!$B$8:$B$976,0))="Exit Sign",1,INDEX(Lookups!J$2:J$428,MATCH(_xlfn.CONCAT($B232,$H232),Lookups!$H$2:$H$428,0)))),"")</f>
        <v/>
      </c>
      <c r="AU232" s="150" t="str">
        <f>IFERROR(IF(M232="Exit Signs",1,IF(INDEX('Fixture Codes'!$C$8:$C$976,MATCH($AD232,'Fixture Codes'!$B$8:$B$976,0))="Exit Sign",1,INDEX(Lookups!K$2:K$428,MATCH(_xlfn.CONCAT($B232,$H232),Lookups!$H$2:$H$428,0)))),"")</f>
        <v/>
      </c>
      <c r="AV232" s="150" t="str">
        <f>IFERROR(IF(M232="Exit Signs",1,IF(INDEX('Fixture Codes'!$C$8:$C$976,MATCH($AD232,'Fixture Codes'!$B$8:$B$976,0))="Exit Sign",1,INDEX(Lookups!L$2:L$428,MATCH(_xlfn.CONCAT($B232,$H232),Lookups!$H$2:$H$428,0)))),"")</f>
        <v/>
      </c>
      <c r="AW232" s="150" t="str">
        <f>IF(ISBLANK(K232),"",IF(K232="Gas",INDEX(Lookups!$AG$2:$AG$63,MATCH(O232,Lookups!$AD$2:$AD$63,0),0),0))</f>
        <v/>
      </c>
      <c r="AX232" s="150" t="str">
        <f>IF(ISBLANK(K232),"",IF(K232="Gas",INDEX(Lookups!$AF$2:$AF$63,MATCH(O232,Lookups!$AD$2:$AD$63,0),0),0))</f>
        <v/>
      </c>
      <c r="AY232" s="150" t="str">
        <f>IF(ISBLANK(K232),"",IF(K232="Gas",INDEX(Lookups!$AH$2:$AH$63,MATCH(O232,Lookups!$AD$2:$AD$63,0),0),0))</f>
        <v/>
      </c>
      <c r="AZ232" s="150" t="str">
        <f>IF(ISBLANK(K232),"",IF(K232="Gas",INDEX(Lookups!$AI$2:$AI$63,MATCH(O232,Lookups!$AD$2:$AD$63,0),0),0))</f>
        <v/>
      </c>
      <c r="BA232" s="150" t="str">
        <f t="shared" si="106"/>
        <v/>
      </c>
      <c r="BB232" s="156" t="str">
        <f>IF(ISBLANK(AH232),"",IF(AH232="None",0,IF(K232="Gas",INDEX(Lookups!$AF$51:$AF$69,MATCH(AH232,Lookups!$AD$51:$AD$69,0),0),0)))</f>
        <v/>
      </c>
      <c r="BC232" s="156" t="str">
        <f>IF(ISBLANK(AH232),"",IF(AH232="None",0,IF(K232="Gas",INDEX(Lookups!$AH$51:$AH$69,MATCH(AH232,Lookups!$AD$51:$AD$69,0),0),0)))</f>
        <v/>
      </c>
      <c r="BD232" s="156" t="str">
        <f>IF(ISBLANK(AH232),"",IF(AH232="None",0,IF(K232="Gas",INDEX(Lookups!$AI$51:$AI$69,MATCH(AH232,Lookups!$AD$51:$AD$69,0),0),0)))</f>
        <v/>
      </c>
      <c r="BE232" s="157"/>
      <c r="BF232" s="157"/>
      <c r="BG232" s="147" t="str">
        <f t="shared" si="120"/>
        <v/>
      </c>
      <c r="BH232" s="147" t="str">
        <f t="shared" si="121"/>
        <v/>
      </c>
      <c r="BI232" s="147" t="str">
        <f t="shared" si="107"/>
        <v/>
      </c>
      <c r="BJ232" s="147" t="str">
        <f t="shared" si="108"/>
        <v/>
      </c>
      <c r="BK232" s="148" t="str">
        <f t="shared" si="122"/>
        <v/>
      </c>
      <c r="BL232" s="147" t="str">
        <f t="shared" si="109"/>
        <v/>
      </c>
      <c r="BM232" s="148" t="str">
        <f t="shared" si="123"/>
        <v/>
      </c>
      <c r="BN232" s="147" t="str">
        <f t="shared" si="124"/>
        <v/>
      </c>
      <c r="BO232" s="147" t="str">
        <f t="shared" si="124"/>
        <v/>
      </c>
      <c r="BP232" s="147" t="str">
        <f t="shared" si="125"/>
        <v/>
      </c>
      <c r="BQ232" s="148" t="str">
        <f t="shared" si="126"/>
        <v/>
      </c>
      <c r="BR232" s="148" t="str">
        <f t="shared" si="127"/>
        <v/>
      </c>
      <c r="BS232" s="148" t="str">
        <f t="shared" si="128"/>
        <v/>
      </c>
      <c r="BT232" s="148" t="str">
        <f t="shared" si="110"/>
        <v/>
      </c>
      <c r="BU232" s="148" t="str">
        <f t="shared" si="111"/>
        <v/>
      </c>
      <c r="BV232" s="148" t="str">
        <f t="shared" si="112"/>
        <v/>
      </c>
      <c r="BW232" s="148" t="str">
        <f t="shared" si="113"/>
        <v/>
      </c>
      <c r="BX232" s="148" t="str">
        <f t="shared" si="114"/>
        <v/>
      </c>
      <c r="BY232" s="148" t="str">
        <f t="shared" si="115"/>
        <v/>
      </c>
      <c r="BZ232" s="149" t="str">
        <f>IFERROR(INDEX('Prescriptive Rebate Table'!$B$2:$E$64,MATCH(O232,'Prescriptive Rebate Table'!$C$2:$C$64,0),3),"")</f>
        <v/>
      </c>
      <c r="CA232" s="145" t="str">
        <f>IFERROR(INDEX('Prescriptive Rebate Table'!$B$2:$E$64,MATCH(O232,'Prescriptive Rebate Table'!$C$2:$C$64,0),4),"")</f>
        <v/>
      </c>
      <c r="CB232" s="149" t="str">
        <f t="shared" si="129"/>
        <v/>
      </c>
      <c r="CC232" s="145" t="str">
        <f t="shared" si="130"/>
        <v/>
      </c>
      <c r="CD232" s="149" t="str">
        <f t="shared" si="116"/>
        <v/>
      </c>
      <c r="CE232" s="149" t="str">
        <f t="shared" si="117"/>
        <v/>
      </c>
      <c r="CF232" s="149" t="str">
        <f>IF(BK232&lt;=0,0,IFERROR(IF(OR(ISBLANK(AC232),ISBLANK(CD232))=TRUE,"",IF(CA232="Per Foot",INDEX('Fixture Codes'!$I$8:$I$976,MATCH(AD232,'Fixture Codes'!$B$8:$B$976,0))/12*AF232*BZ232,IF(CA232="Lamp",INDEX('Fixture Codes'!$J$8:$J$976,MATCH(AD232,'Fixture Codes'!$B$8:$B$976,0))*AF232*BZ232,IF(CA232="Fixture",AF232*BZ232,IF(CA232="kWh",BK232*BZ232,0))))),""))</f>
        <v/>
      </c>
      <c r="CG232" s="149" t="str">
        <f t="shared" si="131"/>
        <v/>
      </c>
      <c r="CH232" s="149" t="str">
        <f t="shared" si="132"/>
        <v/>
      </c>
      <c r="CI232" s="152"/>
      <c r="CJ232" s="146"/>
      <c r="CK232" s="241">
        <f>IFERROR(IF(CL232="Yes",'Prescriptive Rebate Table'!$D$69,IF(ISBLANK(AI232),0,IF(AND(AH232=Lookups!$A$62,BK232&gt;0),'Prescriptive Rebate Table'!$D$68,IF(AND(BK232&gt;0,CJ232=AF232),'Prescriptive Rebate Table'!$D$67,IF(AND(BK232&gt;0,CJ232&lt;&gt;AF232),'Prescriptive Rebate Table'!D291,0))))),"")</f>
        <v>0</v>
      </c>
      <c r="CL232" s="240" t="s">
        <v>2712</v>
      </c>
      <c r="CM232" s="152"/>
      <c r="CN232" s="152"/>
      <c r="CO232" s="152"/>
      <c r="CP232" s="146">
        <f t="shared" si="118"/>
        <v>0</v>
      </c>
      <c r="CQ232" s="153">
        <f>IF(D232="Interior",ROUND(($AG232*AF232)/1000*$AM232*(Lookups!$B$54-$AA232)*$AN232*$AO232,3),0)</f>
        <v>0</v>
      </c>
      <c r="CR232" s="153">
        <f>IFERROR(IF(D232="Interior",ROUND(($AG232*$AF232)/1000*(Lookups!$C$54-$AB232)*$AN232*AQ232*AT232,6),0),"")</f>
        <v>0</v>
      </c>
      <c r="CS232" s="165">
        <f t="shared" si="133"/>
        <v>0</v>
      </c>
      <c r="CT232" s="165">
        <f t="shared" si="134"/>
        <v>0</v>
      </c>
      <c r="CV232" s="153"/>
      <c r="CW232" s="153"/>
      <c r="CX232" s="165"/>
      <c r="CY232" s="165"/>
      <c r="DA232" s="153">
        <f>IF(D232="Interior",ROUND(($AG232*AF232*(1-0.15))/1000*$AM232*(Lookups!$B$43+0.097-$AA232)*$AN232*$AO232+((W232*V232)/1000*AN232*AM232*AO232*0.15),3),0)</f>
        <v>0</v>
      </c>
      <c r="DB232" s="153">
        <f>IFERROR(IF(D232="Interior",ROUND(($AG232*$AF232)/1000*(Lookups!$C$43+0.097-$AB232)*$AN232*AQ232*AT232+(($AG232*$AF232)/1000*$AN232*AQ232*AT232*0.15),6),0),"")</f>
        <v>0</v>
      </c>
      <c r="DC232" s="165">
        <f t="shared" si="135"/>
        <v>0</v>
      </c>
      <c r="DD232" s="165">
        <f t="shared" si="136"/>
        <v>0</v>
      </c>
    </row>
    <row r="233" spans="1:108" s="164" customFormat="1">
      <c r="A233" s="150">
        <v>229</v>
      </c>
      <c r="B233" s="153" t="str">
        <f>IFERROR(INDEX(Lookups!$B$2:$B$38,MATCH('Project Info &amp; Summary'!$C$19,Lookups!$A$2:$A$38,0)),"")</f>
        <v/>
      </c>
      <c r="C233" s="153" t="str">
        <f>IFERROR(INDEX(Lookups!$C$2:$C$38,MATCH('Project Info &amp; Summary'!$C$19,Lookups!$A$2:$A$38,0)),"")</f>
        <v/>
      </c>
      <c r="D233" s="163"/>
      <c r="E233" s="160"/>
      <c r="F233" s="158"/>
      <c r="G233" s="158"/>
      <c r="H233" s="158"/>
      <c r="I233" s="158"/>
      <c r="J233" s="154" t="str">
        <f>IFERROR(INDEX(Lookups!$W$21:$W$26,MATCH(I233,Lookups!$V$21:$V$26,0)),"")</f>
        <v/>
      </c>
      <c r="K233" s="158"/>
      <c r="L233" s="162" t="str">
        <f>IFERROR(INDEX(Lookups!$Y$2:$Y$19,MATCH(_xlfn.CONCAT(I233,K233),Lookups!$X$2:$X$19,0)),"")</f>
        <v/>
      </c>
      <c r="M233" s="158"/>
      <c r="N233" s="153" t="str">
        <f>IFERROR(INDEX('Prescriptive Rebate Table'!$M$3:$M$20,MATCH(M233,'Prescriptive Rebate Table'!$L$3:$L$20,0)),"")</f>
        <v/>
      </c>
      <c r="O233" s="158"/>
      <c r="P233" s="154" t="str">
        <f>IFERROR(INDEX('Prescriptive Rebate Table'!$B$2:$H$64, MATCH(O233,'Prescriptive Rebate Table'!$C$2:$C$64,0),7),"")</f>
        <v/>
      </c>
      <c r="Q233" s="155" t="str">
        <f>IFERROR(INDEX('Prescriptive Rebate Table'!$B$2:$I$64, MATCH(O233,'Prescriptive Rebate Table'!$C$2:$C$64,0),8),"")</f>
        <v/>
      </c>
      <c r="R233" s="155" t="str">
        <f>IFERROR(INDEX('Prescriptive Rebate Table'!$B$2:$J$64, MATCH(O233,'Prescriptive Rebate Table'!$C$2:$C$64,0),9),"")</f>
        <v/>
      </c>
      <c r="S233" s="160"/>
      <c r="T233" s="145" t="str">
        <f>IFERROR(INDEX('Fixture Codes'!$M$8:$M$976,MATCH(S233,'Fixture Codes'!$B$8:$B$976,0)),"")</f>
        <v/>
      </c>
      <c r="U233" s="145" t="str">
        <f>IFERROR(INDEX('Fixture Codes'!$B$7:$M$976,MATCH(T233,'Fixture Codes'!$B$7:$B$976,0),5),"")</f>
        <v/>
      </c>
      <c r="V233" s="160"/>
      <c r="W233" s="145" t="str">
        <f>IFERROR(INDEX('Fixture Codes'!$L$8:$L$976,MATCH(T233,'Fixture Codes'!$B$8:$B$976,0)),"")</f>
        <v/>
      </c>
      <c r="X233" s="158"/>
      <c r="Y233" s="159"/>
      <c r="Z233" s="155" t="str">
        <f>IFERROR(INDEX(Lookups!B$68:B$87,MATCH($X233,Lookups!$A$68:$A$87,0)),"")</f>
        <v/>
      </c>
      <c r="AA233" s="150" t="str">
        <f>IFERROR(INDEX(Lookups!B$42:B$62,MATCH($X233,Lookups!$A$42:$A$62,0)),"")</f>
        <v/>
      </c>
      <c r="AB233" s="150" t="str">
        <f>IFERROR(INDEX(Lookups!C$42:C$62,MATCH($X233,Lookups!$A$42:$A$62,0)),"")</f>
        <v/>
      </c>
      <c r="AC233" s="160"/>
      <c r="AD233" s="160"/>
      <c r="AE233" s="150" t="str">
        <f>IFERROR(INDEX('Fixture Codes'!$B$7:$M$976,MATCH(AD233,'Fixture Codes'!$B$7:$B$976,0),5),"")</f>
        <v/>
      </c>
      <c r="AF233" s="160"/>
      <c r="AG233" s="145" t="str">
        <f>IFERROR(INDEX('Fixture Codes'!$L$8:$L$976,MATCH(AD233,'Fixture Codes'!$B$8:$B$976,0)),"")</f>
        <v/>
      </c>
      <c r="AH233" s="158"/>
      <c r="AI233" s="160"/>
      <c r="AJ233" s="150" t="str">
        <f>IFERROR(INDEX(Lookups!B$68:B$87,MATCH($AH233,Lookups!$A$68:$A$87,0)),"")</f>
        <v/>
      </c>
      <c r="AK233" s="150" t="str">
        <f>IFERROR(INDEX(Lookups!B$42:B$62,MATCH($AH233,Lookups!$A$42:$A$62,0)),"")</f>
        <v/>
      </c>
      <c r="AL233" s="150" t="str">
        <f>IFERROR(INDEX(Lookups!C$42:C$62,MATCH($AH233,Lookups!$A$42:$A$62,0)),"")</f>
        <v/>
      </c>
      <c r="AM233" s="150" t="str">
        <f>IFERROR(IF(M233="Exit Signs",8760,IF(INDEX('Fixture Codes'!$C$8:$C$976,MATCH(AD233,'Fixture Codes'!$B$8:$B$976,0))="Exit Sign",8760,INDEX(Lookups!$I$2:$I$428,MATCH(_xlfn.CONCAT(B233,H233),Lookups!$H$2:$H$428,0)))),"")</f>
        <v/>
      </c>
      <c r="AN233" s="153">
        <v>1</v>
      </c>
      <c r="AO233" s="150" t="str">
        <f>IF($D233="Interior",INDEX(Lookups!Q$2:Q$86,MATCH(_xlfn.CONCAT($C233,$L233),Lookups!$P$2:$P$86,0)),IF($D233="Exterior",1,""))</f>
        <v/>
      </c>
      <c r="AP233" s="150">
        <f t="shared" si="119"/>
        <v>1</v>
      </c>
      <c r="AQ233" s="150" t="str">
        <f>IF($D233="Interior",INDEX(Lookups!R$2:R$86,MATCH(_xlfn.CONCAT($C233,$L233),Lookups!$P$2:$P$86,0)),IF($D233="Exterior",1,""))</f>
        <v/>
      </c>
      <c r="AR233" s="150" t="str">
        <f>IF($D233="Interior",INDEX(Lookups!S$2:S$86,MATCH(_xlfn.CONCAT($C233,$L233),Lookups!$P$2:$P$86,0)),IF($D233="Exterior",1,""))</f>
        <v/>
      </c>
      <c r="AS233" s="150" t="str">
        <f>IF($D233="Interior",INDEX(Lookups!T$2:T$86,MATCH(_xlfn.CONCAT($C233,$L233),Lookups!$P$2:$P$86,0)),IF($D233="Exterior",1,""))</f>
        <v/>
      </c>
      <c r="AT233" s="150" t="str">
        <f>IFERROR(IF(M233="Exit Signs",1,IF(INDEX('Fixture Codes'!$C$8:$C$976,MATCH($AD233,'Fixture Codes'!$B$8:$B$976,0))="Exit Sign",1,INDEX(Lookups!J$2:J$428,MATCH(_xlfn.CONCAT($B233,$H233),Lookups!$H$2:$H$428,0)))),"")</f>
        <v/>
      </c>
      <c r="AU233" s="150" t="str">
        <f>IFERROR(IF(M233="Exit Signs",1,IF(INDEX('Fixture Codes'!$C$8:$C$976,MATCH($AD233,'Fixture Codes'!$B$8:$B$976,0))="Exit Sign",1,INDEX(Lookups!K$2:K$428,MATCH(_xlfn.CONCAT($B233,$H233),Lookups!$H$2:$H$428,0)))),"")</f>
        <v/>
      </c>
      <c r="AV233" s="150" t="str">
        <f>IFERROR(IF(M233="Exit Signs",1,IF(INDEX('Fixture Codes'!$C$8:$C$976,MATCH($AD233,'Fixture Codes'!$B$8:$B$976,0))="Exit Sign",1,INDEX(Lookups!L$2:L$428,MATCH(_xlfn.CONCAT($B233,$H233),Lookups!$H$2:$H$428,0)))),"")</f>
        <v/>
      </c>
      <c r="AW233" s="150" t="str">
        <f>IF(ISBLANK(K233),"",IF(K233="Gas",INDEX(Lookups!$AG$2:$AG$63,MATCH(O233,Lookups!$AD$2:$AD$63,0),0),0))</f>
        <v/>
      </c>
      <c r="AX233" s="150" t="str">
        <f>IF(ISBLANK(K233),"",IF(K233="Gas",INDEX(Lookups!$AF$2:$AF$63,MATCH(O233,Lookups!$AD$2:$AD$63,0),0),0))</f>
        <v/>
      </c>
      <c r="AY233" s="150" t="str">
        <f>IF(ISBLANK(K233),"",IF(K233="Gas",INDEX(Lookups!$AH$2:$AH$63,MATCH(O233,Lookups!$AD$2:$AD$63,0),0),0))</f>
        <v/>
      </c>
      <c r="AZ233" s="150" t="str">
        <f>IF(ISBLANK(K233),"",IF(K233="Gas",INDEX(Lookups!$AI$2:$AI$63,MATCH(O233,Lookups!$AD$2:$AD$63,0),0),0))</f>
        <v/>
      </c>
      <c r="BA233" s="150" t="str">
        <f t="shared" si="106"/>
        <v/>
      </c>
      <c r="BB233" s="156" t="str">
        <f>IF(ISBLANK(AH233),"",IF(AH233="None",0,IF(K233="Gas",INDEX(Lookups!$AF$51:$AF$69,MATCH(AH233,Lookups!$AD$51:$AD$69,0),0),0)))</f>
        <v/>
      </c>
      <c r="BC233" s="156" t="str">
        <f>IF(ISBLANK(AH233),"",IF(AH233="None",0,IF(K233="Gas",INDEX(Lookups!$AH$51:$AH$69,MATCH(AH233,Lookups!$AD$51:$AD$69,0),0),0)))</f>
        <v/>
      </c>
      <c r="BD233" s="156" t="str">
        <f>IF(ISBLANK(AH233),"",IF(AH233="None",0,IF(K233="Gas",INDEX(Lookups!$AI$51:$AI$69,MATCH(AH233,Lookups!$AD$51:$AD$69,0),0),0)))</f>
        <v/>
      </c>
      <c r="BE233" s="157"/>
      <c r="BF233" s="157"/>
      <c r="BG233" s="147" t="str">
        <f t="shared" si="120"/>
        <v/>
      </c>
      <c r="BH233" s="147" t="str">
        <f t="shared" si="121"/>
        <v/>
      </c>
      <c r="BI233" s="147" t="str">
        <f t="shared" si="107"/>
        <v/>
      </c>
      <c r="BJ233" s="147" t="str">
        <f t="shared" si="108"/>
        <v/>
      </c>
      <c r="BK233" s="148" t="str">
        <f t="shared" si="122"/>
        <v/>
      </c>
      <c r="BL233" s="147" t="str">
        <f t="shared" si="109"/>
        <v/>
      </c>
      <c r="BM233" s="148" t="str">
        <f t="shared" si="123"/>
        <v/>
      </c>
      <c r="BN233" s="147" t="str">
        <f t="shared" si="124"/>
        <v/>
      </c>
      <c r="BO233" s="147" t="str">
        <f t="shared" si="124"/>
        <v/>
      </c>
      <c r="BP233" s="147" t="str">
        <f t="shared" si="125"/>
        <v/>
      </c>
      <c r="BQ233" s="148" t="str">
        <f t="shared" si="126"/>
        <v/>
      </c>
      <c r="BR233" s="148" t="str">
        <f t="shared" si="127"/>
        <v/>
      </c>
      <c r="BS233" s="148" t="str">
        <f t="shared" si="128"/>
        <v/>
      </c>
      <c r="BT233" s="148" t="str">
        <f t="shared" si="110"/>
        <v/>
      </c>
      <c r="BU233" s="148" t="str">
        <f t="shared" si="111"/>
        <v/>
      </c>
      <c r="BV233" s="148" t="str">
        <f t="shared" si="112"/>
        <v/>
      </c>
      <c r="BW233" s="148" t="str">
        <f t="shared" si="113"/>
        <v/>
      </c>
      <c r="BX233" s="148" t="str">
        <f t="shared" si="114"/>
        <v/>
      </c>
      <c r="BY233" s="148" t="str">
        <f t="shared" si="115"/>
        <v/>
      </c>
      <c r="BZ233" s="149" t="str">
        <f>IFERROR(INDEX('Prescriptive Rebate Table'!$B$2:$E$64,MATCH(O233,'Prescriptive Rebate Table'!$C$2:$C$64,0),3),"")</f>
        <v/>
      </c>
      <c r="CA233" s="145" t="str">
        <f>IFERROR(INDEX('Prescriptive Rebate Table'!$B$2:$E$64,MATCH(O233,'Prescriptive Rebate Table'!$C$2:$C$64,0),4),"")</f>
        <v/>
      </c>
      <c r="CB233" s="149" t="str">
        <f t="shared" si="129"/>
        <v/>
      </c>
      <c r="CC233" s="145" t="str">
        <f t="shared" si="130"/>
        <v/>
      </c>
      <c r="CD233" s="149" t="str">
        <f t="shared" si="116"/>
        <v/>
      </c>
      <c r="CE233" s="149" t="str">
        <f t="shared" si="117"/>
        <v/>
      </c>
      <c r="CF233" s="149" t="str">
        <f>IF(BK233&lt;=0,0,IFERROR(IF(OR(ISBLANK(AC233),ISBLANK(CD233))=TRUE,"",IF(CA233="Per Foot",INDEX('Fixture Codes'!$I$8:$I$976,MATCH(AD233,'Fixture Codes'!$B$8:$B$976,0))/12*AF233*BZ233,IF(CA233="Lamp",INDEX('Fixture Codes'!$J$8:$J$976,MATCH(AD233,'Fixture Codes'!$B$8:$B$976,0))*AF233*BZ233,IF(CA233="Fixture",AF233*BZ233,IF(CA233="kWh",BK233*BZ233,0))))),""))</f>
        <v/>
      </c>
      <c r="CG233" s="149" t="str">
        <f t="shared" si="131"/>
        <v/>
      </c>
      <c r="CH233" s="149" t="str">
        <f t="shared" si="132"/>
        <v/>
      </c>
      <c r="CI233" s="152"/>
      <c r="CJ233" s="146"/>
      <c r="CK233" s="241">
        <f>IFERROR(IF(CL233="Yes",'Prescriptive Rebate Table'!$D$69,IF(ISBLANK(AI233),0,IF(AND(AH233=Lookups!$A$62,BK233&gt;0),'Prescriptive Rebate Table'!$D$68,IF(AND(BK233&gt;0,CJ233=AF233),'Prescriptive Rebate Table'!$D$67,IF(AND(BK233&gt;0,CJ233&lt;&gt;AF233),'Prescriptive Rebate Table'!D292,0))))),"")</f>
        <v>0</v>
      </c>
      <c r="CL233" s="240" t="s">
        <v>2712</v>
      </c>
      <c r="CM233" s="152"/>
      <c r="CN233" s="152"/>
      <c r="CO233" s="152"/>
      <c r="CP233" s="146">
        <f t="shared" si="118"/>
        <v>0</v>
      </c>
      <c r="CQ233" s="153">
        <f>IF(D233="Interior",ROUND(($AG233*AF233)/1000*$AM233*(Lookups!$B$54-$AA233)*$AN233*$AO233,3),0)</f>
        <v>0</v>
      </c>
      <c r="CR233" s="153">
        <f>IFERROR(IF(D233="Interior",ROUND(($AG233*$AF233)/1000*(Lookups!$C$54-$AB233)*$AN233*AQ233*AT233,6),0),"")</f>
        <v>0</v>
      </c>
      <c r="CS233" s="165">
        <f t="shared" si="133"/>
        <v>0</v>
      </c>
      <c r="CT233" s="165">
        <f t="shared" si="134"/>
        <v>0</v>
      </c>
      <c r="CV233" s="153"/>
      <c r="CW233" s="153"/>
      <c r="CX233" s="165"/>
      <c r="CY233" s="165"/>
      <c r="DA233" s="153">
        <f>IF(D233="Interior",ROUND(($AG233*AF233*(1-0.15))/1000*$AM233*(Lookups!$B$43+0.097-$AA233)*$AN233*$AO233+((W233*V233)/1000*AN233*AM233*AO233*0.15),3),0)</f>
        <v>0</v>
      </c>
      <c r="DB233" s="153">
        <f>IFERROR(IF(D233="Interior",ROUND(($AG233*$AF233)/1000*(Lookups!$C$43+0.097-$AB233)*$AN233*AQ233*AT233+(($AG233*$AF233)/1000*$AN233*AQ233*AT233*0.15),6),0),"")</f>
        <v>0</v>
      </c>
      <c r="DC233" s="165">
        <f t="shared" si="135"/>
        <v>0</v>
      </c>
      <c r="DD233" s="165">
        <f t="shared" si="136"/>
        <v>0</v>
      </c>
    </row>
    <row r="234" spans="1:108" s="164" customFormat="1">
      <c r="A234" s="150">
        <v>230</v>
      </c>
      <c r="B234" s="153" t="str">
        <f>IFERROR(INDEX(Lookups!$B$2:$B$38,MATCH('Project Info &amp; Summary'!$C$19,Lookups!$A$2:$A$38,0)),"")</f>
        <v/>
      </c>
      <c r="C234" s="153" t="str">
        <f>IFERROR(INDEX(Lookups!$C$2:$C$38,MATCH('Project Info &amp; Summary'!$C$19,Lookups!$A$2:$A$38,0)),"")</f>
        <v/>
      </c>
      <c r="D234" s="163"/>
      <c r="E234" s="160"/>
      <c r="F234" s="158"/>
      <c r="G234" s="158"/>
      <c r="H234" s="158"/>
      <c r="I234" s="158"/>
      <c r="J234" s="154" t="str">
        <f>IFERROR(INDEX(Lookups!$W$21:$W$26,MATCH(I234,Lookups!$V$21:$V$26,0)),"")</f>
        <v/>
      </c>
      <c r="K234" s="158"/>
      <c r="L234" s="162" t="str">
        <f>IFERROR(INDEX(Lookups!$Y$2:$Y$19,MATCH(_xlfn.CONCAT(I234,K234),Lookups!$X$2:$X$19,0)),"")</f>
        <v/>
      </c>
      <c r="M234" s="158"/>
      <c r="N234" s="153" t="str">
        <f>IFERROR(INDEX('Prescriptive Rebate Table'!$M$3:$M$20,MATCH(M234,'Prescriptive Rebate Table'!$L$3:$L$20,0)),"")</f>
        <v/>
      </c>
      <c r="O234" s="158"/>
      <c r="P234" s="154" t="str">
        <f>IFERROR(INDEX('Prescriptive Rebate Table'!$B$2:$H$64, MATCH(O234,'Prescriptive Rebate Table'!$C$2:$C$64,0),7),"")</f>
        <v/>
      </c>
      <c r="Q234" s="155" t="str">
        <f>IFERROR(INDEX('Prescriptive Rebate Table'!$B$2:$I$64, MATCH(O234,'Prescriptive Rebate Table'!$C$2:$C$64,0),8),"")</f>
        <v/>
      </c>
      <c r="R234" s="155" t="str">
        <f>IFERROR(INDEX('Prescriptive Rebate Table'!$B$2:$J$64, MATCH(O234,'Prescriptive Rebate Table'!$C$2:$C$64,0),9),"")</f>
        <v/>
      </c>
      <c r="S234" s="160"/>
      <c r="T234" s="145" t="str">
        <f>IFERROR(INDEX('Fixture Codes'!$M$8:$M$976,MATCH(S234,'Fixture Codes'!$B$8:$B$976,0)),"")</f>
        <v/>
      </c>
      <c r="U234" s="145" t="str">
        <f>IFERROR(INDEX('Fixture Codes'!$B$7:$M$976,MATCH(T234,'Fixture Codes'!$B$7:$B$976,0),5),"")</f>
        <v/>
      </c>
      <c r="V234" s="160"/>
      <c r="W234" s="145" t="str">
        <f>IFERROR(INDEX('Fixture Codes'!$L$8:$L$976,MATCH(T234,'Fixture Codes'!$B$8:$B$976,0)),"")</f>
        <v/>
      </c>
      <c r="X234" s="158"/>
      <c r="Y234" s="159"/>
      <c r="Z234" s="155" t="str">
        <f>IFERROR(INDEX(Lookups!B$68:B$87,MATCH($X234,Lookups!$A$68:$A$87,0)),"")</f>
        <v/>
      </c>
      <c r="AA234" s="150" t="str">
        <f>IFERROR(INDEX(Lookups!B$42:B$62,MATCH($X234,Lookups!$A$42:$A$62,0)),"")</f>
        <v/>
      </c>
      <c r="AB234" s="150" t="str">
        <f>IFERROR(INDEX(Lookups!C$42:C$62,MATCH($X234,Lookups!$A$42:$A$62,0)),"")</f>
        <v/>
      </c>
      <c r="AC234" s="160"/>
      <c r="AD234" s="160"/>
      <c r="AE234" s="150" t="str">
        <f>IFERROR(INDEX('Fixture Codes'!$B$7:$M$976,MATCH(AD234,'Fixture Codes'!$B$7:$B$976,0),5),"")</f>
        <v/>
      </c>
      <c r="AF234" s="160"/>
      <c r="AG234" s="145" t="str">
        <f>IFERROR(INDEX('Fixture Codes'!$L$8:$L$976,MATCH(AD234,'Fixture Codes'!$B$8:$B$976,0)),"")</f>
        <v/>
      </c>
      <c r="AH234" s="158"/>
      <c r="AI234" s="160"/>
      <c r="AJ234" s="150" t="str">
        <f>IFERROR(INDEX(Lookups!B$68:B$87,MATCH($AH234,Lookups!$A$68:$A$87,0)),"")</f>
        <v/>
      </c>
      <c r="AK234" s="150" t="str">
        <f>IFERROR(INDEX(Lookups!B$42:B$62,MATCH($AH234,Lookups!$A$42:$A$62,0)),"")</f>
        <v/>
      </c>
      <c r="AL234" s="150" t="str">
        <f>IFERROR(INDEX(Lookups!C$42:C$62,MATCH($AH234,Lookups!$A$42:$A$62,0)),"")</f>
        <v/>
      </c>
      <c r="AM234" s="150" t="str">
        <f>IFERROR(IF(M234="Exit Signs",8760,IF(INDEX('Fixture Codes'!$C$8:$C$976,MATCH(AD234,'Fixture Codes'!$B$8:$B$976,0))="Exit Sign",8760,INDEX(Lookups!$I$2:$I$428,MATCH(_xlfn.CONCAT(B234,H234),Lookups!$H$2:$H$428,0)))),"")</f>
        <v/>
      </c>
      <c r="AN234" s="153">
        <v>1</v>
      </c>
      <c r="AO234" s="150" t="str">
        <f>IF($D234="Interior",INDEX(Lookups!Q$2:Q$86,MATCH(_xlfn.CONCAT($C234,$L234),Lookups!$P$2:$P$86,0)),IF($D234="Exterior",1,""))</f>
        <v/>
      </c>
      <c r="AP234" s="150">
        <f t="shared" si="119"/>
        <v>1</v>
      </c>
      <c r="AQ234" s="150" t="str">
        <f>IF($D234="Interior",INDEX(Lookups!R$2:R$86,MATCH(_xlfn.CONCAT($C234,$L234),Lookups!$P$2:$P$86,0)),IF($D234="Exterior",1,""))</f>
        <v/>
      </c>
      <c r="AR234" s="150" t="str">
        <f>IF($D234="Interior",INDEX(Lookups!S$2:S$86,MATCH(_xlfn.CONCAT($C234,$L234),Lookups!$P$2:$P$86,0)),IF($D234="Exterior",1,""))</f>
        <v/>
      </c>
      <c r="AS234" s="150" t="str">
        <f>IF($D234="Interior",INDEX(Lookups!T$2:T$86,MATCH(_xlfn.CONCAT($C234,$L234),Lookups!$P$2:$P$86,0)),IF($D234="Exterior",1,""))</f>
        <v/>
      </c>
      <c r="AT234" s="150" t="str">
        <f>IFERROR(IF(M234="Exit Signs",1,IF(INDEX('Fixture Codes'!$C$8:$C$976,MATCH($AD234,'Fixture Codes'!$B$8:$B$976,0))="Exit Sign",1,INDEX(Lookups!J$2:J$428,MATCH(_xlfn.CONCAT($B234,$H234),Lookups!$H$2:$H$428,0)))),"")</f>
        <v/>
      </c>
      <c r="AU234" s="150" t="str">
        <f>IFERROR(IF(M234="Exit Signs",1,IF(INDEX('Fixture Codes'!$C$8:$C$976,MATCH($AD234,'Fixture Codes'!$B$8:$B$976,0))="Exit Sign",1,INDEX(Lookups!K$2:K$428,MATCH(_xlfn.CONCAT($B234,$H234),Lookups!$H$2:$H$428,0)))),"")</f>
        <v/>
      </c>
      <c r="AV234" s="150" t="str">
        <f>IFERROR(IF(M234="Exit Signs",1,IF(INDEX('Fixture Codes'!$C$8:$C$976,MATCH($AD234,'Fixture Codes'!$B$8:$B$976,0))="Exit Sign",1,INDEX(Lookups!L$2:L$428,MATCH(_xlfn.CONCAT($B234,$H234),Lookups!$H$2:$H$428,0)))),"")</f>
        <v/>
      </c>
      <c r="AW234" s="150" t="str">
        <f>IF(ISBLANK(K234),"",IF(K234="Gas",INDEX(Lookups!$AG$2:$AG$63,MATCH(O234,Lookups!$AD$2:$AD$63,0),0),0))</f>
        <v/>
      </c>
      <c r="AX234" s="150" t="str">
        <f>IF(ISBLANK(K234),"",IF(K234="Gas",INDEX(Lookups!$AF$2:$AF$63,MATCH(O234,Lookups!$AD$2:$AD$63,0),0),0))</f>
        <v/>
      </c>
      <c r="AY234" s="150" t="str">
        <f>IF(ISBLANK(K234),"",IF(K234="Gas",INDEX(Lookups!$AH$2:$AH$63,MATCH(O234,Lookups!$AD$2:$AD$63,0),0),0))</f>
        <v/>
      </c>
      <c r="AZ234" s="150" t="str">
        <f>IF(ISBLANK(K234),"",IF(K234="Gas",INDEX(Lookups!$AI$2:$AI$63,MATCH(O234,Lookups!$AD$2:$AD$63,0),0),0))</f>
        <v/>
      </c>
      <c r="BA234" s="150" t="str">
        <f t="shared" si="106"/>
        <v/>
      </c>
      <c r="BB234" s="156" t="str">
        <f>IF(ISBLANK(AH234),"",IF(AH234="None",0,IF(K234="Gas",INDEX(Lookups!$AF$51:$AF$69,MATCH(AH234,Lookups!$AD$51:$AD$69,0),0),0)))</f>
        <v/>
      </c>
      <c r="BC234" s="156" t="str">
        <f>IF(ISBLANK(AH234),"",IF(AH234="None",0,IF(K234="Gas",INDEX(Lookups!$AH$51:$AH$69,MATCH(AH234,Lookups!$AD$51:$AD$69,0),0),0)))</f>
        <v/>
      </c>
      <c r="BD234" s="156" t="str">
        <f>IF(ISBLANK(AH234),"",IF(AH234="None",0,IF(K234="Gas",INDEX(Lookups!$AI$51:$AI$69,MATCH(AH234,Lookups!$AD$51:$AD$69,0),0),0)))</f>
        <v/>
      </c>
      <c r="BE234" s="157"/>
      <c r="BF234" s="157"/>
      <c r="BG234" s="147" t="str">
        <f t="shared" si="120"/>
        <v/>
      </c>
      <c r="BH234" s="147" t="str">
        <f t="shared" si="121"/>
        <v/>
      </c>
      <c r="BI234" s="147" t="str">
        <f t="shared" si="107"/>
        <v/>
      </c>
      <c r="BJ234" s="147" t="str">
        <f t="shared" si="108"/>
        <v/>
      </c>
      <c r="BK234" s="148" t="str">
        <f t="shared" si="122"/>
        <v/>
      </c>
      <c r="BL234" s="147" t="str">
        <f t="shared" si="109"/>
        <v/>
      </c>
      <c r="BM234" s="148" t="str">
        <f t="shared" si="123"/>
        <v/>
      </c>
      <c r="BN234" s="147" t="str">
        <f t="shared" si="124"/>
        <v/>
      </c>
      <c r="BO234" s="147" t="str">
        <f t="shared" si="124"/>
        <v/>
      </c>
      <c r="BP234" s="147" t="str">
        <f t="shared" si="125"/>
        <v/>
      </c>
      <c r="BQ234" s="148" t="str">
        <f t="shared" si="126"/>
        <v/>
      </c>
      <c r="BR234" s="148" t="str">
        <f t="shared" si="127"/>
        <v/>
      </c>
      <c r="BS234" s="148" t="str">
        <f t="shared" si="128"/>
        <v/>
      </c>
      <c r="BT234" s="148" t="str">
        <f t="shared" si="110"/>
        <v/>
      </c>
      <c r="BU234" s="148" t="str">
        <f t="shared" si="111"/>
        <v/>
      </c>
      <c r="BV234" s="148" t="str">
        <f t="shared" si="112"/>
        <v/>
      </c>
      <c r="BW234" s="148" t="str">
        <f t="shared" si="113"/>
        <v/>
      </c>
      <c r="BX234" s="148" t="str">
        <f t="shared" si="114"/>
        <v/>
      </c>
      <c r="BY234" s="148" t="str">
        <f t="shared" si="115"/>
        <v/>
      </c>
      <c r="BZ234" s="149" t="str">
        <f>IFERROR(INDEX('Prescriptive Rebate Table'!$B$2:$E$64,MATCH(O234,'Prescriptive Rebate Table'!$C$2:$C$64,0),3),"")</f>
        <v/>
      </c>
      <c r="CA234" s="145" t="str">
        <f>IFERROR(INDEX('Prescriptive Rebate Table'!$B$2:$E$64,MATCH(O234,'Prescriptive Rebate Table'!$C$2:$C$64,0),4),"")</f>
        <v/>
      </c>
      <c r="CB234" s="149" t="str">
        <f t="shared" si="129"/>
        <v/>
      </c>
      <c r="CC234" s="145" t="str">
        <f t="shared" si="130"/>
        <v/>
      </c>
      <c r="CD234" s="149" t="str">
        <f t="shared" si="116"/>
        <v/>
      </c>
      <c r="CE234" s="149" t="str">
        <f t="shared" si="117"/>
        <v/>
      </c>
      <c r="CF234" s="149" t="str">
        <f>IF(BK234&lt;=0,0,IFERROR(IF(OR(ISBLANK(AC234),ISBLANK(CD234))=TRUE,"",IF(CA234="Per Foot",INDEX('Fixture Codes'!$I$8:$I$976,MATCH(AD234,'Fixture Codes'!$B$8:$B$976,0))/12*AF234*BZ234,IF(CA234="Lamp",INDEX('Fixture Codes'!$J$8:$J$976,MATCH(AD234,'Fixture Codes'!$B$8:$B$976,0))*AF234*BZ234,IF(CA234="Fixture",AF234*BZ234,IF(CA234="kWh",BK234*BZ234,0))))),""))</f>
        <v/>
      </c>
      <c r="CG234" s="149" t="str">
        <f t="shared" si="131"/>
        <v/>
      </c>
      <c r="CH234" s="149" t="str">
        <f t="shared" si="132"/>
        <v/>
      </c>
      <c r="CI234" s="152"/>
      <c r="CJ234" s="146"/>
      <c r="CK234" s="241">
        <f>IFERROR(IF(CL234="Yes",'Prescriptive Rebate Table'!$D$69,IF(ISBLANK(AI234),0,IF(AND(AH234=Lookups!$A$62,BK234&gt;0),'Prescriptive Rebate Table'!$D$68,IF(AND(BK234&gt;0,CJ234=AF234),'Prescriptive Rebate Table'!$D$67,IF(AND(BK234&gt;0,CJ234&lt;&gt;AF234),'Prescriptive Rebate Table'!D293,0))))),"")</f>
        <v>0</v>
      </c>
      <c r="CL234" s="240" t="s">
        <v>2712</v>
      </c>
      <c r="CM234" s="152"/>
      <c r="CN234" s="152"/>
      <c r="CO234" s="152"/>
      <c r="CP234" s="146">
        <f t="shared" si="118"/>
        <v>0</v>
      </c>
      <c r="CQ234" s="153">
        <f>IF(D234="Interior",ROUND(($AG234*AF234)/1000*$AM234*(Lookups!$B$54-$AA234)*$AN234*$AO234,3),0)</f>
        <v>0</v>
      </c>
      <c r="CR234" s="153">
        <f>IFERROR(IF(D234="Interior",ROUND(($AG234*$AF234)/1000*(Lookups!$C$54-$AB234)*$AN234*AQ234*AT234,6),0),"")</f>
        <v>0</v>
      </c>
      <c r="CS234" s="165">
        <f t="shared" si="133"/>
        <v>0</v>
      </c>
      <c r="CT234" s="165">
        <f t="shared" si="134"/>
        <v>0</v>
      </c>
      <c r="CV234" s="153"/>
      <c r="CW234" s="153"/>
      <c r="CX234" s="165"/>
      <c r="CY234" s="165"/>
      <c r="DA234" s="153">
        <f>IF(D234="Interior",ROUND(($AG234*AF234*(1-0.15))/1000*$AM234*(Lookups!$B$43+0.097-$AA234)*$AN234*$AO234+((W234*V234)/1000*AN234*AM234*AO234*0.15),3),0)</f>
        <v>0</v>
      </c>
      <c r="DB234" s="153">
        <f>IFERROR(IF(D234="Interior",ROUND(($AG234*$AF234)/1000*(Lookups!$C$43+0.097-$AB234)*$AN234*AQ234*AT234+(($AG234*$AF234)/1000*$AN234*AQ234*AT234*0.15),6),0),"")</f>
        <v>0</v>
      </c>
      <c r="DC234" s="165">
        <f t="shared" si="135"/>
        <v>0</v>
      </c>
      <c r="DD234" s="165">
        <f t="shared" si="136"/>
        <v>0</v>
      </c>
    </row>
    <row r="235" spans="1:108" s="164" customFormat="1">
      <c r="A235" s="150">
        <v>231</v>
      </c>
      <c r="B235" s="153" t="str">
        <f>IFERROR(INDEX(Lookups!$B$2:$B$38,MATCH('Project Info &amp; Summary'!$C$19,Lookups!$A$2:$A$38,0)),"")</f>
        <v/>
      </c>
      <c r="C235" s="153" t="str">
        <f>IFERROR(INDEX(Lookups!$C$2:$C$38,MATCH('Project Info &amp; Summary'!$C$19,Lookups!$A$2:$A$38,0)),"")</f>
        <v/>
      </c>
      <c r="D235" s="163"/>
      <c r="E235" s="160"/>
      <c r="F235" s="158"/>
      <c r="G235" s="158"/>
      <c r="H235" s="158"/>
      <c r="I235" s="158"/>
      <c r="J235" s="154" t="str">
        <f>IFERROR(INDEX(Lookups!$W$21:$W$26,MATCH(I235,Lookups!$V$21:$V$26,0)),"")</f>
        <v/>
      </c>
      <c r="K235" s="158"/>
      <c r="L235" s="162" t="str">
        <f>IFERROR(INDEX(Lookups!$Y$2:$Y$19,MATCH(_xlfn.CONCAT(I235,K235),Lookups!$X$2:$X$19,0)),"")</f>
        <v/>
      </c>
      <c r="M235" s="158"/>
      <c r="N235" s="153" t="str">
        <f>IFERROR(INDEX('Prescriptive Rebate Table'!$M$3:$M$20,MATCH(M235,'Prescriptive Rebate Table'!$L$3:$L$20,0)),"")</f>
        <v/>
      </c>
      <c r="O235" s="158"/>
      <c r="P235" s="154" t="str">
        <f>IFERROR(INDEX('Prescriptive Rebate Table'!$B$2:$H$64, MATCH(O235,'Prescriptive Rebate Table'!$C$2:$C$64,0),7),"")</f>
        <v/>
      </c>
      <c r="Q235" s="155" t="str">
        <f>IFERROR(INDEX('Prescriptive Rebate Table'!$B$2:$I$64, MATCH(O235,'Prescriptive Rebate Table'!$C$2:$C$64,0),8),"")</f>
        <v/>
      </c>
      <c r="R235" s="155" t="str">
        <f>IFERROR(INDEX('Prescriptive Rebate Table'!$B$2:$J$64, MATCH(O235,'Prescriptive Rebate Table'!$C$2:$C$64,0),9),"")</f>
        <v/>
      </c>
      <c r="S235" s="160"/>
      <c r="T235" s="145" t="str">
        <f>IFERROR(INDEX('Fixture Codes'!$M$8:$M$976,MATCH(S235,'Fixture Codes'!$B$8:$B$976,0)),"")</f>
        <v/>
      </c>
      <c r="U235" s="145" t="str">
        <f>IFERROR(INDEX('Fixture Codes'!$B$7:$M$976,MATCH(T235,'Fixture Codes'!$B$7:$B$976,0),5),"")</f>
        <v/>
      </c>
      <c r="V235" s="160"/>
      <c r="W235" s="145" t="str">
        <f>IFERROR(INDEX('Fixture Codes'!$L$8:$L$976,MATCH(T235,'Fixture Codes'!$B$8:$B$976,0)),"")</f>
        <v/>
      </c>
      <c r="X235" s="158"/>
      <c r="Y235" s="159"/>
      <c r="Z235" s="155" t="str">
        <f>IFERROR(INDEX(Lookups!B$68:B$87,MATCH($X235,Lookups!$A$68:$A$87,0)),"")</f>
        <v/>
      </c>
      <c r="AA235" s="150" t="str">
        <f>IFERROR(INDEX(Lookups!B$42:B$62,MATCH($X235,Lookups!$A$42:$A$62,0)),"")</f>
        <v/>
      </c>
      <c r="AB235" s="150" t="str">
        <f>IFERROR(INDEX(Lookups!C$42:C$62,MATCH($X235,Lookups!$A$42:$A$62,0)),"")</f>
        <v/>
      </c>
      <c r="AC235" s="160"/>
      <c r="AD235" s="160"/>
      <c r="AE235" s="150" t="str">
        <f>IFERROR(INDEX('Fixture Codes'!$B$7:$M$976,MATCH(AD235,'Fixture Codes'!$B$7:$B$976,0),5),"")</f>
        <v/>
      </c>
      <c r="AF235" s="160"/>
      <c r="AG235" s="145" t="str">
        <f>IFERROR(INDEX('Fixture Codes'!$L$8:$L$976,MATCH(AD235,'Fixture Codes'!$B$8:$B$976,0)),"")</f>
        <v/>
      </c>
      <c r="AH235" s="158"/>
      <c r="AI235" s="160"/>
      <c r="AJ235" s="150" t="str">
        <f>IFERROR(INDEX(Lookups!B$68:B$87,MATCH($AH235,Lookups!$A$68:$A$87,0)),"")</f>
        <v/>
      </c>
      <c r="AK235" s="150" t="str">
        <f>IFERROR(INDEX(Lookups!B$42:B$62,MATCH($AH235,Lookups!$A$42:$A$62,0)),"")</f>
        <v/>
      </c>
      <c r="AL235" s="150" t="str">
        <f>IFERROR(INDEX(Lookups!C$42:C$62,MATCH($AH235,Lookups!$A$42:$A$62,0)),"")</f>
        <v/>
      </c>
      <c r="AM235" s="150" t="str">
        <f>IFERROR(IF(M235="Exit Signs",8760,IF(INDEX('Fixture Codes'!$C$8:$C$976,MATCH(AD235,'Fixture Codes'!$B$8:$B$976,0))="Exit Sign",8760,INDEX(Lookups!$I$2:$I$428,MATCH(_xlfn.CONCAT(B235,H235),Lookups!$H$2:$H$428,0)))),"")</f>
        <v/>
      </c>
      <c r="AN235" s="153">
        <v>1</v>
      </c>
      <c r="AO235" s="150" t="str">
        <f>IF($D235="Interior",INDEX(Lookups!Q$2:Q$86,MATCH(_xlfn.CONCAT($C235,$L235),Lookups!$P$2:$P$86,0)),IF($D235="Exterior",1,""))</f>
        <v/>
      </c>
      <c r="AP235" s="150">
        <f t="shared" si="119"/>
        <v>1</v>
      </c>
      <c r="AQ235" s="150" t="str">
        <f>IF($D235="Interior",INDEX(Lookups!R$2:R$86,MATCH(_xlfn.CONCAT($C235,$L235),Lookups!$P$2:$P$86,0)),IF($D235="Exterior",1,""))</f>
        <v/>
      </c>
      <c r="AR235" s="150" t="str">
        <f>IF($D235="Interior",INDEX(Lookups!S$2:S$86,MATCH(_xlfn.CONCAT($C235,$L235),Lookups!$P$2:$P$86,0)),IF($D235="Exterior",1,""))</f>
        <v/>
      </c>
      <c r="AS235" s="150" t="str">
        <f>IF($D235="Interior",INDEX(Lookups!T$2:T$86,MATCH(_xlfn.CONCAT($C235,$L235),Lookups!$P$2:$P$86,0)),IF($D235="Exterior",1,""))</f>
        <v/>
      </c>
      <c r="AT235" s="150" t="str">
        <f>IFERROR(IF(M235="Exit Signs",1,IF(INDEX('Fixture Codes'!$C$8:$C$976,MATCH($AD235,'Fixture Codes'!$B$8:$B$976,0))="Exit Sign",1,INDEX(Lookups!J$2:J$428,MATCH(_xlfn.CONCAT($B235,$H235),Lookups!$H$2:$H$428,0)))),"")</f>
        <v/>
      </c>
      <c r="AU235" s="150" t="str">
        <f>IFERROR(IF(M235="Exit Signs",1,IF(INDEX('Fixture Codes'!$C$8:$C$976,MATCH($AD235,'Fixture Codes'!$B$8:$B$976,0))="Exit Sign",1,INDEX(Lookups!K$2:K$428,MATCH(_xlfn.CONCAT($B235,$H235),Lookups!$H$2:$H$428,0)))),"")</f>
        <v/>
      </c>
      <c r="AV235" s="150" t="str">
        <f>IFERROR(IF(M235="Exit Signs",1,IF(INDEX('Fixture Codes'!$C$8:$C$976,MATCH($AD235,'Fixture Codes'!$B$8:$B$976,0))="Exit Sign",1,INDEX(Lookups!L$2:L$428,MATCH(_xlfn.CONCAT($B235,$H235),Lookups!$H$2:$H$428,0)))),"")</f>
        <v/>
      </c>
      <c r="AW235" s="150" t="str">
        <f>IF(ISBLANK(K235),"",IF(K235="Gas",INDEX(Lookups!$AG$2:$AG$63,MATCH(O235,Lookups!$AD$2:$AD$63,0),0),0))</f>
        <v/>
      </c>
      <c r="AX235" s="150" t="str">
        <f>IF(ISBLANK(K235),"",IF(K235="Gas",INDEX(Lookups!$AF$2:$AF$63,MATCH(O235,Lookups!$AD$2:$AD$63,0),0),0))</f>
        <v/>
      </c>
      <c r="AY235" s="150" t="str">
        <f>IF(ISBLANK(K235),"",IF(K235="Gas",INDEX(Lookups!$AH$2:$AH$63,MATCH(O235,Lookups!$AD$2:$AD$63,0),0),0))</f>
        <v/>
      </c>
      <c r="AZ235" s="150" t="str">
        <f>IF(ISBLANK(K235),"",IF(K235="Gas",INDEX(Lookups!$AI$2:$AI$63,MATCH(O235,Lookups!$AD$2:$AD$63,0),0),0))</f>
        <v/>
      </c>
      <c r="BA235" s="150" t="str">
        <f t="shared" si="106"/>
        <v/>
      </c>
      <c r="BB235" s="156" t="str">
        <f>IF(ISBLANK(AH235),"",IF(AH235="None",0,IF(K235="Gas",INDEX(Lookups!$AF$51:$AF$69,MATCH(AH235,Lookups!$AD$51:$AD$69,0),0),0)))</f>
        <v/>
      </c>
      <c r="BC235" s="156" t="str">
        <f>IF(ISBLANK(AH235),"",IF(AH235="None",0,IF(K235="Gas",INDEX(Lookups!$AH$51:$AH$69,MATCH(AH235,Lookups!$AD$51:$AD$69,0),0),0)))</f>
        <v/>
      </c>
      <c r="BD235" s="156" t="str">
        <f>IF(ISBLANK(AH235),"",IF(AH235="None",0,IF(K235="Gas",INDEX(Lookups!$AI$51:$AI$69,MATCH(AH235,Lookups!$AD$51:$AD$69,0),0),0)))</f>
        <v/>
      </c>
      <c r="BE235" s="157"/>
      <c r="BF235" s="157"/>
      <c r="BG235" s="147" t="str">
        <f t="shared" si="120"/>
        <v/>
      </c>
      <c r="BH235" s="147" t="str">
        <f t="shared" si="121"/>
        <v/>
      </c>
      <c r="BI235" s="147" t="str">
        <f t="shared" si="107"/>
        <v/>
      </c>
      <c r="BJ235" s="147" t="str">
        <f t="shared" si="108"/>
        <v/>
      </c>
      <c r="BK235" s="148" t="str">
        <f t="shared" si="122"/>
        <v/>
      </c>
      <c r="BL235" s="147" t="str">
        <f t="shared" si="109"/>
        <v/>
      </c>
      <c r="BM235" s="148" t="str">
        <f t="shared" si="123"/>
        <v/>
      </c>
      <c r="BN235" s="147" t="str">
        <f t="shared" si="124"/>
        <v/>
      </c>
      <c r="BO235" s="147" t="str">
        <f t="shared" si="124"/>
        <v/>
      </c>
      <c r="BP235" s="147" t="str">
        <f t="shared" si="125"/>
        <v/>
      </c>
      <c r="BQ235" s="148" t="str">
        <f t="shared" si="126"/>
        <v/>
      </c>
      <c r="BR235" s="148" t="str">
        <f t="shared" si="127"/>
        <v/>
      </c>
      <c r="BS235" s="148" t="str">
        <f t="shared" si="128"/>
        <v/>
      </c>
      <c r="BT235" s="148" t="str">
        <f t="shared" si="110"/>
        <v/>
      </c>
      <c r="BU235" s="148" t="str">
        <f t="shared" si="111"/>
        <v/>
      </c>
      <c r="BV235" s="148" t="str">
        <f t="shared" si="112"/>
        <v/>
      </c>
      <c r="BW235" s="148" t="str">
        <f t="shared" si="113"/>
        <v/>
      </c>
      <c r="BX235" s="148" t="str">
        <f t="shared" si="114"/>
        <v/>
      </c>
      <c r="BY235" s="148" t="str">
        <f t="shared" si="115"/>
        <v/>
      </c>
      <c r="BZ235" s="149" t="str">
        <f>IFERROR(INDEX('Prescriptive Rebate Table'!$B$2:$E$64,MATCH(O235,'Prescriptive Rebate Table'!$C$2:$C$64,0),3),"")</f>
        <v/>
      </c>
      <c r="CA235" s="145" t="str">
        <f>IFERROR(INDEX('Prescriptive Rebate Table'!$B$2:$E$64,MATCH(O235,'Prescriptive Rebate Table'!$C$2:$C$64,0),4),"")</f>
        <v/>
      </c>
      <c r="CB235" s="149" t="str">
        <f t="shared" si="129"/>
        <v/>
      </c>
      <c r="CC235" s="145" t="str">
        <f t="shared" si="130"/>
        <v/>
      </c>
      <c r="CD235" s="149" t="str">
        <f t="shared" si="116"/>
        <v/>
      </c>
      <c r="CE235" s="149" t="str">
        <f t="shared" si="117"/>
        <v/>
      </c>
      <c r="CF235" s="149" t="str">
        <f>IF(BK235&lt;=0,0,IFERROR(IF(OR(ISBLANK(AC235),ISBLANK(CD235))=TRUE,"",IF(CA235="Per Foot",INDEX('Fixture Codes'!$I$8:$I$976,MATCH(AD235,'Fixture Codes'!$B$8:$B$976,0))/12*AF235*BZ235,IF(CA235="Lamp",INDEX('Fixture Codes'!$J$8:$J$976,MATCH(AD235,'Fixture Codes'!$B$8:$B$976,0))*AF235*BZ235,IF(CA235="Fixture",AF235*BZ235,IF(CA235="kWh",BK235*BZ235,0))))),""))</f>
        <v/>
      </c>
      <c r="CG235" s="149" t="str">
        <f t="shared" si="131"/>
        <v/>
      </c>
      <c r="CH235" s="149" t="str">
        <f t="shared" si="132"/>
        <v/>
      </c>
      <c r="CI235" s="152"/>
      <c r="CJ235" s="146"/>
      <c r="CK235" s="241">
        <f>IFERROR(IF(CL235="Yes",'Prescriptive Rebate Table'!$D$69,IF(ISBLANK(AI235),0,IF(AND(AH235=Lookups!$A$62,BK235&gt;0),'Prescriptive Rebate Table'!$D$68,IF(AND(BK235&gt;0,CJ235=AF235),'Prescriptive Rebate Table'!$D$67,IF(AND(BK235&gt;0,CJ235&lt;&gt;AF235),'Prescriptive Rebate Table'!D294,0))))),"")</f>
        <v>0</v>
      </c>
      <c r="CL235" s="240" t="s">
        <v>2712</v>
      </c>
      <c r="CM235" s="152"/>
      <c r="CN235" s="152"/>
      <c r="CO235" s="152"/>
      <c r="CP235" s="146">
        <f t="shared" si="118"/>
        <v>0</v>
      </c>
      <c r="CQ235" s="153">
        <f>IF(D235="Interior",ROUND(($AG235*AF235)/1000*$AM235*(Lookups!$B$54-$AA235)*$AN235*$AO235,3),0)</f>
        <v>0</v>
      </c>
      <c r="CR235" s="153">
        <f>IFERROR(IF(D235="Interior",ROUND(($AG235*$AF235)/1000*(Lookups!$C$54-$AB235)*$AN235*AQ235*AT235,6),0),"")</f>
        <v>0</v>
      </c>
      <c r="CS235" s="165">
        <f t="shared" si="133"/>
        <v>0</v>
      </c>
      <c r="CT235" s="165">
        <f t="shared" si="134"/>
        <v>0</v>
      </c>
      <c r="CV235" s="153"/>
      <c r="CW235" s="153"/>
      <c r="CX235" s="165"/>
      <c r="CY235" s="165"/>
      <c r="DA235" s="153">
        <f>IF(D235="Interior",ROUND(($AG235*AF235*(1-0.15))/1000*$AM235*(Lookups!$B$43+0.097-$AA235)*$AN235*$AO235+((W235*V235)/1000*AN235*AM235*AO235*0.15),3),0)</f>
        <v>0</v>
      </c>
      <c r="DB235" s="153">
        <f>IFERROR(IF(D235="Interior",ROUND(($AG235*$AF235)/1000*(Lookups!$C$43+0.097-$AB235)*$AN235*AQ235*AT235+(($AG235*$AF235)/1000*$AN235*AQ235*AT235*0.15),6),0),"")</f>
        <v>0</v>
      </c>
      <c r="DC235" s="165">
        <f t="shared" si="135"/>
        <v>0</v>
      </c>
      <c r="DD235" s="165">
        <f t="shared" si="136"/>
        <v>0</v>
      </c>
    </row>
    <row r="236" spans="1:108" s="164" customFormat="1">
      <c r="A236" s="150">
        <v>232</v>
      </c>
      <c r="B236" s="153" t="str">
        <f>IFERROR(INDEX(Lookups!$B$2:$B$38,MATCH('Project Info &amp; Summary'!$C$19,Lookups!$A$2:$A$38,0)),"")</f>
        <v/>
      </c>
      <c r="C236" s="153" t="str">
        <f>IFERROR(INDEX(Lookups!$C$2:$C$38,MATCH('Project Info &amp; Summary'!$C$19,Lookups!$A$2:$A$38,0)),"")</f>
        <v/>
      </c>
      <c r="D236" s="163"/>
      <c r="E236" s="160"/>
      <c r="F236" s="158"/>
      <c r="G236" s="158"/>
      <c r="H236" s="158"/>
      <c r="I236" s="158"/>
      <c r="J236" s="154" t="str">
        <f>IFERROR(INDEX(Lookups!$W$21:$W$26,MATCH(I236,Lookups!$V$21:$V$26,0)),"")</f>
        <v/>
      </c>
      <c r="K236" s="158"/>
      <c r="L236" s="162" t="str">
        <f>IFERROR(INDEX(Lookups!$Y$2:$Y$19,MATCH(_xlfn.CONCAT(I236,K236),Lookups!$X$2:$X$19,0)),"")</f>
        <v/>
      </c>
      <c r="M236" s="158"/>
      <c r="N236" s="153" t="str">
        <f>IFERROR(INDEX('Prescriptive Rebate Table'!$M$3:$M$20,MATCH(M236,'Prescriptive Rebate Table'!$L$3:$L$20,0)),"")</f>
        <v/>
      </c>
      <c r="O236" s="158"/>
      <c r="P236" s="154" t="str">
        <f>IFERROR(INDEX('Prescriptive Rebate Table'!$B$2:$H$64, MATCH(O236,'Prescriptive Rebate Table'!$C$2:$C$64,0),7),"")</f>
        <v/>
      </c>
      <c r="Q236" s="155" t="str">
        <f>IFERROR(INDEX('Prescriptive Rebate Table'!$B$2:$I$64, MATCH(O236,'Prescriptive Rebate Table'!$C$2:$C$64,0),8),"")</f>
        <v/>
      </c>
      <c r="R236" s="155" t="str">
        <f>IFERROR(INDEX('Prescriptive Rebate Table'!$B$2:$J$64, MATCH(O236,'Prescriptive Rebate Table'!$C$2:$C$64,0),9),"")</f>
        <v/>
      </c>
      <c r="S236" s="160"/>
      <c r="T236" s="145" t="str">
        <f>IFERROR(INDEX('Fixture Codes'!$M$8:$M$976,MATCH(S236,'Fixture Codes'!$B$8:$B$976,0)),"")</f>
        <v/>
      </c>
      <c r="U236" s="145" t="str">
        <f>IFERROR(INDEX('Fixture Codes'!$B$7:$M$976,MATCH(T236,'Fixture Codes'!$B$7:$B$976,0),5),"")</f>
        <v/>
      </c>
      <c r="V236" s="160"/>
      <c r="W236" s="145" t="str">
        <f>IFERROR(INDEX('Fixture Codes'!$L$8:$L$976,MATCH(T236,'Fixture Codes'!$B$8:$B$976,0)),"")</f>
        <v/>
      </c>
      <c r="X236" s="158"/>
      <c r="Y236" s="159"/>
      <c r="Z236" s="155" t="str">
        <f>IFERROR(INDEX(Lookups!B$68:B$87,MATCH($X236,Lookups!$A$68:$A$87,0)),"")</f>
        <v/>
      </c>
      <c r="AA236" s="150" t="str">
        <f>IFERROR(INDEX(Lookups!B$42:B$62,MATCH($X236,Lookups!$A$42:$A$62,0)),"")</f>
        <v/>
      </c>
      <c r="AB236" s="150" t="str">
        <f>IFERROR(INDEX(Lookups!C$42:C$62,MATCH($X236,Lookups!$A$42:$A$62,0)),"")</f>
        <v/>
      </c>
      <c r="AC236" s="160"/>
      <c r="AD236" s="160"/>
      <c r="AE236" s="150" t="str">
        <f>IFERROR(INDEX('Fixture Codes'!$B$7:$M$976,MATCH(AD236,'Fixture Codes'!$B$7:$B$976,0),5),"")</f>
        <v/>
      </c>
      <c r="AF236" s="160"/>
      <c r="AG236" s="145" t="str">
        <f>IFERROR(INDEX('Fixture Codes'!$L$8:$L$976,MATCH(AD236,'Fixture Codes'!$B$8:$B$976,0)),"")</f>
        <v/>
      </c>
      <c r="AH236" s="158"/>
      <c r="AI236" s="160"/>
      <c r="AJ236" s="150" t="str">
        <f>IFERROR(INDEX(Lookups!B$68:B$87,MATCH($AH236,Lookups!$A$68:$A$87,0)),"")</f>
        <v/>
      </c>
      <c r="AK236" s="150" t="str">
        <f>IFERROR(INDEX(Lookups!B$42:B$62,MATCH($AH236,Lookups!$A$42:$A$62,0)),"")</f>
        <v/>
      </c>
      <c r="AL236" s="150" t="str">
        <f>IFERROR(INDEX(Lookups!C$42:C$62,MATCH($AH236,Lookups!$A$42:$A$62,0)),"")</f>
        <v/>
      </c>
      <c r="AM236" s="150" t="str">
        <f>IFERROR(IF(M236="Exit Signs",8760,IF(INDEX('Fixture Codes'!$C$8:$C$976,MATCH(AD236,'Fixture Codes'!$B$8:$B$976,0))="Exit Sign",8760,INDEX(Lookups!$I$2:$I$428,MATCH(_xlfn.CONCAT(B236,H236),Lookups!$H$2:$H$428,0)))),"")</f>
        <v/>
      </c>
      <c r="AN236" s="153">
        <v>1</v>
      </c>
      <c r="AO236" s="150" t="str">
        <f>IF($D236="Interior",INDEX(Lookups!Q$2:Q$86,MATCH(_xlfn.CONCAT($C236,$L236),Lookups!$P$2:$P$86,0)),IF($D236="Exterior",1,""))</f>
        <v/>
      </c>
      <c r="AP236" s="150">
        <f t="shared" si="119"/>
        <v>1</v>
      </c>
      <c r="AQ236" s="150" t="str">
        <f>IF($D236="Interior",INDEX(Lookups!R$2:R$86,MATCH(_xlfn.CONCAT($C236,$L236),Lookups!$P$2:$P$86,0)),IF($D236="Exterior",1,""))</f>
        <v/>
      </c>
      <c r="AR236" s="150" t="str">
        <f>IF($D236="Interior",INDEX(Lookups!S$2:S$86,MATCH(_xlfn.CONCAT($C236,$L236),Lookups!$P$2:$P$86,0)),IF($D236="Exterior",1,""))</f>
        <v/>
      </c>
      <c r="AS236" s="150" t="str">
        <f>IF($D236="Interior",INDEX(Lookups!T$2:T$86,MATCH(_xlfn.CONCAT($C236,$L236),Lookups!$P$2:$P$86,0)),IF($D236="Exterior",1,""))</f>
        <v/>
      </c>
      <c r="AT236" s="150" t="str">
        <f>IFERROR(IF(M236="Exit Signs",1,IF(INDEX('Fixture Codes'!$C$8:$C$976,MATCH($AD236,'Fixture Codes'!$B$8:$B$976,0))="Exit Sign",1,INDEX(Lookups!J$2:J$428,MATCH(_xlfn.CONCAT($B236,$H236),Lookups!$H$2:$H$428,0)))),"")</f>
        <v/>
      </c>
      <c r="AU236" s="150" t="str">
        <f>IFERROR(IF(M236="Exit Signs",1,IF(INDEX('Fixture Codes'!$C$8:$C$976,MATCH($AD236,'Fixture Codes'!$B$8:$B$976,0))="Exit Sign",1,INDEX(Lookups!K$2:K$428,MATCH(_xlfn.CONCAT($B236,$H236),Lookups!$H$2:$H$428,0)))),"")</f>
        <v/>
      </c>
      <c r="AV236" s="150" t="str">
        <f>IFERROR(IF(M236="Exit Signs",1,IF(INDEX('Fixture Codes'!$C$8:$C$976,MATCH($AD236,'Fixture Codes'!$B$8:$B$976,0))="Exit Sign",1,INDEX(Lookups!L$2:L$428,MATCH(_xlfn.CONCAT($B236,$H236),Lookups!$H$2:$H$428,0)))),"")</f>
        <v/>
      </c>
      <c r="AW236" s="150" t="str">
        <f>IF(ISBLANK(K236),"",IF(K236="Gas",INDEX(Lookups!$AG$2:$AG$63,MATCH(O236,Lookups!$AD$2:$AD$63,0),0),0))</f>
        <v/>
      </c>
      <c r="AX236" s="150" t="str">
        <f>IF(ISBLANK(K236),"",IF(K236="Gas",INDEX(Lookups!$AF$2:$AF$63,MATCH(O236,Lookups!$AD$2:$AD$63,0),0),0))</f>
        <v/>
      </c>
      <c r="AY236" s="150" t="str">
        <f>IF(ISBLANK(K236),"",IF(K236="Gas",INDEX(Lookups!$AH$2:$AH$63,MATCH(O236,Lookups!$AD$2:$AD$63,0),0),0))</f>
        <v/>
      </c>
      <c r="AZ236" s="150" t="str">
        <f>IF(ISBLANK(K236),"",IF(K236="Gas",INDEX(Lookups!$AI$2:$AI$63,MATCH(O236,Lookups!$AD$2:$AD$63,0),0),0))</f>
        <v/>
      </c>
      <c r="BA236" s="150" t="str">
        <f t="shared" si="106"/>
        <v/>
      </c>
      <c r="BB236" s="156" t="str">
        <f>IF(ISBLANK(AH236),"",IF(AH236="None",0,IF(K236="Gas",INDEX(Lookups!$AF$51:$AF$69,MATCH(AH236,Lookups!$AD$51:$AD$69,0),0),0)))</f>
        <v/>
      </c>
      <c r="BC236" s="156" t="str">
        <f>IF(ISBLANK(AH236),"",IF(AH236="None",0,IF(K236="Gas",INDEX(Lookups!$AH$51:$AH$69,MATCH(AH236,Lookups!$AD$51:$AD$69,0),0),0)))</f>
        <v/>
      </c>
      <c r="BD236" s="156" t="str">
        <f>IF(ISBLANK(AH236),"",IF(AH236="None",0,IF(K236="Gas",INDEX(Lookups!$AI$51:$AI$69,MATCH(AH236,Lookups!$AD$51:$AD$69,0),0),0)))</f>
        <v/>
      </c>
      <c r="BE236" s="157"/>
      <c r="BF236" s="157"/>
      <c r="BG236" s="147" t="str">
        <f t="shared" si="120"/>
        <v/>
      </c>
      <c r="BH236" s="147" t="str">
        <f t="shared" si="121"/>
        <v/>
      </c>
      <c r="BI236" s="147" t="str">
        <f t="shared" si="107"/>
        <v/>
      </c>
      <c r="BJ236" s="147" t="str">
        <f t="shared" si="108"/>
        <v/>
      </c>
      <c r="BK236" s="148" t="str">
        <f t="shared" si="122"/>
        <v/>
      </c>
      <c r="BL236" s="147" t="str">
        <f t="shared" si="109"/>
        <v/>
      </c>
      <c r="BM236" s="148" t="str">
        <f t="shared" si="123"/>
        <v/>
      </c>
      <c r="BN236" s="147" t="str">
        <f t="shared" si="124"/>
        <v/>
      </c>
      <c r="BO236" s="147" t="str">
        <f t="shared" si="124"/>
        <v/>
      </c>
      <c r="BP236" s="147" t="str">
        <f t="shared" si="125"/>
        <v/>
      </c>
      <c r="BQ236" s="148" t="str">
        <f t="shared" si="126"/>
        <v/>
      </c>
      <c r="BR236" s="148" t="str">
        <f t="shared" si="127"/>
        <v/>
      </c>
      <c r="BS236" s="148" t="str">
        <f t="shared" si="128"/>
        <v/>
      </c>
      <c r="BT236" s="148" t="str">
        <f t="shared" si="110"/>
        <v/>
      </c>
      <c r="BU236" s="148" t="str">
        <f t="shared" si="111"/>
        <v/>
      </c>
      <c r="BV236" s="148" t="str">
        <f t="shared" si="112"/>
        <v/>
      </c>
      <c r="BW236" s="148" t="str">
        <f t="shared" si="113"/>
        <v/>
      </c>
      <c r="BX236" s="148" t="str">
        <f t="shared" si="114"/>
        <v/>
      </c>
      <c r="BY236" s="148" t="str">
        <f t="shared" si="115"/>
        <v/>
      </c>
      <c r="BZ236" s="149" t="str">
        <f>IFERROR(INDEX('Prescriptive Rebate Table'!$B$2:$E$64,MATCH(O236,'Prescriptive Rebate Table'!$C$2:$C$64,0),3),"")</f>
        <v/>
      </c>
      <c r="CA236" s="145" t="str">
        <f>IFERROR(INDEX('Prescriptive Rebate Table'!$B$2:$E$64,MATCH(O236,'Prescriptive Rebate Table'!$C$2:$C$64,0),4),"")</f>
        <v/>
      </c>
      <c r="CB236" s="149" t="str">
        <f t="shared" si="129"/>
        <v/>
      </c>
      <c r="CC236" s="145" t="str">
        <f t="shared" si="130"/>
        <v/>
      </c>
      <c r="CD236" s="149" t="str">
        <f t="shared" si="116"/>
        <v/>
      </c>
      <c r="CE236" s="149" t="str">
        <f t="shared" si="117"/>
        <v/>
      </c>
      <c r="CF236" s="149" t="str">
        <f>IF(BK236&lt;=0,0,IFERROR(IF(OR(ISBLANK(AC236),ISBLANK(CD236))=TRUE,"",IF(CA236="Per Foot",INDEX('Fixture Codes'!$I$8:$I$976,MATCH(AD236,'Fixture Codes'!$B$8:$B$976,0))/12*AF236*BZ236,IF(CA236="Lamp",INDEX('Fixture Codes'!$J$8:$J$976,MATCH(AD236,'Fixture Codes'!$B$8:$B$976,0))*AF236*BZ236,IF(CA236="Fixture",AF236*BZ236,IF(CA236="kWh",BK236*BZ236,0))))),""))</f>
        <v/>
      </c>
      <c r="CG236" s="149" t="str">
        <f t="shared" si="131"/>
        <v/>
      </c>
      <c r="CH236" s="149" t="str">
        <f t="shared" si="132"/>
        <v/>
      </c>
      <c r="CI236" s="152"/>
      <c r="CJ236" s="146"/>
      <c r="CK236" s="241">
        <f>IFERROR(IF(CL236="Yes",'Prescriptive Rebate Table'!$D$69,IF(ISBLANK(AI236),0,IF(AND(AH236=Lookups!$A$62,BK236&gt;0),'Prescriptive Rebate Table'!$D$68,IF(AND(BK236&gt;0,CJ236=AF236),'Prescriptive Rebate Table'!$D$67,IF(AND(BK236&gt;0,CJ236&lt;&gt;AF236),'Prescriptive Rebate Table'!D295,0))))),"")</f>
        <v>0</v>
      </c>
      <c r="CL236" s="240" t="s">
        <v>2712</v>
      </c>
      <c r="CM236" s="152"/>
      <c r="CN236" s="152"/>
      <c r="CO236" s="152"/>
      <c r="CP236" s="146">
        <f t="shared" si="118"/>
        <v>0</v>
      </c>
      <c r="CQ236" s="153">
        <f>IF(D236="Interior",ROUND(($AG236*AF236)/1000*$AM236*(Lookups!$B$54-$AA236)*$AN236*$AO236,3),0)</f>
        <v>0</v>
      </c>
      <c r="CR236" s="153">
        <f>IFERROR(IF(D236="Interior",ROUND(($AG236*$AF236)/1000*(Lookups!$C$54-$AB236)*$AN236*AQ236*AT236,6),0),"")</f>
        <v>0</v>
      </c>
      <c r="CS236" s="165">
        <f t="shared" si="133"/>
        <v>0</v>
      </c>
      <c r="CT236" s="165">
        <f t="shared" si="134"/>
        <v>0</v>
      </c>
      <c r="CV236" s="153"/>
      <c r="CW236" s="153"/>
      <c r="CX236" s="165"/>
      <c r="CY236" s="165"/>
      <c r="DA236" s="153">
        <f>IF(D236="Interior",ROUND(($AG236*AF236*(1-0.15))/1000*$AM236*(Lookups!$B$43+0.097-$AA236)*$AN236*$AO236+((W236*V236)/1000*AN236*AM236*AO236*0.15),3),0)</f>
        <v>0</v>
      </c>
      <c r="DB236" s="153">
        <f>IFERROR(IF(D236="Interior",ROUND(($AG236*$AF236)/1000*(Lookups!$C$43+0.097-$AB236)*$AN236*AQ236*AT236+(($AG236*$AF236)/1000*$AN236*AQ236*AT236*0.15),6),0),"")</f>
        <v>0</v>
      </c>
      <c r="DC236" s="165">
        <f t="shared" si="135"/>
        <v>0</v>
      </c>
      <c r="DD236" s="165">
        <f t="shared" si="136"/>
        <v>0</v>
      </c>
    </row>
    <row r="237" spans="1:108" s="164" customFormat="1">
      <c r="A237" s="150">
        <v>233</v>
      </c>
      <c r="B237" s="153" t="str">
        <f>IFERROR(INDEX(Lookups!$B$2:$B$38,MATCH('Project Info &amp; Summary'!$C$19,Lookups!$A$2:$A$38,0)),"")</f>
        <v/>
      </c>
      <c r="C237" s="153" t="str">
        <f>IFERROR(INDEX(Lookups!$C$2:$C$38,MATCH('Project Info &amp; Summary'!$C$19,Lookups!$A$2:$A$38,0)),"")</f>
        <v/>
      </c>
      <c r="D237" s="163"/>
      <c r="E237" s="160"/>
      <c r="F237" s="158"/>
      <c r="G237" s="158"/>
      <c r="H237" s="158"/>
      <c r="I237" s="158"/>
      <c r="J237" s="154" t="str">
        <f>IFERROR(INDEX(Lookups!$W$21:$W$26,MATCH(I237,Lookups!$V$21:$V$26,0)),"")</f>
        <v/>
      </c>
      <c r="K237" s="158"/>
      <c r="L237" s="162" t="str">
        <f>IFERROR(INDEX(Lookups!$Y$2:$Y$19,MATCH(_xlfn.CONCAT(I237,K237),Lookups!$X$2:$X$19,0)),"")</f>
        <v/>
      </c>
      <c r="M237" s="158"/>
      <c r="N237" s="153" t="str">
        <f>IFERROR(INDEX('Prescriptive Rebate Table'!$M$3:$M$20,MATCH(M237,'Prescriptive Rebate Table'!$L$3:$L$20,0)),"")</f>
        <v/>
      </c>
      <c r="O237" s="158"/>
      <c r="P237" s="154" t="str">
        <f>IFERROR(INDEX('Prescriptive Rebate Table'!$B$2:$H$64, MATCH(O237,'Prescriptive Rebate Table'!$C$2:$C$64,0),7),"")</f>
        <v/>
      </c>
      <c r="Q237" s="155" t="str">
        <f>IFERROR(INDEX('Prescriptive Rebate Table'!$B$2:$I$64, MATCH(O237,'Prescriptive Rebate Table'!$C$2:$C$64,0),8),"")</f>
        <v/>
      </c>
      <c r="R237" s="155" t="str">
        <f>IFERROR(INDEX('Prescriptive Rebate Table'!$B$2:$J$64, MATCH(O237,'Prescriptive Rebate Table'!$C$2:$C$64,0),9),"")</f>
        <v/>
      </c>
      <c r="S237" s="160"/>
      <c r="T237" s="145" t="str">
        <f>IFERROR(INDEX('Fixture Codes'!$M$8:$M$976,MATCH(S237,'Fixture Codes'!$B$8:$B$976,0)),"")</f>
        <v/>
      </c>
      <c r="U237" s="145" t="str">
        <f>IFERROR(INDEX('Fixture Codes'!$B$7:$M$976,MATCH(T237,'Fixture Codes'!$B$7:$B$976,0),5),"")</f>
        <v/>
      </c>
      <c r="V237" s="160"/>
      <c r="W237" s="145" t="str">
        <f>IFERROR(INDEX('Fixture Codes'!$L$8:$L$976,MATCH(T237,'Fixture Codes'!$B$8:$B$976,0)),"")</f>
        <v/>
      </c>
      <c r="X237" s="158"/>
      <c r="Y237" s="159"/>
      <c r="Z237" s="155" t="str">
        <f>IFERROR(INDEX(Lookups!B$68:B$87,MATCH($X237,Lookups!$A$68:$A$87,0)),"")</f>
        <v/>
      </c>
      <c r="AA237" s="150" t="str">
        <f>IFERROR(INDEX(Lookups!B$42:B$62,MATCH($X237,Lookups!$A$42:$A$62,0)),"")</f>
        <v/>
      </c>
      <c r="AB237" s="150" t="str">
        <f>IFERROR(INDEX(Lookups!C$42:C$62,MATCH($X237,Lookups!$A$42:$A$62,0)),"")</f>
        <v/>
      </c>
      <c r="AC237" s="160"/>
      <c r="AD237" s="160"/>
      <c r="AE237" s="150" t="str">
        <f>IFERROR(INDEX('Fixture Codes'!$B$7:$M$976,MATCH(AD237,'Fixture Codes'!$B$7:$B$976,0),5),"")</f>
        <v/>
      </c>
      <c r="AF237" s="160"/>
      <c r="AG237" s="145" t="str">
        <f>IFERROR(INDEX('Fixture Codes'!$L$8:$L$976,MATCH(AD237,'Fixture Codes'!$B$8:$B$976,0)),"")</f>
        <v/>
      </c>
      <c r="AH237" s="158"/>
      <c r="AI237" s="160"/>
      <c r="AJ237" s="150" t="str">
        <f>IFERROR(INDEX(Lookups!B$68:B$87,MATCH($AH237,Lookups!$A$68:$A$87,0)),"")</f>
        <v/>
      </c>
      <c r="AK237" s="150" t="str">
        <f>IFERROR(INDEX(Lookups!B$42:B$62,MATCH($AH237,Lookups!$A$42:$A$62,0)),"")</f>
        <v/>
      </c>
      <c r="AL237" s="150" t="str">
        <f>IFERROR(INDEX(Lookups!C$42:C$62,MATCH($AH237,Lookups!$A$42:$A$62,0)),"")</f>
        <v/>
      </c>
      <c r="AM237" s="150" t="str">
        <f>IFERROR(IF(M237="Exit Signs",8760,IF(INDEX('Fixture Codes'!$C$8:$C$976,MATCH(AD237,'Fixture Codes'!$B$8:$B$976,0))="Exit Sign",8760,INDEX(Lookups!$I$2:$I$428,MATCH(_xlfn.CONCAT(B237,H237),Lookups!$H$2:$H$428,0)))),"")</f>
        <v/>
      </c>
      <c r="AN237" s="153">
        <v>1</v>
      </c>
      <c r="AO237" s="150" t="str">
        <f>IF($D237="Interior",INDEX(Lookups!Q$2:Q$86,MATCH(_xlfn.CONCAT($C237,$L237),Lookups!$P$2:$P$86,0)),IF($D237="Exterior",1,""))</f>
        <v/>
      </c>
      <c r="AP237" s="150">
        <f t="shared" si="119"/>
        <v>1</v>
      </c>
      <c r="AQ237" s="150" t="str">
        <f>IF($D237="Interior",INDEX(Lookups!R$2:R$86,MATCH(_xlfn.CONCAT($C237,$L237),Lookups!$P$2:$P$86,0)),IF($D237="Exterior",1,""))</f>
        <v/>
      </c>
      <c r="AR237" s="150" t="str">
        <f>IF($D237="Interior",INDEX(Lookups!S$2:S$86,MATCH(_xlfn.CONCAT($C237,$L237),Lookups!$P$2:$P$86,0)),IF($D237="Exterior",1,""))</f>
        <v/>
      </c>
      <c r="AS237" s="150" t="str">
        <f>IF($D237="Interior",INDEX(Lookups!T$2:T$86,MATCH(_xlfn.CONCAT($C237,$L237),Lookups!$P$2:$P$86,0)),IF($D237="Exterior",1,""))</f>
        <v/>
      </c>
      <c r="AT237" s="150" t="str">
        <f>IFERROR(IF(M237="Exit Signs",1,IF(INDEX('Fixture Codes'!$C$8:$C$976,MATCH($AD237,'Fixture Codes'!$B$8:$B$976,0))="Exit Sign",1,INDEX(Lookups!J$2:J$428,MATCH(_xlfn.CONCAT($B237,$H237),Lookups!$H$2:$H$428,0)))),"")</f>
        <v/>
      </c>
      <c r="AU237" s="150" t="str">
        <f>IFERROR(IF(M237="Exit Signs",1,IF(INDEX('Fixture Codes'!$C$8:$C$976,MATCH($AD237,'Fixture Codes'!$B$8:$B$976,0))="Exit Sign",1,INDEX(Lookups!K$2:K$428,MATCH(_xlfn.CONCAT($B237,$H237),Lookups!$H$2:$H$428,0)))),"")</f>
        <v/>
      </c>
      <c r="AV237" s="150" t="str">
        <f>IFERROR(IF(M237="Exit Signs",1,IF(INDEX('Fixture Codes'!$C$8:$C$976,MATCH($AD237,'Fixture Codes'!$B$8:$B$976,0))="Exit Sign",1,INDEX(Lookups!L$2:L$428,MATCH(_xlfn.CONCAT($B237,$H237),Lookups!$H$2:$H$428,0)))),"")</f>
        <v/>
      </c>
      <c r="AW237" s="150" t="str">
        <f>IF(ISBLANK(K237),"",IF(K237="Gas",INDEX(Lookups!$AG$2:$AG$63,MATCH(O237,Lookups!$AD$2:$AD$63,0),0),0))</f>
        <v/>
      </c>
      <c r="AX237" s="150" t="str">
        <f>IF(ISBLANK(K237),"",IF(K237="Gas",INDEX(Lookups!$AF$2:$AF$63,MATCH(O237,Lookups!$AD$2:$AD$63,0),0),0))</f>
        <v/>
      </c>
      <c r="AY237" s="150" t="str">
        <f>IF(ISBLANK(K237),"",IF(K237="Gas",INDEX(Lookups!$AH$2:$AH$63,MATCH(O237,Lookups!$AD$2:$AD$63,0),0),0))</f>
        <v/>
      </c>
      <c r="AZ237" s="150" t="str">
        <f>IF(ISBLANK(K237),"",IF(K237="Gas",INDEX(Lookups!$AI$2:$AI$63,MATCH(O237,Lookups!$AD$2:$AD$63,0),0),0))</f>
        <v/>
      </c>
      <c r="BA237" s="150" t="str">
        <f t="shared" si="106"/>
        <v/>
      </c>
      <c r="BB237" s="156" t="str">
        <f>IF(ISBLANK(AH237),"",IF(AH237="None",0,IF(K237="Gas",INDEX(Lookups!$AF$51:$AF$69,MATCH(AH237,Lookups!$AD$51:$AD$69,0),0),0)))</f>
        <v/>
      </c>
      <c r="BC237" s="156" t="str">
        <f>IF(ISBLANK(AH237),"",IF(AH237="None",0,IF(K237="Gas",INDEX(Lookups!$AH$51:$AH$69,MATCH(AH237,Lookups!$AD$51:$AD$69,0),0),0)))</f>
        <v/>
      </c>
      <c r="BD237" s="156" t="str">
        <f>IF(ISBLANK(AH237),"",IF(AH237="None",0,IF(K237="Gas",INDEX(Lookups!$AI$51:$AI$69,MATCH(AH237,Lookups!$AD$51:$AD$69,0),0),0)))</f>
        <v/>
      </c>
      <c r="BE237" s="157"/>
      <c r="BF237" s="157"/>
      <c r="BG237" s="147" t="str">
        <f t="shared" si="120"/>
        <v/>
      </c>
      <c r="BH237" s="147" t="str">
        <f t="shared" si="121"/>
        <v/>
      </c>
      <c r="BI237" s="147" t="str">
        <f t="shared" si="107"/>
        <v/>
      </c>
      <c r="BJ237" s="147" t="str">
        <f t="shared" si="108"/>
        <v/>
      </c>
      <c r="BK237" s="148" t="str">
        <f t="shared" si="122"/>
        <v/>
      </c>
      <c r="BL237" s="147" t="str">
        <f t="shared" si="109"/>
        <v/>
      </c>
      <c r="BM237" s="148" t="str">
        <f t="shared" si="123"/>
        <v/>
      </c>
      <c r="BN237" s="147" t="str">
        <f t="shared" si="124"/>
        <v/>
      </c>
      <c r="BO237" s="147" t="str">
        <f t="shared" si="124"/>
        <v/>
      </c>
      <c r="BP237" s="147" t="str">
        <f t="shared" si="125"/>
        <v/>
      </c>
      <c r="BQ237" s="148" t="str">
        <f t="shared" si="126"/>
        <v/>
      </c>
      <c r="BR237" s="148" t="str">
        <f t="shared" si="127"/>
        <v/>
      </c>
      <c r="BS237" s="148" t="str">
        <f t="shared" si="128"/>
        <v/>
      </c>
      <c r="BT237" s="148" t="str">
        <f t="shared" si="110"/>
        <v/>
      </c>
      <c r="BU237" s="148" t="str">
        <f t="shared" si="111"/>
        <v/>
      </c>
      <c r="BV237" s="148" t="str">
        <f t="shared" si="112"/>
        <v/>
      </c>
      <c r="BW237" s="148" t="str">
        <f t="shared" si="113"/>
        <v/>
      </c>
      <c r="BX237" s="148" t="str">
        <f t="shared" si="114"/>
        <v/>
      </c>
      <c r="BY237" s="148" t="str">
        <f t="shared" si="115"/>
        <v/>
      </c>
      <c r="BZ237" s="149" t="str">
        <f>IFERROR(INDEX('Prescriptive Rebate Table'!$B$2:$E$64,MATCH(O237,'Prescriptive Rebate Table'!$C$2:$C$64,0),3),"")</f>
        <v/>
      </c>
      <c r="CA237" s="145" t="str">
        <f>IFERROR(INDEX('Prescriptive Rebate Table'!$B$2:$E$64,MATCH(O237,'Prescriptive Rebate Table'!$C$2:$C$64,0),4),"")</f>
        <v/>
      </c>
      <c r="CB237" s="149" t="str">
        <f t="shared" si="129"/>
        <v/>
      </c>
      <c r="CC237" s="145" t="str">
        <f t="shared" si="130"/>
        <v/>
      </c>
      <c r="CD237" s="149" t="str">
        <f t="shared" si="116"/>
        <v/>
      </c>
      <c r="CE237" s="149" t="str">
        <f t="shared" si="117"/>
        <v/>
      </c>
      <c r="CF237" s="149" t="str">
        <f>IF(BK237&lt;=0,0,IFERROR(IF(OR(ISBLANK(AC237),ISBLANK(CD237))=TRUE,"",IF(CA237="Per Foot",INDEX('Fixture Codes'!$I$8:$I$976,MATCH(AD237,'Fixture Codes'!$B$8:$B$976,0))/12*AF237*BZ237,IF(CA237="Lamp",INDEX('Fixture Codes'!$J$8:$J$976,MATCH(AD237,'Fixture Codes'!$B$8:$B$976,0))*AF237*BZ237,IF(CA237="Fixture",AF237*BZ237,IF(CA237="kWh",BK237*BZ237,0))))),""))</f>
        <v/>
      </c>
      <c r="CG237" s="149" t="str">
        <f t="shared" si="131"/>
        <v/>
      </c>
      <c r="CH237" s="149" t="str">
        <f t="shared" si="132"/>
        <v/>
      </c>
      <c r="CI237" s="152"/>
      <c r="CJ237" s="146"/>
      <c r="CK237" s="241">
        <f>IFERROR(IF(CL237="Yes",'Prescriptive Rebate Table'!$D$69,IF(ISBLANK(AI237),0,IF(AND(AH237=Lookups!$A$62,BK237&gt;0),'Prescriptive Rebate Table'!$D$68,IF(AND(BK237&gt;0,CJ237=AF237),'Prescriptive Rebate Table'!$D$67,IF(AND(BK237&gt;0,CJ237&lt;&gt;AF237),'Prescriptive Rebate Table'!D296,0))))),"")</f>
        <v>0</v>
      </c>
      <c r="CL237" s="240" t="s">
        <v>2712</v>
      </c>
      <c r="CM237" s="152"/>
      <c r="CN237" s="152"/>
      <c r="CO237" s="152"/>
      <c r="CP237" s="146">
        <f t="shared" si="118"/>
        <v>0</v>
      </c>
      <c r="CQ237" s="153">
        <f>IF(D237="Interior",ROUND(($AG237*AF237)/1000*$AM237*(Lookups!$B$54-$AA237)*$AN237*$AO237,3),0)</f>
        <v>0</v>
      </c>
      <c r="CR237" s="153">
        <f>IFERROR(IF(D237="Interior",ROUND(($AG237*$AF237)/1000*(Lookups!$C$54-$AB237)*$AN237*AQ237*AT237,6),0),"")</f>
        <v>0</v>
      </c>
      <c r="CS237" s="165">
        <f t="shared" si="133"/>
        <v>0</v>
      </c>
      <c r="CT237" s="165">
        <f t="shared" si="134"/>
        <v>0</v>
      </c>
      <c r="CV237" s="153"/>
      <c r="CW237" s="153"/>
      <c r="CX237" s="165"/>
      <c r="CY237" s="165"/>
      <c r="DA237" s="153">
        <f>IF(D237="Interior",ROUND(($AG237*AF237*(1-0.15))/1000*$AM237*(Lookups!$B$43+0.097-$AA237)*$AN237*$AO237+((W237*V237)/1000*AN237*AM237*AO237*0.15),3),0)</f>
        <v>0</v>
      </c>
      <c r="DB237" s="153">
        <f>IFERROR(IF(D237="Interior",ROUND(($AG237*$AF237)/1000*(Lookups!$C$43+0.097-$AB237)*$AN237*AQ237*AT237+(($AG237*$AF237)/1000*$AN237*AQ237*AT237*0.15),6),0),"")</f>
        <v>0</v>
      </c>
      <c r="DC237" s="165">
        <f t="shared" si="135"/>
        <v>0</v>
      </c>
      <c r="DD237" s="165">
        <f t="shared" si="136"/>
        <v>0</v>
      </c>
    </row>
    <row r="238" spans="1:108" s="164" customFormat="1">
      <c r="A238" s="150">
        <v>234</v>
      </c>
      <c r="B238" s="153" t="str">
        <f>IFERROR(INDEX(Lookups!$B$2:$B$38,MATCH('Project Info &amp; Summary'!$C$19,Lookups!$A$2:$A$38,0)),"")</f>
        <v/>
      </c>
      <c r="C238" s="153" t="str">
        <f>IFERROR(INDEX(Lookups!$C$2:$C$38,MATCH('Project Info &amp; Summary'!$C$19,Lookups!$A$2:$A$38,0)),"")</f>
        <v/>
      </c>
      <c r="D238" s="163"/>
      <c r="E238" s="160"/>
      <c r="F238" s="158"/>
      <c r="G238" s="158"/>
      <c r="H238" s="158"/>
      <c r="I238" s="158"/>
      <c r="J238" s="154" t="str">
        <f>IFERROR(INDEX(Lookups!$W$21:$W$26,MATCH(I238,Lookups!$V$21:$V$26,0)),"")</f>
        <v/>
      </c>
      <c r="K238" s="158"/>
      <c r="L238" s="162" t="str">
        <f>IFERROR(INDEX(Lookups!$Y$2:$Y$19,MATCH(_xlfn.CONCAT(I238,K238),Lookups!$X$2:$X$19,0)),"")</f>
        <v/>
      </c>
      <c r="M238" s="158"/>
      <c r="N238" s="153" t="str">
        <f>IFERROR(INDEX('Prescriptive Rebate Table'!$M$3:$M$20,MATCH(M238,'Prescriptive Rebate Table'!$L$3:$L$20,0)),"")</f>
        <v/>
      </c>
      <c r="O238" s="158"/>
      <c r="P238" s="154" t="str">
        <f>IFERROR(INDEX('Prescriptive Rebate Table'!$B$2:$H$64, MATCH(O238,'Prescriptive Rebate Table'!$C$2:$C$64,0),7),"")</f>
        <v/>
      </c>
      <c r="Q238" s="155" t="str">
        <f>IFERROR(INDEX('Prescriptive Rebate Table'!$B$2:$I$64, MATCH(O238,'Prescriptive Rebate Table'!$C$2:$C$64,0),8),"")</f>
        <v/>
      </c>
      <c r="R238" s="155" t="str">
        <f>IFERROR(INDEX('Prescriptive Rebate Table'!$B$2:$J$64, MATCH(O238,'Prescriptive Rebate Table'!$C$2:$C$64,0),9),"")</f>
        <v/>
      </c>
      <c r="S238" s="160"/>
      <c r="T238" s="145" t="str">
        <f>IFERROR(INDEX('Fixture Codes'!$M$8:$M$976,MATCH(S238,'Fixture Codes'!$B$8:$B$976,0)),"")</f>
        <v/>
      </c>
      <c r="U238" s="145" t="str">
        <f>IFERROR(INDEX('Fixture Codes'!$B$7:$M$976,MATCH(T238,'Fixture Codes'!$B$7:$B$976,0),5),"")</f>
        <v/>
      </c>
      <c r="V238" s="160"/>
      <c r="W238" s="145" t="str">
        <f>IFERROR(INDEX('Fixture Codes'!$L$8:$L$976,MATCH(T238,'Fixture Codes'!$B$8:$B$976,0)),"")</f>
        <v/>
      </c>
      <c r="X238" s="158"/>
      <c r="Y238" s="159"/>
      <c r="Z238" s="155" t="str">
        <f>IFERROR(INDEX(Lookups!B$68:B$87,MATCH($X238,Lookups!$A$68:$A$87,0)),"")</f>
        <v/>
      </c>
      <c r="AA238" s="150" t="str">
        <f>IFERROR(INDEX(Lookups!B$42:B$62,MATCH($X238,Lookups!$A$42:$A$62,0)),"")</f>
        <v/>
      </c>
      <c r="AB238" s="150" t="str">
        <f>IFERROR(INDEX(Lookups!C$42:C$62,MATCH($X238,Lookups!$A$42:$A$62,0)),"")</f>
        <v/>
      </c>
      <c r="AC238" s="160"/>
      <c r="AD238" s="160"/>
      <c r="AE238" s="150" t="str">
        <f>IFERROR(INDEX('Fixture Codes'!$B$7:$M$976,MATCH(AD238,'Fixture Codes'!$B$7:$B$976,0),5),"")</f>
        <v/>
      </c>
      <c r="AF238" s="160"/>
      <c r="AG238" s="145" t="str">
        <f>IFERROR(INDEX('Fixture Codes'!$L$8:$L$976,MATCH(AD238,'Fixture Codes'!$B$8:$B$976,0)),"")</f>
        <v/>
      </c>
      <c r="AH238" s="158"/>
      <c r="AI238" s="160"/>
      <c r="AJ238" s="150" t="str">
        <f>IFERROR(INDEX(Lookups!B$68:B$87,MATCH($AH238,Lookups!$A$68:$A$87,0)),"")</f>
        <v/>
      </c>
      <c r="AK238" s="150" t="str">
        <f>IFERROR(INDEX(Lookups!B$42:B$62,MATCH($AH238,Lookups!$A$42:$A$62,0)),"")</f>
        <v/>
      </c>
      <c r="AL238" s="150" t="str">
        <f>IFERROR(INDEX(Lookups!C$42:C$62,MATCH($AH238,Lookups!$A$42:$A$62,0)),"")</f>
        <v/>
      </c>
      <c r="AM238" s="150" t="str">
        <f>IFERROR(IF(M238="Exit Signs",8760,IF(INDEX('Fixture Codes'!$C$8:$C$976,MATCH(AD238,'Fixture Codes'!$B$8:$B$976,0))="Exit Sign",8760,INDEX(Lookups!$I$2:$I$428,MATCH(_xlfn.CONCAT(B238,H238),Lookups!$H$2:$H$428,0)))),"")</f>
        <v/>
      </c>
      <c r="AN238" s="153">
        <v>1</v>
      </c>
      <c r="AO238" s="150" t="str">
        <f>IF($D238="Interior",INDEX(Lookups!Q$2:Q$86,MATCH(_xlfn.CONCAT($C238,$L238),Lookups!$P$2:$P$86,0)),IF($D238="Exterior",1,""))</f>
        <v/>
      </c>
      <c r="AP238" s="150">
        <f t="shared" si="119"/>
        <v>1</v>
      </c>
      <c r="AQ238" s="150" t="str">
        <f>IF($D238="Interior",INDEX(Lookups!R$2:R$86,MATCH(_xlfn.CONCAT($C238,$L238),Lookups!$P$2:$P$86,0)),IF($D238="Exterior",1,""))</f>
        <v/>
      </c>
      <c r="AR238" s="150" t="str">
        <f>IF($D238="Interior",INDEX(Lookups!S$2:S$86,MATCH(_xlfn.CONCAT($C238,$L238),Lookups!$P$2:$P$86,0)),IF($D238="Exterior",1,""))</f>
        <v/>
      </c>
      <c r="AS238" s="150" t="str">
        <f>IF($D238="Interior",INDEX(Lookups!T$2:T$86,MATCH(_xlfn.CONCAT($C238,$L238),Lookups!$P$2:$P$86,0)),IF($D238="Exterior",1,""))</f>
        <v/>
      </c>
      <c r="AT238" s="150" t="str">
        <f>IFERROR(IF(M238="Exit Signs",1,IF(INDEX('Fixture Codes'!$C$8:$C$976,MATCH($AD238,'Fixture Codes'!$B$8:$B$976,0))="Exit Sign",1,INDEX(Lookups!J$2:J$428,MATCH(_xlfn.CONCAT($B238,$H238),Lookups!$H$2:$H$428,0)))),"")</f>
        <v/>
      </c>
      <c r="AU238" s="150" t="str">
        <f>IFERROR(IF(M238="Exit Signs",1,IF(INDEX('Fixture Codes'!$C$8:$C$976,MATCH($AD238,'Fixture Codes'!$B$8:$B$976,0))="Exit Sign",1,INDEX(Lookups!K$2:K$428,MATCH(_xlfn.CONCAT($B238,$H238),Lookups!$H$2:$H$428,0)))),"")</f>
        <v/>
      </c>
      <c r="AV238" s="150" t="str">
        <f>IFERROR(IF(M238="Exit Signs",1,IF(INDEX('Fixture Codes'!$C$8:$C$976,MATCH($AD238,'Fixture Codes'!$B$8:$B$976,0))="Exit Sign",1,INDEX(Lookups!L$2:L$428,MATCH(_xlfn.CONCAT($B238,$H238),Lookups!$H$2:$H$428,0)))),"")</f>
        <v/>
      </c>
      <c r="AW238" s="150" t="str">
        <f>IF(ISBLANK(K238),"",IF(K238="Gas",INDEX(Lookups!$AG$2:$AG$63,MATCH(O238,Lookups!$AD$2:$AD$63,0),0),0))</f>
        <v/>
      </c>
      <c r="AX238" s="150" t="str">
        <f>IF(ISBLANK(K238),"",IF(K238="Gas",INDEX(Lookups!$AF$2:$AF$63,MATCH(O238,Lookups!$AD$2:$AD$63,0),0),0))</f>
        <v/>
      </c>
      <c r="AY238" s="150" t="str">
        <f>IF(ISBLANK(K238),"",IF(K238="Gas",INDEX(Lookups!$AH$2:$AH$63,MATCH(O238,Lookups!$AD$2:$AD$63,0),0),0))</f>
        <v/>
      </c>
      <c r="AZ238" s="150" t="str">
        <f>IF(ISBLANK(K238),"",IF(K238="Gas",INDEX(Lookups!$AI$2:$AI$63,MATCH(O238,Lookups!$AD$2:$AD$63,0),0),0))</f>
        <v/>
      </c>
      <c r="BA238" s="150" t="str">
        <f t="shared" si="106"/>
        <v/>
      </c>
      <c r="BB238" s="156" t="str">
        <f>IF(ISBLANK(AH238),"",IF(AH238="None",0,IF(K238="Gas",INDEX(Lookups!$AF$51:$AF$69,MATCH(AH238,Lookups!$AD$51:$AD$69,0),0),0)))</f>
        <v/>
      </c>
      <c r="BC238" s="156" t="str">
        <f>IF(ISBLANK(AH238),"",IF(AH238="None",0,IF(K238="Gas",INDEX(Lookups!$AH$51:$AH$69,MATCH(AH238,Lookups!$AD$51:$AD$69,0),0),0)))</f>
        <v/>
      </c>
      <c r="BD238" s="156" t="str">
        <f>IF(ISBLANK(AH238),"",IF(AH238="None",0,IF(K238="Gas",INDEX(Lookups!$AI$51:$AI$69,MATCH(AH238,Lookups!$AD$51:$AD$69,0),0),0)))</f>
        <v/>
      </c>
      <c r="BE238" s="157"/>
      <c r="BF238" s="157"/>
      <c r="BG238" s="147" t="str">
        <f t="shared" si="120"/>
        <v/>
      </c>
      <c r="BH238" s="147" t="str">
        <f t="shared" si="121"/>
        <v/>
      </c>
      <c r="BI238" s="147" t="str">
        <f t="shared" si="107"/>
        <v/>
      </c>
      <c r="BJ238" s="147" t="str">
        <f t="shared" si="108"/>
        <v/>
      </c>
      <c r="BK238" s="148" t="str">
        <f t="shared" si="122"/>
        <v/>
      </c>
      <c r="BL238" s="147" t="str">
        <f t="shared" si="109"/>
        <v/>
      </c>
      <c r="BM238" s="148" t="str">
        <f t="shared" si="123"/>
        <v/>
      </c>
      <c r="BN238" s="147" t="str">
        <f t="shared" si="124"/>
        <v/>
      </c>
      <c r="BO238" s="147" t="str">
        <f t="shared" si="124"/>
        <v/>
      </c>
      <c r="BP238" s="147" t="str">
        <f t="shared" si="125"/>
        <v/>
      </c>
      <c r="BQ238" s="148" t="str">
        <f t="shared" si="126"/>
        <v/>
      </c>
      <c r="BR238" s="148" t="str">
        <f t="shared" si="127"/>
        <v/>
      </c>
      <c r="BS238" s="148" t="str">
        <f t="shared" si="128"/>
        <v/>
      </c>
      <c r="BT238" s="148" t="str">
        <f t="shared" si="110"/>
        <v/>
      </c>
      <c r="BU238" s="148" t="str">
        <f t="shared" si="111"/>
        <v/>
      </c>
      <c r="BV238" s="148" t="str">
        <f t="shared" si="112"/>
        <v/>
      </c>
      <c r="BW238" s="148" t="str">
        <f t="shared" si="113"/>
        <v/>
      </c>
      <c r="BX238" s="148" t="str">
        <f t="shared" si="114"/>
        <v/>
      </c>
      <c r="BY238" s="148" t="str">
        <f t="shared" si="115"/>
        <v/>
      </c>
      <c r="BZ238" s="149" t="str">
        <f>IFERROR(INDEX('Prescriptive Rebate Table'!$B$2:$E$64,MATCH(O238,'Prescriptive Rebate Table'!$C$2:$C$64,0),3),"")</f>
        <v/>
      </c>
      <c r="CA238" s="145" t="str">
        <f>IFERROR(INDEX('Prescriptive Rebate Table'!$B$2:$E$64,MATCH(O238,'Prescriptive Rebate Table'!$C$2:$C$64,0),4),"")</f>
        <v/>
      </c>
      <c r="CB238" s="149" t="str">
        <f t="shared" si="129"/>
        <v/>
      </c>
      <c r="CC238" s="145" t="str">
        <f t="shared" si="130"/>
        <v/>
      </c>
      <c r="CD238" s="149" t="str">
        <f t="shared" si="116"/>
        <v/>
      </c>
      <c r="CE238" s="149" t="str">
        <f t="shared" si="117"/>
        <v/>
      </c>
      <c r="CF238" s="149" t="str">
        <f>IF(BK238&lt;=0,0,IFERROR(IF(OR(ISBLANK(AC238),ISBLANK(CD238))=TRUE,"",IF(CA238="Per Foot",INDEX('Fixture Codes'!$I$8:$I$976,MATCH(AD238,'Fixture Codes'!$B$8:$B$976,0))/12*AF238*BZ238,IF(CA238="Lamp",INDEX('Fixture Codes'!$J$8:$J$976,MATCH(AD238,'Fixture Codes'!$B$8:$B$976,0))*AF238*BZ238,IF(CA238="Fixture",AF238*BZ238,IF(CA238="kWh",BK238*BZ238,0))))),""))</f>
        <v/>
      </c>
      <c r="CG238" s="149" t="str">
        <f t="shared" si="131"/>
        <v/>
      </c>
      <c r="CH238" s="149" t="str">
        <f t="shared" si="132"/>
        <v/>
      </c>
      <c r="CI238" s="152"/>
      <c r="CJ238" s="146"/>
      <c r="CK238" s="241">
        <f>IFERROR(IF(CL238="Yes",'Prescriptive Rebate Table'!$D$69,IF(ISBLANK(AI238),0,IF(AND(AH238=Lookups!$A$62,BK238&gt;0),'Prescriptive Rebate Table'!$D$68,IF(AND(BK238&gt;0,CJ238=AF238),'Prescriptive Rebate Table'!$D$67,IF(AND(BK238&gt;0,CJ238&lt;&gt;AF238),'Prescriptive Rebate Table'!D297,0))))),"")</f>
        <v>0</v>
      </c>
      <c r="CL238" s="240" t="s">
        <v>2712</v>
      </c>
      <c r="CM238" s="152"/>
      <c r="CN238" s="152"/>
      <c r="CO238" s="152"/>
      <c r="CP238" s="146">
        <f t="shared" si="118"/>
        <v>0</v>
      </c>
      <c r="CQ238" s="153">
        <f>IF(D238="Interior",ROUND(($AG238*AF238)/1000*$AM238*(Lookups!$B$54-$AA238)*$AN238*$AO238,3),0)</f>
        <v>0</v>
      </c>
      <c r="CR238" s="153">
        <f>IFERROR(IF(D238="Interior",ROUND(($AG238*$AF238)/1000*(Lookups!$C$54-$AB238)*$AN238*AQ238*AT238,6),0),"")</f>
        <v>0</v>
      </c>
      <c r="CS238" s="165">
        <f t="shared" si="133"/>
        <v>0</v>
      </c>
      <c r="CT238" s="165">
        <f t="shared" si="134"/>
        <v>0</v>
      </c>
      <c r="CV238" s="153"/>
      <c r="CW238" s="153"/>
      <c r="CX238" s="165"/>
      <c r="CY238" s="165"/>
      <c r="DA238" s="153">
        <f>IF(D238="Interior",ROUND(($AG238*AF238*(1-0.15))/1000*$AM238*(Lookups!$B$43+0.097-$AA238)*$AN238*$AO238+((W238*V238)/1000*AN238*AM238*AO238*0.15),3),0)</f>
        <v>0</v>
      </c>
      <c r="DB238" s="153">
        <f>IFERROR(IF(D238="Interior",ROUND(($AG238*$AF238)/1000*(Lookups!$C$43+0.097-$AB238)*$AN238*AQ238*AT238+(($AG238*$AF238)/1000*$AN238*AQ238*AT238*0.15),6),0),"")</f>
        <v>0</v>
      </c>
      <c r="DC238" s="165">
        <f t="shared" si="135"/>
        <v>0</v>
      </c>
      <c r="DD238" s="165">
        <f t="shared" si="136"/>
        <v>0</v>
      </c>
    </row>
    <row r="239" spans="1:108" s="164" customFormat="1">
      <c r="A239" s="150">
        <v>235</v>
      </c>
      <c r="B239" s="153" t="str">
        <f>IFERROR(INDEX(Lookups!$B$2:$B$38,MATCH('Project Info &amp; Summary'!$C$19,Lookups!$A$2:$A$38,0)),"")</f>
        <v/>
      </c>
      <c r="C239" s="153" t="str">
        <f>IFERROR(INDEX(Lookups!$C$2:$C$38,MATCH('Project Info &amp; Summary'!$C$19,Lookups!$A$2:$A$38,0)),"")</f>
        <v/>
      </c>
      <c r="D239" s="163"/>
      <c r="E239" s="160"/>
      <c r="F239" s="158"/>
      <c r="G239" s="158"/>
      <c r="H239" s="158"/>
      <c r="I239" s="158"/>
      <c r="J239" s="154" t="str">
        <f>IFERROR(INDEX(Lookups!$W$21:$W$26,MATCH(I239,Lookups!$V$21:$V$26,0)),"")</f>
        <v/>
      </c>
      <c r="K239" s="158"/>
      <c r="L239" s="162" t="str">
        <f>IFERROR(INDEX(Lookups!$Y$2:$Y$19,MATCH(_xlfn.CONCAT(I239,K239),Lookups!$X$2:$X$19,0)),"")</f>
        <v/>
      </c>
      <c r="M239" s="158"/>
      <c r="N239" s="153" t="str">
        <f>IFERROR(INDEX('Prescriptive Rebate Table'!$M$3:$M$20,MATCH(M239,'Prescriptive Rebate Table'!$L$3:$L$20,0)),"")</f>
        <v/>
      </c>
      <c r="O239" s="158"/>
      <c r="P239" s="154" t="str">
        <f>IFERROR(INDEX('Prescriptive Rebate Table'!$B$2:$H$64, MATCH(O239,'Prescriptive Rebate Table'!$C$2:$C$64,0),7),"")</f>
        <v/>
      </c>
      <c r="Q239" s="155" t="str">
        <f>IFERROR(INDEX('Prescriptive Rebate Table'!$B$2:$I$64, MATCH(O239,'Prescriptive Rebate Table'!$C$2:$C$64,0),8),"")</f>
        <v/>
      </c>
      <c r="R239" s="155" t="str">
        <f>IFERROR(INDEX('Prescriptive Rebate Table'!$B$2:$J$64, MATCH(O239,'Prescriptive Rebate Table'!$C$2:$C$64,0),9),"")</f>
        <v/>
      </c>
      <c r="S239" s="160"/>
      <c r="T239" s="145" t="str">
        <f>IFERROR(INDEX('Fixture Codes'!$M$8:$M$976,MATCH(S239,'Fixture Codes'!$B$8:$B$976,0)),"")</f>
        <v/>
      </c>
      <c r="U239" s="145" t="str">
        <f>IFERROR(INDEX('Fixture Codes'!$B$7:$M$976,MATCH(T239,'Fixture Codes'!$B$7:$B$976,0),5),"")</f>
        <v/>
      </c>
      <c r="V239" s="160"/>
      <c r="W239" s="145" t="str">
        <f>IFERROR(INDEX('Fixture Codes'!$L$8:$L$976,MATCH(T239,'Fixture Codes'!$B$8:$B$976,0)),"")</f>
        <v/>
      </c>
      <c r="X239" s="158"/>
      <c r="Y239" s="159"/>
      <c r="Z239" s="155" t="str">
        <f>IFERROR(INDEX(Lookups!B$68:B$87,MATCH($X239,Lookups!$A$68:$A$87,0)),"")</f>
        <v/>
      </c>
      <c r="AA239" s="150" t="str">
        <f>IFERROR(INDEX(Lookups!B$42:B$62,MATCH($X239,Lookups!$A$42:$A$62,0)),"")</f>
        <v/>
      </c>
      <c r="AB239" s="150" t="str">
        <f>IFERROR(INDEX(Lookups!C$42:C$62,MATCH($X239,Lookups!$A$42:$A$62,0)),"")</f>
        <v/>
      </c>
      <c r="AC239" s="160"/>
      <c r="AD239" s="160"/>
      <c r="AE239" s="150" t="str">
        <f>IFERROR(INDEX('Fixture Codes'!$B$7:$M$976,MATCH(AD239,'Fixture Codes'!$B$7:$B$976,0),5),"")</f>
        <v/>
      </c>
      <c r="AF239" s="160"/>
      <c r="AG239" s="145" t="str">
        <f>IFERROR(INDEX('Fixture Codes'!$L$8:$L$976,MATCH(AD239,'Fixture Codes'!$B$8:$B$976,0)),"")</f>
        <v/>
      </c>
      <c r="AH239" s="158"/>
      <c r="AI239" s="160"/>
      <c r="AJ239" s="150" t="str">
        <f>IFERROR(INDEX(Lookups!B$68:B$87,MATCH($AH239,Lookups!$A$68:$A$87,0)),"")</f>
        <v/>
      </c>
      <c r="AK239" s="150" t="str">
        <f>IFERROR(INDEX(Lookups!B$42:B$62,MATCH($AH239,Lookups!$A$42:$A$62,0)),"")</f>
        <v/>
      </c>
      <c r="AL239" s="150" t="str">
        <f>IFERROR(INDEX(Lookups!C$42:C$62,MATCH($AH239,Lookups!$A$42:$A$62,0)),"")</f>
        <v/>
      </c>
      <c r="AM239" s="150" t="str">
        <f>IFERROR(IF(M239="Exit Signs",8760,IF(INDEX('Fixture Codes'!$C$8:$C$976,MATCH(AD239,'Fixture Codes'!$B$8:$B$976,0))="Exit Sign",8760,INDEX(Lookups!$I$2:$I$428,MATCH(_xlfn.CONCAT(B239,H239),Lookups!$H$2:$H$428,0)))),"")</f>
        <v/>
      </c>
      <c r="AN239" s="153">
        <v>1</v>
      </c>
      <c r="AO239" s="150" t="str">
        <f>IF($D239="Interior",INDEX(Lookups!Q$2:Q$86,MATCH(_xlfn.CONCAT($C239,$L239),Lookups!$P$2:$P$86,0)),IF($D239="Exterior",1,""))</f>
        <v/>
      </c>
      <c r="AP239" s="150">
        <f t="shared" si="119"/>
        <v>1</v>
      </c>
      <c r="AQ239" s="150" t="str">
        <f>IF($D239="Interior",INDEX(Lookups!R$2:R$86,MATCH(_xlfn.CONCAT($C239,$L239),Lookups!$P$2:$P$86,0)),IF($D239="Exterior",1,""))</f>
        <v/>
      </c>
      <c r="AR239" s="150" t="str">
        <f>IF($D239="Interior",INDEX(Lookups!S$2:S$86,MATCH(_xlfn.CONCAT($C239,$L239),Lookups!$P$2:$P$86,0)),IF($D239="Exterior",1,""))</f>
        <v/>
      </c>
      <c r="AS239" s="150" t="str">
        <f>IF($D239="Interior",INDEX(Lookups!T$2:T$86,MATCH(_xlfn.CONCAT($C239,$L239),Lookups!$P$2:$P$86,0)),IF($D239="Exterior",1,""))</f>
        <v/>
      </c>
      <c r="AT239" s="150" t="str">
        <f>IFERROR(IF(M239="Exit Signs",1,IF(INDEX('Fixture Codes'!$C$8:$C$976,MATCH($AD239,'Fixture Codes'!$B$8:$B$976,0))="Exit Sign",1,INDEX(Lookups!J$2:J$428,MATCH(_xlfn.CONCAT($B239,$H239),Lookups!$H$2:$H$428,0)))),"")</f>
        <v/>
      </c>
      <c r="AU239" s="150" t="str">
        <f>IFERROR(IF(M239="Exit Signs",1,IF(INDEX('Fixture Codes'!$C$8:$C$976,MATCH($AD239,'Fixture Codes'!$B$8:$B$976,0))="Exit Sign",1,INDEX(Lookups!K$2:K$428,MATCH(_xlfn.CONCAT($B239,$H239),Lookups!$H$2:$H$428,0)))),"")</f>
        <v/>
      </c>
      <c r="AV239" s="150" t="str">
        <f>IFERROR(IF(M239="Exit Signs",1,IF(INDEX('Fixture Codes'!$C$8:$C$976,MATCH($AD239,'Fixture Codes'!$B$8:$B$976,0))="Exit Sign",1,INDEX(Lookups!L$2:L$428,MATCH(_xlfn.CONCAT($B239,$H239),Lookups!$H$2:$H$428,0)))),"")</f>
        <v/>
      </c>
      <c r="AW239" s="150" t="str">
        <f>IF(ISBLANK(K239),"",IF(K239="Gas",INDEX(Lookups!$AG$2:$AG$63,MATCH(O239,Lookups!$AD$2:$AD$63,0),0),0))</f>
        <v/>
      </c>
      <c r="AX239" s="150" t="str">
        <f>IF(ISBLANK(K239),"",IF(K239="Gas",INDEX(Lookups!$AF$2:$AF$63,MATCH(O239,Lookups!$AD$2:$AD$63,0),0),0))</f>
        <v/>
      </c>
      <c r="AY239" s="150" t="str">
        <f>IF(ISBLANK(K239),"",IF(K239="Gas",INDEX(Lookups!$AH$2:$AH$63,MATCH(O239,Lookups!$AD$2:$AD$63,0),0),0))</f>
        <v/>
      </c>
      <c r="AZ239" s="150" t="str">
        <f>IF(ISBLANK(K239),"",IF(K239="Gas",INDEX(Lookups!$AI$2:$AI$63,MATCH(O239,Lookups!$AD$2:$AD$63,0),0),0))</f>
        <v/>
      </c>
      <c r="BA239" s="150" t="str">
        <f t="shared" si="106"/>
        <v/>
      </c>
      <c r="BB239" s="156" t="str">
        <f>IF(ISBLANK(AH239),"",IF(AH239="None",0,IF(K239="Gas",INDEX(Lookups!$AF$51:$AF$69,MATCH(AH239,Lookups!$AD$51:$AD$69,0),0),0)))</f>
        <v/>
      </c>
      <c r="BC239" s="156" t="str">
        <f>IF(ISBLANK(AH239),"",IF(AH239="None",0,IF(K239="Gas",INDEX(Lookups!$AH$51:$AH$69,MATCH(AH239,Lookups!$AD$51:$AD$69,0),0),0)))</f>
        <v/>
      </c>
      <c r="BD239" s="156" t="str">
        <f>IF(ISBLANK(AH239),"",IF(AH239="None",0,IF(K239="Gas",INDEX(Lookups!$AI$51:$AI$69,MATCH(AH239,Lookups!$AD$51:$AD$69,0),0),0)))</f>
        <v/>
      </c>
      <c r="BE239" s="157"/>
      <c r="BF239" s="157"/>
      <c r="BG239" s="147" t="str">
        <f t="shared" si="120"/>
        <v/>
      </c>
      <c r="BH239" s="147" t="str">
        <f t="shared" si="121"/>
        <v/>
      </c>
      <c r="BI239" s="147" t="str">
        <f t="shared" si="107"/>
        <v/>
      </c>
      <c r="BJ239" s="147" t="str">
        <f t="shared" si="108"/>
        <v/>
      </c>
      <c r="BK239" s="148" t="str">
        <f t="shared" si="122"/>
        <v/>
      </c>
      <c r="BL239" s="147" t="str">
        <f t="shared" si="109"/>
        <v/>
      </c>
      <c r="BM239" s="148" t="str">
        <f t="shared" si="123"/>
        <v/>
      </c>
      <c r="BN239" s="147" t="str">
        <f t="shared" si="124"/>
        <v/>
      </c>
      <c r="BO239" s="147" t="str">
        <f t="shared" si="124"/>
        <v/>
      </c>
      <c r="BP239" s="147" t="str">
        <f t="shared" si="125"/>
        <v/>
      </c>
      <c r="BQ239" s="148" t="str">
        <f t="shared" si="126"/>
        <v/>
      </c>
      <c r="BR239" s="148" t="str">
        <f t="shared" si="127"/>
        <v/>
      </c>
      <c r="BS239" s="148" t="str">
        <f t="shared" si="128"/>
        <v/>
      </c>
      <c r="BT239" s="148" t="str">
        <f t="shared" si="110"/>
        <v/>
      </c>
      <c r="BU239" s="148" t="str">
        <f t="shared" si="111"/>
        <v/>
      </c>
      <c r="BV239" s="148" t="str">
        <f t="shared" si="112"/>
        <v/>
      </c>
      <c r="BW239" s="148" t="str">
        <f t="shared" si="113"/>
        <v/>
      </c>
      <c r="BX239" s="148" t="str">
        <f t="shared" si="114"/>
        <v/>
      </c>
      <c r="BY239" s="148" t="str">
        <f t="shared" si="115"/>
        <v/>
      </c>
      <c r="BZ239" s="149" t="str">
        <f>IFERROR(INDEX('Prescriptive Rebate Table'!$B$2:$E$64,MATCH(O239,'Prescriptive Rebate Table'!$C$2:$C$64,0),3),"")</f>
        <v/>
      </c>
      <c r="CA239" s="145" t="str">
        <f>IFERROR(INDEX('Prescriptive Rebate Table'!$B$2:$E$64,MATCH(O239,'Prescriptive Rebate Table'!$C$2:$C$64,0),4),"")</f>
        <v/>
      </c>
      <c r="CB239" s="149" t="str">
        <f t="shared" si="129"/>
        <v/>
      </c>
      <c r="CC239" s="145" t="str">
        <f t="shared" si="130"/>
        <v/>
      </c>
      <c r="CD239" s="149" t="str">
        <f t="shared" si="116"/>
        <v/>
      </c>
      <c r="CE239" s="149" t="str">
        <f t="shared" si="117"/>
        <v/>
      </c>
      <c r="CF239" s="149" t="str">
        <f>IF(BK239&lt;=0,0,IFERROR(IF(OR(ISBLANK(AC239),ISBLANK(CD239))=TRUE,"",IF(CA239="Per Foot",INDEX('Fixture Codes'!$I$8:$I$976,MATCH(AD239,'Fixture Codes'!$B$8:$B$976,0))/12*AF239*BZ239,IF(CA239="Lamp",INDEX('Fixture Codes'!$J$8:$J$976,MATCH(AD239,'Fixture Codes'!$B$8:$B$976,0))*AF239*BZ239,IF(CA239="Fixture",AF239*BZ239,IF(CA239="kWh",BK239*BZ239,0))))),""))</f>
        <v/>
      </c>
      <c r="CG239" s="149" t="str">
        <f t="shared" si="131"/>
        <v/>
      </c>
      <c r="CH239" s="149" t="str">
        <f t="shared" si="132"/>
        <v/>
      </c>
      <c r="CI239" s="152"/>
      <c r="CJ239" s="146"/>
      <c r="CK239" s="241">
        <f>IFERROR(IF(CL239="Yes",'Prescriptive Rebate Table'!$D$69,IF(ISBLANK(AI239),0,IF(AND(AH239=Lookups!$A$62,BK239&gt;0),'Prescriptive Rebate Table'!$D$68,IF(AND(BK239&gt;0,CJ239=AF239),'Prescriptive Rebate Table'!$D$67,IF(AND(BK239&gt;0,CJ239&lt;&gt;AF239),'Prescriptive Rebate Table'!D298,0))))),"")</f>
        <v>0</v>
      </c>
      <c r="CL239" s="240" t="s">
        <v>2712</v>
      </c>
      <c r="CM239" s="152"/>
      <c r="CN239" s="152"/>
      <c r="CO239" s="152"/>
      <c r="CP239" s="146">
        <f t="shared" si="118"/>
        <v>0</v>
      </c>
      <c r="CQ239" s="153">
        <f>IF(D239="Interior",ROUND(($AG239*AF239)/1000*$AM239*(Lookups!$B$54-$AA239)*$AN239*$AO239,3),0)</f>
        <v>0</v>
      </c>
      <c r="CR239" s="153">
        <f>IFERROR(IF(D239="Interior",ROUND(($AG239*$AF239)/1000*(Lookups!$C$54-$AB239)*$AN239*AQ239*AT239,6),0),"")</f>
        <v>0</v>
      </c>
      <c r="CS239" s="165">
        <f t="shared" si="133"/>
        <v>0</v>
      </c>
      <c r="CT239" s="165">
        <f t="shared" si="134"/>
        <v>0</v>
      </c>
      <c r="CV239" s="153"/>
      <c r="CW239" s="153"/>
      <c r="CX239" s="165"/>
      <c r="CY239" s="165"/>
      <c r="DA239" s="153">
        <f>IF(D239="Interior",ROUND(($AG239*AF239*(1-0.15))/1000*$AM239*(Lookups!$B$43+0.097-$AA239)*$AN239*$AO239+((W239*V239)/1000*AN239*AM239*AO239*0.15),3),0)</f>
        <v>0</v>
      </c>
      <c r="DB239" s="153">
        <f>IFERROR(IF(D239="Interior",ROUND(($AG239*$AF239)/1000*(Lookups!$C$43+0.097-$AB239)*$AN239*AQ239*AT239+(($AG239*$AF239)/1000*$AN239*AQ239*AT239*0.15),6),0),"")</f>
        <v>0</v>
      </c>
      <c r="DC239" s="165">
        <f t="shared" si="135"/>
        <v>0</v>
      </c>
      <c r="DD239" s="165">
        <f t="shared" si="136"/>
        <v>0</v>
      </c>
    </row>
    <row r="240" spans="1:108" s="164" customFormat="1">
      <c r="A240" s="150">
        <v>236</v>
      </c>
      <c r="B240" s="153" t="str">
        <f>IFERROR(INDEX(Lookups!$B$2:$B$38,MATCH('Project Info &amp; Summary'!$C$19,Lookups!$A$2:$A$38,0)),"")</f>
        <v/>
      </c>
      <c r="C240" s="153" t="str">
        <f>IFERROR(INDEX(Lookups!$C$2:$C$38,MATCH('Project Info &amp; Summary'!$C$19,Lookups!$A$2:$A$38,0)),"")</f>
        <v/>
      </c>
      <c r="D240" s="163"/>
      <c r="E240" s="160"/>
      <c r="F240" s="158"/>
      <c r="G240" s="158"/>
      <c r="H240" s="158"/>
      <c r="I240" s="158"/>
      <c r="J240" s="154" t="str">
        <f>IFERROR(INDEX(Lookups!$W$21:$W$26,MATCH(I240,Lookups!$V$21:$V$26,0)),"")</f>
        <v/>
      </c>
      <c r="K240" s="158"/>
      <c r="L240" s="162" t="str">
        <f>IFERROR(INDEX(Lookups!$Y$2:$Y$19,MATCH(_xlfn.CONCAT(I240,K240),Lookups!$X$2:$X$19,0)),"")</f>
        <v/>
      </c>
      <c r="M240" s="158"/>
      <c r="N240" s="153" t="str">
        <f>IFERROR(INDEX('Prescriptive Rebate Table'!$M$3:$M$20,MATCH(M240,'Prescriptive Rebate Table'!$L$3:$L$20,0)),"")</f>
        <v/>
      </c>
      <c r="O240" s="158"/>
      <c r="P240" s="154" t="str">
        <f>IFERROR(INDEX('Prescriptive Rebate Table'!$B$2:$H$64, MATCH(O240,'Prescriptive Rebate Table'!$C$2:$C$64,0),7),"")</f>
        <v/>
      </c>
      <c r="Q240" s="155" t="str">
        <f>IFERROR(INDEX('Prescriptive Rebate Table'!$B$2:$I$64, MATCH(O240,'Prescriptive Rebate Table'!$C$2:$C$64,0),8),"")</f>
        <v/>
      </c>
      <c r="R240" s="155" t="str">
        <f>IFERROR(INDEX('Prescriptive Rebate Table'!$B$2:$J$64, MATCH(O240,'Prescriptive Rebate Table'!$C$2:$C$64,0),9),"")</f>
        <v/>
      </c>
      <c r="S240" s="160"/>
      <c r="T240" s="145" t="str">
        <f>IFERROR(INDEX('Fixture Codes'!$M$8:$M$976,MATCH(S240,'Fixture Codes'!$B$8:$B$976,0)),"")</f>
        <v/>
      </c>
      <c r="U240" s="145" t="str">
        <f>IFERROR(INDEX('Fixture Codes'!$B$7:$M$976,MATCH(T240,'Fixture Codes'!$B$7:$B$976,0),5),"")</f>
        <v/>
      </c>
      <c r="V240" s="160"/>
      <c r="W240" s="145" t="str">
        <f>IFERROR(INDEX('Fixture Codes'!$L$8:$L$976,MATCH(T240,'Fixture Codes'!$B$8:$B$976,0)),"")</f>
        <v/>
      </c>
      <c r="X240" s="158"/>
      <c r="Y240" s="159"/>
      <c r="Z240" s="155" t="str">
        <f>IFERROR(INDEX(Lookups!B$68:B$87,MATCH($X240,Lookups!$A$68:$A$87,0)),"")</f>
        <v/>
      </c>
      <c r="AA240" s="150" t="str">
        <f>IFERROR(INDEX(Lookups!B$42:B$62,MATCH($X240,Lookups!$A$42:$A$62,0)),"")</f>
        <v/>
      </c>
      <c r="AB240" s="150" t="str">
        <f>IFERROR(INDEX(Lookups!C$42:C$62,MATCH($X240,Lookups!$A$42:$A$62,0)),"")</f>
        <v/>
      </c>
      <c r="AC240" s="160"/>
      <c r="AD240" s="160"/>
      <c r="AE240" s="150" t="str">
        <f>IFERROR(INDEX('Fixture Codes'!$B$7:$M$976,MATCH(AD240,'Fixture Codes'!$B$7:$B$976,0),5),"")</f>
        <v/>
      </c>
      <c r="AF240" s="160"/>
      <c r="AG240" s="145" t="str">
        <f>IFERROR(INDEX('Fixture Codes'!$L$8:$L$976,MATCH(AD240,'Fixture Codes'!$B$8:$B$976,0)),"")</f>
        <v/>
      </c>
      <c r="AH240" s="158"/>
      <c r="AI240" s="160"/>
      <c r="AJ240" s="150" t="str">
        <f>IFERROR(INDEX(Lookups!B$68:B$87,MATCH($AH240,Lookups!$A$68:$A$87,0)),"")</f>
        <v/>
      </c>
      <c r="AK240" s="150" t="str">
        <f>IFERROR(INDEX(Lookups!B$42:B$62,MATCH($AH240,Lookups!$A$42:$A$62,0)),"")</f>
        <v/>
      </c>
      <c r="AL240" s="150" t="str">
        <f>IFERROR(INDEX(Lookups!C$42:C$62,MATCH($AH240,Lookups!$A$42:$A$62,0)),"")</f>
        <v/>
      </c>
      <c r="AM240" s="150" t="str">
        <f>IFERROR(IF(M240="Exit Signs",8760,IF(INDEX('Fixture Codes'!$C$8:$C$976,MATCH(AD240,'Fixture Codes'!$B$8:$B$976,0))="Exit Sign",8760,INDEX(Lookups!$I$2:$I$428,MATCH(_xlfn.CONCAT(B240,H240),Lookups!$H$2:$H$428,0)))),"")</f>
        <v/>
      </c>
      <c r="AN240" s="153">
        <v>1</v>
      </c>
      <c r="AO240" s="150" t="str">
        <f>IF($D240="Interior",INDEX(Lookups!Q$2:Q$86,MATCH(_xlfn.CONCAT($C240,$L240),Lookups!$P$2:$P$86,0)),IF($D240="Exterior",1,""))</f>
        <v/>
      </c>
      <c r="AP240" s="150">
        <f t="shared" si="119"/>
        <v>1</v>
      </c>
      <c r="AQ240" s="150" t="str">
        <f>IF($D240="Interior",INDEX(Lookups!R$2:R$86,MATCH(_xlfn.CONCAT($C240,$L240),Lookups!$P$2:$P$86,0)),IF($D240="Exterior",1,""))</f>
        <v/>
      </c>
      <c r="AR240" s="150" t="str">
        <f>IF($D240="Interior",INDEX(Lookups!S$2:S$86,MATCH(_xlfn.CONCAT($C240,$L240),Lookups!$P$2:$P$86,0)),IF($D240="Exterior",1,""))</f>
        <v/>
      </c>
      <c r="AS240" s="150" t="str">
        <f>IF($D240="Interior",INDEX(Lookups!T$2:T$86,MATCH(_xlfn.CONCAT($C240,$L240),Lookups!$P$2:$P$86,0)),IF($D240="Exterior",1,""))</f>
        <v/>
      </c>
      <c r="AT240" s="150" t="str">
        <f>IFERROR(IF(M240="Exit Signs",1,IF(INDEX('Fixture Codes'!$C$8:$C$976,MATCH($AD240,'Fixture Codes'!$B$8:$B$976,0))="Exit Sign",1,INDEX(Lookups!J$2:J$428,MATCH(_xlfn.CONCAT($B240,$H240),Lookups!$H$2:$H$428,0)))),"")</f>
        <v/>
      </c>
      <c r="AU240" s="150" t="str">
        <f>IFERROR(IF(M240="Exit Signs",1,IF(INDEX('Fixture Codes'!$C$8:$C$976,MATCH($AD240,'Fixture Codes'!$B$8:$B$976,0))="Exit Sign",1,INDEX(Lookups!K$2:K$428,MATCH(_xlfn.CONCAT($B240,$H240),Lookups!$H$2:$H$428,0)))),"")</f>
        <v/>
      </c>
      <c r="AV240" s="150" t="str">
        <f>IFERROR(IF(M240="Exit Signs",1,IF(INDEX('Fixture Codes'!$C$8:$C$976,MATCH($AD240,'Fixture Codes'!$B$8:$B$976,0))="Exit Sign",1,INDEX(Lookups!L$2:L$428,MATCH(_xlfn.CONCAT($B240,$H240),Lookups!$H$2:$H$428,0)))),"")</f>
        <v/>
      </c>
      <c r="AW240" s="150" t="str">
        <f>IF(ISBLANK(K240),"",IF(K240="Gas",INDEX(Lookups!$AG$2:$AG$63,MATCH(O240,Lookups!$AD$2:$AD$63,0),0),0))</f>
        <v/>
      </c>
      <c r="AX240" s="150" t="str">
        <f>IF(ISBLANK(K240),"",IF(K240="Gas",INDEX(Lookups!$AF$2:$AF$63,MATCH(O240,Lookups!$AD$2:$AD$63,0),0),0))</f>
        <v/>
      </c>
      <c r="AY240" s="150" t="str">
        <f>IF(ISBLANK(K240),"",IF(K240="Gas",INDEX(Lookups!$AH$2:$AH$63,MATCH(O240,Lookups!$AD$2:$AD$63,0),0),0))</f>
        <v/>
      </c>
      <c r="AZ240" s="150" t="str">
        <f>IF(ISBLANK(K240),"",IF(K240="Gas",INDEX(Lookups!$AI$2:$AI$63,MATCH(O240,Lookups!$AD$2:$AD$63,0),0),0))</f>
        <v/>
      </c>
      <c r="BA240" s="150" t="str">
        <f t="shared" si="106"/>
        <v/>
      </c>
      <c r="BB240" s="156" t="str">
        <f>IF(ISBLANK(AH240),"",IF(AH240="None",0,IF(K240="Gas",INDEX(Lookups!$AF$51:$AF$69,MATCH(AH240,Lookups!$AD$51:$AD$69,0),0),0)))</f>
        <v/>
      </c>
      <c r="BC240" s="156" t="str">
        <f>IF(ISBLANK(AH240),"",IF(AH240="None",0,IF(K240="Gas",INDEX(Lookups!$AH$51:$AH$69,MATCH(AH240,Lookups!$AD$51:$AD$69,0),0),0)))</f>
        <v/>
      </c>
      <c r="BD240" s="156" t="str">
        <f>IF(ISBLANK(AH240),"",IF(AH240="None",0,IF(K240="Gas",INDEX(Lookups!$AI$51:$AI$69,MATCH(AH240,Lookups!$AD$51:$AD$69,0),0),0)))</f>
        <v/>
      </c>
      <c r="BE240" s="157"/>
      <c r="BF240" s="157"/>
      <c r="BG240" s="147" t="str">
        <f t="shared" si="120"/>
        <v/>
      </c>
      <c r="BH240" s="147" t="str">
        <f t="shared" si="121"/>
        <v/>
      </c>
      <c r="BI240" s="147" t="str">
        <f t="shared" si="107"/>
        <v/>
      </c>
      <c r="BJ240" s="147" t="str">
        <f t="shared" si="108"/>
        <v/>
      </c>
      <c r="BK240" s="148" t="str">
        <f t="shared" si="122"/>
        <v/>
      </c>
      <c r="BL240" s="147" t="str">
        <f t="shared" si="109"/>
        <v/>
      </c>
      <c r="BM240" s="148" t="str">
        <f t="shared" si="123"/>
        <v/>
      </c>
      <c r="BN240" s="147" t="str">
        <f t="shared" si="124"/>
        <v/>
      </c>
      <c r="BO240" s="147" t="str">
        <f t="shared" si="124"/>
        <v/>
      </c>
      <c r="BP240" s="147" t="str">
        <f t="shared" si="125"/>
        <v/>
      </c>
      <c r="BQ240" s="148" t="str">
        <f t="shared" si="126"/>
        <v/>
      </c>
      <c r="BR240" s="148" t="str">
        <f t="shared" si="127"/>
        <v/>
      </c>
      <c r="BS240" s="148" t="str">
        <f t="shared" si="128"/>
        <v/>
      </c>
      <c r="BT240" s="148" t="str">
        <f t="shared" si="110"/>
        <v/>
      </c>
      <c r="BU240" s="148" t="str">
        <f t="shared" si="111"/>
        <v/>
      </c>
      <c r="BV240" s="148" t="str">
        <f t="shared" si="112"/>
        <v/>
      </c>
      <c r="BW240" s="148" t="str">
        <f t="shared" si="113"/>
        <v/>
      </c>
      <c r="BX240" s="148" t="str">
        <f t="shared" si="114"/>
        <v/>
      </c>
      <c r="BY240" s="148" t="str">
        <f t="shared" si="115"/>
        <v/>
      </c>
      <c r="BZ240" s="149" t="str">
        <f>IFERROR(INDEX('Prescriptive Rebate Table'!$B$2:$E$64,MATCH(O240,'Prescriptive Rebate Table'!$C$2:$C$64,0),3),"")</f>
        <v/>
      </c>
      <c r="CA240" s="145" t="str">
        <f>IFERROR(INDEX('Prescriptive Rebate Table'!$B$2:$E$64,MATCH(O240,'Prescriptive Rebate Table'!$C$2:$C$64,0),4),"")</f>
        <v/>
      </c>
      <c r="CB240" s="149" t="str">
        <f t="shared" si="129"/>
        <v/>
      </c>
      <c r="CC240" s="145" t="str">
        <f t="shared" si="130"/>
        <v/>
      </c>
      <c r="CD240" s="149" t="str">
        <f t="shared" si="116"/>
        <v/>
      </c>
      <c r="CE240" s="149" t="str">
        <f t="shared" si="117"/>
        <v/>
      </c>
      <c r="CF240" s="149" t="str">
        <f>IF(BK240&lt;=0,0,IFERROR(IF(OR(ISBLANK(AC240),ISBLANK(CD240))=TRUE,"",IF(CA240="Per Foot",INDEX('Fixture Codes'!$I$8:$I$976,MATCH(AD240,'Fixture Codes'!$B$8:$B$976,0))/12*AF240*BZ240,IF(CA240="Lamp",INDEX('Fixture Codes'!$J$8:$J$976,MATCH(AD240,'Fixture Codes'!$B$8:$B$976,0))*AF240*BZ240,IF(CA240="Fixture",AF240*BZ240,IF(CA240="kWh",BK240*BZ240,0))))),""))</f>
        <v/>
      </c>
      <c r="CG240" s="149" t="str">
        <f t="shared" si="131"/>
        <v/>
      </c>
      <c r="CH240" s="149" t="str">
        <f t="shared" si="132"/>
        <v/>
      </c>
      <c r="CI240" s="152"/>
      <c r="CJ240" s="146"/>
      <c r="CK240" s="241">
        <f>IFERROR(IF(CL240="Yes",'Prescriptive Rebate Table'!$D$69,IF(ISBLANK(AI240),0,IF(AND(AH240=Lookups!$A$62,BK240&gt;0),'Prescriptive Rebate Table'!$D$68,IF(AND(BK240&gt;0,CJ240=AF240),'Prescriptive Rebate Table'!$D$67,IF(AND(BK240&gt;0,CJ240&lt;&gt;AF240),'Prescriptive Rebate Table'!D299,0))))),"")</f>
        <v>0</v>
      </c>
      <c r="CL240" s="240" t="s">
        <v>2712</v>
      </c>
      <c r="CM240" s="152"/>
      <c r="CN240" s="152"/>
      <c r="CO240" s="152"/>
      <c r="CP240" s="146">
        <f t="shared" si="118"/>
        <v>0</v>
      </c>
      <c r="CQ240" s="153">
        <f>IF(D240="Interior",ROUND(($AG240*AF240)/1000*$AM240*(Lookups!$B$54-$AA240)*$AN240*$AO240,3),0)</f>
        <v>0</v>
      </c>
      <c r="CR240" s="153">
        <f>IFERROR(IF(D240="Interior",ROUND(($AG240*$AF240)/1000*(Lookups!$C$54-$AB240)*$AN240*AQ240*AT240,6),0),"")</f>
        <v>0</v>
      </c>
      <c r="CS240" s="165">
        <f t="shared" si="133"/>
        <v>0</v>
      </c>
      <c r="CT240" s="165">
        <f t="shared" si="134"/>
        <v>0</v>
      </c>
      <c r="CV240" s="153"/>
      <c r="CW240" s="153"/>
      <c r="CX240" s="165"/>
      <c r="CY240" s="165"/>
      <c r="DA240" s="153">
        <f>IF(D240="Interior",ROUND(($AG240*AF240*(1-0.15))/1000*$AM240*(Lookups!$B$43+0.097-$AA240)*$AN240*$AO240+((W240*V240)/1000*AN240*AM240*AO240*0.15),3),0)</f>
        <v>0</v>
      </c>
      <c r="DB240" s="153">
        <f>IFERROR(IF(D240="Interior",ROUND(($AG240*$AF240)/1000*(Lookups!$C$43+0.097-$AB240)*$AN240*AQ240*AT240+(($AG240*$AF240)/1000*$AN240*AQ240*AT240*0.15),6),0),"")</f>
        <v>0</v>
      </c>
      <c r="DC240" s="165">
        <f t="shared" si="135"/>
        <v>0</v>
      </c>
      <c r="DD240" s="165">
        <f t="shared" si="136"/>
        <v>0</v>
      </c>
    </row>
    <row r="241" spans="1:108" s="164" customFormat="1">
      <c r="A241" s="150">
        <v>237</v>
      </c>
      <c r="B241" s="153" t="str">
        <f>IFERROR(INDEX(Lookups!$B$2:$B$38,MATCH('Project Info &amp; Summary'!$C$19,Lookups!$A$2:$A$38,0)),"")</f>
        <v/>
      </c>
      <c r="C241" s="153" t="str">
        <f>IFERROR(INDEX(Lookups!$C$2:$C$38,MATCH('Project Info &amp; Summary'!$C$19,Lookups!$A$2:$A$38,0)),"")</f>
        <v/>
      </c>
      <c r="D241" s="163"/>
      <c r="E241" s="160"/>
      <c r="F241" s="158"/>
      <c r="G241" s="158"/>
      <c r="H241" s="158"/>
      <c r="I241" s="158"/>
      <c r="J241" s="154" t="str">
        <f>IFERROR(INDEX(Lookups!$W$21:$W$26,MATCH(I241,Lookups!$V$21:$V$26,0)),"")</f>
        <v/>
      </c>
      <c r="K241" s="158"/>
      <c r="L241" s="162" t="str">
        <f>IFERROR(INDEX(Lookups!$Y$2:$Y$19,MATCH(_xlfn.CONCAT(I241,K241),Lookups!$X$2:$X$19,0)),"")</f>
        <v/>
      </c>
      <c r="M241" s="158"/>
      <c r="N241" s="153" t="str">
        <f>IFERROR(INDEX('Prescriptive Rebate Table'!$M$3:$M$20,MATCH(M241,'Prescriptive Rebate Table'!$L$3:$L$20,0)),"")</f>
        <v/>
      </c>
      <c r="O241" s="158"/>
      <c r="P241" s="154" t="str">
        <f>IFERROR(INDEX('Prescriptive Rebate Table'!$B$2:$H$64, MATCH(O241,'Prescriptive Rebate Table'!$C$2:$C$64,0),7),"")</f>
        <v/>
      </c>
      <c r="Q241" s="155" t="str">
        <f>IFERROR(INDEX('Prescriptive Rebate Table'!$B$2:$I$64, MATCH(O241,'Prescriptive Rebate Table'!$C$2:$C$64,0),8),"")</f>
        <v/>
      </c>
      <c r="R241" s="155" t="str">
        <f>IFERROR(INDEX('Prescriptive Rebate Table'!$B$2:$J$64, MATCH(O241,'Prescriptive Rebate Table'!$C$2:$C$64,0),9),"")</f>
        <v/>
      </c>
      <c r="S241" s="160"/>
      <c r="T241" s="145" t="str">
        <f>IFERROR(INDEX('Fixture Codes'!$M$8:$M$976,MATCH(S241,'Fixture Codes'!$B$8:$B$976,0)),"")</f>
        <v/>
      </c>
      <c r="U241" s="145" t="str">
        <f>IFERROR(INDEX('Fixture Codes'!$B$7:$M$976,MATCH(T241,'Fixture Codes'!$B$7:$B$976,0),5),"")</f>
        <v/>
      </c>
      <c r="V241" s="160"/>
      <c r="W241" s="145" t="str">
        <f>IFERROR(INDEX('Fixture Codes'!$L$8:$L$976,MATCH(T241,'Fixture Codes'!$B$8:$B$976,0)),"")</f>
        <v/>
      </c>
      <c r="X241" s="158"/>
      <c r="Y241" s="159"/>
      <c r="Z241" s="155" t="str">
        <f>IFERROR(INDEX(Lookups!B$68:B$87,MATCH($X241,Lookups!$A$68:$A$87,0)),"")</f>
        <v/>
      </c>
      <c r="AA241" s="150" t="str">
        <f>IFERROR(INDEX(Lookups!B$42:B$62,MATCH($X241,Lookups!$A$42:$A$62,0)),"")</f>
        <v/>
      </c>
      <c r="AB241" s="150" t="str">
        <f>IFERROR(INDEX(Lookups!C$42:C$62,MATCH($X241,Lookups!$A$42:$A$62,0)),"")</f>
        <v/>
      </c>
      <c r="AC241" s="160"/>
      <c r="AD241" s="160"/>
      <c r="AE241" s="150" t="str">
        <f>IFERROR(INDEX('Fixture Codes'!$B$7:$M$976,MATCH(AD241,'Fixture Codes'!$B$7:$B$976,0),5),"")</f>
        <v/>
      </c>
      <c r="AF241" s="160"/>
      <c r="AG241" s="145" t="str">
        <f>IFERROR(INDEX('Fixture Codes'!$L$8:$L$976,MATCH(AD241,'Fixture Codes'!$B$8:$B$976,0)),"")</f>
        <v/>
      </c>
      <c r="AH241" s="158"/>
      <c r="AI241" s="160"/>
      <c r="AJ241" s="150" t="str">
        <f>IFERROR(INDEX(Lookups!B$68:B$87,MATCH($AH241,Lookups!$A$68:$A$87,0)),"")</f>
        <v/>
      </c>
      <c r="AK241" s="150" t="str">
        <f>IFERROR(INDEX(Lookups!B$42:B$62,MATCH($AH241,Lookups!$A$42:$A$62,0)),"")</f>
        <v/>
      </c>
      <c r="AL241" s="150" t="str">
        <f>IFERROR(INDEX(Lookups!C$42:C$62,MATCH($AH241,Lookups!$A$42:$A$62,0)),"")</f>
        <v/>
      </c>
      <c r="AM241" s="150" t="str">
        <f>IFERROR(IF(M241="Exit Signs",8760,IF(INDEX('Fixture Codes'!$C$8:$C$976,MATCH(AD241,'Fixture Codes'!$B$8:$B$976,0))="Exit Sign",8760,INDEX(Lookups!$I$2:$I$428,MATCH(_xlfn.CONCAT(B241,H241),Lookups!$H$2:$H$428,0)))),"")</f>
        <v/>
      </c>
      <c r="AN241" s="153">
        <v>1</v>
      </c>
      <c r="AO241" s="150" t="str">
        <f>IF($D241="Interior",INDEX(Lookups!Q$2:Q$86,MATCH(_xlfn.CONCAT($C241,$L241),Lookups!$P$2:$P$86,0)),IF($D241="Exterior",1,""))</f>
        <v/>
      </c>
      <c r="AP241" s="150">
        <f t="shared" si="119"/>
        <v>1</v>
      </c>
      <c r="AQ241" s="150" t="str">
        <f>IF($D241="Interior",INDEX(Lookups!R$2:R$86,MATCH(_xlfn.CONCAT($C241,$L241),Lookups!$P$2:$P$86,0)),IF($D241="Exterior",1,""))</f>
        <v/>
      </c>
      <c r="AR241" s="150" t="str">
        <f>IF($D241="Interior",INDEX(Lookups!S$2:S$86,MATCH(_xlfn.CONCAT($C241,$L241),Lookups!$P$2:$P$86,0)),IF($D241="Exterior",1,""))</f>
        <v/>
      </c>
      <c r="AS241" s="150" t="str">
        <f>IF($D241="Interior",INDEX(Lookups!T$2:T$86,MATCH(_xlfn.CONCAT($C241,$L241),Lookups!$P$2:$P$86,0)),IF($D241="Exterior",1,""))</f>
        <v/>
      </c>
      <c r="AT241" s="150" t="str">
        <f>IFERROR(IF(M241="Exit Signs",1,IF(INDEX('Fixture Codes'!$C$8:$C$976,MATCH($AD241,'Fixture Codes'!$B$8:$B$976,0))="Exit Sign",1,INDEX(Lookups!J$2:J$428,MATCH(_xlfn.CONCAT($B241,$H241),Lookups!$H$2:$H$428,0)))),"")</f>
        <v/>
      </c>
      <c r="AU241" s="150" t="str">
        <f>IFERROR(IF(M241="Exit Signs",1,IF(INDEX('Fixture Codes'!$C$8:$C$976,MATCH($AD241,'Fixture Codes'!$B$8:$B$976,0))="Exit Sign",1,INDEX(Lookups!K$2:K$428,MATCH(_xlfn.CONCAT($B241,$H241),Lookups!$H$2:$H$428,0)))),"")</f>
        <v/>
      </c>
      <c r="AV241" s="150" t="str">
        <f>IFERROR(IF(M241="Exit Signs",1,IF(INDEX('Fixture Codes'!$C$8:$C$976,MATCH($AD241,'Fixture Codes'!$B$8:$B$976,0))="Exit Sign",1,INDEX(Lookups!L$2:L$428,MATCH(_xlfn.CONCAT($B241,$H241),Lookups!$H$2:$H$428,0)))),"")</f>
        <v/>
      </c>
      <c r="AW241" s="150" t="str">
        <f>IF(ISBLANK(K241),"",IF(K241="Gas",INDEX(Lookups!$AG$2:$AG$63,MATCH(O241,Lookups!$AD$2:$AD$63,0),0),0))</f>
        <v/>
      </c>
      <c r="AX241" s="150" t="str">
        <f>IF(ISBLANK(K241),"",IF(K241="Gas",INDEX(Lookups!$AF$2:$AF$63,MATCH(O241,Lookups!$AD$2:$AD$63,0),0),0))</f>
        <v/>
      </c>
      <c r="AY241" s="150" t="str">
        <f>IF(ISBLANK(K241),"",IF(K241="Gas",INDEX(Lookups!$AH$2:$AH$63,MATCH(O241,Lookups!$AD$2:$AD$63,0),0),0))</f>
        <v/>
      </c>
      <c r="AZ241" s="150" t="str">
        <f>IF(ISBLANK(K241),"",IF(K241="Gas",INDEX(Lookups!$AI$2:$AI$63,MATCH(O241,Lookups!$AD$2:$AD$63,0),0),0))</f>
        <v/>
      </c>
      <c r="BA241" s="150" t="str">
        <f t="shared" si="106"/>
        <v/>
      </c>
      <c r="BB241" s="156" t="str">
        <f>IF(ISBLANK(AH241),"",IF(AH241="None",0,IF(K241="Gas",INDEX(Lookups!$AF$51:$AF$69,MATCH(AH241,Lookups!$AD$51:$AD$69,0),0),0)))</f>
        <v/>
      </c>
      <c r="BC241" s="156" t="str">
        <f>IF(ISBLANK(AH241),"",IF(AH241="None",0,IF(K241="Gas",INDEX(Lookups!$AH$51:$AH$69,MATCH(AH241,Lookups!$AD$51:$AD$69,0),0),0)))</f>
        <v/>
      </c>
      <c r="BD241" s="156" t="str">
        <f>IF(ISBLANK(AH241),"",IF(AH241="None",0,IF(K241="Gas",INDEX(Lookups!$AI$51:$AI$69,MATCH(AH241,Lookups!$AD$51:$AD$69,0),0),0)))</f>
        <v/>
      </c>
      <c r="BE241" s="157"/>
      <c r="BF241" s="157"/>
      <c r="BG241" s="147" t="str">
        <f t="shared" si="120"/>
        <v/>
      </c>
      <c r="BH241" s="147" t="str">
        <f t="shared" si="121"/>
        <v/>
      </c>
      <c r="BI241" s="147" t="str">
        <f t="shared" si="107"/>
        <v/>
      </c>
      <c r="BJ241" s="147" t="str">
        <f t="shared" si="108"/>
        <v/>
      </c>
      <c r="BK241" s="148" t="str">
        <f t="shared" si="122"/>
        <v/>
      </c>
      <c r="BL241" s="147" t="str">
        <f t="shared" si="109"/>
        <v/>
      </c>
      <c r="BM241" s="148" t="str">
        <f t="shared" si="123"/>
        <v/>
      </c>
      <c r="BN241" s="147" t="str">
        <f t="shared" si="124"/>
        <v/>
      </c>
      <c r="BO241" s="147" t="str">
        <f t="shared" si="124"/>
        <v/>
      </c>
      <c r="BP241" s="147" t="str">
        <f t="shared" si="125"/>
        <v/>
      </c>
      <c r="BQ241" s="148" t="str">
        <f t="shared" si="126"/>
        <v/>
      </c>
      <c r="BR241" s="148" t="str">
        <f t="shared" si="127"/>
        <v/>
      </c>
      <c r="BS241" s="148" t="str">
        <f t="shared" si="128"/>
        <v/>
      </c>
      <c r="BT241" s="148" t="str">
        <f t="shared" si="110"/>
        <v/>
      </c>
      <c r="BU241" s="148" t="str">
        <f t="shared" si="111"/>
        <v/>
      </c>
      <c r="BV241" s="148" t="str">
        <f t="shared" si="112"/>
        <v/>
      </c>
      <c r="BW241" s="148" t="str">
        <f t="shared" si="113"/>
        <v/>
      </c>
      <c r="BX241" s="148" t="str">
        <f t="shared" si="114"/>
        <v/>
      </c>
      <c r="BY241" s="148" t="str">
        <f t="shared" si="115"/>
        <v/>
      </c>
      <c r="BZ241" s="149" t="str">
        <f>IFERROR(INDEX('Prescriptive Rebate Table'!$B$2:$E$64,MATCH(O241,'Prescriptive Rebate Table'!$C$2:$C$64,0),3),"")</f>
        <v/>
      </c>
      <c r="CA241" s="145" t="str">
        <f>IFERROR(INDEX('Prescriptive Rebate Table'!$B$2:$E$64,MATCH(O241,'Prescriptive Rebate Table'!$C$2:$C$64,0),4),"")</f>
        <v/>
      </c>
      <c r="CB241" s="149" t="str">
        <f t="shared" si="129"/>
        <v/>
      </c>
      <c r="CC241" s="145" t="str">
        <f t="shared" si="130"/>
        <v/>
      </c>
      <c r="CD241" s="149" t="str">
        <f t="shared" si="116"/>
        <v/>
      </c>
      <c r="CE241" s="149" t="str">
        <f t="shared" si="117"/>
        <v/>
      </c>
      <c r="CF241" s="149" t="str">
        <f>IF(BK241&lt;=0,0,IFERROR(IF(OR(ISBLANK(AC241),ISBLANK(CD241))=TRUE,"",IF(CA241="Per Foot",INDEX('Fixture Codes'!$I$8:$I$976,MATCH(AD241,'Fixture Codes'!$B$8:$B$976,0))/12*AF241*BZ241,IF(CA241="Lamp",INDEX('Fixture Codes'!$J$8:$J$976,MATCH(AD241,'Fixture Codes'!$B$8:$B$976,0))*AF241*BZ241,IF(CA241="Fixture",AF241*BZ241,IF(CA241="kWh",BK241*BZ241,0))))),""))</f>
        <v/>
      </c>
      <c r="CG241" s="149" t="str">
        <f t="shared" si="131"/>
        <v/>
      </c>
      <c r="CH241" s="149" t="str">
        <f t="shared" si="132"/>
        <v/>
      </c>
      <c r="CI241" s="152"/>
      <c r="CJ241" s="146"/>
      <c r="CK241" s="241">
        <f>IFERROR(IF(CL241="Yes",'Prescriptive Rebate Table'!$D$69,IF(ISBLANK(AI241),0,IF(AND(AH241=Lookups!$A$62,BK241&gt;0),'Prescriptive Rebate Table'!$D$68,IF(AND(BK241&gt;0,CJ241=AF241),'Prescriptive Rebate Table'!$D$67,IF(AND(BK241&gt;0,CJ241&lt;&gt;AF241),'Prescriptive Rebate Table'!D300,0))))),"")</f>
        <v>0</v>
      </c>
      <c r="CL241" s="240" t="s">
        <v>2712</v>
      </c>
      <c r="CM241" s="152"/>
      <c r="CN241" s="152"/>
      <c r="CO241" s="152"/>
      <c r="CP241" s="146">
        <f t="shared" si="118"/>
        <v>0</v>
      </c>
      <c r="CQ241" s="153">
        <f>IF(D241="Interior",ROUND(($AG241*AF241)/1000*$AM241*(Lookups!$B$54-$AA241)*$AN241*$AO241,3),0)</f>
        <v>0</v>
      </c>
      <c r="CR241" s="153">
        <f>IFERROR(IF(D241="Interior",ROUND(($AG241*$AF241)/1000*(Lookups!$C$54-$AB241)*$AN241*AQ241*AT241,6),0),"")</f>
        <v>0</v>
      </c>
      <c r="CS241" s="165">
        <f t="shared" si="133"/>
        <v>0</v>
      </c>
      <c r="CT241" s="165">
        <f t="shared" si="134"/>
        <v>0</v>
      </c>
      <c r="CV241" s="153"/>
      <c r="CW241" s="153"/>
      <c r="CX241" s="165"/>
      <c r="CY241" s="165"/>
      <c r="DA241" s="153">
        <f>IF(D241="Interior",ROUND(($AG241*AF241*(1-0.15))/1000*$AM241*(Lookups!$B$43+0.097-$AA241)*$AN241*$AO241+((W241*V241)/1000*AN241*AM241*AO241*0.15),3),0)</f>
        <v>0</v>
      </c>
      <c r="DB241" s="153">
        <f>IFERROR(IF(D241="Interior",ROUND(($AG241*$AF241)/1000*(Lookups!$C$43+0.097-$AB241)*$AN241*AQ241*AT241+(($AG241*$AF241)/1000*$AN241*AQ241*AT241*0.15),6),0),"")</f>
        <v>0</v>
      </c>
      <c r="DC241" s="165">
        <f t="shared" si="135"/>
        <v>0</v>
      </c>
      <c r="DD241" s="165">
        <f t="shared" si="136"/>
        <v>0</v>
      </c>
    </row>
    <row r="242" spans="1:108" s="164" customFormat="1">
      <c r="A242" s="150">
        <v>238</v>
      </c>
      <c r="B242" s="153" t="str">
        <f>IFERROR(INDEX(Lookups!$B$2:$B$38,MATCH('Project Info &amp; Summary'!$C$19,Lookups!$A$2:$A$38,0)),"")</f>
        <v/>
      </c>
      <c r="C242" s="153" t="str">
        <f>IFERROR(INDEX(Lookups!$C$2:$C$38,MATCH('Project Info &amp; Summary'!$C$19,Lookups!$A$2:$A$38,0)),"")</f>
        <v/>
      </c>
      <c r="D242" s="163"/>
      <c r="E242" s="160"/>
      <c r="F242" s="158"/>
      <c r="G242" s="158"/>
      <c r="H242" s="158"/>
      <c r="I242" s="158"/>
      <c r="J242" s="154" t="str">
        <f>IFERROR(INDEX(Lookups!$W$21:$W$26,MATCH(I242,Lookups!$V$21:$V$26,0)),"")</f>
        <v/>
      </c>
      <c r="K242" s="158"/>
      <c r="L242" s="162" t="str">
        <f>IFERROR(INDEX(Lookups!$Y$2:$Y$19,MATCH(_xlfn.CONCAT(I242,K242),Lookups!$X$2:$X$19,0)),"")</f>
        <v/>
      </c>
      <c r="M242" s="158"/>
      <c r="N242" s="153" t="str">
        <f>IFERROR(INDEX('Prescriptive Rebate Table'!$M$3:$M$20,MATCH(M242,'Prescriptive Rebate Table'!$L$3:$L$20,0)),"")</f>
        <v/>
      </c>
      <c r="O242" s="158"/>
      <c r="P242" s="154" t="str">
        <f>IFERROR(INDEX('Prescriptive Rebate Table'!$B$2:$H$64, MATCH(O242,'Prescriptive Rebate Table'!$C$2:$C$64,0),7),"")</f>
        <v/>
      </c>
      <c r="Q242" s="155" t="str">
        <f>IFERROR(INDEX('Prescriptive Rebate Table'!$B$2:$I$64, MATCH(O242,'Prescriptive Rebate Table'!$C$2:$C$64,0),8),"")</f>
        <v/>
      </c>
      <c r="R242" s="155" t="str">
        <f>IFERROR(INDEX('Prescriptive Rebate Table'!$B$2:$J$64, MATCH(O242,'Prescriptive Rebate Table'!$C$2:$C$64,0),9),"")</f>
        <v/>
      </c>
      <c r="S242" s="160"/>
      <c r="T242" s="145" t="str">
        <f>IFERROR(INDEX('Fixture Codes'!$M$8:$M$976,MATCH(S242,'Fixture Codes'!$B$8:$B$976,0)),"")</f>
        <v/>
      </c>
      <c r="U242" s="145" t="str">
        <f>IFERROR(INDEX('Fixture Codes'!$B$7:$M$976,MATCH(T242,'Fixture Codes'!$B$7:$B$976,0),5),"")</f>
        <v/>
      </c>
      <c r="V242" s="160"/>
      <c r="W242" s="145" t="str">
        <f>IFERROR(INDEX('Fixture Codes'!$L$8:$L$976,MATCH(T242,'Fixture Codes'!$B$8:$B$976,0)),"")</f>
        <v/>
      </c>
      <c r="X242" s="158"/>
      <c r="Y242" s="159"/>
      <c r="Z242" s="155" t="str">
        <f>IFERROR(INDEX(Lookups!B$68:B$87,MATCH($X242,Lookups!$A$68:$A$87,0)),"")</f>
        <v/>
      </c>
      <c r="AA242" s="150" t="str">
        <f>IFERROR(INDEX(Lookups!B$42:B$62,MATCH($X242,Lookups!$A$42:$A$62,0)),"")</f>
        <v/>
      </c>
      <c r="AB242" s="150" t="str">
        <f>IFERROR(INDEX(Lookups!C$42:C$62,MATCH($X242,Lookups!$A$42:$A$62,0)),"")</f>
        <v/>
      </c>
      <c r="AC242" s="160"/>
      <c r="AD242" s="160"/>
      <c r="AE242" s="150" t="str">
        <f>IFERROR(INDEX('Fixture Codes'!$B$7:$M$976,MATCH(AD242,'Fixture Codes'!$B$7:$B$976,0),5),"")</f>
        <v/>
      </c>
      <c r="AF242" s="160"/>
      <c r="AG242" s="145" t="str">
        <f>IFERROR(INDEX('Fixture Codes'!$L$8:$L$976,MATCH(AD242,'Fixture Codes'!$B$8:$B$976,0)),"")</f>
        <v/>
      </c>
      <c r="AH242" s="158"/>
      <c r="AI242" s="160"/>
      <c r="AJ242" s="150" t="str">
        <f>IFERROR(INDEX(Lookups!B$68:B$87,MATCH($AH242,Lookups!$A$68:$A$87,0)),"")</f>
        <v/>
      </c>
      <c r="AK242" s="150" t="str">
        <f>IFERROR(INDEX(Lookups!B$42:B$62,MATCH($AH242,Lookups!$A$42:$A$62,0)),"")</f>
        <v/>
      </c>
      <c r="AL242" s="150" t="str">
        <f>IFERROR(INDEX(Lookups!C$42:C$62,MATCH($AH242,Lookups!$A$42:$A$62,0)),"")</f>
        <v/>
      </c>
      <c r="AM242" s="150" t="str">
        <f>IFERROR(IF(M242="Exit Signs",8760,IF(INDEX('Fixture Codes'!$C$8:$C$976,MATCH(AD242,'Fixture Codes'!$B$8:$B$976,0))="Exit Sign",8760,INDEX(Lookups!$I$2:$I$428,MATCH(_xlfn.CONCAT(B242,H242),Lookups!$H$2:$H$428,0)))),"")</f>
        <v/>
      </c>
      <c r="AN242" s="153">
        <v>1</v>
      </c>
      <c r="AO242" s="150" t="str">
        <f>IF($D242="Interior",INDEX(Lookups!Q$2:Q$86,MATCH(_xlfn.CONCAT($C242,$L242),Lookups!$P$2:$P$86,0)),IF($D242="Exterior",1,""))</f>
        <v/>
      </c>
      <c r="AP242" s="150">
        <f t="shared" si="119"/>
        <v>1</v>
      </c>
      <c r="AQ242" s="150" t="str">
        <f>IF($D242="Interior",INDEX(Lookups!R$2:R$86,MATCH(_xlfn.CONCAT($C242,$L242),Lookups!$P$2:$P$86,0)),IF($D242="Exterior",1,""))</f>
        <v/>
      </c>
      <c r="AR242" s="150" t="str">
        <f>IF($D242="Interior",INDEX(Lookups!S$2:S$86,MATCH(_xlfn.CONCAT($C242,$L242),Lookups!$P$2:$P$86,0)),IF($D242="Exterior",1,""))</f>
        <v/>
      </c>
      <c r="AS242" s="150" t="str">
        <f>IF($D242="Interior",INDEX(Lookups!T$2:T$86,MATCH(_xlfn.CONCAT($C242,$L242),Lookups!$P$2:$P$86,0)),IF($D242="Exterior",1,""))</f>
        <v/>
      </c>
      <c r="AT242" s="150" t="str">
        <f>IFERROR(IF(M242="Exit Signs",1,IF(INDEX('Fixture Codes'!$C$8:$C$976,MATCH($AD242,'Fixture Codes'!$B$8:$B$976,0))="Exit Sign",1,INDEX(Lookups!J$2:J$428,MATCH(_xlfn.CONCAT($B242,$H242),Lookups!$H$2:$H$428,0)))),"")</f>
        <v/>
      </c>
      <c r="AU242" s="150" t="str">
        <f>IFERROR(IF(M242="Exit Signs",1,IF(INDEX('Fixture Codes'!$C$8:$C$976,MATCH($AD242,'Fixture Codes'!$B$8:$B$976,0))="Exit Sign",1,INDEX(Lookups!K$2:K$428,MATCH(_xlfn.CONCAT($B242,$H242),Lookups!$H$2:$H$428,0)))),"")</f>
        <v/>
      </c>
      <c r="AV242" s="150" t="str">
        <f>IFERROR(IF(M242="Exit Signs",1,IF(INDEX('Fixture Codes'!$C$8:$C$976,MATCH($AD242,'Fixture Codes'!$B$8:$B$976,0))="Exit Sign",1,INDEX(Lookups!L$2:L$428,MATCH(_xlfn.CONCAT($B242,$H242),Lookups!$H$2:$H$428,0)))),"")</f>
        <v/>
      </c>
      <c r="AW242" s="150" t="str">
        <f>IF(ISBLANK(K242),"",IF(K242="Gas",INDEX(Lookups!$AG$2:$AG$63,MATCH(O242,Lookups!$AD$2:$AD$63,0),0),0))</f>
        <v/>
      </c>
      <c r="AX242" s="150" t="str">
        <f>IF(ISBLANK(K242),"",IF(K242="Gas",INDEX(Lookups!$AF$2:$AF$63,MATCH(O242,Lookups!$AD$2:$AD$63,0),0),0))</f>
        <v/>
      </c>
      <c r="AY242" s="150" t="str">
        <f>IF(ISBLANK(K242),"",IF(K242="Gas",INDEX(Lookups!$AH$2:$AH$63,MATCH(O242,Lookups!$AD$2:$AD$63,0),0),0))</f>
        <v/>
      </c>
      <c r="AZ242" s="150" t="str">
        <f>IF(ISBLANK(K242),"",IF(K242="Gas",INDEX(Lookups!$AI$2:$AI$63,MATCH(O242,Lookups!$AD$2:$AD$63,0),0),0))</f>
        <v/>
      </c>
      <c r="BA242" s="150" t="str">
        <f t="shared" si="106"/>
        <v/>
      </c>
      <c r="BB242" s="156" t="str">
        <f>IF(ISBLANK(AH242),"",IF(AH242="None",0,IF(K242="Gas",INDEX(Lookups!$AF$51:$AF$69,MATCH(AH242,Lookups!$AD$51:$AD$69,0),0),0)))</f>
        <v/>
      </c>
      <c r="BC242" s="156" t="str">
        <f>IF(ISBLANK(AH242),"",IF(AH242="None",0,IF(K242="Gas",INDEX(Lookups!$AH$51:$AH$69,MATCH(AH242,Lookups!$AD$51:$AD$69,0),0),0)))</f>
        <v/>
      </c>
      <c r="BD242" s="156" t="str">
        <f>IF(ISBLANK(AH242),"",IF(AH242="None",0,IF(K242="Gas",INDEX(Lookups!$AI$51:$AI$69,MATCH(AH242,Lookups!$AD$51:$AD$69,0),0),0)))</f>
        <v/>
      </c>
      <c r="BE242" s="157"/>
      <c r="BF242" s="157"/>
      <c r="BG242" s="147" t="str">
        <f t="shared" si="120"/>
        <v/>
      </c>
      <c r="BH242" s="147" t="str">
        <f t="shared" si="121"/>
        <v/>
      </c>
      <c r="BI242" s="147" t="str">
        <f t="shared" si="107"/>
        <v/>
      </c>
      <c r="BJ242" s="147" t="str">
        <f t="shared" si="108"/>
        <v/>
      </c>
      <c r="BK242" s="148" t="str">
        <f t="shared" si="122"/>
        <v/>
      </c>
      <c r="BL242" s="147" t="str">
        <f t="shared" si="109"/>
        <v/>
      </c>
      <c r="BM242" s="148" t="str">
        <f t="shared" si="123"/>
        <v/>
      </c>
      <c r="BN242" s="147" t="str">
        <f t="shared" si="124"/>
        <v/>
      </c>
      <c r="BO242" s="147" t="str">
        <f t="shared" si="124"/>
        <v/>
      </c>
      <c r="BP242" s="147" t="str">
        <f t="shared" si="125"/>
        <v/>
      </c>
      <c r="BQ242" s="148" t="str">
        <f t="shared" si="126"/>
        <v/>
      </c>
      <c r="BR242" s="148" t="str">
        <f t="shared" si="127"/>
        <v/>
      </c>
      <c r="BS242" s="148" t="str">
        <f t="shared" si="128"/>
        <v/>
      </c>
      <c r="BT242" s="148" t="str">
        <f t="shared" si="110"/>
        <v/>
      </c>
      <c r="BU242" s="148" t="str">
        <f t="shared" si="111"/>
        <v/>
      </c>
      <c r="BV242" s="148" t="str">
        <f t="shared" si="112"/>
        <v/>
      </c>
      <c r="BW242" s="148" t="str">
        <f t="shared" si="113"/>
        <v/>
      </c>
      <c r="BX242" s="148" t="str">
        <f t="shared" si="114"/>
        <v/>
      </c>
      <c r="BY242" s="148" t="str">
        <f t="shared" si="115"/>
        <v/>
      </c>
      <c r="BZ242" s="149" t="str">
        <f>IFERROR(INDEX('Prescriptive Rebate Table'!$B$2:$E$64,MATCH(O242,'Prescriptive Rebate Table'!$C$2:$C$64,0),3),"")</f>
        <v/>
      </c>
      <c r="CA242" s="145" t="str">
        <f>IFERROR(INDEX('Prescriptive Rebate Table'!$B$2:$E$64,MATCH(O242,'Prescriptive Rebate Table'!$C$2:$C$64,0),4),"")</f>
        <v/>
      </c>
      <c r="CB242" s="149" t="str">
        <f t="shared" si="129"/>
        <v/>
      </c>
      <c r="CC242" s="145" t="str">
        <f t="shared" si="130"/>
        <v/>
      </c>
      <c r="CD242" s="149" t="str">
        <f t="shared" si="116"/>
        <v/>
      </c>
      <c r="CE242" s="149" t="str">
        <f t="shared" si="117"/>
        <v/>
      </c>
      <c r="CF242" s="149" t="str">
        <f>IF(BK242&lt;=0,0,IFERROR(IF(OR(ISBLANK(AC242),ISBLANK(CD242))=TRUE,"",IF(CA242="Per Foot",INDEX('Fixture Codes'!$I$8:$I$976,MATCH(AD242,'Fixture Codes'!$B$8:$B$976,0))/12*AF242*BZ242,IF(CA242="Lamp",INDEX('Fixture Codes'!$J$8:$J$976,MATCH(AD242,'Fixture Codes'!$B$8:$B$976,0))*AF242*BZ242,IF(CA242="Fixture",AF242*BZ242,IF(CA242="kWh",BK242*BZ242,0))))),""))</f>
        <v/>
      </c>
      <c r="CG242" s="149" t="str">
        <f t="shared" si="131"/>
        <v/>
      </c>
      <c r="CH242" s="149" t="str">
        <f t="shared" si="132"/>
        <v/>
      </c>
      <c r="CI242" s="152"/>
      <c r="CJ242" s="146"/>
      <c r="CK242" s="241">
        <f>IFERROR(IF(CL242="Yes",'Prescriptive Rebate Table'!$D$69,IF(ISBLANK(AI242),0,IF(AND(AH242=Lookups!$A$62,BK242&gt;0),'Prescriptive Rebate Table'!$D$68,IF(AND(BK242&gt;0,CJ242=AF242),'Prescriptive Rebate Table'!$D$67,IF(AND(BK242&gt;0,CJ242&lt;&gt;AF242),'Prescriptive Rebate Table'!D301,0))))),"")</f>
        <v>0</v>
      </c>
      <c r="CL242" s="240" t="s">
        <v>2712</v>
      </c>
      <c r="CM242" s="152"/>
      <c r="CN242" s="152"/>
      <c r="CO242" s="152"/>
      <c r="CP242" s="146">
        <f t="shared" si="118"/>
        <v>0</v>
      </c>
      <c r="CQ242" s="153">
        <f>IF(D242="Interior",ROUND(($AG242*AF242)/1000*$AM242*(Lookups!$B$54-$AA242)*$AN242*$AO242,3),0)</f>
        <v>0</v>
      </c>
      <c r="CR242" s="153">
        <f>IFERROR(IF(D242="Interior",ROUND(($AG242*$AF242)/1000*(Lookups!$C$54-$AB242)*$AN242*AQ242*AT242,6),0),"")</f>
        <v>0</v>
      </c>
      <c r="CS242" s="165">
        <f t="shared" si="133"/>
        <v>0</v>
      </c>
      <c r="CT242" s="165">
        <f t="shared" si="134"/>
        <v>0</v>
      </c>
      <c r="CV242" s="153"/>
      <c r="CW242" s="153"/>
      <c r="CX242" s="165"/>
      <c r="CY242" s="165"/>
      <c r="DA242" s="153">
        <f>IF(D242="Interior",ROUND(($AG242*AF242*(1-0.15))/1000*$AM242*(Lookups!$B$43+0.097-$AA242)*$AN242*$AO242+((W242*V242)/1000*AN242*AM242*AO242*0.15),3),0)</f>
        <v>0</v>
      </c>
      <c r="DB242" s="153">
        <f>IFERROR(IF(D242="Interior",ROUND(($AG242*$AF242)/1000*(Lookups!$C$43+0.097-$AB242)*$AN242*AQ242*AT242+(($AG242*$AF242)/1000*$AN242*AQ242*AT242*0.15),6),0),"")</f>
        <v>0</v>
      </c>
      <c r="DC242" s="165">
        <f t="shared" si="135"/>
        <v>0</v>
      </c>
      <c r="DD242" s="165">
        <f t="shared" si="136"/>
        <v>0</v>
      </c>
    </row>
    <row r="243" spans="1:108" s="164" customFormat="1">
      <c r="A243" s="150">
        <v>239</v>
      </c>
      <c r="B243" s="153" t="str">
        <f>IFERROR(INDEX(Lookups!$B$2:$B$38,MATCH('Project Info &amp; Summary'!$C$19,Lookups!$A$2:$A$38,0)),"")</f>
        <v/>
      </c>
      <c r="C243" s="153" t="str">
        <f>IFERROR(INDEX(Lookups!$C$2:$C$38,MATCH('Project Info &amp; Summary'!$C$19,Lookups!$A$2:$A$38,0)),"")</f>
        <v/>
      </c>
      <c r="D243" s="163"/>
      <c r="E243" s="160"/>
      <c r="F243" s="158"/>
      <c r="G243" s="158"/>
      <c r="H243" s="158"/>
      <c r="I243" s="158"/>
      <c r="J243" s="154" t="str">
        <f>IFERROR(INDEX(Lookups!$W$21:$W$26,MATCH(I243,Lookups!$V$21:$V$26,0)),"")</f>
        <v/>
      </c>
      <c r="K243" s="158"/>
      <c r="L243" s="162" t="str">
        <f>IFERROR(INDEX(Lookups!$Y$2:$Y$19,MATCH(_xlfn.CONCAT(I243,K243),Lookups!$X$2:$X$19,0)),"")</f>
        <v/>
      </c>
      <c r="M243" s="158"/>
      <c r="N243" s="153" t="str">
        <f>IFERROR(INDEX('Prescriptive Rebate Table'!$M$3:$M$20,MATCH(M243,'Prescriptive Rebate Table'!$L$3:$L$20,0)),"")</f>
        <v/>
      </c>
      <c r="O243" s="158"/>
      <c r="P243" s="154" t="str">
        <f>IFERROR(INDEX('Prescriptive Rebate Table'!$B$2:$H$64, MATCH(O243,'Prescriptive Rebate Table'!$C$2:$C$64,0),7),"")</f>
        <v/>
      </c>
      <c r="Q243" s="155" t="str">
        <f>IFERROR(INDEX('Prescriptive Rebate Table'!$B$2:$I$64, MATCH(O243,'Prescriptive Rebate Table'!$C$2:$C$64,0),8),"")</f>
        <v/>
      </c>
      <c r="R243" s="155" t="str">
        <f>IFERROR(INDEX('Prescriptive Rebate Table'!$B$2:$J$64, MATCH(O243,'Prescriptive Rebate Table'!$C$2:$C$64,0),9),"")</f>
        <v/>
      </c>
      <c r="S243" s="160"/>
      <c r="T243" s="145" t="str">
        <f>IFERROR(INDEX('Fixture Codes'!$M$8:$M$976,MATCH(S243,'Fixture Codes'!$B$8:$B$976,0)),"")</f>
        <v/>
      </c>
      <c r="U243" s="145" t="str">
        <f>IFERROR(INDEX('Fixture Codes'!$B$7:$M$976,MATCH(T243,'Fixture Codes'!$B$7:$B$976,0),5),"")</f>
        <v/>
      </c>
      <c r="V243" s="160"/>
      <c r="W243" s="145" t="str">
        <f>IFERROR(INDEX('Fixture Codes'!$L$8:$L$976,MATCH(T243,'Fixture Codes'!$B$8:$B$976,0)),"")</f>
        <v/>
      </c>
      <c r="X243" s="158"/>
      <c r="Y243" s="159"/>
      <c r="Z243" s="155" t="str">
        <f>IFERROR(INDEX(Lookups!B$68:B$87,MATCH($X243,Lookups!$A$68:$A$87,0)),"")</f>
        <v/>
      </c>
      <c r="AA243" s="150" t="str">
        <f>IFERROR(INDEX(Lookups!B$42:B$62,MATCH($X243,Lookups!$A$42:$A$62,0)),"")</f>
        <v/>
      </c>
      <c r="AB243" s="150" t="str">
        <f>IFERROR(INDEX(Lookups!C$42:C$62,MATCH($X243,Lookups!$A$42:$A$62,0)),"")</f>
        <v/>
      </c>
      <c r="AC243" s="160"/>
      <c r="AD243" s="160"/>
      <c r="AE243" s="150" t="str">
        <f>IFERROR(INDEX('Fixture Codes'!$B$7:$M$976,MATCH(AD243,'Fixture Codes'!$B$7:$B$976,0),5),"")</f>
        <v/>
      </c>
      <c r="AF243" s="160"/>
      <c r="AG243" s="145" t="str">
        <f>IFERROR(INDEX('Fixture Codes'!$L$8:$L$976,MATCH(AD243,'Fixture Codes'!$B$8:$B$976,0)),"")</f>
        <v/>
      </c>
      <c r="AH243" s="158"/>
      <c r="AI243" s="160"/>
      <c r="AJ243" s="150" t="str">
        <f>IFERROR(INDEX(Lookups!B$68:B$87,MATCH($AH243,Lookups!$A$68:$A$87,0)),"")</f>
        <v/>
      </c>
      <c r="AK243" s="150" t="str">
        <f>IFERROR(INDEX(Lookups!B$42:B$62,MATCH($AH243,Lookups!$A$42:$A$62,0)),"")</f>
        <v/>
      </c>
      <c r="AL243" s="150" t="str">
        <f>IFERROR(INDEX(Lookups!C$42:C$62,MATCH($AH243,Lookups!$A$42:$A$62,0)),"")</f>
        <v/>
      </c>
      <c r="AM243" s="150" t="str">
        <f>IFERROR(IF(M243="Exit Signs",8760,IF(INDEX('Fixture Codes'!$C$8:$C$976,MATCH(AD243,'Fixture Codes'!$B$8:$B$976,0))="Exit Sign",8760,INDEX(Lookups!$I$2:$I$428,MATCH(_xlfn.CONCAT(B243,H243),Lookups!$H$2:$H$428,0)))),"")</f>
        <v/>
      </c>
      <c r="AN243" s="153">
        <v>1</v>
      </c>
      <c r="AO243" s="150" t="str">
        <f>IF($D243="Interior",INDEX(Lookups!Q$2:Q$86,MATCH(_xlfn.CONCAT($C243,$L243),Lookups!$P$2:$P$86,0)),IF($D243="Exterior",1,""))</f>
        <v/>
      </c>
      <c r="AP243" s="150">
        <f t="shared" si="119"/>
        <v>1</v>
      </c>
      <c r="AQ243" s="150" t="str">
        <f>IF($D243="Interior",INDEX(Lookups!R$2:R$86,MATCH(_xlfn.CONCAT($C243,$L243),Lookups!$P$2:$P$86,0)),IF($D243="Exterior",1,""))</f>
        <v/>
      </c>
      <c r="AR243" s="150" t="str">
        <f>IF($D243="Interior",INDEX(Lookups!S$2:S$86,MATCH(_xlfn.CONCAT($C243,$L243),Lookups!$P$2:$P$86,0)),IF($D243="Exterior",1,""))</f>
        <v/>
      </c>
      <c r="AS243" s="150" t="str">
        <f>IF($D243="Interior",INDEX(Lookups!T$2:T$86,MATCH(_xlfn.CONCAT($C243,$L243),Lookups!$P$2:$P$86,0)),IF($D243="Exterior",1,""))</f>
        <v/>
      </c>
      <c r="AT243" s="150" t="str">
        <f>IFERROR(IF(M243="Exit Signs",1,IF(INDEX('Fixture Codes'!$C$8:$C$976,MATCH($AD243,'Fixture Codes'!$B$8:$B$976,0))="Exit Sign",1,INDEX(Lookups!J$2:J$428,MATCH(_xlfn.CONCAT($B243,$H243),Lookups!$H$2:$H$428,0)))),"")</f>
        <v/>
      </c>
      <c r="AU243" s="150" t="str">
        <f>IFERROR(IF(M243="Exit Signs",1,IF(INDEX('Fixture Codes'!$C$8:$C$976,MATCH($AD243,'Fixture Codes'!$B$8:$B$976,0))="Exit Sign",1,INDEX(Lookups!K$2:K$428,MATCH(_xlfn.CONCAT($B243,$H243),Lookups!$H$2:$H$428,0)))),"")</f>
        <v/>
      </c>
      <c r="AV243" s="150" t="str">
        <f>IFERROR(IF(M243="Exit Signs",1,IF(INDEX('Fixture Codes'!$C$8:$C$976,MATCH($AD243,'Fixture Codes'!$B$8:$B$976,0))="Exit Sign",1,INDEX(Lookups!L$2:L$428,MATCH(_xlfn.CONCAT($B243,$H243),Lookups!$H$2:$H$428,0)))),"")</f>
        <v/>
      </c>
      <c r="AW243" s="150" t="str">
        <f>IF(ISBLANK(K243),"",IF(K243="Gas",INDEX(Lookups!$AG$2:$AG$63,MATCH(O243,Lookups!$AD$2:$AD$63,0),0),0))</f>
        <v/>
      </c>
      <c r="AX243" s="150" t="str">
        <f>IF(ISBLANK(K243),"",IF(K243="Gas",INDEX(Lookups!$AF$2:$AF$63,MATCH(O243,Lookups!$AD$2:$AD$63,0),0),0))</f>
        <v/>
      </c>
      <c r="AY243" s="150" t="str">
        <f>IF(ISBLANK(K243),"",IF(K243="Gas",INDEX(Lookups!$AH$2:$AH$63,MATCH(O243,Lookups!$AD$2:$AD$63,0),0),0))</f>
        <v/>
      </c>
      <c r="AZ243" s="150" t="str">
        <f>IF(ISBLANK(K243),"",IF(K243="Gas",INDEX(Lookups!$AI$2:$AI$63,MATCH(O243,Lookups!$AD$2:$AD$63,0),0),0))</f>
        <v/>
      </c>
      <c r="BA243" s="150" t="str">
        <f t="shared" si="106"/>
        <v/>
      </c>
      <c r="BB243" s="156" t="str">
        <f>IF(ISBLANK(AH243),"",IF(AH243="None",0,IF(K243="Gas",INDEX(Lookups!$AF$51:$AF$69,MATCH(AH243,Lookups!$AD$51:$AD$69,0),0),0)))</f>
        <v/>
      </c>
      <c r="BC243" s="156" t="str">
        <f>IF(ISBLANK(AH243),"",IF(AH243="None",0,IF(K243="Gas",INDEX(Lookups!$AH$51:$AH$69,MATCH(AH243,Lookups!$AD$51:$AD$69,0),0),0)))</f>
        <v/>
      </c>
      <c r="BD243" s="156" t="str">
        <f>IF(ISBLANK(AH243),"",IF(AH243="None",0,IF(K243="Gas",INDEX(Lookups!$AI$51:$AI$69,MATCH(AH243,Lookups!$AD$51:$AD$69,0),0),0)))</f>
        <v/>
      </c>
      <c r="BE243" s="157"/>
      <c r="BF243" s="157"/>
      <c r="BG243" s="147" t="str">
        <f t="shared" si="120"/>
        <v/>
      </c>
      <c r="BH243" s="147" t="str">
        <f t="shared" si="121"/>
        <v/>
      </c>
      <c r="BI243" s="147" t="str">
        <f t="shared" si="107"/>
        <v/>
      </c>
      <c r="BJ243" s="147" t="str">
        <f t="shared" si="108"/>
        <v/>
      </c>
      <c r="BK243" s="148" t="str">
        <f t="shared" si="122"/>
        <v/>
      </c>
      <c r="BL243" s="147" t="str">
        <f t="shared" si="109"/>
        <v/>
      </c>
      <c r="BM243" s="148" t="str">
        <f t="shared" si="123"/>
        <v/>
      </c>
      <c r="BN243" s="147" t="str">
        <f t="shared" si="124"/>
        <v/>
      </c>
      <c r="BO243" s="147" t="str">
        <f t="shared" si="124"/>
        <v/>
      </c>
      <c r="BP243" s="147" t="str">
        <f t="shared" si="125"/>
        <v/>
      </c>
      <c r="BQ243" s="148" t="str">
        <f t="shared" si="126"/>
        <v/>
      </c>
      <c r="BR243" s="148" t="str">
        <f t="shared" si="127"/>
        <v/>
      </c>
      <c r="BS243" s="148" t="str">
        <f t="shared" si="128"/>
        <v/>
      </c>
      <c r="BT243" s="148" t="str">
        <f t="shared" si="110"/>
        <v/>
      </c>
      <c r="BU243" s="148" t="str">
        <f t="shared" si="111"/>
        <v/>
      </c>
      <c r="BV243" s="148" t="str">
        <f t="shared" si="112"/>
        <v/>
      </c>
      <c r="BW243" s="148" t="str">
        <f t="shared" si="113"/>
        <v/>
      </c>
      <c r="BX243" s="148" t="str">
        <f t="shared" si="114"/>
        <v/>
      </c>
      <c r="BY243" s="148" t="str">
        <f t="shared" si="115"/>
        <v/>
      </c>
      <c r="BZ243" s="149" t="str">
        <f>IFERROR(INDEX('Prescriptive Rebate Table'!$B$2:$E$64,MATCH(O243,'Prescriptive Rebate Table'!$C$2:$C$64,0),3),"")</f>
        <v/>
      </c>
      <c r="CA243" s="145" t="str">
        <f>IFERROR(INDEX('Prescriptive Rebate Table'!$B$2:$E$64,MATCH(O243,'Prescriptive Rebate Table'!$C$2:$C$64,0),4),"")</f>
        <v/>
      </c>
      <c r="CB243" s="149" t="str">
        <f t="shared" si="129"/>
        <v/>
      </c>
      <c r="CC243" s="145" t="str">
        <f t="shared" si="130"/>
        <v/>
      </c>
      <c r="CD243" s="149" t="str">
        <f t="shared" si="116"/>
        <v/>
      </c>
      <c r="CE243" s="149" t="str">
        <f t="shared" si="117"/>
        <v/>
      </c>
      <c r="CF243" s="149" t="str">
        <f>IF(BK243&lt;=0,0,IFERROR(IF(OR(ISBLANK(AC243),ISBLANK(CD243))=TRUE,"",IF(CA243="Per Foot",INDEX('Fixture Codes'!$I$8:$I$976,MATCH(AD243,'Fixture Codes'!$B$8:$B$976,0))/12*AF243*BZ243,IF(CA243="Lamp",INDEX('Fixture Codes'!$J$8:$J$976,MATCH(AD243,'Fixture Codes'!$B$8:$B$976,0))*AF243*BZ243,IF(CA243="Fixture",AF243*BZ243,IF(CA243="kWh",BK243*BZ243,0))))),""))</f>
        <v/>
      </c>
      <c r="CG243" s="149" t="str">
        <f t="shared" si="131"/>
        <v/>
      </c>
      <c r="CH243" s="149" t="str">
        <f t="shared" si="132"/>
        <v/>
      </c>
      <c r="CI243" s="152"/>
      <c r="CJ243" s="146"/>
      <c r="CK243" s="241">
        <f>IFERROR(IF(CL243="Yes",'Prescriptive Rebate Table'!$D$69,IF(ISBLANK(AI243),0,IF(AND(AH243=Lookups!$A$62,BK243&gt;0),'Prescriptive Rebate Table'!$D$68,IF(AND(BK243&gt;0,CJ243=AF243),'Prescriptive Rebate Table'!$D$67,IF(AND(BK243&gt;0,CJ243&lt;&gt;AF243),'Prescriptive Rebate Table'!D302,0))))),"")</f>
        <v>0</v>
      </c>
      <c r="CL243" s="240" t="s">
        <v>2712</v>
      </c>
      <c r="CM243" s="152"/>
      <c r="CN243" s="152"/>
      <c r="CO243" s="152"/>
      <c r="CP243" s="146">
        <f t="shared" si="118"/>
        <v>0</v>
      </c>
      <c r="CQ243" s="153">
        <f>IF(D243="Interior",ROUND(($AG243*AF243)/1000*$AM243*(Lookups!$B$54-$AA243)*$AN243*$AO243,3),0)</f>
        <v>0</v>
      </c>
      <c r="CR243" s="153">
        <f>IFERROR(IF(D243="Interior",ROUND(($AG243*$AF243)/1000*(Lookups!$C$54-$AB243)*$AN243*AQ243*AT243,6),0),"")</f>
        <v>0</v>
      </c>
      <c r="CS243" s="165">
        <f t="shared" si="133"/>
        <v>0</v>
      </c>
      <c r="CT243" s="165">
        <f t="shared" si="134"/>
        <v>0</v>
      </c>
      <c r="CV243" s="153"/>
      <c r="CW243" s="153"/>
      <c r="CX243" s="165"/>
      <c r="CY243" s="165"/>
      <c r="DA243" s="153">
        <f>IF(D243="Interior",ROUND(($AG243*AF243*(1-0.15))/1000*$AM243*(Lookups!$B$43+0.097-$AA243)*$AN243*$AO243+((W243*V243)/1000*AN243*AM243*AO243*0.15),3),0)</f>
        <v>0</v>
      </c>
      <c r="DB243" s="153">
        <f>IFERROR(IF(D243="Interior",ROUND(($AG243*$AF243)/1000*(Lookups!$C$43+0.097-$AB243)*$AN243*AQ243*AT243+(($AG243*$AF243)/1000*$AN243*AQ243*AT243*0.15),6),0),"")</f>
        <v>0</v>
      </c>
      <c r="DC243" s="165">
        <f t="shared" si="135"/>
        <v>0</v>
      </c>
      <c r="DD243" s="165">
        <f t="shared" si="136"/>
        <v>0</v>
      </c>
    </row>
    <row r="244" spans="1:108" s="164" customFormat="1">
      <c r="A244" s="150">
        <v>240</v>
      </c>
      <c r="B244" s="153" t="str">
        <f>IFERROR(INDEX(Lookups!$B$2:$B$38,MATCH('Project Info &amp; Summary'!$C$19,Lookups!$A$2:$A$38,0)),"")</f>
        <v/>
      </c>
      <c r="C244" s="153" t="str">
        <f>IFERROR(INDEX(Lookups!$C$2:$C$38,MATCH('Project Info &amp; Summary'!$C$19,Lookups!$A$2:$A$38,0)),"")</f>
        <v/>
      </c>
      <c r="D244" s="163"/>
      <c r="E244" s="160"/>
      <c r="F244" s="158"/>
      <c r="G244" s="158"/>
      <c r="H244" s="158"/>
      <c r="I244" s="158"/>
      <c r="J244" s="154" t="str">
        <f>IFERROR(INDEX(Lookups!$W$21:$W$26,MATCH(I244,Lookups!$V$21:$V$26,0)),"")</f>
        <v/>
      </c>
      <c r="K244" s="158"/>
      <c r="L244" s="162" t="str">
        <f>IFERROR(INDEX(Lookups!$Y$2:$Y$19,MATCH(_xlfn.CONCAT(I244,K244),Lookups!$X$2:$X$19,0)),"")</f>
        <v/>
      </c>
      <c r="M244" s="158"/>
      <c r="N244" s="153" t="str">
        <f>IFERROR(INDEX('Prescriptive Rebate Table'!$M$3:$M$20,MATCH(M244,'Prescriptive Rebate Table'!$L$3:$L$20,0)),"")</f>
        <v/>
      </c>
      <c r="O244" s="158"/>
      <c r="P244" s="154" t="str">
        <f>IFERROR(INDEX('Prescriptive Rebate Table'!$B$2:$H$64, MATCH(O244,'Prescriptive Rebate Table'!$C$2:$C$64,0),7),"")</f>
        <v/>
      </c>
      <c r="Q244" s="155" t="str">
        <f>IFERROR(INDEX('Prescriptive Rebate Table'!$B$2:$I$64, MATCH(O244,'Prescriptive Rebate Table'!$C$2:$C$64,0),8),"")</f>
        <v/>
      </c>
      <c r="R244" s="155" t="str">
        <f>IFERROR(INDEX('Prescriptive Rebate Table'!$B$2:$J$64, MATCH(O244,'Prescriptive Rebate Table'!$C$2:$C$64,0),9),"")</f>
        <v/>
      </c>
      <c r="S244" s="160"/>
      <c r="T244" s="145" t="str">
        <f>IFERROR(INDEX('Fixture Codes'!$M$8:$M$976,MATCH(S244,'Fixture Codes'!$B$8:$B$976,0)),"")</f>
        <v/>
      </c>
      <c r="U244" s="145" t="str">
        <f>IFERROR(INDEX('Fixture Codes'!$B$7:$M$976,MATCH(T244,'Fixture Codes'!$B$7:$B$976,0),5),"")</f>
        <v/>
      </c>
      <c r="V244" s="160"/>
      <c r="W244" s="145" t="str">
        <f>IFERROR(INDEX('Fixture Codes'!$L$8:$L$976,MATCH(T244,'Fixture Codes'!$B$8:$B$976,0)),"")</f>
        <v/>
      </c>
      <c r="X244" s="158"/>
      <c r="Y244" s="159"/>
      <c r="Z244" s="155" t="str">
        <f>IFERROR(INDEX(Lookups!B$68:B$87,MATCH($X244,Lookups!$A$68:$A$87,0)),"")</f>
        <v/>
      </c>
      <c r="AA244" s="150" t="str">
        <f>IFERROR(INDEX(Lookups!B$42:B$62,MATCH($X244,Lookups!$A$42:$A$62,0)),"")</f>
        <v/>
      </c>
      <c r="AB244" s="150" t="str">
        <f>IFERROR(INDEX(Lookups!C$42:C$62,MATCH($X244,Lookups!$A$42:$A$62,0)),"")</f>
        <v/>
      </c>
      <c r="AC244" s="160"/>
      <c r="AD244" s="160"/>
      <c r="AE244" s="150" t="str">
        <f>IFERROR(INDEX('Fixture Codes'!$B$7:$M$976,MATCH(AD244,'Fixture Codes'!$B$7:$B$976,0),5),"")</f>
        <v/>
      </c>
      <c r="AF244" s="160"/>
      <c r="AG244" s="145" t="str">
        <f>IFERROR(INDEX('Fixture Codes'!$L$8:$L$976,MATCH(AD244,'Fixture Codes'!$B$8:$B$976,0)),"")</f>
        <v/>
      </c>
      <c r="AH244" s="158"/>
      <c r="AI244" s="160"/>
      <c r="AJ244" s="150" t="str">
        <f>IFERROR(INDEX(Lookups!B$68:B$87,MATCH($AH244,Lookups!$A$68:$A$87,0)),"")</f>
        <v/>
      </c>
      <c r="AK244" s="150" t="str">
        <f>IFERROR(INDEX(Lookups!B$42:B$62,MATCH($AH244,Lookups!$A$42:$A$62,0)),"")</f>
        <v/>
      </c>
      <c r="AL244" s="150" t="str">
        <f>IFERROR(INDEX(Lookups!C$42:C$62,MATCH($AH244,Lookups!$A$42:$A$62,0)),"")</f>
        <v/>
      </c>
      <c r="AM244" s="150" t="str">
        <f>IFERROR(IF(M244="Exit Signs",8760,IF(INDEX('Fixture Codes'!$C$8:$C$976,MATCH(AD244,'Fixture Codes'!$B$8:$B$976,0))="Exit Sign",8760,INDEX(Lookups!$I$2:$I$428,MATCH(_xlfn.CONCAT(B244,H244),Lookups!$H$2:$H$428,0)))),"")</f>
        <v/>
      </c>
      <c r="AN244" s="153">
        <v>1</v>
      </c>
      <c r="AO244" s="150" t="str">
        <f>IF($D244="Interior",INDEX(Lookups!Q$2:Q$86,MATCH(_xlfn.CONCAT($C244,$L244),Lookups!$P$2:$P$86,0)),IF($D244="Exterior",1,""))</f>
        <v/>
      </c>
      <c r="AP244" s="150">
        <f t="shared" si="119"/>
        <v>1</v>
      </c>
      <c r="AQ244" s="150" t="str">
        <f>IF($D244="Interior",INDEX(Lookups!R$2:R$86,MATCH(_xlfn.CONCAT($C244,$L244),Lookups!$P$2:$P$86,0)),IF($D244="Exterior",1,""))</f>
        <v/>
      </c>
      <c r="AR244" s="150" t="str">
        <f>IF($D244="Interior",INDEX(Lookups!S$2:S$86,MATCH(_xlfn.CONCAT($C244,$L244),Lookups!$P$2:$P$86,0)),IF($D244="Exterior",1,""))</f>
        <v/>
      </c>
      <c r="AS244" s="150" t="str">
        <f>IF($D244="Interior",INDEX(Lookups!T$2:T$86,MATCH(_xlfn.CONCAT($C244,$L244),Lookups!$P$2:$P$86,0)),IF($D244="Exterior",1,""))</f>
        <v/>
      </c>
      <c r="AT244" s="150" t="str">
        <f>IFERROR(IF(M244="Exit Signs",1,IF(INDEX('Fixture Codes'!$C$8:$C$976,MATCH($AD244,'Fixture Codes'!$B$8:$B$976,0))="Exit Sign",1,INDEX(Lookups!J$2:J$428,MATCH(_xlfn.CONCAT($B244,$H244),Lookups!$H$2:$H$428,0)))),"")</f>
        <v/>
      </c>
      <c r="AU244" s="150" t="str">
        <f>IFERROR(IF(M244="Exit Signs",1,IF(INDEX('Fixture Codes'!$C$8:$C$976,MATCH($AD244,'Fixture Codes'!$B$8:$B$976,0))="Exit Sign",1,INDEX(Lookups!K$2:K$428,MATCH(_xlfn.CONCAT($B244,$H244),Lookups!$H$2:$H$428,0)))),"")</f>
        <v/>
      </c>
      <c r="AV244" s="150" t="str">
        <f>IFERROR(IF(M244="Exit Signs",1,IF(INDEX('Fixture Codes'!$C$8:$C$976,MATCH($AD244,'Fixture Codes'!$B$8:$B$976,0))="Exit Sign",1,INDEX(Lookups!L$2:L$428,MATCH(_xlfn.CONCAT($B244,$H244),Lookups!$H$2:$H$428,0)))),"")</f>
        <v/>
      </c>
      <c r="AW244" s="150" t="str">
        <f>IF(ISBLANK(K244),"",IF(K244="Gas",INDEX(Lookups!$AG$2:$AG$63,MATCH(O244,Lookups!$AD$2:$AD$63,0),0),0))</f>
        <v/>
      </c>
      <c r="AX244" s="150" t="str">
        <f>IF(ISBLANK(K244),"",IF(K244="Gas",INDEX(Lookups!$AF$2:$AF$63,MATCH(O244,Lookups!$AD$2:$AD$63,0),0),0))</f>
        <v/>
      </c>
      <c r="AY244" s="150" t="str">
        <f>IF(ISBLANK(K244),"",IF(K244="Gas",INDEX(Lookups!$AH$2:$AH$63,MATCH(O244,Lookups!$AD$2:$AD$63,0),0),0))</f>
        <v/>
      </c>
      <c r="AZ244" s="150" t="str">
        <f>IF(ISBLANK(K244),"",IF(K244="Gas",INDEX(Lookups!$AI$2:$AI$63,MATCH(O244,Lookups!$AD$2:$AD$63,0),0),0))</f>
        <v/>
      </c>
      <c r="BA244" s="150" t="str">
        <f t="shared" si="106"/>
        <v/>
      </c>
      <c r="BB244" s="156" t="str">
        <f>IF(ISBLANK(AH244),"",IF(AH244="None",0,IF(K244="Gas",INDEX(Lookups!$AF$51:$AF$69,MATCH(AH244,Lookups!$AD$51:$AD$69,0),0),0)))</f>
        <v/>
      </c>
      <c r="BC244" s="156" t="str">
        <f>IF(ISBLANK(AH244),"",IF(AH244="None",0,IF(K244="Gas",INDEX(Lookups!$AH$51:$AH$69,MATCH(AH244,Lookups!$AD$51:$AD$69,0),0),0)))</f>
        <v/>
      </c>
      <c r="BD244" s="156" t="str">
        <f>IF(ISBLANK(AH244),"",IF(AH244="None",0,IF(K244="Gas",INDEX(Lookups!$AI$51:$AI$69,MATCH(AH244,Lookups!$AD$51:$AD$69,0),0),0)))</f>
        <v/>
      </c>
      <c r="BE244" s="157"/>
      <c r="BF244" s="157"/>
      <c r="BG244" s="147" t="str">
        <f t="shared" si="120"/>
        <v/>
      </c>
      <c r="BH244" s="147" t="str">
        <f t="shared" si="121"/>
        <v/>
      </c>
      <c r="BI244" s="147" t="str">
        <f t="shared" si="107"/>
        <v/>
      </c>
      <c r="BJ244" s="147" t="str">
        <f t="shared" si="108"/>
        <v/>
      </c>
      <c r="BK244" s="148" t="str">
        <f t="shared" si="122"/>
        <v/>
      </c>
      <c r="BL244" s="147" t="str">
        <f t="shared" si="109"/>
        <v/>
      </c>
      <c r="BM244" s="148" t="str">
        <f t="shared" si="123"/>
        <v/>
      </c>
      <c r="BN244" s="147" t="str">
        <f t="shared" si="124"/>
        <v/>
      </c>
      <c r="BO244" s="147" t="str">
        <f t="shared" si="124"/>
        <v/>
      </c>
      <c r="BP244" s="147" t="str">
        <f t="shared" si="125"/>
        <v/>
      </c>
      <c r="BQ244" s="148" t="str">
        <f t="shared" si="126"/>
        <v/>
      </c>
      <c r="BR244" s="148" t="str">
        <f t="shared" si="127"/>
        <v/>
      </c>
      <c r="BS244" s="148" t="str">
        <f t="shared" si="128"/>
        <v/>
      </c>
      <c r="BT244" s="148" t="str">
        <f t="shared" si="110"/>
        <v/>
      </c>
      <c r="BU244" s="148" t="str">
        <f t="shared" si="111"/>
        <v/>
      </c>
      <c r="BV244" s="148" t="str">
        <f t="shared" si="112"/>
        <v/>
      </c>
      <c r="BW244" s="148" t="str">
        <f t="shared" si="113"/>
        <v/>
      </c>
      <c r="BX244" s="148" t="str">
        <f t="shared" si="114"/>
        <v/>
      </c>
      <c r="BY244" s="148" t="str">
        <f t="shared" si="115"/>
        <v/>
      </c>
      <c r="BZ244" s="149" t="str">
        <f>IFERROR(INDEX('Prescriptive Rebate Table'!$B$2:$E$64,MATCH(O244,'Prescriptive Rebate Table'!$C$2:$C$64,0),3),"")</f>
        <v/>
      </c>
      <c r="CA244" s="145" t="str">
        <f>IFERROR(INDEX('Prescriptive Rebate Table'!$B$2:$E$64,MATCH(O244,'Prescriptive Rebate Table'!$C$2:$C$64,0),4),"")</f>
        <v/>
      </c>
      <c r="CB244" s="149" t="str">
        <f t="shared" si="129"/>
        <v/>
      </c>
      <c r="CC244" s="145" t="str">
        <f t="shared" si="130"/>
        <v/>
      </c>
      <c r="CD244" s="149" t="str">
        <f t="shared" si="116"/>
        <v/>
      </c>
      <c r="CE244" s="149" t="str">
        <f t="shared" si="117"/>
        <v/>
      </c>
      <c r="CF244" s="149" t="str">
        <f>IF(BK244&lt;=0,0,IFERROR(IF(OR(ISBLANK(AC244),ISBLANK(CD244))=TRUE,"",IF(CA244="Per Foot",INDEX('Fixture Codes'!$I$8:$I$976,MATCH(AD244,'Fixture Codes'!$B$8:$B$976,0))/12*AF244*BZ244,IF(CA244="Lamp",INDEX('Fixture Codes'!$J$8:$J$976,MATCH(AD244,'Fixture Codes'!$B$8:$B$976,0))*AF244*BZ244,IF(CA244="Fixture",AF244*BZ244,IF(CA244="kWh",BK244*BZ244,0))))),""))</f>
        <v/>
      </c>
      <c r="CG244" s="149" t="str">
        <f t="shared" si="131"/>
        <v/>
      </c>
      <c r="CH244" s="149" t="str">
        <f t="shared" si="132"/>
        <v/>
      </c>
      <c r="CI244" s="152"/>
      <c r="CJ244" s="146"/>
      <c r="CK244" s="241">
        <f>IFERROR(IF(CL244="Yes",'Prescriptive Rebate Table'!$D$69,IF(ISBLANK(AI244),0,IF(AND(AH244=Lookups!$A$62,BK244&gt;0),'Prescriptive Rebate Table'!$D$68,IF(AND(BK244&gt;0,CJ244=AF244),'Prescriptive Rebate Table'!$D$67,IF(AND(BK244&gt;0,CJ244&lt;&gt;AF244),'Prescriptive Rebate Table'!D303,0))))),"")</f>
        <v>0</v>
      </c>
      <c r="CL244" s="240" t="s">
        <v>2712</v>
      </c>
      <c r="CM244" s="152"/>
      <c r="CN244" s="152"/>
      <c r="CO244" s="152"/>
      <c r="CP244" s="146">
        <f t="shared" si="118"/>
        <v>0</v>
      </c>
      <c r="CQ244" s="153">
        <f>IF(D244="Interior",ROUND(($AG244*AF244)/1000*$AM244*(Lookups!$B$54-$AA244)*$AN244*$AO244,3),0)</f>
        <v>0</v>
      </c>
      <c r="CR244" s="153">
        <f>IFERROR(IF(D244="Interior",ROUND(($AG244*$AF244)/1000*(Lookups!$C$54-$AB244)*$AN244*AQ244*AT244,6),0),"")</f>
        <v>0</v>
      </c>
      <c r="CS244" s="165">
        <f t="shared" si="133"/>
        <v>0</v>
      </c>
      <c r="CT244" s="165">
        <f t="shared" si="134"/>
        <v>0</v>
      </c>
      <c r="CV244" s="153"/>
      <c r="CW244" s="153"/>
      <c r="CX244" s="165"/>
      <c r="CY244" s="165"/>
      <c r="DA244" s="153">
        <f>IF(D244="Interior",ROUND(($AG244*AF244*(1-0.15))/1000*$AM244*(Lookups!$B$43+0.097-$AA244)*$AN244*$AO244+((W244*V244)/1000*AN244*AM244*AO244*0.15),3),0)</f>
        <v>0</v>
      </c>
      <c r="DB244" s="153">
        <f>IFERROR(IF(D244="Interior",ROUND(($AG244*$AF244)/1000*(Lookups!$C$43+0.097-$AB244)*$AN244*AQ244*AT244+(($AG244*$AF244)/1000*$AN244*AQ244*AT244*0.15),6),0),"")</f>
        <v>0</v>
      </c>
      <c r="DC244" s="165">
        <f t="shared" si="135"/>
        <v>0</v>
      </c>
      <c r="DD244" s="165">
        <f t="shared" si="136"/>
        <v>0</v>
      </c>
    </row>
    <row r="245" spans="1:108" s="164" customFormat="1">
      <c r="A245" s="150">
        <v>241</v>
      </c>
      <c r="B245" s="153" t="str">
        <f>IFERROR(INDEX(Lookups!$B$2:$B$38,MATCH('Project Info &amp; Summary'!$C$19,Lookups!$A$2:$A$38,0)),"")</f>
        <v/>
      </c>
      <c r="C245" s="153" t="str">
        <f>IFERROR(INDEX(Lookups!$C$2:$C$38,MATCH('Project Info &amp; Summary'!$C$19,Lookups!$A$2:$A$38,0)),"")</f>
        <v/>
      </c>
      <c r="D245" s="163"/>
      <c r="E245" s="160"/>
      <c r="F245" s="158"/>
      <c r="G245" s="158"/>
      <c r="H245" s="158"/>
      <c r="I245" s="158"/>
      <c r="J245" s="154" t="str">
        <f>IFERROR(INDEX(Lookups!$W$21:$W$26,MATCH(I245,Lookups!$V$21:$V$26,0)),"")</f>
        <v/>
      </c>
      <c r="K245" s="158"/>
      <c r="L245" s="162" t="str">
        <f>IFERROR(INDEX(Lookups!$Y$2:$Y$19,MATCH(_xlfn.CONCAT(I245,K245),Lookups!$X$2:$X$19,0)),"")</f>
        <v/>
      </c>
      <c r="M245" s="158"/>
      <c r="N245" s="153" t="str">
        <f>IFERROR(INDEX('Prescriptive Rebate Table'!$M$3:$M$20,MATCH(M245,'Prescriptive Rebate Table'!$L$3:$L$20,0)),"")</f>
        <v/>
      </c>
      <c r="O245" s="158"/>
      <c r="P245" s="154" t="str">
        <f>IFERROR(INDEX('Prescriptive Rebate Table'!$B$2:$H$64, MATCH(O245,'Prescriptive Rebate Table'!$C$2:$C$64,0),7),"")</f>
        <v/>
      </c>
      <c r="Q245" s="155" t="str">
        <f>IFERROR(INDEX('Prescriptive Rebate Table'!$B$2:$I$64, MATCH(O245,'Prescriptive Rebate Table'!$C$2:$C$64,0),8),"")</f>
        <v/>
      </c>
      <c r="R245" s="155" t="str">
        <f>IFERROR(INDEX('Prescriptive Rebate Table'!$B$2:$J$64, MATCH(O245,'Prescriptive Rebate Table'!$C$2:$C$64,0),9),"")</f>
        <v/>
      </c>
      <c r="S245" s="160"/>
      <c r="T245" s="145" t="str">
        <f>IFERROR(INDEX('Fixture Codes'!$M$8:$M$976,MATCH(S245,'Fixture Codes'!$B$8:$B$976,0)),"")</f>
        <v/>
      </c>
      <c r="U245" s="145" t="str">
        <f>IFERROR(INDEX('Fixture Codes'!$B$7:$M$976,MATCH(T245,'Fixture Codes'!$B$7:$B$976,0),5),"")</f>
        <v/>
      </c>
      <c r="V245" s="160"/>
      <c r="W245" s="145" t="str">
        <f>IFERROR(INDEX('Fixture Codes'!$L$8:$L$976,MATCH(T245,'Fixture Codes'!$B$8:$B$976,0)),"")</f>
        <v/>
      </c>
      <c r="X245" s="158"/>
      <c r="Y245" s="159"/>
      <c r="Z245" s="155" t="str">
        <f>IFERROR(INDEX(Lookups!B$68:B$87,MATCH($X245,Lookups!$A$68:$A$87,0)),"")</f>
        <v/>
      </c>
      <c r="AA245" s="150" t="str">
        <f>IFERROR(INDEX(Lookups!B$42:B$62,MATCH($X245,Lookups!$A$42:$A$62,0)),"")</f>
        <v/>
      </c>
      <c r="AB245" s="150" t="str">
        <f>IFERROR(INDEX(Lookups!C$42:C$62,MATCH($X245,Lookups!$A$42:$A$62,0)),"")</f>
        <v/>
      </c>
      <c r="AC245" s="160"/>
      <c r="AD245" s="160"/>
      <c r="AE245" s="150" t="str">
        <f>IFERROR(INDEX('Fixture Codes'!$B$7:$M$976,MATCH(AD245,'Fixture Codes'!$B$7:$B$976,0),5),"")</f>
        <v/>
      </c>
      <c r="AF245" s="160"/>
      <c r="AG245" s="145" t="str">
        <f>IFERROR(INDEX('Fixture Codes'!$L$8:$L$976,MATCH(AD245,'Fixture Codes'!$B$8:$B$976,0)),"")</f>
        <v/>
      </c>
      <c r="AH245" s="158"/>
      <c r="AI245" s="160"/>
      <c r="AJ245" s="150" t="str">
        <f>IFERROR(INDEX(Lookups!B$68:B$87,MATCH($AH245,Lookups!$A$68:$A$87,0)),"")</f>
        <v/>
      </c>
      <c r="AK245" s="150" t="str">
        <f>IFERROR(INDEX(Lookups!B$42:B$62,MATCH($AH245,Lookups!$A$42:$A$62,0)),"")</f>
        <v/>
      </c>
      <c r="AL245" s="150" t="str">
        <f>IFERROR(INDEX(Lookups!C$42:C$62,MATCH($AH245,Lookups!$A$42:$A$62,0)),"")</f>
        <v/>
      </c>
      <c r="AM245" s="150" t="str">
        <f>IFERROR(IF(M245="Exit Signs",8760,IF(INDEX('Fixture Codes'!$C$8:$C$976,MATCH(AD245,'Fixture Codes'!$B$8:$B$976,0))="Exit Sign",8760,INDEX(Lookups!$I$2:$I$428,MATCH(_xlfn.CONCAT(B245,H245),Lookups!$H$2:$H$428,0)))),"")</f>
        <v/>
      </c>
      <c r="AN245" s="153">
        <v>1</v>
      </c>
      <c r="AO245" s="150" t="str">
        <f>IF($D245="Interior",INDEX(Lookups!Q$2:Q$86,MATCH(_xlfn.CONCAT($C245,$L245),Lookups!$P$2:$P$86,0)),IF($D245="Exterior",1,""))</f>
        <v/>
      </c>
      <c r="AP245" s="150">
        <f t="shared" si="119"/>
        <v>1</v>
      </c>
      <c r="AQ245" s="150" t="str">
        <f>IF($D245="Interior",INDEX(Lookups!R$2:R$86,MATCH(_xlfn.CONCAT($C245,$L245),Lookups!$P$2:$P$86,0)),IF($D245="Exterior",1,""))</f>
        <v/>
      </c>
      <c r="AR245" s="150" t="str">
        <f>IF($D245="Interior",INDEX(Lookups!S$2:S$86,MATCH(_xlfn.CONCAT($C245,$L245),Lookups!$P$2:$P$86,0)),IF($D245="Exterior",1,""))</f>
        <v/>
      </c>
      <c r="AS245" s="150" t="str">
        <f>IF($D245="Interior",INDEX(Lookups!T$2:T$86,MATCH(_xlfn.CONCAT($C245,$L245),Lookups!$P$2:$P$86,0)),IF($D245="Exterior",1,""))</f>
        <v/>
      </c>
      <c r="AT245" s="150" t="str">
        <f>IFERROR(IF(M245="Exit Signs",1,IF(INDEX('Fixture Codes'!$C$8:$C$976,MATCH($AD245,'Fixture Codes'!$B$8:$B$976,0))="Exit Sign",1,INDEX(Lookups!J$2:J$428,MATCH(_xlfn.CONCAT($B245,$H245),Lookups!$H$2:$H$428,0)))),"")</f>
        <v/>
      </c>
      <c r="AU245" s="150" t="str">
        <f>IFERROR(IF(M245="Exit Signs",1,IF(INDEX('Fixture Codes'!$C$8:$C$976,MATCH($AD245,'Fixture Codes'!$B$8:$B$976,0))="Exit Sign",1,INDEX(Lookups!K$2:K$428,MATCH(_xlfn.CONCAT($B245,$H245),Lookups!$H$2:$H$428,0)))),"")</f>
        <v/>
      </c>
      <c r="AV245" s="150" t="str">
        <f>IFERROR(IF(M245="Exit Signs",1,IF(INDEX('Fixture Codes'!$C$8:$C$976,MATCH($AD245,'Fixture Codes'!$B$8:$B$976,0))="Exit Sign",1,INDEX(Lookups!L$2:L$428,MATCH(_xlfn.CONCAT($B245,$H245),Lookups!$H$2:$H$428,0)))),"")</f>
        <v/>
      </c>
      <c r="AW245" s="150" t="str">
        <f>IF(ISBLANK(K245),"",IF(K245="Gas",INDEX(Lookups!$AG$2:$AG$63,MATCH(O245,Lookups!$AD$2:$AD$63,0),0),0))</f>
        <v/>
      </c>
      <c r="AX245" s="150" t="str">
        <f>IF(ISBLANK(K245),"",IF(K245="Gas",INDEX(Lookups!$AF$2:$AF$63,MATCH(O245,Lookups!$AD$2:$AD$63,0),0),0))</f>
        <v/>
      </c>
      <c r="AY245" s="150" t="str">
        <f>IF(ISBLANK(K245),"",IF(K245="Gas",INDEX(Lookups!$AH$2:$AH$63,MATCH(O245,Lookups!$AD$2:$AD$63,0),0),0))</f>
        <v/>
      </c>
      <c r="AZ245" s="150" t="str">
        <f>IF(ISBLANK(K245),"",IF(K245="Gas",INDEX(Lookups!$AI$2:$AI$63,MATCH(O245,Lookups!$AD$2:$AD$63,0),0),0))</f>
        <v/>
      </c>
      <c r="BA245" s="150" t="str">
        <f t="shared" si="106"/>
        <v/>
      </c>
      <c r="BB245" s="156" t="str">
        <f>IF(ISBLANK(AH245),"",IF(AH245="None",0,IF(K245="Gas",INDEX(Lookups!$AF$51:$AF$69,MATCH(AH245,Lookups!$AD$51:$AD$69,0),0),0)))</f>
        <v/>
      </c>
      <c r="BC245" s="156" t="str">
        <f>IF(ISBLANK(AH245),"",IF(AH245="None",0,IF(K245="Gas",INDEX(Lookups!$AH$51:$AH$69,MATCH(AH245,Lookups!$AD$51:$AD$69,0),0),0)))</f>
        <v/>
      </c>
      <c r="BD245" s="156" t="str">
        <f>IF(ISBLANK(AH245),"",IF(AH245="None",0,IF(K245="Gas",INDEX(Lookups!$AI$51:$AI$69,MATCH(AH245,Lookups!$AD$51:$AD$69,0),0),0)))</f>
        <v/>
      </c>
      <c r="BE245" s="157"/>
      <c r="BF245" s="157"/>
      <c r="BG245" s="147" t="str">
        <f t="shared" si="120"/>
        <v/>
      </c>
      <c r="BH245" s="147" t="str">
        <f t="shared" si="121"/>
        <v/>
      </c>
      <c r="BI245" s="147" t="str">
        <f t="shared" si="107"/>
        <v/>
      </c>
      <c r="BJ245" s="147" t="str">
        <f t="shared" si="108"/>
        <v/>
      </c>
      <c r="BK245" s="148" t="str">
        <f t="shared" si="122"/>
        <v/>
      </c>
      <c r="BL245" s="147" t="str">
        <f t="shared" si="109"/>
        <v/>
      </c>
      <c r="BM245" s="148" t="str">
        <f t="shared" si="123"/>
        <v/>
      </c>
      <c r="BN245" s="147" t="str">
        <f t="shared" si="124"/>
        <v/>
      </c>
      <c r="BO245" s="147" t="str">
        <f t="shared" si="124"/>
        <v/>
      </c>
      <c r="BP245" s="147" t="str">
        <f t="shared" si="125"/>
        <v/>
      </c>
      <c r="BQ245" s="148" t="str">
        <f t="shared" si="126"/>
        <v/>
      </c>
      <c r="BR245" s="148" t="str">
        <f t="shared" si="127"/>
        <v/>
      </c>
      <c r="BS245" s="148" t="str">
        <f t="shared" si="128"/>
        <v/>
      </c>
      <c r="BT245" s="148" t="str">
        <f t="shared" si="110"/>
        <v/>
      </c>
      <c r="BU245" s="148" t="str">
        <f t="shared" si="111"/>
        <v/>
      </c>
      <c r="BV245" s="148" t="str">
        <f t="shared" si="112"/>
        <v/>
      </c>
      <c r="BW245" s="148" t="str">
        <f t="shared" si="113"/>
        <v/>
      </c>
      <c r="BX245" s="148" t="str">
        <f t="shared" si="114"/>
        <v/>
      </c>
      <c r="BY245" s="148" t="str">
        <f t="shared" si="115"/>
        <v/>
      </c>
      <c r="BZ245" s="149" t="str">
        <f>IFERROR(INDEX('Prescriptive Rebate Table'!$B$2:$E$64,MATCH(O245,'Prescriptive Rebate Table'!$C$2:$C$64,0),3),"")</f>
        <v/>
      </c>
      <c r="CA245" s="145" t="str">
        <f>IFERROR(INDEX('Prescriptive Rebate Table'!$B$2:$E$64,MATCH(O245,'Prescriptive Rebate Table'!$C$2:$C$64,0),4),"")</f>
        <v/>
      </c>
      <c r="CB245" s="149" t="str">
        <f t="shared" si="129"/>
        <v/>
      </c>
      <c r="CC245" s="145" t="str">
        <f t="shared" si="130"/>
        <v/>
      </c>
      <c r="CD245" s="149" t="str">
        <f t="shared" si="116"/>
        <v/>
      </c>
      <c r="CE245" s="149" t="str">
        <f t="shared" si="117"/>
        <v/>
      </c>
      <c r="CF245" s="149" t="str">
        <f>IF(BK245&lt;=0,0,IFERROR(IF(OR(ISBLANK(AC245),ISBLANK(CD245))=TRUE,"",IF(CA245="Per Foot",INDEX('Fixture Codes'!$I$8:$I$976,MATCH(AD245,'Fixture Codes'!$B$8:$B$976,0))/12*AF245*BZ245,IF(CA245="Lamp",INDEX('Fixture Codes'!$J$8:$J$976,MATCH(AD245,'Fixture Codes'!$B$8:$B$976,0))*AF245*BZ245,IF(CA245="Fixture",AF245*BZ245,IF(CA245="kWh",BK245*BZ245,0))))),""))</f>
        <v/>
      </c>
      <c r="CG245" s="149" t="str">
        <f t="shared" si="131"/>
        <v/>
      </c>
      <c r="CH245" s="149" t="str">
        <f t="shared" si="132"/>
        <v/>
      </c>
      <c r="CI245" s="152"/>
      <c r="CJ245" s="146"/>
      <c r="CK245" s="241">
        <f>IFERROR(IF(CL245="Yes",'Prescriptive Rebate Table'!$D$69,IF(ISBLANK(AI245),0,IF(AND(AH245=Lookups!$A$62,BK245&gt;0),'Prescriptive Rebate Table'!$D$68,IF(AND(BK245&gt;0,CJ245=AF245),'Prescriptive Rebate Table'!$D$67,IF(AND(BK245&gt;0,CJ245&lt;&gt;AF245),'Prescriptive Rebate Table'!D304,0))))),"")</f>
        <v>0</v>
      </c>
      <c r="CL245" s="240" t="s">
        <v>2712</v>
      </c>
      <c r="CM245" s="152"/>
      <c r="CN245" s="152"/>
      <c r="CO245" s="152"/>
      <c r="CP245" s="146">
        <f t="shared" si="118"/>
        <v>0</v>
      </c>
      <c r="CQ245" s="153">
        <f>IF(D245="Interior",ROUND(($AG245*AF245)/1000*$AM245*(Lookups!$B$54-$AA245)*$AN245*$AO245,3),0)</f>
        <v>0</v>
      </c>
      <c r="CR245" s="153">
        <f>IFERROR(IF(D245="Interior",ROUND(($AG245*$AF245)/1000*(Lookups!$C$54-$AB245)*$AN245*AQ245*AT245,6),0),"")</f>
        <v>0</v>
      </c>
      <c r="CS245" s="165">
        <f t="shared" si="133"/>
        <v>0</v>
      </c>
      <c r="CT245" s="165">
        <f t="shared" si="134"/>
        <v>0</v>
      </c>
      <c r="CV245" s="153"/>
      <c r="CW245" s="153"/>
      <c r="CX245" s="165"/>
      <c r="CY245" s="165"/>
      <c r="DA245" s="153">
        <f>IF(D245="Interior",ROUND(($AG245*AF245*(1-0.15))/1000*$AM245*(Lookups!$B$43+0.097-$AA245)*$AN245*$AO245+((W245*V245)/1000*AN245*AM245*AO245*0.15),3),0)</f>
        <v>0</v>
      </c>
      <c r="DB245" s="153">
        <f>IFERROR(IF(D245="Interior",ROUND(($AG245*$AF245)/1000*(Lookups!$C$43+0.097-$AB245)*$AN245*AQ245*AT245+(($AG245*$AF245)/1000*$AN245*AQ245*AT245*0.15),6),0),"")</f>
        <v>0</v>
      </c>
      <c r="DC245" s="165">
        <f t="shared" si="135"/>
        <v>0</v>
      </c>
      <c r="DD245" s="165">
        <f t="shared" si="136"/>
        <v>0</v>
      </c>
    </row>
    <row r="246" spans="1:108" s="164" customFormat="1">
      <c r="A246" s="150">
        <v>242</v>
      </c>
      <c r="B246" s="153" t="str">
        <f>IFERROR(INDEX(Lookups!$B$2:$B$38,MATCH('Project Info &amp; Summary'!$C$19,Lookups!$A$2:$A$38,0)),"")</f>
        <v/>
      </c>
      <c r="C246" s="153" t="str">
        <f>IFERROR(INDEX(Lookups!$C$2:$C$38,MATCH('Project Info &amp; Summary'!$C$19,Lookups!$A$2:$A$38,0)),"")</f>
        <v/>
      </c>
      <c r="D246" s="163"/>
      <c r="E246" s="160"/>
      <c r="F246" s="158"/>
      <c r="G246" s="158"/>
      <c r="H246" s="158"/>
      <c r="I246" s="158"/>
      <c r="J246" s="154" t="str">
        <f>IFERROR(INDEX(Lookups!$W$21:$W$26,MATCH(I246,Lookups!$V$21:$V$26,0)),"")</f>
        <v/>
      </c>
      <c r="K246" s="158"/>
      <c r="L246" s="162" t="str">
        <f>IFERROR(INDEX(Lookups!$Y$2:$Y$19,MATCH(_xlfn.CONCAT(I246,K246),Lookups!$X$2:$X$19,0)),"")</f>
        <v/>
      </c>
      <c r="M246" s="158"/>
      <c r="N246" s="153" t="str">
        <f>IFERROR(INDEX('Prescriptive Rebate Table'!$M$3:$M$20,MATCH(M246,'Prescriptive Rebate Table'!$L$3:$L$20,0)),"")</f>
        <v/>
      </c>
      <c r="O246" s="158"/>
      <c r="P246" s="154" t="str">
        <f>IFERROR(INDEX('Prescriptive Rebate Table'!$B$2:$H$64, MATCH(O246,'Prescriptive Rebate Table'!$C$2:$C$64,0),7),"")</f>
        <v/>
      </c>
      <c r="Q246" s="155" t="str">
        <f>IFERROR(INDEX('Prescriptive Rebate Table'!$B$2:$I$64, MATCH(O246,'Prescriptive Rebate Table'!$C$2:$C$64,0),8),"")</f>
        <v/>
      </c>
      <c r="R246" s="155" t="str">
        <f>IFERROR(INDEX('Prescriptive Rebate Table'!$B$2:$J$64, MATCH(O246,'Prescriptive Rebate Table'!$C$2:$C$64,0),9),"")</f>
        <v/>
      </c>
      <c r="S246" s="160"/>
      <c r="T246" s="145" t="str">
        <f>IFERROR(INDEX('Fixture Codes'!$M$8:$M$976,MATCH(S246,'Fixture Codes'!$B$8:$B$976,0)),"")</f>
        <v/>
      </c>
      <c r="U246" s="145" t="str">
        <f>IFERROR(INDEX('Fixture Codes'!$B$7:$M$976,MATCH(T246,'Fixture Codes'!$B$7:$B$976,0),5),"")</f>
        <v/>
      </c>
      <c r="V246" s="160"/>
      <c r="W246" s="145" t="str">
        <f>IFERROR(INDEX('Fixture Codes'!$L$8:$L$976,MATCH(T246,'Fixture Codes'!$B$8:$B$976,0)),"")</f>
        <v/>
      </c>
      <c r="X246" s="158"/>
      <c r="Y246" s="159"/>
      <c r="Z246" s="155" t="str">
        <f>IFERROR(INDEX(Lookups!B$68:B$87,MATCH($X246,Lookups!$A$68:$A$87,0)),"")</f>
        <v/>
      </c>
      <c r="AA246" s="150" t="str">
        <f>IFERROR(INDEX(Lookups!B$42:B$62,MATCH($X246,Lookups!$A$42:$A$62,0)),"")</f>
        <v/>
      </c>
      <c r="AB246" s="150" t="str">
        <f>IFERROR(INDEX(Lookups!C$42:C$62,MATCH($X246,Lookups!$A$42:$A$62,0)),"")</f>
        <v/>
      </c>
      <c r="AC246" s="160"/>
      <c r="AD246" s="160"/>
      <c r="AE246" s="150" t="str">
        <f>IFERROR(INDEX('Fixture Codes'!$B$7:$M$976,MATCH(AD246,'Fixture Codes'!$B$7:$B$976,0),5),"")</f>
        <v/>
      </c>
      <c r="AF246" s="160"/>
      <c r="AG246" s="145" t="str">
        <f>IFERROR(INDEX('Fixture Codes'!$L$8:$L$976,MATCH(AD246,'Fixture Codes'!$B$8:$B$976,0)),"")</f>
        <v/>
      </c>
      <c r="AH246" s="158"/>
      <c r="AI246" s="160"/>
      <c r="AJ246" s="150" t="str">
        <f>IFERROR(INDEX(Lookups!B$68:B$87,MATCH($AH246,Lookups!$A$68:$A$87,0)),"")</f>
        <v/>
      </c>
      <c r="AK246" s="150" t="str">
        <f>IFERROR(INDEX(Lookups!B$42:B$62,MATCH($AH246,Lookups!$A$42:$A$62,0)),"")</f>
        <v/>
      </c>
      <c r="AL246" s="150" t="str">
        <f>IFERROR(INDEX(Lookups!C$42:C$62,MATCH($AH246,Lookups!$A$42:$A$62,0)),"")</f>
        <v/>
      </c>
      <c r="AM246" s="150" t="str">
        <f>IFERROR(IF(M246="Exit Signs",8760,IF(INDEX('Fixture Codes'!$C$8:$C$976,MATCH(AD246,'Fixture Codes'!$B$8:$B$976,0))="Exit Sign",8760,INDEX(Lookups!$I$2:$I$428,MATCH(_xlfn.CONCAT(B246,H246),Lookups!$H$2:$H$428,0)))),"")</f>
        <v/>
      </c>
      <c r="AN246" s="153">
        <v>1</v>
      </c>
      <c r="AO246" s="150" t="str">
        <f>IF($D246="Interior",INDEX(Lookups!Q$2:Q$86,MATCH(_xlfn.CONCAT($C246,$L246),Lookups!$P$2:$P$86,0)),IF($D246="Exterior",1,""))</f>
        <v/>
      </c>
      <c r="AP246" s="150">
        <f t="shared" si="119"/>
        <v>1</v>
      </c>
      <c r="AQ246" s="150" t="str">
        <f>IF($D246="Interior",INDEX(Lookups!R$2:R$86,MATCH(_xlfn.CONCAT($C246,$L246),Lookups!$P$2:$P$86,0)),IF($D246="Exterior",1,""))</f>
        <v/>
      </c>
      <c r="AR246" s="150" t="str">
        <f>IF($D246="Interior",INDEX(Lookups!S$2:S$86,MATCH(_xlfn.CONCAT($C246,$L246),Lookups!$P$2:$P$86,0)),IF($D246="Exterior",1,""))</f>
        <v/>
      </c>
      <c r="AS246" s="150" t="str">
        <f>IF($D246="Interior",INDEX(Lookups!T$2:T$86,MATCH(_xlfn.CONCAT($C246,$L246),Lookups!$P$2:$P$86,0)),IF($D246="Exterior",1,""))</f>
        <v/>
      </c>
      <c r="AT246" s="150" t="str">
        <f>IFERROR(IF(M246="Exit Signs",1,IF(INDEX('Fixture Codes'!$C$8:$C$976,MATCH($AD246,'Fixture Codes'!$B$8:$B$976,0))="Exit Sign",1,INDEX(Lookups!J$2:J$428,MATCH(_xlfn.CONCAT($B246,$H246),Lookups!$H$2:$H$428,0)))),"")</f>
        <v/>
      </c>
      <c r="AU246" s="150" t="str">
        <f>IFERROR(IF(M246="Exit Signs",1,IF(INDEX('Fixture Codes'!$C$8:$C$976,MATCH($AD246,'Fixture Codes'!$B$8:$B$976,0))="Exit Sign",1,INDEX(Lookups!K$2:K$428,MATCH(_xlfn.CONCAT($B246,$H246),Lookups!$H$2:$H$428,0)))),"")</f>
        <v/>
      </c>
      <c r="AV246" s="150" t="str">
        <f>IFERROR(IF(M246="Exit Signs",1,IF(INDEX('Fixture Codes'!$C$8:$C$976,MATCH($AD246,'Fixture Codes'!$B$8:$B$976,0))="Exit Sign",1,INDEX(Lookups!L$2:L$428,MATCH(_xlfn.CONCAT($B246,$H246),Lookups!$H$2:$H$428,0)))),"")</f>
        <v/>
      </c>
      <c r="AW246" s="150" t="str">
        <f>IF(ISBLANK(K246),"",IF(K246="Gas",INDEX(Lookups!$AG$2:$AG$63,MATCH(O246,Lookups!$AD$2:$AD$63,0),0),0))</f>
        <v/>
      </c>
      <c r="AX246" s="150" t="str">
        <f>IF(ISBLANK(K246),"",IF(K246="Gas",INDEX(Lookups!$AF$2:$AF$63,MATCH(O246,Lookups!$AD$2:$AD$63,0),0),0))</f>
        <v/>
      </c>
      <c r="AY246" s="150" t="str">
        <f>IF(ISBLANK(K246),"",IF(K246="Gas",INDEX(Lookups!$AH$2:$AH$63,MATCH(O246,Lookups!$AD$2:$AD$63,0),0),0))</f>
        <v/>
      </c>
      <c r="AZ246" s="150" t="str">
        <f>IF(ISBLANK(K246),"",IF(K246="Gas",INDEX(Lookups!$AI$2:$AI$63,MATCH(O246,Lookups!$AD$2:$AD$63,0),0),0))</f>
        <v/>
      </c>
      <c r="BA246" s="150" t="str">
        <f t="shared" si="106"/>
        <v/>
      </c>
      <c r="BB246" s="156" t="str">
        <f>IF(ISBLANK(AH246),"",IF(AH246="None",0,IF(K246="Gas",INDEX(Lookups!$AF$51:$AF$69,MATCH(AH246,Lookups!$AD$51:$AD$69,0),0),0)))</f>
        <v/>
      </c>
      <c r="BC246" s="156" t="str">
        <f>IF(ISBLANK(AH246),"",IF(AH246="None",0,IF(K246="Gas",INDEX(Lookups!$AH$51:$AH$69,MATCH(AH246,Lookups!$AD$51:$AD$69,0),0),0)))</f>
        <v/>
      </c>
      <c r="BD246" s="156" t="str">
        <f>IF(ISBLANK(AH246),"",IF(AH246="None",0,IF(K246="Gas",INDEX(Lookups!$AI$51:$AI$69,MATCH(AH246,Lookups!$AD$51:$AD$69,0),0),0)))</f>
        <v/>
      </c>
      <c r="BE246" s="157"/>
      <c r="BF246" s="157"/>
      <c r="BG246" s="147" t="str">
        <f t="shared" si="120"/>
        <v/>
      </c>
      <c r="BH246" s="147" t="str">
        <f t="shared" si="121"/>
        <v/>
      </c>
      <c r="BI246" s="147" t="str">
        <f t="shared" si="107"/>
        <v/>
      </c>
      <c r="BJ246" s="147" t="str">
        <f t="shared" si="108"/>
        <v/>
      </c>
      <c r="BK246" s="148" t="str">
        <f t="shared" si="122"/>
        <v/>
      </c>
      <c r="BL246" s="147" t="str">
        <f t="shared" si="109"/>
        <v/>
      </c>
      <c r="BM246" s="148" t="str">
        <f t="shared" si="123"/>
        <v/>
      </c>
      <c r="BN246" s="147" t="str">
        <f t="shared" si="124"/>
        <v/>
      </c>
      <c r="BO246" s="147" t="str">
        <f t="shared" si="124"/>
        <v/>
      </c>
      <c r="BP246" s="147" t="str">
        <f t="shared" si="125"/>
        <v/>
      </c>
      <c r="BQ246" s="148" t="str">
        <f t="shared" si="126"/>
        <v/>
      </c>
      <c r="BR246" s="148" t="str">
        <f t="shared" si="127"/>
        <v/>
      </c>
      <c r="BS246" s="148" t="str">
        <f t="shared" si="128"/>
        <v/>
      </c>
      <c r="BT246" s="148" t="str">
        <f t="shared" si="110"/>
        <v/>
      </c>
      <c r="BU246" s="148" t="str">
        <f t="shared" si="111"/>
        <v/>
      </c>
      <c r="BV246" s="148" t="str">
        <f t="shared" si="112"/>
        <v/>
      </c>
      <c r="BW246" s="148" t="str">
        <f t="shared" si="113"/>
        <v/>
      </c>
      <c r="BX246" s="148" t="str">
        <f t="shared" si="114"/>
        <v/>
      </c>
      <c r="BY246" s="148" t="str">
        <f t="shared" si="115"/>
        <v/>
      </c>
      <c r="BZ246" s="149" t="str">
        <f>IFERROR(INDEX('Prescriptive Rebate Table'!$B$2:$E$64,MATCH(O246,'Prescriptive Rebate Table'!$C$2:$C$64,0),3),"")</f>
        <v/>
      </c>
      <c r="CA246" s="145" t="str">
        <f>IFERROR(INDEX('Prescriptive Rebate Table'!$B$2:$E$64,MATCH(O246,'Prescriptive Rebate Table'!$C$2:$C$64,0),4),"")</f>
        <v/>
      </c>
      <c r="CB246" s="149" t="str">
        <f t="shared" si="129"/>
        <v/>
      </c>
      <c r="CC246" s="145" t="str">
        <f t="shared" si="130"/>
        <v/>
      </c>
      <c r="CD246" s="149" t="str">
        <f t="shared" si="116"/>
        <v/>
      </c>
      <c r="CE246" s="149" t="str">
        <f t="shared" si="117"/>
        <v/>
      </c>
      <c r="CF246" s="149" t="str">
        <f>IF(BK246&lt;=0,0,IFERROR(IF(OR(ISBLANK(AC246),ISBLANK(CD246))=TRUE,"",IF(CA246="Per Foot",INDEX('Fixture Codes'!$I$8:$I$976,MATCH(AD246,'Fixture Codes'!$B$8:$B$976,0))/12*AF246*BZ246,IF(CA246="Lamp",INDEX('Fixture Codes'!$J$8:$J$976,MATCH(AD246,'Fixture Codes'!$B$8:$B$976,0))*AF246*BZ246,IF(CA246="Fixture",AF246*BZ246,IF(CA246="kWh",BK246*BZ246,0))))),""))</f>
        <v/>
      </c>
      <c r="CG246" s="149" t="str">
        <f t="shared" si="131"/>
        <v/>
      </c>
      <c r="CH246" s="149" t="str">
        <f t="shared" si="132"/>
        <v/>
      </c>
      <c r="CI246" s="152"/>
      <c r="CJ246" s="146"/>
      <c r="CK246" s="241">
        <f>IFERROR(IF(CL246="Yes",'Prescriptive Rebate Table'!$D$69,IF(ISBLANK(AI246),0,IF(AND(AH246=Lookups!$A$62,BK246&gt;0),'Prescriptive Rebate Table'!$D$68,IF(AND(BK246&gt;0,CJ246=AF246),'Prescriptive Rebate Table'!$D$67,IF(AND(BK246&gt;0,CJ246&lt;&gt;AF246),'Prescriptive Rebate Table'!D305,0))))),"")</f>
        <v>0</v>
      </c>
      <c r="CL246" s="240" t="s">
        <v>2712</v>
      </c>
      <c r="CM246" s="152"/>
      <c r="CN246" s="152"/>
      <c r="CO246" s="152"/>
      <c r="CP246" s="146">
        <f t="shared" si="118"/>
        <v>0</v>
      </c>
      <c r="CQ246" s="153">
        <f>IF(D246="Interior",ROUND(($AG246*AF246)/1000*$AM246*(Lookups!$B$54-$AA246)*$AN246*$AO246,3),0)</f>
        <v>0</v>
      </c>
      <c r="CR246" s="153">
        <f>IFERROR(IF(D246="Interior",ROUND(($AG246*$AF246)/1000*(Lookups!$C$54-$AB246)*$AN246*AQ246*AT246,6),0),"")</f>
        <v>0</v>
      </c>
      <c r="CS246" s="165">
        <f t="shared" si="133"/>
        <v>0</v>
      </c>
      <c r="CT246" s="165">
        <f t="shared" si="134"/>
        <v>0</v>
      </c>
      <c r="CV246" s="153"/>
      <c r="CW246" s="153"/>
      <c r="CX246" s="165"/>
      <c r="CY246" s="165"/>
      <c r="DA246" s="153">
        <f>IF(D246="Interior",ROUND(($AG246*AF246*(1-0.15))/1000*$AM246*(Lookups!$B$43+0.097-$AA246)*$AN246*$AO246+((W246*V246)/1000*AN246*AM246*AO246*0.15),3),0)</f>
        <v>0</v>
      </c>
      <c r="DB246" s="153">
        <f>IFERROR(IF(D246="Interior",ROUND(($AG246*$AF246)/1000*(Lookups!$C$43+0.097-$AB246)*$AN246*AQ246*AT246+(($AG246*$AF246)/1000*$AN246*AQ246*AT246*0.15),6),0),"")</f>
        <v>0</v>
      </c>
      <c r="DC246" s="165">
        <f t="shared" si="135"/>
        <v>0</v>
      </c>
      <c r="DD246" s="165">
        <f t="shared" si="136"/>
        <v>0</v>
      </c>
    </row>
    <row r="247" spans="1:108" s="164" customFormat="1">
      <c r="A247" s="150">
        <v>243</v>
      </c>
      <c r="B247" s="153" t="str">
        <f>IFERROR(INDEX(Lookups!$B$2:$B$38,MATCH('Project Info &amp; Summary'!$C$19,Lookups!$A$2:$A$38,0)),"")</f>
        <v/>
      </c>
      <c r="C247" s="153" t="str">
        <f>IFERROR(INDEX(Lookups!$C$2:$C$38,MATCH('Project Info &amp; Summary'!$C$19,Lookups!$A$2:$A$38,0)),"")</f>
        <v/>
      </c>
      <c r="D247" s="163"/>
      <c r="E247" s="160"/>
      <c r="F247" s="158"/>
      <c r="G247" s="158"/>
      <c r="H247" s="158"/>
      <c r="I247" s="158"/>
      <c r="J247" s="154" t="str">
        <f>IFERROR(INDEX(Lookups!$W$21:$W$26,MATCH(I247,Lookups!$V$21:$V$26,0)),"")</f>
        <v/>
      </c>
      <c r="K247" s="158"/>
      <c r="L247" s="162" t="str">
        <f>IFERROR(INDEX(Lookups!$Y$2:$Y$19,MATCH(_xlfn.CONCAT(I247,K247),Lookups!$X$2:$X$19,0)),"")</f>
        <v/>
      </c>
      <c r="M247" s="158"/>
      <c r="N247" s="153" t="str">
        <f>IFERROR(INDEX('Prescriptive Rebate Table'!$M$3:$M$20,MATCH(M247,'Prescriptive Rebate Table'!$L$3:$L$20,0)),"")</f>
        <v/>
      </c>
      <c r="O247" s="158"/>
      <c r="P247" s="154" t="str">
        <f>IFERROR(INDEX('Prescriptive Rebate Table'!$B$2:$H$64, MATCH(O247,'Prescriptive Rebate Table'!$C$2:$C$64,0),7),"")</f>
        <v/>
      </c>
      <c r="Q247" s="155" t="str">
        <f>IFERROR(INDEX('Prescriptive Rebate Table'!$B$2:$I$64, MATCH(O247,'Prescriptive Rebate Table'!$C$2:$C$64,0),8),"")</f>
        <v/>
      </c>
      <c r="R247" s="155" t="str">
        <f>IFERROR(INDEX('Prescriptive Rebate Table'!$B$2:$J$64, MATCH(O247,'Prescriptive Rebate Table'!$C$2:$C$64,0),9),"")</f>
        <v/>
      </c>
      <c r="S247" s="160"/>
      <c r="T247" s="145" t="str">
        <f>IFERROR(INDEX('Fixture Codes'!$M$8:$M$976,MATCH(S247,'Fixture Codes'!$B$8:$B$976,0)),"")</f>
        <v/>
      </c>
      <c r="U247" s="145" t="str">
        <f>IFERROR(INDEX('Fixture Codes'!$B$7:$M$976,MATCH(T247,'Fixture Codes'!$B$7:$B$976,0),5),"")</f>
        <v/>
      </c>
      <c r="V247" s="160"/>
      <c r="W247" s="145" t="str">
        <f>IFERROR(INDEX('Fixture Codes'!$L$8:$L$976,MATCH(T247,'Fixture Codes'!$B$8:$B$976,0)),"")</f>
        <v/>
      </c>
      <c r="X247" s="158"/>
      <c r="Y247" s="159"/>
      <c r="Z247" s="155" t="str">
        <f>IFERROR(INDEX(Lookups!B$68:B$87,MATCH($X247,Lookups!$A$68:$A$87,0)),"")</f>
        <v/>
      </c>
      <c r="AA247" s="150" t="str">
        <f>IFERROR(INDEX(Lookups!B$42:B$62,MATCH($X247,Lookups!$A$42:$A$62,0)),"")</f>
        <v/>
      </c>
      <c r="AB247" s="150" t="str">
        <f>IFERROR(INDEX(Lookups!C$42:C$62,MATCH($X247,Lookups!$A$42:$A$62,0)),"")</f>
        <v/>
      </c>
      <c r="AC247" s="160"/>
      <c r="AD247" s="160"/>
      <c r="AE247" s="150" t="str">
        <f>IFERROR(INDEX('Fixture Codes'!$B$7:$M$976,MATCH(AD247,'Fixture Codes'!$B$7:$B$976,0),5),"")</f>
        <v/>
      </c>
      <c r="AF247" s="160"/>
      <c r="AG247" s="145" t="str">
        <f>IFERROR(INDEX('Fixture Codes'!$L$8:$L$976,MATCH(AD247,'Fixture Codes'!$B$8:$B$976,0)),"")</f>
        <v/>
      </c>
      <c r="AH247" s="158"/>
      <c r="AI247" s="160"/>
      <c r="AJ247" s="150" t="str">
        <f>IFERROR(INDEX(Lookups!B$68:B$87,MATCH($AH247,Lookups!$A$68:$A$87,0)),"")</f>
        <v/>
      </c>
      <c r="AK247" s="150" t="str">
        <f>IFERROR(INDEX(Lookups!B$42:B$62,MATCH($AH247,Lookups!$A$42:$A$62,0)),"")</f>
        <v/>
      </c>
      <c r="AL247" s="150" t="str">
        <f>IFERROR(INDEX(Lookups!C$42:C$62,MATCH($AH247,Lookups!$A$42:$A$62,0)),"")</f>
        <v/>
      </c>
      <c r="AM247" s="150" t="str">
        <f>IFERROR(IF(M247="Exit Signs",8760,IF(INDEX('Fixture Codes'!$C$8:$C$976,MATCH(AD247,'Fixture Codes'!$B$8:$B$976,0))="Exit Sign",8760,INDEX(Lookups!$I$2:$I$428,MATCH(_xlfn.CONCAT(B247,H247),Lookups!$H$2:$H$428,0)))),"")</f>
        <v/>
      </c>
      <c r="AN247" s="153">
        <v>1</v>
      </c>
      <c r="AO247" s="150" t="str">
        <f>IF($D247="Interior",INDEX(Lookups!Q$2:Q$86,MATCH(_xlfn.CONCAT($C247,$L247),Lookups!$P$2:$P$86,0)),IF($D247="Exterior",1,""))</f>
        <v/>
      </c>
      <c r="AP247" s="150">
        <f t="shared" si="119"/>
        <v>1</v>
      </c>
      <c r="AQ247" s="150" t="str">
        <f>IF($D247="Interior",INDEX(Lookups!R$2:R$86,MATCH(_xlfn.CONCAT($C247,$L247),Lookups!$P$2:$P$86,0)),IF($D247="Exterior",1,""))</f>
        <v/>
      </c>
      <c r="AR247" s="150" t="str">
        <f>IF($D247="Interior",INDEX(Lookups!S$2:S$86,MATCH(_xlfn.CONCAT($C247,$L247),Lookups!$P$2:$P$86,0)),IF($D247="Exterior",1,""))</f>
        <v/>
      </c>
      <c r="AS247" s="150" t="str">
        <f>IF($D247="Interior",INDEX(Lookups!T$2:T$86,MATCH(_xlfn.CONCAT($C247,$L247),Lookups!$P$2:$P$86,0)),IF($D247="Exterior",1,""))</f>
        <v/>
      </c>
      <c r="AT247" s="150" t="str">
        <f>IFERROR(IF(M247="Exit Signs",1,IF(INDEX('Fixture Codes'!$C$8:$C$976,MATCH($AD247,'Fixture Codes'!$B$8:$B$976,0))="Exit Sign",1,INDEX(Lookups!J$2:J$428,MATCH(_xlfn.CONCAT($B247,$H247),Lookups!$H$2:$H$428,0)))),"")</f>
        <v/>
      </c>
      <c r="AU247" s="150" t="str">
        <f>IFERROR(IF(M247="Exit Signs",1,IF(INDEX('Fixture Codes'!$C$8:$C$976,MATCH($AD247,'Fixture Codes'!$B$8:$B$976,0))="Exit Sign",1,INDEX(Lookups!K$2:K$428,MATCH(_xlfn.CONCAT($B247,$H247),Lookups!$H$2:$H$428,0)))),"")</f>
        <v/>
      </c>
      <c r="AV247" s="150" t="str">
        <f>IFERROR(IF(M247="Exit Signs",1,IF(INDEX('Fixture Codes'!$C$8:$C$976,MATCH($AD247,'Fixture Codes'!$B$8:$B$976,0))="Exit Sign",1,INDEX(Lookups!L$2:L$428,MATCH(_xlfn.CONCAT($B247,$H247),Lookups!$H$2:$H$428,0)))),"")</f>
        <v/>
      </c>
      <c r="AW247" s="150" t="str">
        <f>IF(ISBLANK(K247),"",IF(K247="Gas",INDEX(Lookups!$AG$2:$AG$63,MATCH(O247,Lookups!$AD$2:$AD$63,0),0),0))</f>
        <v/>
      </c>
      <c r="AX247" s="150" t="str">
        <f>IF(ISBLANK(K247),"",IF(K247="Gas",INDEX(Lookups!$AF$2:$AF$63,MATCH(O247,Lookups!$AD$2:$AD$63,0),0),0))</f>
        <v/>
      </c>
      <c r="AY247" s="150" t="str">
        <f>IF(ISBLANK(K247),"",IF(K247="Gas",INDEX(Lookups!$AH$2:$AH$63,MATCH(O247,Lookups!$AD$2:$AD$63,0),0),0))</f>
        <v/>
      </c>
      <c r="AZ247" s="150" t="str">
        <f>IF(ISBLANK(K247),"",IF(K247="Gas",INDEX(Lookups!$AI$2:$AI$63,MATCH(O247,Lookups!$AD$2:$AD$63,0),0),0))</f>
        <v/>
      </c>
      <c r="BA247" s="150" t="str">
        <f t="shared" si="106"/>
        <v/>
      </c>
      <c r="BB247" s="156" t="str">
        <f>IF(ISBLANK(AH247),"",IF(AH247="None",0,IF(K247="Gas",INDEX(Lookups!$AF$51:$AF$69,MATCH(AH247,Lookups!$AD$51:$AD$69,0),0),0)))</f>
        <v/>
      </c>
      <c r="BC247" s="156" t="str">
        <f>IF(ISBLANK(AH247),"",IF(AH247="None",0,IF(K247="Gas",INDEX(Lookups!$AH$51:$AH$69,MATCH(AH247,Lookups!$AD$51:$AD$69,0),0),0)))</f>
        <v/>
      </c>
      <c r="BD247" s="156" t="str">
        <f>IF(ISBLANK(AH247),"",IF(AH247="None",0,IF(K247="Gas",INDEX(Lookups!$AI$51:$AI$69,MATCH(AH247,Lookups!$AD$51:$AD$69,0),0),0)))</f>
        <v/>
      </c>
      <c r="BE247" s="157"/>
      <c r="BF247" s="157"/>
      <c r="BG247" s="147" t="str">
        <f t="shared" si="120"/>
        <v/>
      </c>
      <c r="BH247" s="147" t="str">
        <f t="shared" si="121"/>
        <v/>
      </c>
      <c r="BI247" s="147" t="str">
        <f t="shared" si="107"/>
        <v/>
      </c>
      <c r="BJ247" s="147" t="str">
        <f t="shared" si="108"/>
        <v/>
      </c>
      <c r="BK247" s="148" t="str">
        <f t="shared" si="122"/>
        <v/>
      </c>
      <c r="BL247" s="147" t="str">
        <f t="shared" si="109"/>
        <v/>
      </c>
      <c r="BM247" s="148" t="str">
        <f t="shared" si="123"/>
        <v/>
      </c>
      <c r="BN247" s="147" t="str">
        <f t="shared" si="124"/>
        <v/>
      </c>
      <c r="BO247" s="147" t="str">
        <f t="shared" si="124"/>
        <v/>
      </c>
      <c r="BP247" s="147" t="str">
        <f t="shared" si="125"/>
        <v/>
      </c>
      <c r="BQ247" s="148" t="str">
        <f t="shared" si="126"/>
        <v/>
      </c>
      <c r="BR247" s="148" t="str">
        <f t="shared" si="127"/>
        <v/>
      </c>
      <c r="BS247" s="148" t="str">
        <f t="shared" si="128"/>
        <v/>
      </c>
      <c r="BT247" s="148" t="str">
        <f t="shared" si="110"/>
        <v/>
      </c>
      <c r="BU247" s="148" t="str">
        <f t="shared" si="111"/>
        <v/>
      </c>
      <c r="BV247" s="148" t="str">
        <f t="shared" si="112"/>
        <v/>
      </c>
      <c r="BW247" s="148" t="str">
        <f t="shared" si="113"/>
        <v/>
      </c>
      <c r="BX247" s="148" t="str">
        <f t="shared" si="114"/>
        <v/>
      </c>
      <c r="BY247" s="148" t="str">
        <f t="shared" si="115"/>
        <v/>
      </c>
      <c r="BZ247" s="149" t="str">
        <f>IFERROR(INDEX('Prescriptive Rebate Table'!$B$2:$E$64,MATCH(O247,'Prescriptive Rebate Table'!$C$2:$C$64,0),3),"")</f>
        <v/>
      </c>
      <c r="CA247" s="145" t="str">
        <f>IFERROR(INDEX('Prescriptive Rebate Table'!$B$2:$E$64,MATCH(O247,'Prescriptive Rebate Table'!$C$2:$C$64,0),4),"")</f>
        <v/>
      </c>
      <c r="CB247" s="149" t="str">
        <f t="shared" si="129"/>
        <v/>
      </c>
      <c r="CC247" s="145" t="str">
        <f t="shared" si="130"/>
        <v/>
      </c>
      <c r="CD247" s="149" t="str">
        <f t="shared" si="116"/>
        <v/>
      </c>
      <c r="CE247" s="149" t="str">
        <f t="shared" si="117"/>
        <v/>
      </c>
      <c r="CF247" s="149" t="str">
        <f>IF(BK247&lt;=0,0,IFERROR(IF(OR(ISBLANK(AC247),ISBLANK(CD247))=TRUE,"",IF(CA247="Per Foot",INDEX('Fixture Codes'!$I$8:$I$976,MATCH(AD247,'Fixture Codes'!$B$8:$B$976,0))/12*AF247*BZ247,IF(CA247="Lamp",INDEX('Fixture Codes'!$J$8:$J$976,MATCH(AD247,'Fixture Codes'!$B$8:$B$976,0))*AF247*BZ247,IF(CA247="Fixture",AF247*BZ247,IF(CA247="kWh",BK247*BZ247,0))))),""))</f>
        <v/>
      </c>
      <c r="CG247" s="149" t="str">
        <f t="shared" si="131"/>
        <v/>
      </c>
      <c r="CH247" s="149" t="str">
        <f t="shared" si="132"/>
        <v/>
      </c>
      <c r="CI247" s="152"/>
      <c r="CJ247" s="146"/>
      <c r="CK247" s="241">
        <f>IFERROR(IF(CL247="Yes",'Prescriptive Rebate Table'!$D$69,IF(ISBLANK(AI247),0,IF(AND(AH247=Lookups!$A$62,BK247&gt;0),'Prescriptive Rebate Table'!$D$68,IF(AND(BK247&gt;0,CJ247=AF247),'Prescriptive Rebate Table'!$D$67,IF(AND(BK247&gt;0,CJ247&lt;&gt;AF247),'Prescriptive Rebate Table'!D306,0))))),"")</f>
        <v>0</v>
      </c>
      <c r="CL247" s="240" t="s">
        <v>2712</v>
      </c>
      <c r="CM247" s="152"/>
      <c r="CN247" s="152"/>
      <c r="CO247" s="152"/>
      <c r="CP247" s="146">
        <f t="shared" si="118"/>
        <v>0</v>
      </c>
      <c r="CQ247" s="153">
        <f>IF(D247="Interior",ROUND(($AG247*AF247)/1000*$AM247*(Lookups!$B$54-$AA247)*$AN247*$AO247,3),0)</f>
        <v>0</v>
      </c>
      <c r="CR247" s="153">
        <f>IFERROR(IF(D247="Interior",ROUND(($AG247*$AF247)/1000*(Lookups!$C$54-$AB247)*$AN247*AQ247*AT247,6),0),"")</f>
        <v>0</v>
      </c>
      <c r="CS247" s="165">
        <f t="shared" si="133"/>
        <v>0</v>
      </c>
      <c r="CT247" s="165">
        <f t="shared" si="134"/>
        <v>0</v>
      </c>
      <c r="CV247" s="153"/>
      <c r="CW247" s="153"/>
      <c r="CX247" s="165"/>
      <c r="CY247" s="165"/>
      <c r="DA247" s="153">
        <f>IF(D247="Interior",ROUND(($AG247*AF247*(1-0.15))/1000*$AM247*(Lookups!$B$43+0.097-$AA247)*$AN247*$AO247+((W247*V247)/1000*AN247*AM247*AO247*0.15),3),0)</f>
        <v>0</v>
      </c>
      <c r="DB247" s="153">
        <f>IFERROR(IF(D247="Interior",ROUND(($AG247*$AF247)/1000*(Lookups!$C$43+0.097-$AB247)*$AN247*AQ247*AT247+(($AG247*$AF247)/1000*$AN247*AQ247*AT247*0.15),6),0),"")</f>
        <v>0</v>
      </c>
      <c r="DC247" s="165">
        <f t="shared" si="135"/>
        <v>0</v>
      </c>
      <c r="DD247" s="165">
        <f t="shared" si="136"/>
        <v>0</v>
      </c>
    </row>
    <row r="248" spans="1:108" s="164" customFormat="1">
      <c r="A248" s="150">
        <v>244</v>
      </c>
      <c r="B248" s="153" t="str">
        <f>IFERROR(INDEX(Lookups!$B$2:$B$38,MATCH('Project Info &amp; Summary'!$C$19,Lookups!$A$2:$A$38,0)),"")</f>
        <v/>
      </c>
      <c r="C248" s="153" t="str">
        <f>IFERROR(INDEX(Lookups!$C$2:$C$38,MATCH('Project Info &amp; Summary'!$C$19,Lookups!$A$2:$A$38,0)),"")</f>
        <v/>
      </c>
      <c r="D248" s="163"/>
      <c r="E248" s="160"/>
      <c r="F248" s="158"/>
      <c r="G248" s="158"/>
      <c r="H248" s="158"/>
      <c r="I248" s="158"/>
      <c r="J248" s="154" t="str">
        <f>IFERROR(INDEX(Lookups!$W$21:$W$26,MATCH(I248,Lookups!$V$21:$V$26,0)),"")</f>
        <v/>
      </c>
      <c r="K248" s="158"/>
      <c r="L248" s="162" t="str">
        <f>IFERROR(INDEX(Lookups!$Y$2:$Y$19,MATCH(_xlfn.CONCAT(I248,K248),Lookups!$X$2:$X$19,0)),"")</f>
        <v/>
      </c>
      <c r="M248" s="158"/>
      <c r="N248" s="153" t="str">
        <f>IFERROR(INDEX('Prescriptive Rebate Table'!$M$3:$M$20,MATCH(M248,'Prescriptive Rebate Table'!$L$3:$L$20,0)),"")</f>
        <v/>
      </c>
      <c r="O248" s="158"/>
      <c r="P248" s="154" t="str">
        <f>IFERROR(INDEX('Prescriptive Rebate Table'!$B$2:$H$64, MATCH(O248,'Prescriptive Rebate Table'!$C$2:$C$64,0),7),"")</f>
        <v/>
      </c>
      <c r="Q248" s="155" t="str">
        <f>IFERROR(INDEX('Prescriptive Rebate Table'!$B$2:$I$64, MATCH(O248,'Prescriptive Rebate Table'!$C$2:$C$64,0),8),"")</f>
        <v/>
      </c>
      <c r="R248" s="155" t="str">
        <f>IFERROR(INDEX('Prescriptive Rebate Table'!$B$2:$J$64, MATCH(O248,'Prescriptive Rebate Table'!$C$2:$C$64,0),9),"")</f>
        <v/>
      </c>
      <c r="S248" s="160"/>
      <c r="T248" s="145" t="str">
        <f>IFERROR(INDEX('Fixture Codes'!$M$8:$M$976,MATCH(S248,'Fixture Codes'!$B$8:$B$976,0)),"")</f>
        <v/>
      </c>
      <c r="U248" s="145" t="str">
        <f>IFERROR(INDEX('Fixture Codes'!$B$7:$M$976,MATCH(T248,'Fixture Codes'!$B$7:$B$976,0),5),"")</f>
        <v/>
      </c>
      <c r="V248" s="160"/>
      <c r="W248" s="145" t="str">
        <f>IFERROR(INDEX('Fixture Codes'!$L$8:$L$976,MATCH(T248,'Fixture Codes'!$B$8:$B$976,0)),"")</f>
        <v/>
      </c>
      <c r="X248" s="158"/>
      <c r="Y248" s="159"/>
      <c r="Z248" s="155" t="str">
        <f>IFERROR(INDEX(Lookups!B$68:B$87,MATCH($X248,Lookups!$A$68:$A$87,0)),"")</f>
        <v/>
      </c>
      <c r="AA248" s="150" t="str">
        <f>IFERROR(INDEX(Lookups!B$42:B$62,MATCH($X248,Lookups!$A$42:$A$62,0)),"")</f>
        <v/>
      </c>
      <c r="AB248" s="150" t="str">
        <f>IFERROR(INDEX(Lookups!C$42:C$62,MATCH($X248,Lookups!$A$42:$A$62,0)),"")</f>
        <v/>
      </c>
      <c r="AC248" s="160"/>
      <c r="AD248" s="160"/>
      <c r="AE248" s="150" t="str">
        <f>IFERROR(INDEX('Fixture Codes'!$B$7:$M$976,MATCH(AD248,'Fixture Codes'!$B$7:$B$976,0),5),"")</f>
        <v/>
      </c>
      <c r="AF248" s="160"/>
      <c r="AG248" s="145" t="str">
        <f>IFERROR(INDEX('Fixture Codes'!$L$8:$L$976,MATCH(AD248,'Fixture Codes'!$B$8:$B$976,0)),"")</f>
        <v/>
      </c>
      <c r="AH248" s="158"/>
      <c r="AI248" s="160"/>
      <c r="AJ248" s="150" t="str">
        <f>IFERROR(INDEX(Lookups!B$68:B$87,MATCH($AH248,Lookups!$A$68:$A$87,0)),"")</f>
        <v/>
      </c>
      <c r="AK248" s="150" t="str">
        <f>IFERROR(INDEX(Lookups!B$42:B$62,MATCH($AH248,Lookups!$A$42:$A$62,0)),"")</f>
        <v/>
      </c>
      <c r="AL248" s="150" t="str">
        <f>IFERROR(INDEX(Lookups!C$42:C$62,MATCH($AH248,Lookups!$A$42:$A$62,0)),"")</f>
        <v/>
      </c>
      <c r="AM248" s="150" t="str">
        <f>IFERROR(IF(M248="Exit Signs",8760,IF(INDEX('Fixture Codes'!$C$8:$C$976,MATCH(AD248,'Fixture Codes'!$B$8:$B$976,0))="Exit Sign",8760,INDEX(Lookups!$I$2:$I$428,MATCH(_xlfn.CONCAT(B248,H248),Lookups!$H$2:$H$428,0)))),"")</f>
        <v/>
      </c>
      <c r="AN248" s="153">
        <v>1</v>
      </c>
      <c r="AO248" s="150" t="str">
        <f>IF($D248="Interior",INDEX(Lookups!Q$2:Q$86,MATCH(_xlfn.CONCAT($C248,$L248),Lookups!$P$2:$P$86,0)),IF($D248="Exterior",1,""))</f>
        <v/>
      </c>
      <c r="AP248" s="150">
        <f t="shared" si="119"/>
        <v>1</v>
      </c>
      <c r="AQ248" s="150" t="str">
        <f>IF($D248="Interior",INDEX(Lookups!R$2:R$86,MATCH(_xlfn.CONCAT($C248,$L248),Lookups!$P$2:$P$86,0)),IF($D248="Exterior",1,""))</f>
        <v/>
      </c>
      <c r="AR248" s="150" t="str">
        <f>IF($D248="Interior",INDEX(Lookups!S$2:S$86,MATCH(_xlfn.CONCAT($C248,$L248),Lookups!$P$2:$P$86,0)),IF($D248="Exterior",1,""))</f>
        <v/>
      </c>
      <c r="AS248" s="150" t="str">
        <f>IF($D248="Interior",INDEX(Lookups!T$2:T$86,MATCH(_xlfn.CONCAT($C248,$L248),Lookups!$P$2:$P$86,0)),IF($D248="Exterior",1,""))</f>
        <v/>
      </c>
      <c r="AT248" s="150" t="str">
        <f>IFERROR(IF(M248="Exit Signs",1,IF(INDEX('Fixture Codes'!$C$8:$C$976,MATCH($AD248,'Fixture Codes'!$B$8:$B$976,0))="Exit Sign",1,INDEX(Lookups!J$2:J$428,MATCH(_xlfn.CONCAT($B248,$H248),Lookups!$H$2:$H$428,0)))),"")</f>
        <v/>
      </c>
      <c r="AU248" s="150" t="str">
        <f>IFERROR(IF(M248="Exit Signs",1,IF(INDEX('Fixture Codes'!$C$8:$C$976,MATCH($AD248,'Fixture Codes'!$B$8:$B$976,0))="Exit Sign",1,INDEX(Lookups!K$2:K$428,MATCH(_xlfn.CONCAT($B248,$H248),Lookups!$H$2:$H$428,0)))),"")</f>
        <v/>
      </c>
      <c r="AV248" s="150" t="str">
        <f>IFERROR(IF(M248="Exit Signs",1,IF(INDEX('Fixture Codes'!$C$8:$C$976,MATCH($AD248,'Fixture Codes'!$B$8:$B$976,0))="Exit Sign",1,INDEX(Lookups!L$2:L$428,MATCH(_xlfn.CONCAT($B248,$H248),Lookups!$H$2:$H$428,0)))),"")</f>
        <v/>
      </c>
      <c r="AW248" s="150" t="str">
        <f>IF(ISBLANK(K248),"",IF(K248="Gas",INDEX(Lookups!$AG$2:$AG$63,MATCH(O248,Lookups!$AD$2:$AD$63,0),0),0))</f>
        <v/>
      </c>
      <c r="AX248" s="150" t="str">
        <f>IF(ISBLANK(K248),"",IF(K248="Gas",INDEX(Lookups!$AF$2:$AF$63,MATCH(O248,Lookups!$AD$2:$AD$63,0),0),0))</f>
        <v/>
      </c>
      <c r="AY248" s="150" t="str">
        <f>IF(ISBLANK(K248),"",IF(K248="Gas",INDEX(Lookups!$AH$2:$AH$63,MATCH(O248,Lookups!$AD$2:$AD$63,0),0),0))</f>
        <v/>
      </c>
      <c r="AZ248" s="150" t="str">
        <f>IF(ISBLANK(K248),"",IF(K248="Gas",INDEX(Lookups!$AI$2:$AI$63,MATCH(O248,Lookups!$AD$2:$AD$63,0),0),0))</f>
        <v/>
      </c>
      <c r="BA248" s="150" t="str">
        <f t="shared" si="106"/>
        <v/>
      </c>
      <c r="BB248" s="156" t="str">
        <f>IF(ISBLANK(AH248),"",IF(AH248="None",0,IF(K248="Gas",INDEX(Lookups!$AF$51:$AF$69,MATCH(AH248,Lookups!$AD$51:$AD$69,0),0),0)))</f>
        <v/>
      </c>
      <c r="BC248" s="156" t="str">
        <f>IF(ISBLANK(AH248),"",IF(AH248="None",0,IF(K248="Gas",INDEX(Lookups!$AH$51:$AH$69,MATCH(AH248,Lookups!$AD$51:$AD$69,0),0),0)))</f>
        <v/>
      </c>
      <c r="BD248" s="156" t="str">
        <f>IF(ISBLANK(AH248),"",IF(AH248="None",0,IF(K248="Gas",INDEX(Lookups!$AI$51:$AI$69,MATCH(AH248,Lookups!$AD$51:$AD$69,0),0),0)))</f>
        <v/>
      </c>
      <c r="BE248" s="157"/>
      <c r="BF248" s="157"/>
      <c r="BG248" s="147" t="str">
        <f t="shared" si="120"/>
        <v/>
      </c>
      <c r="BH248" s="147" t="str">
        <f t="shared" si="121"/>
        <v/>
      </c>
      <c r="BI248" s="147" t="str">
        <f t="shared" si="107"/>
        <v/>
      </c>
      <c r="BJ248" s="147" t="str">
        <f t="shared" si="108"/>
        <v/>
      </c>
      <c r="BK248" s="148" t="str">
        <f t="shared" si="122"/>
        <v/>
      </c>
      <c r="BL248" s="147" t="str">
        <f t="shared" si="109"/>
        <v/>
      </c>
      <c r="BM248" s="148" t="str">
        <f t="shared" si="123"/>
        <v/>
      </c>
      <c r="BN248" s="147" t="str">
        <f t="shared" si="124"/>
        <v/>
      </c>
      <c r="BO248" s="147" t="str">
        <f t="shared" si="124"/>
        <v/>
      </c>
      <c r="BP248" s="147" t="str">
        <f t="shared" si="125"/>
        <v/>
      </c>
      <c r="BQ248" s="148" t="str">
        <f t="shared" si="126"/>
        <v/>
      </c>
      <c r="BR248" s="148" t="str">
        <f t="shared" si="127"/>
        <v/>
      </c>
      <c r="BS248" s="148" t="str">
        <f t="shared" si="128"/>
        <v/>
      </c>
      <c r="BT248" s="148" t="str">
        <f t="shared" si="110"/>
        <v/>
      </c>
      <c r="BU248" s="148" t="str">
        <f t="shared" si="111"/>
        <v/>
      </c>
      <c r="BV248" s="148" t="str">
        <f t="shared" si="112"/>
        <v/>
      </c>
      <c r="BW248" s="148" t="str">
        <f t="shared" si="113"/>
        <v/>
      </c>
      <c r="BX248" s="148" t="str">
        <f t="shared" si="114"/>
        <v/>
      </c>
      <c r="BY248" s="148" t="str">
        <f t="shared" si="115"/>
        <v/>
      </c>
      <c r="BZ248" s="149" t="str">
        <f>IFERROR(INDEX('Prescriptive Rebate Table'!$B$2:$E$64,MATCH(O248,'Prescriptive Rebate Table'!$C$2:$C$64,0),3),"")</f>
        <v/>
      </c>
      <c r="CA248" s="145" t="str">
        <f>IFERROR(INDEX('Prescriptive Rebate Table'!$B$2:$E$64,MATCH(O248,'Prescriptive Rebate Table'!$C$2:$C$64,0),4),"")</f>
        <v/>
      </c>
      <c r="CB248" s="149" t="str">
        <f t="shared" si="129"/>
        <v/>
      </c>
      <c r="CC248" s="145" t="str">
        <f t="shared" si="130"/>
        <v/>
      </c>
      <c r="CD248" s="149" t="str">
        <f t="shared" si="116"/>
        <v/>
      </c>
      <c r="CE248" s="149" t="str">
        <f t="shared" si="117"/>
        <v/>
      </c>
      <c r="CF248" s="149" t="str">
        <f>IF(BK248&lt;=0,0,IFERROR(IF(OR(ISBLANK(AC248),ISBLANK(CD248))=TRUE,"",IF(CA248="Per Foot",INDEX('Fixture Codes'!$I$8:$I$976,MATCH(AD248,'Fixture Codes'!$B$8:$B$976,0))/12*AF248*BZ248,IF(CA248="Lamp",INDEX('Fixture Codes'!$J$8:$J$976,MATCH(AD248,'Fixture Codes'!$B$8:$B$976,0))*AF248*BZ248,IF(CA248="Fixture",AF248*BZ248,IF(CA248="kWh",BK248*BZ248,0))))),""))</f>
        <v/>
      </c>
      <c r="CG248" s="149" t="str">
        <f t="shared" si="131"/>
        <v/>
      </c>
      <c r="CH248" s="149" t="str">
        <f t="shared" si="132"/>
        <v/>
      </c>
      <c r="CI248" s="152"/>
      <c r="CJ248" s="146"/>
      <c r="CK248" s="241">
        <f>IFERROR(IF(CL248="Yes",'Prescriptive Rebate Table'!$D$69,IF(ISBLANK(AI248),0,IF(AND(AH248=Lookups!$A$62,BK248&gt;0),'Prescriptive Rebate Table'!$D$68,IF(AND(BK248&gt;0,CJ248=AF248),'Prescriptive Rebate Table'!$D$67,IF(AND(BK248&gt;0,CJ248&lt;&gt;AF248),'Prescriptive Rebate Table'!D307,0))))),"")</f>
        <v>0</v>
      </c>
      <c r="CL248" s="240" t="s">
        <v>2712</v>
      </c>
      <c r="CM248" s="152"/>
      <c r="CN248" s="152"/>
      <c r="CO248" s="152"/>
      <c r="CP248" s="146">
        <f t="shared" si="118"/>
        <v>0</v>
      </c>
      <c r="CQ248" s="153">
        <f>IF(D248="Interior",ROUND(($AG248*AF248)/1000*$AM248*(Lookups!$B$54-$AA248)*$AN248*$AO248,3),0)</f>
        <v>0</v>
      </c>
      <c r="CR248" s="153">
        <f>IFERROR(IF(D248="Interior",ROUND(($AG248*$AF248)/1000*(Lookups!$C$54-$AB248)*$AN248*AQ248*AT248,6),0),"")</f>
        <v>0</v>
      </c>
      <c r="CS248" s="165">
        <f t="shared" si="133"/>
        <v>0</v>
      </c>
      <c r="CT248" s="165">
        <f t="shared" si="134"/>
        <v>0</v>
      </c>
      <c r="CV248" s="153"/>
      <c r="CW248" s="153"/>
      <c r="CX248" s="165"/>
      <c r="CY248" s="165"/>
      <c r="DA248" s="153">
        <f>IF(D248="Interior",ROUND(($AG248*AF248*(1-0.15))/1000*$AM248*(Lookups!$B$43+0.097-$AA248)*$AN248*$AO248+((W248*V248)/1000*AN248*AM248*AO248*0.15),3),0)</f>
        <v>0</v>
      </c>
      <c r="DB248" s="153">
        <f>IFERROR(IF(D248="Interior",ROUND(($AG248*$AF248)/1000*(Lookups!$C$43+0.097-$AB248)*$AN248*AQ248*AT248+(($AG248*$AF248)/1000*$AN248*AQ248*AT248*0.15),6),0),"")</f>
        <v>0</v>
      </c>
      <c r="DC248" s="165">
        <f t="shared" si="135"/>
        <v>0</v>
      </c>
      <c r="DD248" s="165">
        <f t="shared" si="136"/>
        <v>0</v>
      </c>
    </row>
    <row r="249" spans="1:108" s="164" customFormat="1">
      <c r="A249" s="150">
        <v>245</v>
      </c>
      <c r="B249" s="153" t="str">
        <f>IFERROR(INDEX(Lookups!$B$2:$B$38,MATCH('Project Info &amp; Summary'!$C$19,Lookups!$A$2:$A$38,0)),"")</f>
        <v/>
      </c>
      <c r="C249" s="153" t="str">
        <f>IFERROR(INDEX(Lookups!$C$2:$C$38,MATCH('Project Info &amp; Summary'!$C$19,Lookups!$A$2:$A$38,0)),"")</f>
        <v/>
      </c>
      <c r="D249" s="163"/>
      <c r="E249" s="160"/>
      <c r="F249" s="158"/>
      <c r="G249" s="158"/>
      <c r="H249" s="158"/>
      <c r="I249" s="158"/>
      <c r="J249" s="154" t="str">
        <f>IFERROR(INDEX(Lookups!$W$21:$W$26,MATCH(I249,Lookups!$V$21:$V$26,0)),"")</f>
        <v/>
      </c>
      <c r="K249" s="158"/>
      <c r="L249" s="162" t="str">
        <f>IFERROR(INDEX(Lookups!$Y$2:$Y$19,MATCH(_xlfn.CONCAT(I249,K249),Lookups!$X$2:$X$19,0)),"")</f>
        <v/>
      </c>
      <c r="M249" s="158"/>
      <c r="N249" s="153" t="str">
        <f>IFERROR(INDEX('Prescriptive Rebate Table'!$M$3:$M$20,MATCH(M249,'Prescriptive Rebate Table'!$L$3:$L$20,0)),"")</f>
        <v/>
      </c>
      <c r="O249" s="158"/>
      <c r="P249" s="154" t="str">
        <f>IFERROR(INDEX('Prescriptive Rebate Table'!$B$2:$H$64, MATCH(O249,'Prescriptive Rebate Table'!$C$2:$C$64,0),7),"")</f>
        <v/>
      </c>
      <c r="Q249" s="155" t="str">
        <f>IFERROR(INDEX('Prescriptive Rebate Table'!$B$2:$I$64, MATCH(O249,'Prescriptive Rebate Table'!$C$2:$C$64,0),8),"")</f>
        <v/>
      </c>
      <c r="R249" s="155" t="str">
        <f>IFERROR(INDEX('Prescriptive Rebate Table'!$B$2:$J$64, MATCH(O249,'Prescriptive Rebate Table'!$C$2:$C$64,0),9),"")</f>
        <v/>
      </c>
      <c r="S249" s="160"/>
      <c r="T249" s="145" t="str">
        <f>IFERROR(INDEX('Fixture Codes'!$M$8:$M$976,MATCH(S249,'Fixture Codes'!$B$8:$B$976,0)),"")</f>
        <v/>
      </c>
      <c r="U249" s="145" t="str">
        <f>IFERROR(INDEX('Fixture Codes'!$B$7:$M$976,MATCH(T249,'Fixture Codes'!$B$7:$B$976,0),5),"")</f>
        <v/>
      </c>
      <c r="V249" s="160"/>
      <c r="W249" s="145" t="str">
        <f>IFERROR(INDEX('Fixture Codes'!$L$8:$L$976,MATCH(T249,'Fixture Codes'!$B$8:$B$976,0)),"")</f>
        <v/>
      </c>
      <c r="X249" s="158"/>
      <c r="Y249" s="159"/>
      <c r="Z249" s="155" t="str">
        <f>IFERROR(INDEX(Lookups!B$68:B$87,MATCH($X249,Lookups!$A$68:$A$87,0)),"")</f>
        <v/>
      </c>
      <c r="AA249" s="150" t="str">
        <f>IFERROR(INDEX(Lookups!B$42:B$62,MATCH($X249,Lookups!$A$42:$A$62,0)),"")</f>
        <v/>
      </c>
      <c r="AB249" s="150" t="str">
        <f>IFERROR(INDEX(Lookups!C$42:C$62,MATCH($X249,Lookups!$A$42:$A$62,0)),"")</f>
        <v/>
      </c>
      <c r="AC249" s="160"/>
      <c r="AD249" s="160"/>
      <c r="AE249" s="150" t="str">
        <f>IFERROR(INDEX('Fixture Codes'!$B$7:$M$976,MATCH(AD249,'Fixture Codes'!$B$7:$B$976,0),5),"")</f>
        <v/>
      </c>
      <c r="AF249" s="160"/>
      <c r="AG249" s="145" t="str">
        <f>IFERROR(INDEX('Fixture Codes'!$L$8:$L$976,MATCH(AD249,'Fixture Codes'!$B$8:$B$976,0)),"")</f>
        <v/>
      </c>
      <c r="AH249" s="158"/>
      <c r="AI249" s="160"/>
      <c r="AJ249" s="150" t="str">
        <f>IFERROR(INDEX(Lookups!B$68:B$87,MATCH($AH249,Lookups!$A$68:$A$87,0)),"")</f>
        <v/>
      </c>
      <c r="AK249" s="150" t="str">
        <f>IFERROR(INDEX(Lookups!B$42:B$62,MATCH($AH249,Lookups!$A$42:$A$62,0)),"")</f>
        <v/>
      </c>
      <c r="AL249" s="150" t="str">
        <f>IFERROR(INDEX(Lookups!C$42:C$62,MATCH($AH249,Lookups!$A$42:$A$62,0)),"")</f>
        <v/>
      </c>
      <c r="AM249" s="150" t="str">
        <f>IFERROR(IF(M249="Exit Signs",8760,IF(INDEX('Fixture Codes'!$C$8:$C$976,MATCH(AD249,'Fixture Codes'!$B$8:$B$976,0))="Exit Sign",8760,INDEX(Lookups!$I$2:$I$428,MATCH(_xlfn.CONCAT(B249,H249),Lookups!$H$2:$H$428,0)))),"")</f>
        <v/>
      </c>
      <c r="AN249" s="153">
        <v>1</v>
      </c>
      <c r="AO249" s="150" t="str">
        <f>IF($D249="Interior",INDEX(Lookups!Q$2:Q$86,MATCH(_xlfn.CONCAT($C249,$L249),Lookups!$P$2:$P$86,0)),IF($D249="Exterior",1,""))</f>
        <v/>
      </c>
      <c r="AP249" s="150">
        <f t="shared" si="119"/>
        <v>1</v>
      </c>
      <c r="AQ249" s="150" t="str">
        <f>IF($D249="Interior",INDEX(Lookups!R$2:R$86,MATCH(_xlfn.CONCAT($C249,$L249),Lookups!$P$2:$P$86,0)),IF($D249="Exterior",1,""))</f>
        <v/>
      </c>
      <c r="AR249" s="150" t="str">
        <f>IF($D249="Interior",INDEX(Lookups!S$2:S$86,MATCH(_xlfn.CONCAT($C249,$L249),Lookups!$P$2:$P$86,0)),IF($D249="Exterior",1,""))</f>
        <v/>
      </c>
      <c r="AS249" s="150" t="str">
        <f>IF($D249="Interior",INDEX(Lookups!T$2:T$86,MATCH(_xlfn.CONCAT($C249,$L249),Lookups!$P$2:$P$86,0)),IF($D249="Exterior",1,""))</f>
        <v/>
      </c>
      <c r="AT249" s="150" t="str">
        <f>IFERROR(IF(M249="Exit Signs",1,IF(INDEX('Fixture Codes'!$C$8:$C$976,MATCH($AD249,'Fixture Codes'!$B$8:$B$976,0))="Exit Sign",1,INDEX(Lookups!J$2:J$428,MATCH(_xlfn.CONCAT($B249,$H249),Lookups!$H$2:$H$428,0)))),"")</f>
        <v/>
      </c>
      <c r="AU249" s="150" t="str">
        <f>IFERROR(IF(M249="Exit Signs",1,IF(INDEX('Fixture Codes'!$C$8:$C$976,MATCH($AD249,'Fixture Codes'!$B$8:$B$976,0))="Exit Sign",1,INDEX(Lookups!K$2:K$428,MATCH(_xlfn.CONCAT($B249,$H249),Lookups!$H$2:$H$428,0)))),"")</f>
        <v/>
      </c>
      <c r="AV249" s="150" t="str">
        <f>IFERROR(IF(M249="Exit Signs",1,IF(INDEX('Fixture Codes'!$C$8:$C$976,MATCH($AD249,'Fixture Codes'!$B$8:$B$976,0))="Exit Sign",1,INDEX(Lookups!L$2:L$428,MATCH(_xlfn.CONCAT($B249,$H249),Lookups!$H$2:$H$428,0)))),"")</f>
        <v/>
      </c>
      <c r="AW249" s="150" t="str">
        <f>IF(ISBLANK(K249),"",IF(K249="Gas",INDEX(Lookups!$AG$2:$AG$63,MATCH(O249,Lookups!$AD$2:$AD$63,0),0),0))</f>
        <v/>
      </c>
      <c r="AX249" s="150" t="str">
        <f>IF(ISBLANK(K249),"",IF(K249="Gas",INDEX(Lookups!$AF$2:$AF$63,MATCH(O249,Lookups!$AD$2:$AD$63,0),0),0))</f>
        <v/>
      </c>
      <c r="AY249" s="150" t="str">
        <f>IF(ISBLANK(K249),"",IF(K249="Gas",INDEX(Lookups!$AH$2:$AH$63,MATCH(O249,Lookups!$AD$2:$AD$63,0),0),0))</f>
        <v/>
      </c>
      <c r="AZ249" s="150" t="str">
        <f>IF(ISBLANK(K249),"",IF(K249="Gas",INDEX(Lookups!$AI$2:$AI$63,MATCH(O249,Lookups!$AD$2:$AD$63,0),0),0))</f>
        <v/>
      </c>
      <c r="BA249" s="150" t="str">
        <f t="shared" si="106"/>
        <v/>
      </c>
      <c r="BB249" s="156" t="str">
        <f>IF(ISBLANK(AH249),"",IF(AH249="None",0,IF(K249="Gas",INDEX(Lookups!$AF$51:$AF$69,MATCH(AH249,Lookups!$AD$51:$AD$69,0),0),0)))</f>
        <v/>
      </c>
      <c r="BC249" s="156" t="str">
        <f>IF(ISBLANK(AH249),"",IF(AH249="None",0,IF(K249="Gas",INDEX(Lookups!$AH$51:$AH$69,MATCH(AH249,Lookups!$AD$51:$AD$69,0),0),0)))</f>
        <v/>
      </c>
      <c r="BD249" s="156" t="str">
        <f>IF(ISBLANK(AH249),"",IF(AH249="None",0,IF(K249="Gas",INDEX(Lookups!$AI$51:$AI$69,MATCH(AH249,Lookups!$AD$51:$AD$69,0),0),0)))</f>
        <v/>
      </c>
      <c r="BE249" s="157"/>
      <c r="BF249" s="157"/>
      <c r="BG249" s="147" t="str">
        <f t="shared" si="120"/>
        <v/>
      </c>
      <c r="BH249" s="147" t="str">
        <f t="shared" si="121"/>
        <v/>
      </c>
      <c r="BI249" s="147" t="str">
        <f t="shared" si="107"/>
        <v/>
      </c>
      <c r="BJ249" s="147" t="str">
        <f t="shared" si="108"/>
        <v/>
      </c>
      <c r="BK249" s="148" t="str">
        <f t="shared" si="122"/>
        <v/>
      </c>
      <c r="BL249" s="147" t="str">
        <f t="shared" si="109"/>
        <v/>
      </c>
      <c r="BM249" s="148" t="str">
        <f t="shared" si="123"/>
        <v/>
      </c>
      <c r="BN249" s="147" t="str">
        <f t="shared" si="124"/>
        <v/>
      </c>
      <c r="BO249" s="147" t="str">
        <f t="shared" si="124"/>
        <v/>
      </c>
      <c r="BP249" s="147" t="str">
        <f t="shared" si="125"/>
        <v/>
      </c>
      <c r="BQ249" s="148" t="str">
        <f t="shared" si="126"/>
        <v/>
      </c>
      <c r="BR249" s="148" t="str">
        <f t="shared" si="127"/>
        <v/>
      </c>
      <c r="BS249" s="148" t="str">
        <f t="shared" si="128"/>
        <v/>
      </c>
      <c r="BT249" s="148" t="str">
        <f t="shared" si="110"/>
        <v/>
      </c>
      <c r="BU249" s="148" t="str">
        <f t="shared" si="111"/>
        <v/>
      </c>
      <c r="BV249" s="148" t="str">
        <f t="shared" si="112"/>
        <v/>
      </c>
      <c r="BW249" s="148" t="str">
        <f t="shared" si="113"/>
        <v/>
      </c>
      <c r="BX249" s="148" t="str">
        <f t="shared" si="114"/>
        <v/>
      </c>
      <c r="BY249" s="148" t="str">
        <f t="shared" si="115"/>
        <v/>
      </c>
      <c r="BZ249" s="149" t="str">
        <f>IFERROR(INDEX('Prescriptive Rebate Table'!$B$2:$E$64,MATCH(O249,'Prescriptive Rebate Table'!$C$2:$C$64,0),3),"")</f>
        <v/>
      </c>
      <c r="CA249" s="145" t="str">
        <f>IFERROR(INDEX('Prescriptive Rebate Table'!$B$2:$E$64,MATCH(O249,'Prescriptive Rebate Table'!$C$2:$C$64,0),4),"")</f>
        <v/>
      </c>
      <c r="CB249" s="149" t="str">
        <f t="shared" si="129"/>
        <v/>
      </c>
      <c r="CC249" s="145" t="str">
        <f t="shared" si="130"/>
        <v/>
      </c>
      <c r="CD249" s="149" t="str">
        <f t="shared" si="116"/>
        <v/>
      </c>
      <c r="CE249" s="149" t="str">
        <f t="shared" si="117"/>
        <v/>
      </c>
      <c r="CF249" s="149" t="str">
        <f>IF(BK249&lt;=0,0,IFERROR(IF(OR(ISBLANK(AC249),ISBLANK(CD249))=TRUE,"",IF(CA249="Per Foot",INDEX('Fixture Codes'!$I$8:$I$976,MATCH(AD249,'Fixture Codes'!$B$8:$B$976,0))/12*AF249*BZ249,IF(CA249="Lamp",INDEX('Fixture Codes'!$J$8:$J$976,MATCH(AD249,'Fixture Codes'!$B$8:$B$976,0))*AF249*BZ249,IF(CA249="Fixture",AF249*BZ249,IF(CA249="kWh",BK249*BZ249,0))))),""))</f>
        <v/>
      </c>
      <c r="CG249" s="149" t="str">
        <f t="shared" si="131"/>
        <v/>
      </c>
      <c r="CH249" s="149" t="str">
        <f t="shared" si="132"/>
        <v/>
      </c>
      <c r="CI249" s="152"/>
      <c r="CJ249" s="146"/>
      <c r="CK249" s="241">
        <f>IFERROR(IF(CL249="Yes",'Prescriptive Rebate Table'!$D$69,IF(ISBLANK(AI249),0,IF(AND(AH249=Lookups!$A$62,BK249&gt;0),'Prescriptive Rebate Table'!$D$68,IF(AND(BK249&gt;0,CJ249=AF249),'Prescriptive Rebate Table'!$D$67,IF(AND(BK249&gt;0,CJ249&lt;&gt;AF249),'Prescriptive Rebate Table'!D308,0))))),"")</f>
        <v>0</v>
      </c>
      <c r="CL249" s="240" t="s">
        <v>2712</v>
      </c>
      <c r="CM249" s="152"/>
      <c r="CN249" s="152"/>
      <c r="CO249" s="152"/>
      <c r="CP249" s="146">
        <f t="shared" si="118"/>
        <v>0</v>
      </c>
      <c r="CQ249" s="153">
        <f>IF(D249="Interior",ROUND(($AG249*AF249)/1000*$AM249*(Lookups!$B$54-$AA249)*$AN249*$AO249,3),0)</f>
        <v>0</v>
      </c>
      <c r="CR249" s="153">
        <f>IFERROR(IF(D249="Interior",ROUND(($AG249*$AF249)/1000*(Lookups!$C$54-$AB249)*$AN249*AQ249*AT249,6),0),"")</f>
        <v>0</v>
      </c>
      <c r="CS249" s="165">
        <f t="shared" si="133"/>
        <v>0</v>
      </c>
      <c r="CT249" s="165">
        <f t="shared" si="134"/>
        <v>0</v>
      </c>
      <c r="CV249" s="153"/>
      <c r="CW249" s="153"/>
      <c r="CX249" s="165"/>
      <c r="CY249" s="165"/>
      <c r="DA249" s="153">
        <f>IF(D249="Interior",ROUND(($AG249*AF249*(1-0.15))/1000*$AM249*(Lookups!$B$43+0.097-$AA249)*$AN249*$AO249+((W249*V249)/1000*AN249*AM249*AO249*0.15),3),0)</f>
        <v>0</v>
      </c>
      <c r="DB249" s="153">
        <f>IFERROR(IF(D249="Interior",ROUND(($AG249*$AF249)/1000*(Lookups!$C$43+0.097-$AB249)*$AN249*AQ249*AT249+(($AG249*$AF249)/1000*$AN249*AQ249*AT249*0.15),6),0),"")</f>
        <v>0</v>
      </c>
      <c r="DC249" s="165">
        <f t="shared" si="135"/>
        <v>0</v>
      </c>
      <c r="DD249" s="165">
        <f t="shared" si="136"/>
        <v>0</v>
      </c>
    </row>
    <row r="250" spans="1:108" s="164" customFormat="1">
      <c r="A250" s="150">
        <v>246</v>
      </c>
      <c r="B250" s="153" t="str">
        <f>IFERROR(INDEX(Lookups!$B$2:$B$38,MATCH('Project Info &amp; Summary'!$C$19,Lookups!$A$2:$A$38,0)),"")</f>
        <v/>
      </c>
      <c r="C250" s="153" t="str">
        <f>IFERROR(INDEX(Lookups!$C$2:$C$38,MATCH('Project Info &amp; Summary'!$C$19,Lookups!$A$2:$A$38,0)),"")</f>
        <v/>
      </c>
      <c r="D250" s="163"/>
      <c r="E250" s="160"/>
      <c r="F250" s="158"/>
      <c r="G250" s="158"/>
      <c r="H250" s="158"/>
      <c r="I250" s="158"/>
      <c r="J250" s="154" t="str">
        <f>IFERROR(INDEX(Lookups!$W$21:$W$26,MATCH(I250,Lookups!$V$21:$V$26,0)),"")</f>
        <v/>
      </c>
      <c r="K250" s="158"/>
      <c r="L250" s="162" t="str">
        <f>IFERROR(INDEX(Lookups!$Y$2:$Y$19,MATCH(_xlfn.CONCAT(I250,K250),Lookups!$X$2:$X$19,0)),"")</f>
        <v/>
      </c>
      <c r="M250" s="158"/>
      <c r="N250" s="153" t="str">
        <f>IFERROR(INDEX('Prescriptive Rebate Table'!$M$3:$M$20,MATCH(M250,'Prescriptive Rebate Table'!$L$3:$L$20,0)),"")</f>
        <v/>
      </c>
      <c r="O250" s="158"/>
      <c r="P250" s="154" t="str">
        <f>IFERROR(INDEX('Prescriptive Rebate Table'!$B$2:$H$64, MATCH(O250,'Prescriptive Rebate Table'!$C$2:$C$64,0),7),"")</f>
        <v/>
      </c>
      <c r="Q250" s="155" t="str">
        <f>IFERROR(INDEX('Prescriptive Rebate Table'!$B$2:$I$64, MATCH(O250,'Prescriptive Rebate Table'!$C$2:$C$64,0),8),"")</f>
        <v/>
      </c>
      <c r="R250" s="155" t="str">
        <f>IFERROR(INDEX('Prescriptive Rebate Table'!$B$2:$J$64, MATCH(O250,'Prescriptive Rebate Table'!$C$2:$C$64,0),9),"")</f>
        <v/>
      </c>
      <c r="S250" s="160"/>
      <c r="T250" s="145" t="str">
        <f>IFERROR(INDEX('Fixture Codes'!$M$8:$M$976,MATCH(S250,'Fixture Codes'!$B$8:$B$976,0)),"")</f>
        <v/>
      </c>
      <c r="U250" s="145" t="str">
        <f>IFERROR(INDEX('Fixture Codes'!$B$7:$M$976,MATCH(T250,'Fixture Codes'!$B$7:$B$976,0),5),"")</f>
        <v/>
      </c>
      <c r="V250" s="160"/>
      <c r="W250" s="145" t="str">
        <f>IFERROR(INDEX('Fixture Codes'!$L$8:$L$976,MATCH(T250,'Fixture Codes'!$B$8:$B$976,0)),"")</f>
        <v/>
      </c>
      <c r="X250" s="158"/>
      <c r="Y250" s="159"/>
      <c r="Z250" s="155" t="str">
        <f>IFERROR(INDEX(Lookups!B$68:B$87,MATCH($X250,Lookups!$A$68:$A$87,0)),"")</f>
        <v/>
      </c>
      <c r="AA250" s="150" t="str">
        <f>IFERROR(INDEX(Lookups!B$42:B$62,MATCH($X250,Lookups!$A$42:$A$62,0)),"")</f>
        <v/>
      </c>
      <c r="AB250" s="150" t="str">
        <f>IFERROR(INDEX(Lookups!C$42:C$62,MATCH($X250,Lookups!$A$42:$A$62,0)),"")</f>
        <v/>
      </c>
      <c r="AC250" s="160"/>
      <c r="AD250" s="160"/>
      <c r="AE250" s="150" t="str">
        <f>IFERROR(INDEX('Fixture Codes'!$B$7:$M$976,MATCH(AD250,'Fixture Codes'!$B$7:$B$976,0),5),"")</f>
        <v/>
      </c>
      <c r="AF250" s="160"/>
      <c r="AG250" s="145" t="str">
        <f>IFERROR(INDEX('Fixture Codes'!$L$8:$L$976,MATCH(AD250,'Fixture Codes'!$B$8:$B$976,0)),"")</f>
        <v/>
      </c>
      <c r="AH250" s="158"/>
      <c r="AI250" s="160"/>
      <c r="AJ250" s="150" t="str">
        <f>IFERROR(INDEX(Lookups!B$68:B$87,MATCH($AH250,Lookups!$A$68:$A$87,0)),"")</f>
        <v/>
      </c>
      <c r="AK250" s="150" t="str">
        <f>IFERROR(INDEX(Lookups!B$42:B$62,MATCH($AH250,Lookups!$A$42:$A$62,0)),"")</f>
        <v/>
      </c>
      <c r="AL250" s="150" t="str">
        <f>IFERROR(INDEX(Lookups!C$42:C$62,MATCH($AH250,Lookups!$A$42:$A$62,0)),"")</f>
        <v/>
      </c>
      <c r="AM250" s="150" t="str">
        <f>IFERROR(IF(M250="Exit Signs",8760,IF(INDEX('Fixture Codes'!$C$8:$C$976,MATCH(AD250,'Fixture Codes'!$B$8:$B$976,0))="Exit Sign",8760,INDEX(Lookups!$I$2:$I$428,MATCH(_xlfn.CONCAT(B250,H250),Lookups!$H$2:$H$428,0)))),"")</f>
        <v/>
      </c>
      <c r="AN250" s="153">
        <v>1</v>
      </c>
      <c r="AO250" s="150" t="str">
        <f>IF($D250="Interior",INDEX(Lookups!Q$2:Q$86,MATCH(_xlfn.CONCAT($C250,$L250),Lookups!$P$2:$P$86,0)),IF($D250="Exterior",1,""))</f>
        <v/>
      </c>
      <c r="AP250" s="150">
        <f t="shared" si="119"/>
        <v>1</v>
      </c>
      <c r="AQ250" s="150" t="str">
        <f>IF($D250="Interior",INDEX(Lookups!R$2:R$86,MATCH(_xlfn.CONCAT($C250,$L250),Lookups!$P$2:$P$86,0)),IF($D250="Exterior",1,""))</f>
        <v/>
      </c>
      <c r="AR250" s="150" t="str">
        <f>IF($D250="Interior",INDEX(Lookups!S$2:S$86,MATCH(_xlfn.CONCAT($C250,$L250),Lookups!$P$2:$P$86,0)),IF($D250="Exterior",1,""))</f>
        <v/>
      </c>
      <c r="AS250" s="150" t="str">
        <f>IF($D250="Interior",INDEX(Lookups!T$2:T$86,MATCH(_xlfn.CONCAT($C250,$L250),Lookups!$P$2:$P$86,0)),IF($D250="Exterior",1,""))</f>
        <v/>
      </c>
      <c r="AT250" s="150" t="str">
        <f>IFERROR(IF(M250="Exit Signs",1,IF(INDEX('Fixture Codes'!$C$8:$C$976,MATCH($AD250,'Fixture Codes'!$B$8:$B$976,0))="Exit Sign",1,INDEX(Lookups!J$2:J$428,MATCH(_xlfn.CONCAT($B250,$H250),Lookups!$H$2:$H$428,0)))),"")</f>
        <v/>
      </c>
      <c r="AU250" s="150" t="str">
        <f>IFERROR(IF(M250="Exit Signs",1,IF(INDEX('Fixture Codes'!$C$8:$C$976,MATCH($AD250,'Fixture Codes'!$B$8:$B$976,0))="Exit Sign",1,INDEX(Lookups!K$2:K$428,MATCH(_xlfn.CONCAT($B250,$H250),Lookups!$H$2:$H$428,0)))),"")</f>
        <v/>
      </c>
      <c r="AV250" s="150" t="str">
        <f>IFERROR(IF(M250="Exit Signs",1,IF(INDEX('Fixture Codes'!$C$8:$C$976,MATCH($AD250,'Fixture Codes'!$B$8:$B$976,0))="Exit Sign",1,INDEX(Lookups!L$2:L$428,MATCH(_xlfn.CONCAT($B250,$H250),Lookups!$H$2:$H$428,0)))),"")</f>
        <v/>
      </c>
      <c r="AW250" s="150" t="str">
        <f>IF(ISBLANK(K250),"",IF(K250="Gas",INDEX(Lookups!$AG$2:$AG$63,MATCH(O250,Lookups!$AD$2:$AD$63,0),0),0))</f>
        <v/>
      </c>
      <c r="AX250" s="150" t="str">
        <f>IF(ISBLANK(K250),"",IF(K250="Gas",INDEX(Lookups!$AF$2:$AF$63,MATCH(O250,Lookups!$AD$2:$AD$63,0),0),0))</f>
        <v/>
      </c>
      <c r="AY250" s="150" t="str">
        <f>IF(ISBLANK(K250),"",IF(K250="Gas",INDEX(Lookups!$AH$2:$AH$63,MATCH(O250,Lookups!$AD$2:$AD$63,0),0),0))</f>
        <v/>
      </c>
      <c r="AZ250" s="150" t="str">
        <f>IF(ISBLANK(K250),"",IF(K250="Gas",INDEX(Lookups!$AI$2:$AI$63,MATCH(O250,Lookups!$AD$2:$AD$63,0),0),0))</f>
        <v/>
      </c>
      <c r="BA250" s="150" t="str">
        <f t="shared" si="106"/>
        <v/>
      </c>
      <c r="BB250" s="156" t="str">
        <f>IF(ISBLANK(AH250),"",IF(AH250="None",0,IF(K250="Gas",INDEX(Lookups!$AF$51:$AF$69,MATCH(AH250,Lookups!$AD$51:$AD$69,0),0),0)))</f>
        <v/>
      </c>
      <c r="BC250" s="156" t="str">
        <f>IF(ISBLANK(AH250),"",IF(AH250="None",0,IF(K250="Gas",INDEX(Lookups!$AH$51:$AH$69,MATCH(AH250,Lookups!$AD$51:$AD$69,0),0),0)))</f>
        <v/>
      </c>
      <c r="BD250" s="156" t="str">
        <f>IF(ISBLANK(AH250),"",IF(AH250="None",0,IF(K250="Gas",INDEX(Lookups!$AI$51:$AI$69,MATCH(AH250,Lookups!$AD$51:$AD$69,0),0),0)))</f>
        <v/>
      </c>
      <c r="BE250" s="157"/>
      <c r="BF250" s="157"/>
      <c r="BG250" s="147" t="str">
        <f t="shared" si="120"/>
        <v/>
      </c>
      <c r="BH250" s="147" t="str">
        <f t="shared" si="121"/>
        <v/>
      </c>
      <c r="BI250" s="147" t="str">
        <f t="shared" si="107"/>
        <v/>
      </c>
      <c r="BJ250" s="147" t="str">
        <f t="shared" si="108"/>
        <v/>
      </c>
      <c r="BK250" s="148" t="str">
        <f t="shared" si="122"/>
        <v/>
      </c>
      <c r="BL250" s="147" t="str">
        <f t="shared" si="109"/>
        <v/>
      </c>
      <c r="BM250" s="148" t="str">
        <f t="shared" si="123"/>
        <v/>
      </c>
      <c r="BN250" s="147" t="str">
        <f t="shared" si="124"/>
        <v/>
      </c>
      <c r="BO250" s="147" t="str">
        <f t="shared" si="124"/>
        <v/>
      </c>
      <c r="BP250" s="147" t="str">
        <f t="shared" si="125"/>
        <v/>
      </c>
      <c r="BQ250" s="148" t="str">
        <f t="shared" si="126"/>
        <v/>
      </c>
      <c r="BR250" s="148" t="str">
        <f t="shared" si="127"/>
        <v/>
      </c>
      <c r="BS250" s="148" t="str">
        <f t="shared" si="128"/>
        <v/>
      </c>
      <c r="BT250" s="148" t="str">
        <f t="shared" si="110"/>
        <v/>
      </c>
      <c r="BU250" s="148" t="str">
        <f t="shared" si="111"/>
        <v/>
      </c>
      <c r="BV250" s="148" t="str">
        <f t="shared" si="112"/>
        <v/>
      </c>
      <c r="BW250" s="148" t="str">
        <f t="shared" si="113"/>
        <v/>
      </c>
      <c r="BX250" s="148" t="str">
        <f t="shared" si="114"/>
        <v/>
      </c>
      <c r="BY250" s="148" t="str">
        <f t="shared" si="115"/>
        <v/>
      </c>
      <c r="BZ250" s="149" t="str">
        <f>IFERROR(INDEX('Prescriptive Rebate Table'!$B$2:$E$64,MATCH(O250,'Prescriptive Rebate Table'!$C$2:$C$64,0),3),"")</f>
        <v/>
      </c>
      <c r="CA250" s="145" t="str">
        <f>IFERROR(INDEX('Prescriptive Rebate Table'!$B$2:$E$64,MATCH(O250,'Prescriptive Rebate Table'!$C$2:$C$64,0),4),"")</f>
        <v/>
      </c>
      <c r="CB250" s="149" t="str">
        <f t="shared" si="129"/>
        <v/>
      </c>
      <c r="CC250" s="145" t="str">
        <f t="shared" si="130"/>
        <v/>
      </c>
      <c r="CD250" s="149" t="str">
        <f t="shared" si="116"/>
        <v/>
      </c>
      <c r="CE250" s="149" t="str">
        <f t="shared" si="117"/>
        <v/>
      </c>
      <c r="CF250" s="149" t="str">
        <f>IF(BK250&lt;=0,0,IFERROR(IF(OR(ISBLANK(AC250),ISBLANK(CD250))=TRUE,"",IF(CA250="Per Foot",INDEX('Fixture Codes'!$I$8:$I$976,MATCH(AD250,'Fixture Codes'!$B$8:$B$976,0))/12*AF250*BZ250,IF(CA250="Lamp",INDEX('Fixture Codes'!$J$8:$J$976,MATCH(AD250,'Fixture Codes'!$B$8:$B$976,0))*AF250*BZ250,IF(CA250="Fixture",AF250*BZ250,IF(CA250="kWh",BK250*BZ250,0))))),""))</f>
        <v/>
      </c>
      <c r="CG250" s="149" t="str">
        <f t="shared" si="131"/>
        <v/>
      </c>
      <c r="CH250" s="149" t="str">
        <f t="shared" si="132"/>
        <v/>
      </c>
      <c r="CI250" s="152"/>
      <c r="CJ250" s="146"/>
      <c r="CK250" s="241">
        <f>IFERROR(IF(CL250="Yes",'Prescriptive Rebate Table'!$D$69,IF(ISBLANK(AI250),0,IF(AND(AH250=Lookups!$A$62,BK250&gt;0),'Prescriptive Rebate Table'!$D$68,IF(AND(BK250&gt;0,CJ250=AF250),'Prescriptive Rebate Table'!$D$67,IF(AND(BK250&gt;0,CJ250&lt;&gt;AF250),'Prescriptive Rebate Table'!D309,0))))),"")</f>
        <v>0</v>
      </c>
      <c r="CL250" s="240" t="s">
        <v>2712</v>
      </c>
      <c r="CM250" s="152"/>
      <c r="CN250" s="152"/>
      <c r="CO250" s="152"/>
      <c r="CP250" s="146">
        <f t="shared" si="118"/>
        <v>0</v>
      </c>
      <c r="CQ250" s="153">
        <f>IF(D250="Interior",ROUND(($AG250*AF250)/1000*$AM250*(Lookups!$B$54-$AA250)*$AN250*$AO250,3),0)</f>
        <v>0</v>
      </c>
      <c r="CR250" s="153">
        <f>IFERROR(IF(D250="Interior",ROUND(($AG250*$AF250)/1000*(Lookups!$C$54-$AB250)*$AN250*AQ250*AT250,6),0),"")</f>
        <v>0</v>
      </c>
      <c r="CS250" s="165">
        <f t="shared" si="133"/>
        <v>0</v>
      </c>
      <c r="CT250" s="165">
        <f t="shared" si="134"/>
        <v>0</v>
      </c>
      <c r="CV250" s="153"/>
      <c r="CW250" s="153"/>
      <c r="CX250" s="165"/>
      <c r="CY250" s="165"/>
      <c r="DA250" s="153">
        <f>IF(D250="Interior",ROUND(($AG250*AF250*(1-0.15))/1000*$AM250*(Lookups!$B$43+0.097-$AA250)*$AN250*$AO250+((W250*V250)/1000*AN250*AM250*AO250*0.15),3),0)</f>
        <v>0</v>
      </c>
      <c r="DB250" s="153">
        <f>IFERROR(IF(D250="Interior",ROUND(($AG250*$AF250)/1000*(Lookups!$C$43+0.097-$AB250)*$AN250*AQ250*AT250+(($AG250*$AF250)/1000*$AN250*AQ250*AT250*0.15),6),0),"")</f>
        <v>0</v>
      </c>
      <c r="DC250" s="165">
        <f t="shared" si="135"/>
        <v>0</v>
      </c>
      <c r="DD250" s="165">
        <f t="shared" si="136"/>
        <v>0</v>
      </c>
    </row>
    <row r="251" spans="1:108" s="164" customFormat="1">
      <c r="A251" s="150">
        <v>247</v>
      </c>
      <c r="B251" s="153" t="str">
        <f>IFERROR(INDEX(Lookups!$B$2:$B$38,MATCH('Project Info &amp; Summary'!$C$19,Lookups!$A$2:$A$38,0)),"")</f>
        <v/>
      </c>
      <c r="C251" s="153" t="str">
        <f>IFERROR(INDEX(Lookups!$C$2:$C$38,MATCH('Project Info &amp; Summary'!$C$19,Lookups!$A$2:$A$38,0)),"")</f>
        <v/>
      </c>
      <c r="D251" s="163"/>
      <c r="E251" s="160"/>
      <c r="F251" s="158"/>
      <c r="G251" s="158"/>
      <c r="H251" s="158"/>
      <c r="I251" s="158"/>
      <c r="J251" s="154" t="str">
        <f>IFERROR(INDEX(Lookups!$W$21:$W$26,MATCH(I251,Lookups!$V$21:$V$26,0)),"")</f>
        <v/>
      </c>
      <c r="K251" s="158"/>
      <c r="L251" s="162" t="str">
        <f>IFERROR(INDEX(Lookups!$Y$2:$Y$19,MATCH(_xlfn.CONCAT(I251,K251),Lookups!$X$2:$X$19,0)),"")</f>
        <v/>
      </c>
      <c r="M251" s="158"/>
      <c r="N251" s="153" t="str">
        <f>IFERROR(INDEX('Prescriptive Rebate Table'!$M$3:$M$20,MATCH(M251,'Prescriptive Rebate Table'!$L$3:$L$20,0)),"")</f>
        <v/>
      </c>
      <c r="O251" s="158"/>
      <c r="P251" s="154" t="str">
        <f>IFERROR(INDEX('Prescriptive Rebate Table'!$B$2:$H$64, MATCH(O251,'Prescriptive Rebate Table'!$C$2:$C$64,0),7),"")</f>
        <v/>
      </c>
      <c r="Q251" s="155" t="str">
        <f>IFERROR(INDEX('Prescriptive Rebate Table'!$B$2:$I$64, MATCH(O251,'Prescriptive Rebate Table'!$C$2:$C$64,0),8),"")</f>
        <v/>
      </c>
      <c r="R251" s="155" t="str">
        <f>IFERROR(INDEX('Prescriptive Rebate Table'!$B$2:$J$64, MATCH(O251,'Prescriptive Rebate Table'!$C$2:$C$64,0),9),"")</f>
        <v/>
      </c>
      <c r="S251" s="160"/>
      <c r="T251" s="145" t="str">
        <f>IFERROR(INDEX('Fixture Codes'!$M$8:$M$976,MATCH(S251,'Fixture Codes'!$B$8:$B$976,0)),"")</f>
        <v/>
      </c>
      <c r="U251" s="145" t="str">
        <f>IFERROR(INDEX('Fixture Codes'!$B$7:$M$976,MATCH(T251,'Fixture Codes'!$B$7:$B$976,0),5),"")</f>
        <v/>
      </c>
      <c r="V251" s="160"/>
      <c r="W251" s="145" t="str">
        <f>IFERROR(INDEX('Fixture Codes'!$L$8:$L$976,MATCH(T251,'Fixture Codes'!$B$8:$B$976,0)),"")</f>
        <v/>
      </c>
      <c r="X251" s="158"/>
      <c r="Y251" s="159"/>
      <c r="Z251" s="155" t="str">
        <f>IFERROR(INDEX(Lookups!B$68:B$87,MATCH($X251,Lookups!$A$68:$A$87,0)),"")</f>
        <v/>
      </c>
      <c r="AA251" s="150" t="str">
        <f>IFERROR(INDEX(Lookups!B$42:B$62,MATCH($X251,Lookups!$A$42:$A$62,0)),"")</f>
        <v/>
      </c>
      <c r="AB251" s="150" t="str">
        <f>IFERROR(INDEX(Lookups!C$42:C$62,MATCH($X251,Lookups!$A$42:$A$62,0)),"")</f>
        <v/>
      </c>
      <c r="AC251" s="160"/>
      <c r="AD251" s="160"/>
      <c r="AE251" s="150" t="str">
        <f>IFERROR(INDEX('Fixture Codes'!$B$7:$M$976,MATCH(AD251,'Fixture Codes'!$B$7:$B$976,0),5),"")</f>
        <v/>
      </c>
      <c r="AF251" s="160"/>
      <c r="AG251" s="145" t="str">
        <f>IFERROR(INDEX('Fixture Codes'!$L$8:$L$976,MATCH(AD251,'Fixture Codes'!$B$8:$B$976,0)),"")</f>
        <v/>
      </c>
      <c r="AH251" s="158"/>
      <c r="AI251" s="160"/>
      <c r="AJ251" s="150" t="str">
        <f>IFERROR(INDEX(Lookups!B$68:B$87,MATCH($AH251,Lookups!$A$68:$A$87,0)),"")</f>
        <v/>
      </c>
      <c r="AK251" s="150" t="str">
        <f>IFERROR(INDEX(Lookups!B$42:B$62,MATCH($AH251,Lookups!$A$42:$A$62,0)),"")</f>
        <v/>
      </c>
      <c r="AL251" s="150" t="str">
        <f>IFERROR(INDEX(Lookups!C$42:C$62,MATCH($AH251,Lookups!$A$42:$A$62,0)),"")</f>
        <v/>
      </c>
      <c r="AM251" s="150" t="str">
        <f>IFERROR(IF(M251="Exit Signs",8760,IF(INDEX('Fixture Codes'!$C$8:$C$976,MATCH(AD251,'Fixture Codes'!$B$8:$B$976,0))="Exit Sign",8760,INDEX(Lookups!$I$2:$I$428,MATCH(_xlfn.CONCAT(B251,H251),Lookups!$H$2:$H$428,0)))),"")</f>
        <v/>
      </c>
      <c r="AN251" s="153">
        <v>1</v>
      </c>
      <c r="AO251" s="150" t="str">
        <f>IF($D251="Interior",INDEX(Lookups!Q$2:Q$86,MATCH(_xlfn.CONCAT($C251,$L251),Lookups!$P$2:$P$86,0)),IF($D251="Exterior",1,""))</f>
        <v/>
      </c>
      <c r="AP251" s="150">
        <f t="shared" si="119"/>
        <v>1</v>
      </c>
      <c r="AQ251" s="150" t="str">
        <f>IF($D251="Interior",INDEX(Lookups!R$2:R$86,MATCH(_xlfn.CONCAT($C251,$L251),Lookups!$P$2:$P$86,0)),IF($D251="Exterior",1,""))</f>
        <v/>
      </c>
      <c r="AR251" s="150" t="str">
        <f>IF($D251="Interior",INDEX(Lookups!S$2:S$86,MATCH(_xlfn.CONCAT($C251,$L251),Lookups!$P$2:$P$86,0)),IF($D251="Exterior",1,""))</f>
        <v/>
      </c>
      <c r="AS251" s="150" t="str">
        <f>IF($D251="Interior",INDEX(Lookups!T$2:T$86,MATCH(_xlfn.CONCAT($C251,$L251),Lookups!$P$2:$P$86,0)),IF($D251="Exterior",1,""))</f>
        <v/>
      </c>
      <c r="AT251" s="150" t="str">
        <f>IFERROR(IF(M251="Exit Signs",1,IF(INDEX('Fixture Codes'!$C$8:$C$976,MATCH($AD251,'Fixture Codes'!$B$8:$B$976,0))="Exit Sign",1,INDEX(Lookups!J$2:J$428,MATCH(_xlfn.CONCAT($B251,$H251),Lookups!$H$2:$H$428,0)))),"")</f>
        <v/>
      </c>
      <c r="AU251" s="150" t="str">
        <f>IFERROR(IF(M251="Exit Signs",1,IF(INDEX('Fixture Codes'!$C$8:$C$976,MATCH($AD251,'Fixture Codes'!$B$8:$B$976,0))="Exit Sign",1,INDEX(Lookups!K$2:K$428,MATCH(_xlfn.CONCAT($B251,$H251),Lookups!$H$2:$H$428,0)))),"")</f>
        <v/>
      </c>
      <c r="AV251" s="150" t="str">
        <f>IFERROR(IF(M251="Exit Signs",1,IF(INDEX('Fixture Codes'!$C$8:$C$976,MATCH($AD251,'Fixture Codes'!$B$8:$B$976,0))="Exit Sign",1,INDEX(Lookups!L$2:L$428,MATCH(_xlfn.CONCAT($B251,$H251),Lookups!$H$2:$H$428,0)))),"")</f>
        <v/>
      </c>
      <c r="AW251" s="150" t="str">
        <f>IF(ISBLANK(K251),"",IF(K251="Gas",INDEX(Lookups!$AG$2:$AG$63,MATCH(O251,Lookups!$AD$2:$AD$63,0),0),0))</f>
        <v/>
      </c>
      <c r="AX251" s="150" t="str">
        <f>IF(ISBLANK(K251),"",IF(K251="Gas",INDEX(Lookups!$AF$2:$AF$63,MATCH(O251,Lookups!$AD$2:$AD$63,0),0),0))</f>
        <v/>
      </c>
      <c r="AY251" s="150" t="str">
        <f>IF(ISBLANK(K251),"",IF(K251="Gas",INDEX(Lookups!$AH$2:$AH$63,MATCH(O251,Lookups!$AD$2:$AD$63,0),0),0))</f>
        <v/>
      </c>
      <c r="AZ251" s="150" t="str">
        <f>IF(ISBLANK(K251),"",IF(K251="Gas",INDEX(Lookups!$AI$2:$AI$63,MATCH(O251,Lookups!$AD$2:$AD$63,0),0),0))</f>
        <v/>
      </c>
      <c r="BA251" s="150" t="str">
        <f t="shared" si="106"/>
        <v/>
      </c>
      <c r="BB251" s="156" t="str">
        <f>IF(ISBLANK(AH251),"",IF(AH251="None",0,IF(K251="Gas",INDEX(Lookups!$AF$51:$AF$69,MATCH(AH251,Lookups!$AD$51:$AD$69,0),0),0)))</f>
        <v/>
      </c>
      <c r="BC251" s="156" t="str">
        <f>IF(ISBLANK(AH251),"",IF(AH251="None",0,IF(K251="Gas",INDEX(Lookups!$AH$51:$AH$69,MATCH(AH251,Lookups!$AD$51:$AD$69,0),0),0)))</f>
        <v/>
      </c>
      <c r="BD251" s="156" t="str">
        <f>IF(ISBLANK(AH251),"",IF(AH251="None",0,IF(K251="Gas",INDEX(Lookups!$AI$51:$AI$69,MATCH(AH251,Lookups!$AD$51:$AD$69,0),0),0)))</f>
        <v/>
      </c>
      <c r="BE251" s="157"/>
      <c r="BF251" s="157"/>
      <c r="BG251" s="147" t="str">
        <f t="shared" si="120"/>
        <v/>
      </c>
      <c r="BH251" s="147" t="str">
        <f t="shared" si="121"/>
        <v/>
      </c>
      <c r="BI251" s="147" t="str">
        <f t="shared" si="107"/>
        <v/>
      </c>
      <c r="BJ251" s="147" t="str">
        <f t="shared" si="108"/>
        <v/>
      </c>
      <c r="BK251" s="148" t="str">
        <f t="shared" si="122"/>
        <v/>
      </c>
      <c r="BL251" s="147" t="str">
        <f t="shared" si="109"/>
        <v/>
      </c>
      <c r="BM251" s="148" t="str">
        <f t="shared" si="123"/>
        <v/>
      </c>
      <c r="BN251" s="147" t="str">
        <f t="shared" si="124"/>
        <v/>
      </c>
      <c r="BO251" s="147" t="str">
        <f t="shared" si="124"/>
        <v/>
      </c>
      <c r="BP251" s="147" t="str">
        <f t="shared" si="125"/>
        <v/>
      </c>
      <c r="BQ251" s="148" t="str">
        <f t="shared" si="126"/>
        <v/>
      </c>
      <c r="BR251" s="148" t="str">
        <f t="shared" si="127"/>
        <v/>
      </c>
      <c r="BS251" s="148" t="str">
        <f t="shared" si="128"/>
        <v/>
      </c>
      <c r="BT251" s="148" t="str">
        <f t="shared" si="110"/>
        <v/>
      </c>
      <c r="BU251" s="148" t="str">
        <f t="shared" si="111"/>
        <v/>
      </c>
      <c r="BV251" s="148" t="str">
        <f t="shared" si="112"/>
        <v/>
      </c>
      <c r="BW251" s="148" t="str">
        <f t="shared" si="113"/>
        <v/>
      </c>
      <c r="BX251" s="148" t="str">
        <f t="shared" si="114"/>
        <v/>
      </c>
      <c r="BY251" s="148" t="str">
        <f t="shared" si="115"/>
        <v/>
      </c>
      <c r="BZ251" s="149" t="str">
        <f>IFERROR(INDEX('Prescriptive Rebate Table'!$B$2:$E$64,MATCH(O251,'Prescriptive Rebate Table'!$C$2:$C$64,0),3),"")</f>
        <v/>
      </c>
      <c r="CA251" s="145" t="str">
        <f>IFERROR(INDEX('Prescriptive Rebate Table'!$B$2:$E$64,MATCH(O251,'Prescriptive Rebate Table'!$C$2:$C$64,0),4),"")</f>
        <v/>
      </c>
      <c r="CB251" s="149" t="str">
        <f t="shared" si="129"/>
        <v/>
      </c>
      <c r="CC251" s="145" t="str">
        <f t="shared" si="130"/>
        <v/>
      </c>
      <c r="CD251" s="149" t="str">
        <f t="shared" si="116"/>
        <v/>
      </c>
      <c r="CE251" s="149" t="str">
        <f t="shared" si="117"/>
        <v/>
      </c>
      <c r="CF251" s="149" t="str">
        <f>IF(BK251&lt;=0,0,IFERROR(IF(OR(ISBLANK(AC251),ISBLANK(CD251))=TRUE,"",IF(CA251="Per Foot",INDEX('Fixture Codes'!$I$8:$I$976,MATCH(AD251,'Fixture Codes'!$B$8:$B$976,0))/12*AF251*BZ251,IF(CA251="Lamp",INDEX('Fixture Codes'!$J$8:$J$976,MATCH(AD251,'Fixture Codes'!$B$8:$B$976,0))*AF251*BZ251,IF(CA251="Fixture",AF251*BZ251,IF(CA251="kWh",BK251*BZ251,0))))),""))</f>
        <v/>
      </c>
      <c r="CG251" s="149" t="str">
        <f t="shared" si="131"/>
        <v/>
      </c>
      <c r="CH251" s="149" t="str">
        <f t="shared" si="132"/>
        <v/>
      </c>
      <c r="CI251" s="152"/>
      <c r="CJ251" s="146"/>
      <c r="CK251" s="241">
        <f>IFERROR(IF(CL251="Yes",'Prescriptive Rebate Table'!$D$69,IF(ISBLANK(AI251),0,IF(AND(AH251=Lookups!$A$62,BK251&gt;0),'Prescriptive Rebate Table'!$D$68,IF(AND(BK251&gt;0,CJ251=AF251),'Prescriptive Rebate Table'!$D$67,IF(AND(BK251&gt;0,CJ251&lt;&gt;AF251),'Prescriptive Rebate Table'!D310,0))))),"")</f>
        <v>0</v>
      </c>
      <c r="CL251" s="240" t="s">
        <v>2712</v>
      </c>
      <c r="CM251" s="152"/>
      <c r="CN251" s="152"/>
      <c r="CO251" s="152"/>
      <c r="CP251" s="146">
        <f t="shared" si="118"/>
        <v>0</v>
      </c>
      <c r="CQ251" s="153">
        <f>IF(D251="Interior",ROUND(($AG251*AF251)/1000*$AM251*(Lookups!$B$54-$AA251)*$AN251*$AO251,3),0)</f>
        <v>0</v>
      </c>
      <c r="CR251" s="153">
        <f>IFERROR(IF(D251="Interior",ROUND(($AG251*$AF251)/1000*(Lookups!$C$54-$AB251)*$AN251*AQ251*AT251,6),0),"")</f>
        <v>0</v>
      </c>
      <c r="CS251" s="165">
        <f t="shared" si="133"/>
        <v>0</v>
      </c>
      <c r="CT251" s="165">
        <f t="shared" si="134"/>
        <v>0</v>
      </c>
      <c r="CV251" s="153"/>
      <c r="CW251" s="153"/>
      <c r="CX251" s="165"/>
      <c r="CY251" s="165"/>
      <c r="DA251" s="153">
        <f>IF(D251="Interior",ROUND(($AG251*AF251*(1-0.15))/1000*$AM251*(Lookups!$B$43+0.097-$AA251)*$AN251*$AO251+((W251*V251)/1000*AN251*AM251*AO251*0.15),3),0)</f>
        <v>0</v>
      </c>
      <c r="DB251" s="153">
        <f>IFERROR(IF(D251="Interior",ROUND(($AG251*$AF251)/1000*(Lookups!$C$43+0.097-$AB251)*$AN251*AQ251*AT251+(($AG251*$AF251)/1000*$AN251*AQ251*AT251*0.15),6),0),"")</f>
        <v>0</v>
      </c>
      <c r="DC251" s="165">
        <f t="shared" si="135"/>
        <v>0</v>
      </c>
      <c r="DD251" s="165">
        <f t="shared" si="136"/>
        <v>0</v>
      </c>
    </row>
    <row r="252" spans="1:108" s="164" customFormat="1">
      <c r="A252" s="150">
        <v>248</v>
      </c>
      <c r="B252" s="153" t="str">
        <f>IFERROR(INDEX(Lookups!$B$2:$B$38,MATCH('Project Info &amp; Summary'!$C$19,Lookups!$A$2:$A$38,0)),"")</f>
        <v/>
      </c>
      <c r="C252" s="153" t="str">
        <f>IFERROR(INDEX(Lookups!$C$2:$C$38,MATCH('Project Info &amp; Summary'!$C$19,Lookups!$A$2:$A$38,0)),"")</f>
        <v/>
      </c>
      <c r="D252" s="163"/>
      <c r="E252" s="160"/>
      <c r="F252" s="158"/>
      <c r="G252" s="158"/>
      <c r="H252" s="158"/>
      <c r="I252" s="158"/>
      <c r="J252" s="154" t="str">
        <f>IFERROR(INDEX(Lookups!$W$21:$W$26,MATCH(I252,Lookups!$V$21:$V$26,0)),"")</f>
        <v/>
      </c>
      <c r="K252" s="158"/>
      <c r="L252" s="162" t="str">
        <f>IFERROR(INDEX(Lookups!$Y$2:$Y$19,MATCH(_xlfn.CONCAT(I252,K252),Lookups!$X$2:$X$19,0)),"")</f>
        <v/>
      </c>
      <c r="M252" s="158"/>
      <c r="N252" s="153" t="str">
        <f>IFERROR(INDEX('Prescriptive Rebate Table'!$M$3:$M$20,MATCH(M252,'Prescriptive Rebate Table'!$L$3:$L$20,0)),"")</f>
        <v/>
      </c>
      <c r="O252" s="158"/>
      <c r="P252" s="154" t="str">
        <f>IFERROR(INDEX('Prescriptive Rebate Table'!$B$2:$H$64, MATCH(O252,'Prescriptive Rebate Table'!$C$2:$C$64,0),7),"")</f>
        <v/>
      </c>
      <c r="Q252" s="155" t="str">
        <f>IFERROR(INDEX('Prescriptive Rebate Table'!$B$2:$I$64, MATCH(O252,'Prescriptive Rebate Table'!$C$2:$C$64,0),8),"")</f>
        <v/>
      </c>
      <c r="R252" s="155" t="str">
        <f>IFERROR(INDEX('Prescriptive Rebate Table'!$B$2:$J$64, MATCH(O252,'Prescriptive Rebate Table'!$C$2:$C$64,0),9),"")</f>
        <v/>
      </c>
      <c r="S252" s="160"/>
      <c r="T252" s="145" t="str">
        <f>IFERROR(INDEX('Fixture Codes'!$M$8:$M$976,MATCH(S252,'Fixture Codes'!$B$8:$B$976,0)),"")</f>
        <v/>
      </c>
      <c r="U252" s="145" t="str">
        <f>IFERROR(INDEX('Fixture Codes'!$B$7:$M$976,MATCH(T252,'Fixture Codes'!$B$7:$B$976,0),5),"")</f>
        <v/>
      </c>
      <c r="V252" s="160"/>
      <c r="W252" s="145" t="str">
        <f>IFERROR(INDEX('Fixture Codes'!$L$8:$L$976,MATCH(T252,'Fixture Codes'!$B$8:$B$976,0)),"")</f>
        <v/>
      </c>
      <c r="X252" s="158"/>
      <c r="Y252" s="159"/>
      <c r="Z252" s="155" t="str">
        <f>IFERROR(INDEX(Lookups!B$68:B$87,MATCH($X252,Lookups!$A$68:$A$87,0)),"")</f>
        <v/>
      </c>
      <c r="AA252" s="150" t="str">
        <f>IFERROR(INDEX(Lookups!B$42:B$62,MATCH($X252,Lookups!$A$42:$A$62,0)),"")</f>
        <v/>
      </c>
      <c r="AB252" s="150" t="str">
        <f>IFERROR(INDEX(Lookups!C$42:C$62,MATCH($X252,Lookups!$A$42:$A$62,0)),"")</f>
        <v/>
      </c>
      <c r="AC252" s="160"/>
      <c r="AD252" s="160"/>
      <c r="AE252" s="150" t="str">
        <f>IFERROR(INDEX('Fixture Codes'!$B$7:$M$976,MATCH(AD252,'Fixture Codes'!$B$7:$B$976,0),5),"")</f>
        <v/>
      </c>
      <c r="AF252" s="160"/>
      <c r="AG252" s="145" t="str">
        <f>IFERROR(INDEX('Fixture Codes'!$L$8:$L$976,MATCH(AD252,'Fixture Codes'!$B$8:$B$976,0)),"")</f>
        <v/>
      </c>
      <c r="AH252" s="158"/>
      <c r="AI252" s="160"/>
      <c r="AJ252" s="150" t="str">
        <f>IFERROR(INDEX(Lookups!B$68:B$87,MATCH($AH252,Lookups!$A$68:$A$87,0)),"")</f>
        <v/>
      </c>
      <c r="AK252" s="150" t="str">
        <f>IFERROR(INDEX(Lookups!B$42:B$62,MATCH($AH252,Lookups!$A$42:$A$62,0)),"")</f>
        <v/>
      </c>
      <c r="AL252" s="150" t="str">
        <f>IFERROR(INDEX(Lookups!C$42:C$62,MATCH($AH252,Lookups!$A$42:$A$62,0)),"")</f>
        <v/>
      </c>
      <c r="AM252" s="150" t="str">
        <f>IFERROR(IF(M252="Exit Signs",8760,IF(INDEX('Fixture Codes'!$C$8:$C$976,MATCH(AD252,'Fixture Codes'!$B$8:$B$976,0))="Exit Sign",8760,INDEX(Lookups!$I$2:$I$428,MATCH(_xlfn.CONCAT(B252,H252),Lookups!$H$2:$H$428,0)))),"")</f>
        <v/>
      </c>
      <c r="AN252" s="153">
        <v>1</v>
      </c>
      <c r="AO252" s="150" t="str">
        <f>IF($D252="Interior",INDEX(Lookups!Q$2:Q$86,MATCH(_xlfn.CONCAT($C252,$L252),Lookups!$P$2:$P$86,0)),IF($D252="Exterior",1,""))</f>
        <v/>
      </c>
      <c r="AP252" s="150">
        <f t="shared" si="119"/>
        <v>1</v>
      </c>
      <c r="AQ252" s="150" t="str">
        <f>IF($D252="Interior",INDEX(Lookups!R$2:R$86,MATCH(_xlfn.CONCAT($C252,$L252),Lookups!$P$2:$P$86,0)),IF($D252="Exterior",1,""))</f>
        <v/>
      </c>
      <c r="AR252" s="150" t="str">
        <f>IF($D252="Interior",INDEX(Lookups!S$2:S$86,MATCH(_xlfn.CONCAT($C252,$L252),Lookups!$P$2:$P$86,0)),IF($D252="Exterior",1,""))</f>
        <v/>
      </c>
      <c r="AS252" s="150" t="str">
        <f>IF($D252="Interior",INDEX(Lookups!T$2:T$86,MATCH(_xlfn.CONCAT($C252,$L252),Lookups!$P$2:$P$86,0)),IF($D252="Exterior",1,""))</f>
        <v/>
      </c>
      <c r="AT252" s="150" t="str">
        <f>IFERROR(IF(M252="Exit Signs",1,IF(INDEX('Fixture Codes'!$C$8:$C$976,MATCH($AD252,'Fixture Codes'!$B$8:$B$976,0))="Exit Sign",1,INDEX(Lookups!J$2:J$428,MATCH(_xlfn.CONCAT($B252,$H252),Lookups!$H$2:$H$428,0)))),"")</f>
        <v/>
      </c>
      <c r="AU252" s="150" t="str">
        <f>IFERROR(IF(M252="Exit Signs",1,IF(INDEX('Fixture Codes'!$C$8:$C$976,MATCH($AD252,'Fixture Codes'!$B$8:$B$976,0))="Exit Sign",1,INDEX(Lookups!K$2:K$428,MATCH(_xlfn.CONCAT($B252,$H252),Lookups!$H$2:$H$428,0)))),"")</f>
        <v/>
      </c>
      <c r="AV252" s="150" t="str">
        <f>IFERROR(IF(M252="Exit Signs",1,IF(INDEX('Fixture Codes'!$C$8:$C$976,MATCH($AD252,'Fixture Codes'!$B$8:$B$976,0))="Exit Sign",1,INDEX(Lookups!L$2:L$428,MATCH(_xlfn.CONCAT($B252,$H252),Lookups!$H$2:$H$428,0)))),"")</f>
        <v/>
      </c>
      <c r="AW252" s="150" t="str">
        <f>IF(ISBLANK(K252),"",IF(K252="Gas",INDEX(Lookups!$AG$2:$AG$63,MATCH(O252,Lookups!$AD$2:$AD$63,0),0),0))</f>
        <v/>
      </c>
      <c r="AX252" s="150" t="str">
        <f>IF(ISBLANK(K252),"",IF(K252="Gas",INDEX(Lookups!$AF$2:$AF$63,MATCH(O252,Lookups!$AD$2:$AD$63,0),0),0))</f>
        <v/>
      </c>
      <c r="AY252" s="150" t="str">
        <f>IF(ISBLANK(K252),"",IF(K252="Gas",INDEX(Lookups!$AH$2:$AH$63,MATCH(O252,Lookups!$AD$2:$AD$63,0),0),0))</f>
        <v/>
      </c>
      <c r="AZ252" s="150" t="str">
        <f>IF(ISBLANK(K252),"",IF(K252="Gas",INDEX(Lookups!$AI$2:$AI$63,MATCH(O252,Lookups!$AD$2:$AD$63,0),0),0))</f>
        <v/>
      </c>
      <c r="BA252" s="150" t="str">
        <f t="shared" si="106"/>
        <v/>
      </c>
      <c r="BB252" s="156" t="str">
        <f>IF(ISBLANK(AH252),"",IF(AH252="None",0,IF(K252="Gas",INDEX(Lookups!$AF$51:$AF$69,MATCH(AH252,Lookups!$AD$51:$AD$69,0),0),0)))</f>
        <v/>
      </c>
      <c r="BC252" s="156" t="str">
        <f>IF(ISBLANK(AH252),"",IF(AH252="None",0,IF(K252="Gas",INDEX(Lookups!$AH$51:$AH$69,MATCH(AH252,Lookups!$AD$51:$AD$69,0),0),0)))</f>
        <v/>
      </c>
      <c r="BD252" s="156" t="str">
        <f>IF(ISBLANK(AH252),"",IF(AH252="None",0,IF(K252="Gas",INDEX(Lookups!$AI$51:$AI$69,MATCH(AH252,Lookups!$AD$51:$AD$69,0),0),0)))</f>
        <v/>
      </c>
      <c r="BE252" s="157"/>
      <c r="BF252" s="157"/>
      <c r="BG252" s="147" t="str">
        <f t="shared" si="120"/>
        <v/>
      </c>
      <c r="BH252" s="147" t="str">
        <f t="shared" si="121"/>
        <v/>
      </c>
      <c r="BI252" s="147" t="str">
        <f t="shared" si="107"/>
        <v/>
      </c>
      <c r="BJ252" s="147" t="str">
        <f t="shared" si="108"/>
        <v/>
      </c>
      <c r="BK252" s="148" t="str">
        <f t="shared" si="122"/>
        <v/>
      </c>
      <c r="BL252" s="147" t="str">
        <f t="shared" si="109"/>
        <v/>
      </c>
      <c r="BM252" s="148" t="str">
        <f t="shared" si="123"/>
        <v/>
      </c>
      <c r="BN252" s="147" t="str">
        <f t="shared" si="124"/>
        <v/>
      </c>
      <c r="BO252" s="147" t="str">
        <f t="shared" si="124"/>
        <v/>
      </c>
      <c r="BP252" s="147" t="str">
        <f t="shared" si="125"/>
        <v/>
      </c>
      <c r="BQ252" s="148" t="str">
        <f t="shared" si="126"/>
        <v/>
      </c>
      <c r="BR252" s="148" t="str">
        <f t="shared" si="127"/>
        <v/>
      </c>
      <c r="BS252" s="148" t="str">
        <f t="shared" si="128"/>
        <v/>
      </c>
      <c r="BT252" s="148" t="str">
        <f t="shared" si="110"/>
        <v/>
      </c>
      <c r="BU252" s="148" t="str">
        <f t="shared" si="111"/>
        <v/>
      </c>
      <c r="BV252" s="148" t="str">
        <f t="shared" si="112"/>
        <v/>
      </c>
      <c r="BW252" s="148" t="str">
        <f t="shared" si="113"/>
        <v/>
      </c>
      <c r="BX252" s="148" t="str">
        <f t="shared" si="114"/>
        <v/>
      </c>
      <c r="BY252" s="148" t="str">
        <f t="shared" si="115"/>
        <v/>
      </c>
      <c r="BZ252" s="149" t="str">
        <f>IFERROR(INDEX('Prescriptive Rebate Table'!$B$2:$E$64,MATCH(O252,'Prescriptive Rebate Table'!$C$2:$C$64,0),3),"")</f>
        <v/>
      </c>
      <c r="CA252" s="145" t="str">
        <f>IFERROR(INDEX('Prescriptive Rebate Table'!$B$2:$E$64,MATCH(O252,'Prescriptive Rebate Table'!$C$2:$C$64,0),4),"")</f>
        <v/>
      </c>
      <c r="CB252" s="149" t="str">
        <f t="shared" si="129"/>
        <v/>
      </c>
      <c r="CC252" s="145" t="str">
        <f t="shared" si="130"/>
        <v/>
      </c>
      <c r="CD252" s="149" t="str">
        <f t="shared" si="116"/>
        <v/>
      </c>
      <c r="CE252" s="149" t="str">
        <f t="shared" si="117"/>
        <v/>
      </c>
      <c r="CF252" s="149" t="str">
        <f>IF(BK252&lt;=0,0,IFERROR(IF(OR(ISBLANK(AC252),ISBLANK(CD252))=TRUE,"",IF(CA252="Per Foot",INDEX('Fixture Codes'!$I$8:$I$976,MATCH(AD252,'Fixture Codes'!$B$8:$B$976,0))/12*AF252*BZ252,IF(CA252="Lamp",INDEX('Fixture Codes'!$J$8:$J$976,MATCH(AD252,'Fixture Codes'!$B$8:$B$976,0))*AF252*BZ252,IF(CA252="Fixture",AF252*BZ252,IF(CA252="kWh",BK252*BZ252,0))))),""))</f>
        <v/>
      </c>
      <c r="CG252" s="149" t="str">
        <f t="shared" si="131"/>
        <v/>
      </c>
      <c r="CH252" s="149" t="str">
        <f t="shared" si="132"/>
        <v/>
      </c>
      <c r="CI252" s="152"/>
      <c r="CJ252" s="146"/>
      <c r="CK252" s="241">
        <f>IFERROR(IF(CL252="Yes",'Prescriptive Rebate Table'!$D$69,IF(ISBLANK(AI252),0,IF(AND(AH252=Lookups!$A$62,BK252&gt;0),'Prescriptive Rebate Table'!$D$68,IF(AND(BK252&gt;0,CJ252=AF252),'Prescriptive Rebate Table'!$D$67,IF(AND(BK252&gt;0,CJ252&lt;&gt;AF252),'Prescriptive Rebate Table'!D311,0))))),"")</f>
        <v>0</v>
      </c>
      <c r="CL252" s="240" t="s">
        <v>2712</v>
      </c>
      <c r="CM252" s="152"/>
      <c r="CN252" s="152"/>
      <c r="CO252" s="152"/>
      <c r="CP252" s="146">
        <f t="shared" si="118"/>
        <v>0</v>
      </c>
      <c r="CQ252" s="153">
        <f>IF(D252="Interior",ROUND(($AG252*AF252)/1000*$AM252*(Lookups!$B$54-$AA252)*$AN252*$AO252,3),0)</f>
        <v>0</v>
      </c>
      <c r="CR252" s="153">
        <f>IFERROR(IF(D252="Interior",ROUND(($AG252*$AF252)/1000*(Lookups!$C$54-$AB252)*$AN252*AQ252*AT252,6),0),"")</f>
        <v>0</v>
      </c>
      <c r="CS252" s="165">
        <f t="shared" si="133"/>
        <v>0</v>
      </c>
      <c r="CT252" s="165">
        <f t="shared" si="134"/>
        <v>0</v>
      </c>
      <c r="CV252" s="153"/>
      <c r="CW252" s="153"/>
      <c r="CX252" s="165"/>
      <c r="CY252" s="165"/>
      <c r="DA252" s="153">
        <f>IF(D252="Interior",ROUND(($AG252*AF252*(1-0.15))/1000*$AM252*(Lookups!$B$43+0.097-$AA252)*$AN252*$AO252+((W252*V252)/1000*AN252*AM252*AO252*0.15),3),0)</f>
        <v>0</v>
      </c>
      <c r="DB252" s="153">
        <f>IFERROR(IF(D252="Interior",ROUND(($AG252*$AF252)/1000*(Lookups!$C$43+0.097-$AB252)*$AN252*AQ252*AT252+(($AG252*$AF252)/1000*$AN252*AQ252*AT252*0.15),6),0),"")</f>
        <v>0</v>
      </c>
      <c r="DC252" s="165">
        <f t="shared" si="135"/>
        <v>0</v>
      </c>
      <c r="DD252" s="165">
        <f t="shared" si="136"/>
        <v>0</v>
      </c>
    </row>
    <row r="253" spans="1:108" s="164" customFormat="1">
      <c r="A253" s="150">
        <v>249</v>
      </c>
      <c r="B253" s="153" t="str">
        <f>IFERROR(INDEX(Lookups!$B$2:$B$38,MATCH('Project Info &amp; Summary'!$C$19,Lookups!$A$2:$A$38,0)),"")</f>
        <v/>
      </c>
      <c r="C253" s="153" t="str">
        <f>IFERROR(INDEX(Lookups!$C$2:$C$38,MATCH('Project Info &amp; Summary'!$C$19,Lookups!$A$2:$A$38,0)),"")</f>
        <v/>
      </c>
      <c r="D253" s="163"/>
      <c r="E253" s="160"/>
      <c r="F253" s="158"/>
      <c r="G253" s="158"/>
      <c r="H253" s="158"/>
      <c r="I253" s="158"/>
      <c r="J253" s="154" t="str">
        <f>IFERROR(INDEX(Lookups!$W$21:$W$26,MATCH(I253,Lookups!$V$21:$V$26,0)),"")</f>
        <v/>
      </c>
      <c r="K253" s="158"/>
      <c r="L253" s="162" t="str">
        <f>IFERROR(INDEX(Lookups!$Y$2:$Y$19,MATCH(_xlfn.CONCAT(I253,K253),Lookups!$X$2:$X$19,0)),"")</f>
        <v/>
      </c>
      <c r="M253" s="158"/>
      <c r="N253" s="153" t="str">
        <f>IFERROR(INDEX('Prescriptive Rebate Table'!$M$3:$M$20,MATCH(M253,'Prescriptive Rebate Table'!$L$3:$L$20,0)),"")</f>
        <v/>
      </c>
      <c r="O253" s="158"/>
      <c r="P253" s="154" t="str">
        <f>IFERROR(INDEX('Prescriptive Rebate Table'!$B$2:$H$64, MATCH(O253,'Prescriptive Rebate Table'!$C$2:$C$64,0),7),"")</f>
        <v/>
      </c>
      <c r="Q253" s="155" t="str">
        <f>IFERROR(INDEX('Prescriptive Rebate Table'!$B$2:$I$64, MATCH(O253,'Prescriptive Rebate Table'!$C$2:$C$64,0),8),"")</f>
        <v/>
      </c>
      <c r="R253" s="155" t="str">
        <f>IFERROR(INDEX('Prescriptive Rebate Table'!$B$2:$J$64, MATCH(O253,'Prescriptive Rebate Table'!$C$2:$C$64,0),9),"")</f>
        <v/>
      </c>
      <c r="S253" s="160"/>
      <c r="T253" s="145" t="str">
        <f>IFERROR(INDEX('Fixture Codes'!$M$8:$M$976,MATCH(S253,'Fixture Codes'!$B$8:$B$976,0)),"")</f>
        <v/>
      </c>
      <c r="U253" s="145" t="str">
        <f>IFERROR(INDEX('Fixture Codes'!$B$7:$M$976,MATCH(T253,'Fixture Codes'!$B$7:$B$976,0),5),"")</f>
        <v/>
      </c>
      <c r="V253" s="160"/>
      <c r="W253" s="145" t="str">
        <f>IFERROR(INDEX('Fixture Codes'!$L$8:$L$976,MATCH(T253,'Fixture Codes'!$B$8:$B$976,0)),"")</f>
        <v/>
      </c>
      <c r="X253" s="158"/>
      <c r="Y253" s="159"/>
      <c r="Z253" s="155" t="str">
        <f>IFERROR(INDEX(Lookups!B$68:B$87,MATCH($X253,Lookups!$A$68:$A$87,0)),"")</f>
        <v/>
      </c>
      <c r="AA253" s="150" t="str">
        <f>IFERROR(INDEX(Lookups!B$42:B$62,MATCH($X253,Lookups!$A$42:$A$62,0)),"")</f>
        <v/>
      </c>
      <c r="AB253" s="150" t="str">
        <f>IFERROR(INDEX(Lookups!C$42:C$62,MATCH($X253,Lookups!$A$42:$A$62,0)),"")</f>
        <v/>
      </c>
      <c r="AC253" s="160"/>
      <c r="AD253" s="160"/>
      <c r="AE253" s="150" t="str">
        <f>IFERROR(INDEX('Fixture Codes'!$B$7:$M$976,MATCH(AD253,'Fixture Codes'!$B$7:$B$976,0),5),"")</f>
        <v/>
      </c>
      <c r="AF253" s="160"/>
      <c r="AG253" s="145" t="str">
        <f>IFERROR(INDEX('Fixture Codes'!$L$8:$L$976,MATCH(AD253,'Fixture Codes'!$B$8:$B$976,0)),"")</f>
        <v/>
      </c>
      <c r="AH253" s="158"/>
      <c r="AI253" s="160"/>
      <c r="AJ253" s="150" t="str">
        <f>IFERROR(INDEX(Lookups!B$68:B$87,MATCH($AH253,Lookups!$A$68:$A$87,0)),"")</f>
        <v/>
      </c>
      <c r="AK253" s="150" t="str">
        <f>IFERROR(INDEX(Lookups!B$42:B$62,MATCH($AH253,Lookups!$A$42:$A$62,0)),"")</f>
        <v/>
      </c>
      <c r="AL253" s="150" t="str">
        <f>IFERROR(INDEX(Lookups!C$42:C$62,MATCH($AH253,Lookups!$A$42:$A$62,0)),"")</f>
        <v/>
      </c>
      <c r="AM253" s="150" t="str">
        <f>IFERROR(IF(M253="Exit Signs",8760,IF(INDEX('Fixture Codes'!$C$8:$C$976,MATCH(AD253,'Fixture Codes'!$B$8:$B$976,0))="Exit Sign",8760,INDEX(Lookups!$I$2:$I$428,MATCH(_xlfn.CONCAT(B253,H253),Lookups!$H$2:$H$428,0)))),"")</f>
        <v/>
      </c>
      <c r="AN253" s="153">
        <v>1</v>
      </c>
      <c r="AO253" s="150" t="str">
        <f>IF($D253="Interior",INDEX(Lookups!Q$2:Q$86,MATCH(_xlfn.CONCAT($C253,$L253),Lookups!$P$2:$P$86,0)),IF($D253="Exterior",1,""))</f>
        <v/>
      </c>
      <c r="AP253" s="150">
        <f t="shared" si="119"/>
        <v>1</v>
      </c>
      <c r="AQ253" s="150" t="str">
        <f>IF($D253="Interior",INDEX(Lookups!R$2:R$86,MATCH(_xlfn.CONCAT($C253,$L253),Lookups!$P$2:$P$86,0)),IF($D253="Exterior",1,""))</f>
        <v/>
      </c>
      <c r="AR253" s="150" t="str">
        <f>IF($D253="Interior",INDEX(Lookups!S$2:S$86,MATCH(_xlfn.CONCAT($C253,$L253),Lookups!$P$2:$P$86,0)),IF($D253="Exterior",1,""))</f>
        <v/>
      </c>
      <c r="AS253" s="150" t="str">
        <f>IF($D253="Interior",INDEX(Lookups!T$2:T$86,MATCH(_xlfn.CONCAT($C253,$L253),Lookups!$P$2:$P$86,0)),IF($D253="Exterior",1,""))</f>
        <v/>
      </c>
      <c r="AT253" s="150" t="str">
        <f>IFERROR(IF(M253="Exit Signs",1,IF(INDEX('Fixture Codes'!$C$8:$C$976,MATCH($AD253,'Fixture Codes'!$B$8:$B$976,0))="Exit Sign",1,INDEX(Lookups!J$2:J$428,MATCH(_xlfn.CONCAT($B253,$H253),Lookups!$H$2:$H$428,0)))),"")</f>
        <v/>
      </c>
      <c r="AU253" s="150" t="str">
        <f>IFERROR(IF(M253="Exit Signs",1,IF(INDEX('Fixture Codes'!$C$8:$C$976,MATCH($AD253,'Fixture Codes'!$B$8:$B$976,0))="Exit Sign",1,INDEX(Lookups!K$2:K$428,MATCH(_xlfn.CONCAT($B253,$H253),Lookups!$H$2:$H$428,0)))),"")</f>
        <v/>
      </c>
      <c r="AV253" s="150" t="str">
        <f>IFERROR(IF(M253="Exit Signs",1,IF(INDEX('Fixture Codes'!$C$8:$C$976,MATCH($AD253,'Fixture Codes'!$B$8:$B$976,0))="Exit Sign",1,INDEX(Lookups!L$2:L$428,MATCH(_xlfn.CONCAT($B253,$H253),Lookups!$H$2:$H$428,0)))),"")</f>
        <v/>
      </c>
      <c r="AW253" s="150" t="str">
        <f>IF(ISBLANK(K253),"",IF(K253="Gas",INDEX(Lookups!$AG$2:$AG$63,MATCH(O253,Lookups!$AD$2:$AD$63,0),0),0))</f>
        <v/>
      </c>
      <c r="AX253" s="150" t="str">
        <f>IF(ISBLANK(K253),"",IF(K253="Gas",INDEX(Lookups!$AF$2:$AF$63,MATCH(O253,Lookups!$AD$2:$AD$63,0),0),0))</f>
        <v/>
      </c>
      <c r="AY253" s="150" t="str">
        <f>IF(ISBLANK(K253),"",IF(K253="Gas",INDEX(Lookups!$AH$2:$AH$63,MATCH(O253,Lookups!$AD$2:$AD$63,0),0),0))</f>
        <v/>
      </c>
      <c r="AZ253" s="150" t="str">
        <f>IF(ISBLANK(K253),"",IF(K253="Gas",INDEX(Lookups!$AI$2:$AI$63,MATCH(O253,Lookups!$AD$2:$AD$63,0),0),0))</f>
        <v/>
      </c>
      <c r="BA253" s="150" t="str">
        <f t="shared" si="106"/>
        <v/>
      </c>
      <c r="BB253" s="156" t="str">
        <f>IF(ISBLANK(AH253),"",IF(AH253="None",0,IF(K253="Gas",INDEX(Lookups!$AF$51:$AF$69,MATCH(AH253,Lookups!$AD$51:$AD$69,0),0),0)))</f>
        <v/>
      </c>
      <c r="BC253" s="156" t="str">
        <f>IF(ISBLANK(AH253),"",IF(AH253="None",0,IF(K253="Gas",INDEX(Lookups!$AH$51:$AH$69,MATCH(AH253,Lookups!$AD$51:$AD$69,0),0),0)))</f>
        <v/>
      </c>
      <c r="BD253" s="156" t="str">
        <f>IF(ISBLANK(AH253),"",IF(AH253="None",0,IF(K253="Gas",INDEX(Lookups!$AI$51:$AI$69,MATCH(AH253,Lookups!$AD$51:$AD$69,0),0),0)))</f>
        <v/>
      </c>
      <c r="BE253" s="157"/>
      <c r="BF253" s="157"/>
      <c r="BG253" s="147" t="str">
        <f t="shared" si="120"/>
        <v/>
      </c>
      <c r="BH253" s="147" t="str">
        <f t="shared" si="121"/>
        <v/>
      </c>
      <c r="BI253" s="147" t="str">
        <f t="shared" si="107"/>
        <v/>
      </c>
      <c r="BJ253" s="147" t="str">
        <f t="shared" si="108"/>
        <v/>
      </c>
      <c r="BK253" s="148" t="str">
        <f t="shared" si="122"/>
        <v/>
      </c>
      <c r="BL253" s="147" t="str">
        <f t="shared" si="109"/>
        <v/>
      </c>
      <c r="BM253" s="148" t="str">
        <f t="shared" si="123"/>
        <v/>
      </c>
      <c r="BN253" s="147" t="str">
        <f t="shared" si="124"/>
        <v/>
      </c>
      <c r="BO253" s="147" t="str">
        <f t="shared" si="124"/>
        <v/>
      </c>
      <c r="BP253" s="147" t="str">
        <f t="shared" si="125"/>
        <v/>
      </c>
      <c r="BQ253" s="148" t="str">
        <f t="shared" si="126"/>
        <v/>
      </c>
      <c r="BR253" s="148" t="str">
        <f t="shared" si="127"/>
        <v/>
      </c>
      <c r="BS253" s="148" t="str">
        <f t="shared" si="128"/>
        <v/>
      </c>
      <c r="BT253" s="148" t="str">
        <f t="shared" si="110"/>
        <v/>
      </c>
      <c r="BU253" s="148" t="str">
        <f t="shared" si="111"/>
        <v/>
      </c>
      <c r="BV253" s="148" t="str">
        <f t="shared" si="112"/>
        <v/>
      </c>
      <c r="BW253" s="148" t="str">
        <f t="shared" si="113"/>
        <v/>
      </c>
      <c r="BX253" s="148" t="str">
        <f t="shared" si="114"/>
        <v/>
      </c>
      <c r="BY253" s="148" t="str">
        <f t="shared" si="115"/>
        <v/>
      </c>
      <c r="BZ253" s="149" t="str">
        <f>IFERROR(INDEX('Prescriptive Rebate Table'!$B$2:$E$64,MATCH(O253,'Prescriptive Rebate Table'!$C$2:$C$64,0),3),"")</f>
        <v/>
      </c>
      <c r="CA253" s="145" t="str">
        <f>IFERROR(INDEX('Prescriptive Rebate Table'!$B$2:$E$64,MATCH(O253,'Prescriptive Rebate Table'!$C$2:$C$64,0),4),"")</f>
        <v/>
      </c>
      <c r="CB253" s="149" t="str">
        <f t="shared" si="129"/>
        <v/>
      </c>
      <c r="CC253" s="145" t="str">
        <f t="shared" si="130"/>
        <v/>
      </c>
      <c r="CD253" s="149" t="str">
        <f t="shared" si="116"/>
        <v/>
      </c>
      <c r="CE253" s="149" t="str">
        <f t="shared" si="117"/>
        <v/>
      </c>
      <c r="CF253" s="149" t="str">
        <f>IF(BK253&lt;=0,0,IFERROR(IF(OR(ISBLANK(AC253),ISBLANK(CD253))=TRUE,"",IF(CA253="Per Foot",INDEX('Fixture Codes'!$I$8:$I$976,MATCH(AD253,'Fixture Codes'!$B$8:$B$976,0))/12*AF253*BZ253,IF(CA253="Lamp",INDEX('Fixture Codes'!$J$8:$J$976,MATCH(AD253,'Fixture Codes'!$B$8:$B$976,0))*AF253*BZ253,IF(CA253="Fixture",AF253*BZ253,IF(CA253="kWh",BK253*BZ253,0))))),""))</f>
        <v/>
      </c>
      <c r="CG253" s="149" t="str">
        <f t="shared" si="131"/>
        <v/>
      </c>
      <c r="CH253" s="149" t="str">
        <f t="shared" si="132"/>
        <v/>
      </c>
      <c r="CI253" s="152"/>
      <c r="CJ253" s="146"/>
      <c r="CK253" s="241">
        <f>IFERROR(IF(CL253="Yes",'Prescriptive Rebate Table'!$D$69,IF(ISBLANK(AI253),0,IF(AND(AH253=Lookups!$A$62,BK253&gt;0),'Prescriptive Rebate Table'!$D$68,IF(AND(BK253&gt;0,CJ253=AF253),'Prescriptive Rebate Table'!$D$67,IF(AND(BK253&gt;0,CJ253&lt;&gt;AF253),'Prescriptive Rebate Table'!D312,0))))),"")</f>
        <v>0</v>
      </c>
      <c r="CL253" s="240" t="s">
        <v>2712</v>
      </c>
      <c r="CM253" s="152"/>
      <c r="CN253" s="152"/>
      <c r="CO253" s="152"/>
      <c r="CP253" s="146">
        <f t="shared" si="118"/>
        <v>0</v>
      </c>
      <c r="CQ253" s="153">
        <f>IF(D253="Interior",ROUND(($AG253*AF253)/1000*$AM253*(Lookups!$B$54-$AA253)*$AN253*$AO253,3),0)</f>
        <v>0</v>
      </c>
      <c r="CR253" s="153">
        <f>IFERROR(IF(D253="Interior",ROUND(($AG253*$AF253)/1000*(Lookups!$C$54-$AB253)*$AN253*AQ253*AT253,6),0),"")</f>
        <v>0</v>
      </c>
      <c r="CS253" s="165">
        <f t="shared" si="133"/>
        <v>0</v>
      </c>
      <c r="CT253" s="165">
        <f t="shared" si="134"/>
        <v>0</v>
      </c>
      <c r="CV253" s="153"/>
      <c r="CW253" s="153"/>
      <c r="CX253" s="165"/>
      <c r="CY253" s="165"/>
      <c r="DA253" s="153">
        <f>IF(D253="Interior",ROUND(($AG253*AF253*(1-0.15))/1000*$AM253*(Lookups!$B$43+0.097-$AA253)*$AN253*$AO253+((W253*V253)/1000*AN253*AM253*AO253*0.15),3),0)</f>
        <v>0</v>
      </c>
      <c r="DB253" s="153">
        <f>IFERROR(IF(D253="Interior",ROUND(($AG253*$AF253)/1000*(Lookups!$C$43+0.097-$AB253)*$AN253*AQ253*AT253+(($AG253*$AF253)/1000*$AN253*AQ253*AT253*0.15),6),0),"")</f>
        <v>0</v>
      </c>
      <c r="DC253" s="165">
        <f t="shared" si="135"/>
        <v>0</v>
      </c>
      <c r="DD253" s="165">
        <f t="shared" si="136"/>
        <v>0</v>
      </c>
    </row>
    <row r="254" spans="1:108" s="164" customFormat="1">
      <c r="A254" s="150">
        <v>250</v>
      </c>
      <c r="B254" s="153" t="str">
        <f>IFERROR(INDEX(Lookups!$B$2:$B$38,MATCH('Project Info &amp; Summary'!$C$19,Lookups!$A$2:$A$38,0)),"")</f>
        <v/>
      </c>
      <c r="C254" s="153" t="str">
        <f>IFERROR(INDEX(Lookups!$C$2:$C$38,MATCH('Project Info &amp; Summary'!$C$19,Lookups!$A$2:$A$38,0)),"")</f>
        <v/>
      </c>
      <c r="D254" s="163"/>
      <c r="E254" s="160"/>
      <c r="F254" s="158"/>
      <c r="G254" s="158"/>
      <c r="H254" s="158"/>
      <c r="I254" s="158"/>
      <c r="J254" s="154" t="str">
        <f>IFERROR(INDEX(Lookups!$W$21:$W$26,MATCH(I254,Lookups!$V$21:$V$26,0)),"")</f>
        <v/>
      </c>
      <c r="K254" s="158"/>
      <c r="L254" s="162" t="str">
        <f>IFERROR(INDEX(Lookups!$Y$2:$Y$19,MATCH(_xlfn.CONCAT(I254,K254),Lookups!$X$2:$X$19,0)),"")</f>
        <v/>
      </c>
      <c r="M254" s="158"/>
      <c r="N254" s="153" t="str">
        <f>IFERROR(INDEX('Prescriptive Rebate Table'!$M$3:$M$20,MATCH(M254,'Prescriptive Rebate Table'!$L$3:$L$20,0)),"")</f>
        <v/>
      </c>
      <c r="O254" s="158"/>
      <c r="P254" s="154" t="str">
        <f>IFERROR(INDEX('Prescriptive Rebate Table'!$B$2:$H$64, MATCH(O254,'Prescriptive Rebate Table'!$C$2:$C$64,0),7),"")</f>
        <v/>
      </c>
      <c r="Q254" s="155" t="str">
        <f>IFERROR(INDEX('Prescriptive Rebate Table'!$B$2:$I$64, MATCH(O254,'Prescriptive Rebate Table'!$C$2:$C$64,0),8),"")</f>
        <v/>
      </c>
      <c r="R254" s="155" t="str">
        <f>IFERROR(INDEX('Prescriptive Rebate Table'!$B$2:$J$64, MATCH(O254,'Prescriptive Rebate Table'!$C$2:$C$64,0),9),"")</f>
        <v/>
      </c>
      <c r="S254" s="160"/>
      <c r="T254" s="145" t="str">
        <f>IFERROR(INDEX('Fixture Codes'!$M$8:$M$976,MATCH(S254,'Fixture Codes'!$B$8:$B$976,0)),"")</f>
        <v/>
      </c>
      <c r="U254" s="145" t="str">
        <f>IFERROR(INDEX('Fixture Codes'!$B$7:$M$976,MATCH(T254,'Fixture Codes'!$B$7:$B$976,0),5),"")</f>
        <v/>
      </c>
      <c r="V254" s="160"/>
      <c r="W254" s="145" t="str">
        <f>IFERROR(INDEX('Fixture Codes'!$L$8:$L$976,MATCH(T254,'Fixture Codes'!$B$8:$B$976,0)),"")</f>
        <v/>
      </c>
      <c r="X254" s="158"/>
      <c r="Y254" s="159"/>
      <c r="Z254" s="155" t="str">
        <f>IFERROR(INDEX(Lookups!B$68:B$87,MATCH($X254,Lookups!$A$68:$A$87,0)),"")</f>
        <v/>
      </c>
      <c r="AA254" s="150" t="str">
        <f>IFERROR(INDEX(Lookups!B$42:B$62,MATCH($X254,Lookups!$A$42:$A$62,0)),"")</f>
        <v/>
      </c>
      <c r="AB254" s="150" t="str">
        <f>IFERROR(INDEX(Lookups!C$42:C$62,MATCH($X254,Lookups!$A$42:$A$62,0)),"")</f>
        <v/>
      </c>
      <c r="AC254" s="160"/>
      <c r="AD254" s="160"/>
      <c r="AE254" s="150" t="str">
        <f>IFERROR(INDEX('Fixture Codes'!$B$7:$M$976,MATCH(AD254,'Fixture Codes'!$B$7:$B$976,0),5),"")</f>
        <v/>
      </c>
      <c r="AF254" s="160"/>
      <c r="AG254" s="145" t="str">
        <f>IFERROR(INDEX('Fixture Codes'!$L$8:$L$976,MATCH(AD254,'Fixture Codes'!$B$8:$B$976,0)),"")</f>
        <v/>
      </c>
      <c r="AH254" s="158"/>
      <c r="AI254" s="160"/>
      <c r="AJ254" s="150" t="str">
        <f>IFERROR(INDEX(Lookups!B$68:B$87,MATCH($AH254,Lookups!$A$68:$A$87,0)),"")</f>
        <v/>
      </c>
      <c r="AK254" s="150" t="str">
        <f>IFERROR(INDEX(Lookups!B$42:B$62,MATCH($AH254,Lookups!$A$42:$A$62,0)),"")</f>
        <v/>
      </c>
      <c r="AL254" s="150" t="str">
        <f>IFERROR(INDEX(Lookups!C$42:C$62,MATCH($AH254,Lookups!$A$42:$A$62,0)),"")</f>
        <v/>
      </c>
      <c r="AM254" s="150" t="str">
        <f>IFERROR(IF(M254="Exit Signs",8760,IF(INDEX('Fixture Codes'!$C$8:$C$976,MATCH(AD254,'Fixture Codes'!$B$8:$B$976,0))="Exit Sign",8760,INDEX(Lookups!$I$2:$I$428,MATCH(_xlfn.CONCAT(B254,H254),Lookups!$H$2:$H$428,0)))),"")</f>
        <v/>
      </c>
      <c r="AN254" s="153">
        <v>1</v>
      </c>
      <c r="AO254" s="150" t="str">
        <f>IF($D254="Interior",INDEX(Lookups!Q$2:Q$86,MATCH(_xlfn.CONCAT($C254,$L254),Lookups!$P$2:$P$86,0)),IF($D254="Exterior",1,""))</f>
        <v/>
      </c>
      <c r="AP254" s="150">
        <f t="shared" si="119"/>
        <v>1</v>
      </c>
      <c r="AQ254" s="150" t="str">
        <f>IF($D254="Interior",INDEX(Lookups!R$2:R$86,MATCH(_xlfn.CONCAT($C254,$L254),Lookups!$P$2:$P$86,0)),IF($D254="Exterior",1,""))</f>
        <v/>
      </c>
      <c r="AR254" s="150" t="str">
        <f>IF($D254="Interior",INDEX(Lookups!S$2:S$86,MATCH(_xlfn.CONCAT($C254,$L254),Lookups!$P$2:$P$86,0)),IF($D254="Exterior",1,""))</f>
        <v/>
      </c>
      <c r="AS254" s="150" t="str">
        <f>IF($D254="Interior",INDEX(Lookups!T$2:T$86,MATCH(_xlfn.CONCAT($C254,$L254),Lookups!$P$2:$P$86,0)),IF($D254="Exterior",1,""))</f>
        <v/>
      </c>
      <c r="AT254" s="150" t="str">
        <f>IFERROR(IF(M254="Exit Signs",1,IF(INDEX('Fixture Codes'!$C$8:$C$976,MATCH($AD254,'Fixture Codes'!$B$8:$B$976,0))="Exit Sign",1,INDEX(Lookups!J$2:J$428,MATCH(_xlfn.CONCAT($B254,$H254),Lookups!$H$2:$H$428,0)))),"")</f>
        <v/>
      </c>
      <c r="AU254" s="150" t="str">
        <f>IFERROR(IF(M254="Exit Signs",1,IF(INDEX('Fixture Codes'!$C$8:$C$976,MATCH($AD254,'Fixture Codes'!$B$8:$B$976,0))="Exit Sign",1,INDEX(Lookups!K$2:K$428,MATCH(_xlfn.CONCAT($B254,$H254),Lookups!$H$2:$H$428,0)))),"")</f>
        <v/>
      </c>
      <c r="AV254" s="150" t="str">
        <f>IFERROR(IF(M254="Exit Signs",1,IF(INDEX('Fixture Codes'!$C$8:$C$976,MATCH($AD254,'Fixture Codes'!$B$8:$B$976,0))="Exit Sign",1,INDEX(Lookups!L$2:L$428,MATCH(_xlfn.CONCAT($B254,$H254),Lookups!$H$2:$H$428,0)))),"")</f>
        <v/>
      </c>
      <c r="AW254" s="150" t="str">
        <f>IF(ISBLANK(K254),"",IF(K254="Gas",INDEX(Lookups!$AG$2:$AG$63,MATCH(O254,Lookups!$AD$2:$AD$63,0),0),0))</f>
        <v/>
      </c>
      <c r="AX254" s="150" t="str">
        <f>IF(ISBLANK(K254),"",IF(K254="Gas",INDEX(Lookups!$AF$2:$AF$63,MATCH(O254,Lookups!$AD$2:$AD$63,0),0),0))</f>
        <v/>
      </c>
      <c r="AY254" s="150" t="str">
        <f>IF(ISBLANK(K254),"",IF(K254="Gas",INDEX(Lookups!$AH$2:$AH$63,MATCH(O254,Lookups!$AD$2:$AD$63,0),0),0))</f>
        <v/>
      </c>
      <c r="AZ254" s="150" t="str">
        <f>IF(ISBLANK(K254),"",IF(K254="Gas",INDEX(Lookups!$AI$2:$AI$63,MATCH(O254,Lookups!$AD$2:$AD$63,0),0),0))</f>
        <v/>
      </c>
      <c r="BA254" s="150" t="str">
        <f t="shared" si="106"/>
        <v/>
      </c>
      <c r="BB254" s="156" t="str">
        <f>IF(ISBLANK(AH254),"",IF(AH254="None",0,IF(K254="Gas",INDEX(Lookups!$AF$51:$AF$69,MATCH(AH254,Lookups!$AD$51:$AD$69,0),0),0)))</f>
        <v/>
      </c>
      <c r="BC254" s="156" t="str">
        <f>IF(ISBLANK(AH254),"",IF(AH254="None",0,IF(K254="Gas",INDEX(Lookups!$AH$51:$AH$69,MATCH(AH254,Lookups!$AD$51:$AD$69,0),0),0)))</f>
        <v/>
      </c>
      <c r="BD254" s="156" t="str">
        <f>IF(ISBLANK(AH254),"",IF(AH254="None",0,IF(K254="Gas",INDEX(Lookups!$AI$51:$AI$69,MATCH(AH254,Lookups!$AD$51:$AD$69,0),0),0)))</f>
        <v/>
      </c>
      <c r="BE254" s="157"/>
      <c r="BF254" s="157"/>
      <c r="BG254" s="147" t="str">
        <f t="shared" si="120"/>
        <v/>
      </c>
      <c r="BH254" s="147" t="str">
        <f t="shared" si="121"/>
        <v/>
      </c>
      <c r="BI254" s="147" t="str">
        <f t="shared" si="107"/>
        <v/>
      </c>
      <c r="BJ254" s="147" t="str">
        <f t="shared" si="108"/>
        <v/>
      </c>
      <c r="BK254" s="148" t="str">
        <f t="shared" si="122"/>
        <v/>
      </c>
      <c r="BL254" s="147" t="str">
        <f t="shared" si="109"/>
        <v/>
      </c>
      <c r="BM254" s="148" t="str">
        <f t="shared" si="123"/>
        <v/>
      </c>
      <c r="BN254" s="147" t="str">
        <f t="shared" si="124"/>
        <v/>
      </c>
      <c r="BO254" s="147" t="str">
        <f t="shared" si="124"/>
        <v/>
      </c>
      <c r="BP254" s="147" t="str">
        <f t="shared" si="125"/>
        <v/>
      </c>
      <c r="BQ254" s="148" t="str">
        <f t="shared" si="126"/>
        <v/>
      </c>
      <c r="BR254" s="148" t="str">
        <f t="shared" si="127"/>
        <v/>
      </c>
      <c r="BS254" s="148" t="str">
        <f t="shared" si="128"/>
        <v/>
      </c>
      <c r="BT254" s="148" t="str">
        <f t="shared" si="110"/>
        <v/>
      </c>
      <c r="BU254" s="148" t="str">
        <f t="shared" si="111"/>
        <v/>
      </c>
      <c r="BV254" s="148" t="str">
        <f t="shared" si="112"/>
        <v/>
      </c>
      <c r="BW254" s="148" t="str">
        <f t="shared" si="113"/>
        <v/>
      </c>
      <c r="BX254" s="148" t="str">
        <f t="shared" si="114"/>
        <v/>
      </c>
      <c r="BY254" s="148" t="str">
        <f t="shared" si="115"/>
        <v/>
      </c>
      <c r="BZ254" s="149" t="str">
        <f>IFERROR(INDEX('Prescriptive Rebate Table'!$B$2:$E$64,MATCH(O254,'Prescriptive Rebate Table'!$C$2:$C$64,0),3),"")</f>
        <v/>
      </c>
      <c r="CA254" s="145" t="str">
        <f>IFERROR(INDEX('Prescriptive Rebate Table'!$B$2:$E$64,MATCH(O254,'Prescriptive Rebate Table'!$C$2:$C$64,0),4),"")</f>
        <v/>
      </c>
      <c r="CB254" s="149" t="str">
        <f t="shared" si="129"/>
        <v/>
      </c>
      <c r="CC254" s="145" t="str">
        <f t="shared" si="130"/>
        <v/>
      </c>
      <c r="CD254" s="149" t="str">
        <f t="shared" si="116"/>
        <v/>
      </c>
      <c r="CE254" s="149" t="str">
        <f t="shared" si="117"/>
        <v/>
      </c>
      <c r="CF254" s="149" t="str">
        <f>IF(BK254&lt;=0,0,IFERROR(IF(OR(ISBLANK(AC254),ISBLANK(CD254))=TRUE,"",IF(CA254="Per Foot",INDEX('Fixture Codes'!$I$8:$I$976,MATCH(AD254,'Fixture Codes'!$B$8:$B$976,0))/12*AF254*BZ254,IF(CA254="Lamp",INDEX('Fixture Codes'!$J$8:$J$976,MATCH(AD254,'Fixture Codes'!$B$8:$B$976,0))*AF254*BZ254,IF(CA254="Fixture",AF254*BZ254,IF(CA254="kWh",BK254*BZ254,0))))),""))</f>
        <v/>
      </c>
      <c r="CG254" s="149" t="str">
        <f t="shared" si="131"/>
        <v/>
      </c>
      <c r="CH254" s="149" t="str">
        <f t="shared" si="132"/>
        <v/>
      </c>
      <c r="CI254" s="152"/>
      <c r="CJ254" s="146"/>
      <c r="CK254" s="241">
        <f>IFERROR(IF(CL254="Yes",'Prescriptive Rebate Table'!$D$69,IF(ISBLANK(AI254),0,IF(AND(AH254=Lookups!$A$62,BK254&gt;0),'Prescriptive Rebate Table'!$D$68,IF(AND(BK254&gt;0,CJ254=AF254),'Prescriptive Rebate Table'!$D$67,IF(AND(BK254&gt;0,CJ254&lt;&gt;AF254),'Prescriptive Rebate Table'!D313,0))))),"")</f>
        <v>0</v>
      </c>
      <c r="CL254" s="240" t="s">
        <v>2712</v>
      </c>
      <c r="CM254" s="152"/>
      <c r="CN254" s="152"/>
      <c r="CO254" s="152"/>
      <c r="CP254" s="146">
        <f t="shared" si="118"/>
        <v>0</v>
      </c>
      <c r="CQ254" s="153">
        <f>IF(D254="Interior",ROUND(($AG254*AF254)/1000*$AM254*(Lookups!$B$54-$AA254)*$AN254*$AO254,3),0)</f>
        <v>0</v>
      </c>
      <c r="CR254" s="153">
        <f>IFERROR(IF(D254="Interior",ROUND(($AG254*$AF254)/1000*(Lookups!$C$54-$AB254)*$AN254*AQ254*AT254,6),0),"")</f>
        <v>0</v>
      </c>
      <c r="CS254" s="165">
        <f t="shared" si="133"/>
        <v>0</v>
      </c>
      <c r="CT254" s="165">
        <f t="shared" si="134"/>
        <v>0</v>
      </c>
      <c r="CV254" s="153"/>
      <c r="CW254" s="153"/>
      <c r="CX254" s="165"/>
      <c r="CY254" s="165"/>
      <c r="DA254" s="153">
        <f>IF(D254="Interior",ROUND(($AG254*AF254*(1-0.15))/1000*$AM254*(Lookups!$B$43+0.097-$AA254)*$AN254*$AO254+((W254*V254)/1000*AN254*AM254*AO254*0.15),3),0)</f>
        <v>0</v>
      </c>
      <c r="DB254" s="153">
        <f>IFERROR(IF(D254="Interior",ROUND(($AG254*$AF254)/1000*(Lookups!$C$43+0.097-$AB254)*$AN254*AQ254*AT254+(($AG254*$AF254)/1000*$AN254*AQ254*AT254*0.15),6),0),"")</f>
        <v>0</v>
      </c>
      <c r="DC254" s="165">
        <f t="shared" si="135"/>
        <v>0</v>
      </c>
      <c r="DD254" s="165">
        <f t="shared" si="136"/>
        <v>0</v>
      </c>
    </row>
  </sheetData>
  <sheetProtection algorithmName="SHA-512" hashValue="+56G3Unp3IIWeAAoo4XBH/SnyVCfjxlzSVRxx2EH8a3HPdHfvmB1/OTWETUBG0EW06CrGqv7fUEUoiGvgf1hSA==" saltValue="b1S4kxhe38LH6cgoFNDbeA==" spinCount="100000" sheet="1" formatColumns="0" selectLockedCells="1"/>
  <mergeCells count="57">
    <mergeCell ref="DA1:DD1"/>
    <mergeCell ref="DA2:DA3"/>
    <mergeCell ref="DB2:DB3"/>
    <mergeCell ref="DC2:DC3"/>
    <mergeCell ref="DD2:DD3"/>
    <mergeCell ref="CV1:CY1"/>
    <mergeCell ref="CV2:CV3"/>
    <mergeCell ref="CW2:CW3"/>
    <mergeCell ref="CX2:CX3"/>
    <mergeCell ref="CY2:CY3"/>
    <mergeCell ref="CT2:CT3"/>
    <mergeCell ref="CR2:CR3"/>
    <mergeCell ref="CP1:CT1"/>
    <mergeCell ref="CP2:CP3"/>
    <mergeCell ref="R2:R3"/>
    <mergeCell ref="CQ2:CQ3"/>
    <mergeCell ref="CS2:CS3"/>
    <mergeCell ref="BE2:BE3"/>
    <mergeCell ref="BF2:BF3"/>
    <mergeCell ref="CB2:CC2"/>
    <mergeCell ref="BZ2:CA2"/>
    <mergeCell ref="BG2:BM2"/>
    <mergeCell ref="BN2:BS2"/>
    <mergeCell ref="BT2:BY2"/>
    <mergeCell ref="AW2:AW3"/>
    <mergeCell ref="BB2:BD2"/>
    <mergeCell ref="N2:N3"/>
    <mergeCell ref="AQ2:AS2"/>
    <mergeCell ref="AT2:AV2"/>
    <mergeCell ref="AM2:AM3"/>
    <mergeCell ref="AN2:AN3"/>
    <mergeCell ref="AO2:AO3"/>
    <mergeCell ref="O2:O3"/>
    <mergeCell ref="P2:P3"/>
    <mergeCell ref="Q2:Q3"/>
    <mergeCell ref="S2:AB2"/>
    <mergeCell ref="AP2:AP3"/>
    <mergeCell ref="AC2:AI2"/>
    <mergeCell ref="K2:K3"/>
    <mergeCell ref="L2:L3"/>
    <mergeCell ref="M2:M3"/>
    <mergeCell ref="A2:A3"/>
    <mergeCell ref="B2:B3"/>
    <mergeCell ref="C2:C3"/>
    <mergeCell ref="F2:F3"/>
    <mergeCell ref="E2:E3"/>
    <mergeCell ref="D2:D3"/>
    <mergeCell ref="G2:G3"/>
    <mergeCell ref="H2:H3"/>
    <mergeCell ref="J2:J3"/>
    <mergeCell ref="I2:I3"/>
    <mergeCell ref="AX2:BA2"/>
    <mergeCell ref="CL2:CL3"/>
    <mergeCell ref="CD2:CE2"/>
    <mergeCell ref="CF2:CH2"/>
    <mergeCell ref="CJ2:CJ3"/>
    <mergeCell ref="CK2:CK3"/>
  </mergeCells>
  <phoneticPr fontId="103" type="noConversion"/>
  <dataValidations count="10">
    <dataValidation type="list" allowBlank="1" showInputMessage="1" showErrorMessage="1" sqref="D4:D254" xr:uid="{00000000-0002-0000-0300-000001000000}">
      <formula1>"Interior, Exterior"</formula1>
    </dataValidation>
    <dataValidation type="list" allowBlank="1" showInputMessage="1" showErrorMessage="1" sqref="K4 O4:O254" xr:uid="{00000000-0002-0000-0300-000003000000}">
      <formula1>INDIRECT(J4)</formula1>
    </dataValidation>
    <dataValidation type="list" allowBlank="1" showInputMessage="1" showErrorMessage="1" sqref="S4 AD4" xr:uid="{00000000-0002-0000-0300-000004000000}">
      <formula1>INDIRECT(#REF!)</formula1>
    </dataValidation>
    <dataValidation type="list" allowBlank="1" showInputMessage="1" showErrorMessage="1" sqref="H4" xr:uid="{00000000-0002-0000-0300-000006000000}">
      <formula1>INDIRECT(B4)</formula1>
    </dataValidation>
    <dataValidation type="list" allowBlank="1" showInputMessage="1" showErrorMessage="1" sqref="S5:S254 AD5:AD254" xr:uid="{53294561-BBDF-4B41-A168-AE42080C245F}">
      <formula1>All_Fixtures</formula1>
    </dataValidation>
    <dataValidation allowBlank="1" showErrorMessage="1" prompt="Please enter total equipment cost for all fixtures on this line. _x000a_Total = per unit cost x quantity" sqref="CD5:CD254" xr:uid="{455B4B79-F231-4800-AC3C-A946C0EFF647}"/>
    <dataValidation allowBlank="1" showErrorMessage="1" prompt="Please enter total equipment cost for all controls on this line._x000a_" sqref="CE5:CE254" xr:uid="{711C8DF8-D886-4CBE-A04E-871D9B39CCDF}"/>
    <dataValidation type="textLength" operator="lessThanOrEqual" allowBlank="1" showInputMessage="1" showErrorMessage="1" errorTitle="Max Character Length Exceeded" error="Area Description must be less than 56 characters." sqref="F5:F254" xr:uid="{E3FF5C92-7E83-4C97-8AA4-D56E94BA9DF7}">
      <formula1>55</formula1>
    </dataValidation>
    <dataValidation type="textLength" operator="lessThanOrEqual" allowBlank="1" showInputMessage="1" showErrorMessage="1" errorTitle="Max Character Length Exceeded" error="Exterior Lighting Description must be less than 56 characters." sqref="G5:G254" xr:uid="{4086D3FF-0961-4D3A-A558-38029CB107F7}">
      <formula1>55</formula1>
    </dataValidation>
    <dataValidation type="list" allowBlank="1" showInputMessage="1" showErrorMessage="1" sqref="CL4:CL254" xr:uid="{BE24CDB6-3A8C-449B-A956-F341E9246388}">
      <formula1>"Yes,No"</formula1>
    </dataValidation>
  </dataValidations>
  <pageMargins left="0.7" right="0.7" top="0.75" bottom="0.75" header="0.3" footer="0.3"/>
  <pageSetup orientation="portrait" horizontalDpi="90" verticalDpi="90" r:id="rId1"/>
  <ignoredErrors>
    <ignoredError sqref="P12:P61 AE5:AE6 Q12:Q61 CD5:CE254 Z4 P65:P254 Q65:Q254 AE11:AE254"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5EAC6D2-47C6-4185-AF60-203AA5DC54EA}">
          <x14:formula1>
            <xm:f>Lookups!$A$57:$A$62</xm:f>
          </x14:formula1>
          <xm:sqref>X5:X254 AH5:AH254</xm:sqref>
        </x14:dataValidation>
        <x14:dataValidation type="list" allowBlank="1" showInputMessage="1" showErrorMessage="1" xr:uid="{36AF601C-DF29-49B9-A3F6-7EFBC1A9AA68}">
          <x14:formula1>
            <xm:f>_xlfn.IFS(D5="Interior",INDIRECT(B5),D5="Exterior",Lookups!$A$90:$A$93,ISBLANK(D5),"")</xm:f>
          </x14:formula1>
          <xm:sqref>H5:H254</xm:sqref>
        </x14:dataValidation>
        <x14:dataValidation type="list" allowBlank="1" showInputMessage="1" showErrorMessage="1" xr:uid="{D4D88A38-F2AA-4910-A627-8182BDE7D01A}">
          <x14:formula1>
            <xm:f>_xlfn.IFS(D5="Interior",INDIRECT(J5),D5="Exterior",Lookups!$A$99,ISBLANK(D5),"")</xm:f>
          </x14:formula1>
          <xm:sqref>K5:K254</xm:sqref>
        </x14:dataValidation>
        <x14:dataValidation type="list" allowBlank="1" showInputMessage="1" showErrorMessage="1" xr:uid="{00000000-0002-0000-0300-000007000000}">
          <x14:formula1>
            <xm:f>_xlfn.IFS(D5="Interior",Lookups!$V$21:$V$26,D5="Exterior",Lookups!$A$96,ISBLANK(D5),"")</xm:f>
          </x14:formula1>
          <xm:sqref>I5:I254</xm:sqref>
        </x14:dataValidation>
        <x14:dataValidation type="list" allowBlank="1" showInputMessage="1" showErrorMessage="1" xr:uid="{00000000-0002-0000-0300-000008000000}">
          <x14:formula1>
            <xm:f>'Prescriptive Rebate Table'!$L$3:$L$20</xm:f>
          </x14:formula1>
          <xm:sqref>M5:M254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DF8A-5828-477F-A344-F6F31EEC1595}">
  <sheetPr codeName="Sheet5">
    <pageSetUpPr fitToPage="1"/>
  </sheetPr>
  <dimension ref="A1:N56"/>
  <sheetViews>
    <sheetView showGridLines="0" zoomScaleNormal="100" workbookViewId="0">
      <selection activeCell="G44" sqref="G44"/>
    </sheetView>
  </sheetViews>
  <sheetFormatPr defaultColWidth="0" defaultRowHeight="15" zeroHeight="1"/>
  <cols>
    <col min="1" max="1" width="2.5703125" customWidth="1"/>
    <col min="2" max="2" width="27.5703125" customWidth="1"/>
    <col min="3" max="4" width="21.140625" customWidth="1"/>
    <col min="5" max="5" width="2.7109375" customWidth="1"/>
    <col min="6" max="6" width="28" customWidth="1"/>
    <col min="7" max="7" width="26" customWidth="1"/>
    <col min="8" max="8" width="2.7109375" customWidth="1"/>
    <col min="9" max="10" width="22.140625" customWidth="1"/>
    <col min="11" max="12" width="8.7109375" customWidth="1"/>
    <col min="13" max="13" width="8.7109375" hidden="1" customWidth="1"/>
    <col min="14" max="14" width="11.140625" hidden="1" customWidth="1"/>
    <col min="15" max="16384" width="8.7109375" hidden="1"/>
  </cols>
  <sheetData>
    <row r="1" spans="1:14" ht="14.45" customHeight="1">
      <c r="A1" s="302" t="s">
        <v>2702</v>
      </c>
      <c r="B1" s="302"/>
      <c r="C1" s="302"/>
      <c r="D1" s="302"/>
      <c r="E1" s="302"/>
      <c r="F1" s="302"/>
      <c r="G1" s="302"/>
      <c r="H1" s="135"/>
      <c r="I1" s="303"/>
      <c r="J1" s="303"/>
    </row>
    <row r="2" spans="1:14" ht="14.45" customHeight="1">
      <c r="A2" s="302"/>
      <c r="B2" s="302"/>
      <c r="C2" s="302"/>
      <c r="D2" s="302"/>
      <c r="E2" s="302"/>
      <c r="F2" s="302"/>
      <c r="G2" s="302"/>
      <c r="H2" s="135"/>
      <c r="I2" s="139" t="s">
        <v>2698</v>
      </c>
      <c r="J2" s="137">
        <f>'Project Info &amp; Summary'!C16</f>
        <v>0</v>
      </c>
    </row>
    <row r="3" spans="1:14" ht="14.45" customHeight="1">
      <c r="A3" s="302"/>
      <c r="B3" s="302"/>
      <c r="C3" s="302"/>
      <c r="D3" s="302"/>
      <c r="E3" s="302"/>
      <c r="F3" s="302"/>
      <c r="G3" s="302"/>
      <c r="H3" s="135"/>
      <c r="I3" s="139" t="s">
        <v>2699</v>
      </c>
      <c r="J3" s="137">
        <f>'Project Info &amp; Summary'!C17</f>
        <v>0</v>
      </c>
    </row>
    <row r="4" spans="1:14" ht="14.45" customHeight="1">
      <c r="A4" s="302"/>
      <c r="B4" s="302"/>
      <c r="C4" s="302"/>
      <c r="D4" s="302"/>
      <c r="E4" s="302"/>
      <c r="F4" s="302"/>
      <c r="G4" s="302"/>
      <c r="H4" s="135"/>
      <c r="I4" s="139" t="s">
        <v>2700</v>
      </c>
      <c r="J4" s="137">
        <f>'Project Info &amp; Summary'!C18</f>
        <v>0</v>
      </c>
    </row>
    <row r="5" spans="1:14" ht="14.45" customHeight="1">
      <c r="A5" s="302"/>
      <c r="B5" s="302"/>
      <c r="C5" s="302"/>
      <c r="D5" s="302"/>
      <c r="E5" s="302"/>
      <c r="F5" s="302"/>
      <c r="G5" s="302"/>
      <c r="H5" s="135"/>
      <c r="I5" s="139" t="s">
        <v>2701</v>
      </c>
      <c r="J5" s="138">
        <f>'Project Info &amp; Summary'!C19</f>
        <v>0</v>
      </c>
    </row>
    <row r="6" spans="1:14" ht="14.45" customHeight="1">
      <c r="A6" s="302"/>
      <c r="B6" s="302"/>
      <c r="C6" s="302"/>
      <c r="D6" s="302"/>
      <c r="E6" s="302"/>
      <c r="F6" s="302"/>
      <c r="G6" s="302"/>
      <c r="H6" s="135"/>
      <c r="I6" s="136"/>
      <c r="J6" s="134"/>
    </row>
    <row r="7" spans="1:14" ht="14.45" customHeight="1">
      <c r="B7" s="267"/>
      <c r="C7" s="267"/>
      <c r="D7" s="267"/>
      <c r="E7" s="267"/>
      <c r="F7" s="267"/>
      <c r="G7" s="267"/>
      <c r="H7" s="267"/>
      <c r="I7" s="267"/>
      <c r="J7" s="267"/>
    </row>
    <row r="8" spans="1:14" ht="14.45" customHeight="1">
      <c r="A8" s="34"/>
      <c r="B8" s="264" t="s">
        <v>2695</v>
      </c>
      <c r="C8" s="264"/>
      <c r="D8" s="264"/>
      <c r="E8" s="264"/>
      <c r="F8" s="264"/>
      <c r="G8" s="264"/>
      <c r="H8" s="264"/>
      <c r="I8" s="264"/>
      <c r="J8" s="264"/>
    </row>
    <row r="9" spans="1:14" ht="14.45" customHeight="1">
      <c r="A9" s="34"/>
      <c r="B9" s="264"/>
      <c r="C9" s="264"/>
      <c r="D9" s="264"/>
      <c r="E9" s="264"/>
      <c r="F9" s="264"/>
      <c r="G9" s="264"/>
      <c r="H9" s="264"/>
      <c r="I9" s="264"/>
      <c r="J9" s="264"/>
    </row>
    <row r="10" spans="1:14">
      <c r="A10" s="34"/>
      <c r="B10" s="264"/>
      <c r="C10" s="264"/>
      <c r="D10" s="264"/>
      <c r="E10" s="264"/>
      <c r="F10" s="264"/>
      <c r="G10" s="264"/>
      <c r="H10" s="264"/>
      <c r="I10" s="264"/>
      <c r="J10" s="264"/>
    </row>
    <row r="11" spans="1:14">
      <c r="M11" t="s">
        <v>2671</v>
      </c>
      <c r="N11" t="s">
        <v>2671</v>
      </c>
    </row>
    <row r="12" spans="1:14" ht="26.1" customHeight="1">
      <c r="B12" s="125" t="s">
        <v>2648</v>
      </c>
      <c r="C12" s="358" t="s">
        <v>2647</v>
      </c>
      <c r="D12" s="358"/>
      <c r="E12" s="126"/>
      <c r="F12" s="309" t="s">
        <v>2635</v>
      </c>
      <c r="G12" s="309"/>
      <c r="H12" s="126"/>
      <c r="I12" s="126" t="s">
        <v>2652</v>
      </c>
      <c r="J12" s="127" t="s">
        <v>2651</v>
      </c>
    </row>
    <row r="13" spans="1:14" ht="8.1" customHeight="1"/>
    <row r="14" spans="1:14" ht="14.45" customHeight="1">
      <c r="B14" s="360" t="s">
        <v>2643</v>
      </c>
      <c r="C14" s="332" t="s">
        <v>269</v>
      </c>
      <c r="D14" s="333"/>
      <c r="E14" s="88"/>
      <c r="F14" s="84" t="s">
        <v>2636</v>
      </c>
      <c r="G14" s="85">
        <f>'Project Info &amp; Summary'!$C$18</f>
        <v>0</v>
      </c>
      <c r="I14" s="324">
        <f>G17</f>
        <v>0</v>
      </c>
      <c r="J14" s="364">
        <f>J17/12</f>
        <v>0</v>
      </c>
      <c r="M14" t="s">
        <v>2660</v>
      </c>
      <c r="N14" s="124">
        <f>'Project Info &amp; Summary'!I8</f>
        <v>0</v>
      </c>
    </row>
    <row r="15" spans="1:14" ht="14.45" customHeight="1">
      <c r="B15" s="360"/>
      <c r="C15" s="334"/>
      <c r="D15" s="335"/>
      <c r="E15" s="88"/>
      <c r="F15" s="84" t="s">
        <v>2637</v>
      </c>
      <c r="G15" s="86">
        <f>'Project Info &amp; Summary'!$I$8</f>
        <v>0</v>
      </c>
      <c r="I15" s="325"/>
      <c r="J15" s="329"/>
      <c r="M15" t="s">
        <v>2661</v>
      </c>
      <c r="N15" s="91">
        <f>'Project Info &amp; Summary'!J8</f>
        <v>0</v>
      </c>
    </row>
    <row r="16" spans="1:14">
      <c r="B16" s="360"/>
      <c r="C16" s="334"/>
      <c r="D16" s="335"/>
      <c r="E16" s="88"/>
      <c r="F16" s="84" t="s">
        <v>2654</v>
      </c>
      <c r="G16" s="85">
        <f>'Project Info &amp; Summary'!$C$16*'Project Info &amp; Summary'!$I$8+'Project Info &amp; Summary'!$C$17*'Project Info &amp; Summary'!$J$8</f>
        <v>0</v>
      </c>
      <c r="I16" s="99" t="s">
        <v>2640</v>
      </c>
      <c r="J16" s="100" t="s">
        <v>2641</v>
      </c>
      <c r="M16" t="s">
        <v>2662</v>
      </c>
      <c r="N16" s="92">
        <f>'Project Info &amp; Summary'!F8</f>
        <v>0</v>
      </c>
    </row>
    <row r="17" spans="2:14">
      <c r="B17" s="360"/>
      <c r="C17" s="334"/>
      <c r="D17" s="335"/>
      <c r="E17" s="88"/>
      <c r="F17" s="84" t="s">
        <v>2638</v>
      </c>
      <c r="G17" s="85">
        <f>'Project Info &amp; Summary'!$F$8</f>
        <v>0</v>
      </c>
      <c r="I17" s="328" t="str">
        <f>IFERROR(G18/G16,"")</f>
        <v/>
      </c>
      <c r="J17" s="329">
        <f>G16</f>
        <v>0</v>
      </c>
      <c r="M17" t="s">
        <v>2663</v>
      </c>
      <c r="N17" s="92">
        <f>'Project Info &amp; Summary'!C18</f>
        <v>0</v>
      </c>
    </row>
    <row r="18" spans="2:14" ht="14.45" customHeight="1">
      <c r="B18" s="360"/>
      <c r="C18" s="334"/>
      <c r="D18" s="335"/>
      <c r="E18" s="88"/>
      <c r="F18" s="84" t="s">
        <v>2639</v>
      </c>
      <c r="G18" s="85">
        <f>IFERROR(G14-G17,"")</f>
        <v>0</v>
      </c>
      <c r="I18" s="328"/>
      <c r="J18" s="329"/>
    </row>
    <row r="19" spans="2:14" ht="14.45" customHeight="1">
      <c r="B19" s="360"/>
      <c r="C19" s="336"/>
      <c r="D19" s="337"/>
      <c r="E19" s="88"/>
      <c r="F19" s="87" t="s">
        <v>2703</v>
      </c>
      <c r="G19" s="129">
        <f>IF(ISERROR(1/I17),0,1/I17)</f>
        <v>0</v>
      </c>
      <c r="I19" s="101" t="s">
        <v>2696</v>
      </c>
      <c r="J19" s="102" t="s">
        <v>2642</v>
      </c>
    </row>
    <row r="20" spans="2:14" ht="8.1" customHeight="1">
      <c r="F20" s="89"/>
      <c r="G20" s="90"/>
      <c r="I20" s="128"/>
      <c r="J20" s="128"/>
    </row>
    <row r="21" spans="2:14">
      <c r="B21" s="361" t="str">
        <f>IF(N14&gt;N21,"Implemented control strategies on Calculator tab exceed listed savings strategies for this tier.","Good")</f>
        <v>Good</v>
      </c>
      <c r="C21" s="340" t="s">
        <v>2653</v>
      </c>
      <c r="D21" s="341"/>
      <c r="E21" s="88"/>
      <c r="F21" s="93" t="s">
        <v>2636</v>
      </c>
      <c r="G21" s="94">
        <f>N24</f>
        <v>0</v>
      </c>
      <c r="I21" s="320">
        <f>IF(N14&gt;N21,"N/A",G24)</f>
        <v>0</v>
      </c>
      <c r="J21" s="322">
        <f>IF(N14&gt;N21,"N/A",J24/12)</f>
        <v>0</v>
      </c>
      <c r="M21" t="s">
        <v>2660</v>
      </c>
      <c r="N21" s="124">
        <f>SUM(Calculator!BK5:BK254)+SUM(Calculator!CQ5:CQ254)</f>
        <v>0</v>
      </c>
    </row>
    <row r="22" spans="2:14">
      <c r="B22" s="361"/>
      <c r="C22" s="342"/>
      <c r="D22" s="343"/>
      <c r="E22" s="88"/>
      <c r="F22" s="93" t="s">
        <v>2637</v>
      </c>
      <c r="G22" s="95">
        <f>N21</f>
        <v>0</v>
      </c>
      <c r="I22" s="321"/>
      <c r="J22" s="323"/>
      <c r="M22" t="s">
        <v>2661</v>
      </c>
      <c r="N22" s="91">
        <f>SUM(Calculator!BH5:BH254)+SUM(Calculator!CR5:CR254)</f>
        <v>0</v>
      </c>
    </row>
    <row r="23" spans="2:14">
      <c r="B23" s="361"/>
      <c r="C23" s="342"/>
      <c r="D23" s="343"/>
      <c r="E23" s="88"/>
      <c r="F23" s="93" t="s">
        <v>2654</v>
      </c>
      <c r="G23" s="94">
        <f>'Project Info &amp; Summary'!$C$16*N21+'Project Info &amp; Summary'!$C$17*N22</f>
        <v>0</v>
      </c>
      <c r="I23" s="103" t="s">
        <v>2640</v>
      </c>
      <c r="J23" s="104" t="s">
        <v>2641</v>
      </c>
      <c r="M23" t="s">
        <v>2662</v>
      </c>
      <c r="N23" s="92">
        <f>SUM(Calculator!CF5:CF254)+SUM(Calculator!CS5:CS254)</f>
        <v>0</v>
      </c>
    </row>
    <row r="24" spans="2:14" ht="14.45" customHeight="1">
      <c r="B24" s="361"/>
      <c r="C24" s="342"/>
      <c r="D24" s="343"/>
      <c r="E24" s="88"/>
      <c r="F24" s="93" t="s">
        <v>2690</v>
      </c>
      <c r="G24" s="94">
        <f>N23</f>
        <v>0</v>
      </c>
      <c r="I24" s="363" t="str">
        <f>IFERROR(G25/G23,"")</f>
        <v/>
      </c>
      <c r="J24" s="323">
        <f>IF(N14&gt;N21,"N/A",G23)</f>
        <v>0</v>
      </c>
      <c r="M24" t="s">
        <v>2663</v>
      </c>
      <c r="N24" s="92">
        <f>'Project Info &amp; Summary'!$C$18+SUM(Calculator!CT5:CT254)</f>
        <v>0</v>
      </c>
    </row>
    <row r="25" spans="2:14" ht="14.45" customHeight="1">
      <c r="B25" s="361"/>
      <c r="C25" s="342"/>
      <c r="D25" s="343"/>
      <c r="E25" s="88"/>
      <c r="F25" s="93" t="s">
        <v>2639</v>
      </c>
      <c r="G25" s="94">
        <f>G21-G24</f>
        <v>0</v>
      </c>
      <c r="I25" s="363"/>
      <c r="J25" s="323"/>
    </row>
    <row r="26" spans="2:14">
      <c r="B26" s="361"/>
      <c r="C26" s="344"/>
      <c r="D26" s="345"/>
      <c r="E26" s="88"/>
      <c r="F26" s="93" t="s">
        <v>2703</v>
      </c>
      <c r="G26" s="130">
        <f>IF(ISERROR(1/I24),0,1/I24)</f>
        <v>0</v>
      </c>
      <c r="I26" s="105" t="s">
        <v>2696</v>
      </c>
      <c r="J26" s="106" t="s">
        <v>2642</v>
      </c>
    </row>
    <row r="27" spans="2:14" ht="8.1" customHeight="1">
      <c r="I27" s="128"/>
      <c r="J27" s="128"/>
    </row>
    <row r="28" spans="2:14" ht="14.45" customHeight="1">
      <c r="B28" s="362" t="s">
        <v>2645</v>
      </c>
      <c r="C28" s="346" t="s">
        <v>2664</v>
      </c>
      <c r="D28" s="347"/>
      <c r="E28" s="88"/>
      <c r="F28" s="96" t="s">
        <v>2636</v>
      </c>
      <c r="G28" s="97">
        <f>N31</f>
        <v>0</v>
      </c>
      <c r="I28" s="315">
        <f>G31</f>
        <v>0</v>
      </c>
      <c r="J28" s="317">
        <f>J31/12</f>
        <v>0</v>
      </c>
      <c r="M28" t="s">
        <v>2660</v>
      </c>
      <c r="N28" s="124">
        <f>SUM(Calculator!BK5:BK254)+SUM(Calculator!CV5:CV254)</f>
        <v>0</v>
      </c>
    </row>
    <row r="29" spans="2:14">
      <c r="B29" s="362"/>
      <c r="C29" s="348"/>
      <c r="D29" s="349"/>
      <c r="E29" s="88"/>
      <c r="F29" s="96" t="s">
        <v>2637</v>
      </c>
      <c r="G29" s="98">
        <f>N28</f>
        <v>0</v>
      </c>
      <c r="I29" s="316"/>
      <c r="J29" s="318"/>
      <c r="M29" t="s">
        <v>2661</v>
      </c>
      <c r="N29" s="91">
        <f>SUM(Calculator!BH5:BH254)+SUM(Calculator!CW5:CW254)</f>
        <v>0</v>
      </c>
    </row>
    <row r="30" spans="2:14">
      <c r="B30" s="362"/>
      <c r="C30" s="348"/>
      <c r="D30" s="349"/>
      <c r="E30" s="88"/>
      <c r="F30" s="96" t="s">
        <v>2654</v>
      </c>
      <c r="G30" s="97">
        <f>'Project Info &amp; Summary'!$C$16*N28+'Project Info &amp; Summary'!$C$17*N29</f>
        <v>0</v>
      </c>
      <c r="I30" s="107" t="s">
        <v>2640</v>
      </c>
      <c r="J30" s="108" t="s">
        <v>2641</v>
      </c>
      <c r="M30" t="s">
        <v>2662</v>
      </c>
      <c r="N30" s="92">
        <f>SUM(Calculator!CF5:CF254)+SUM(Calculator!CX5:CX254)</f>
        <v>0</v>
      </c>
    </row>
    <row r="31" spans="2:14" ht="14.45" customHeight="1">
      <c r="B31" s="362"/>
      <c r="C31" s="348"/>
      <c r="D31" s="349"/>
      <c r="E31" s="88"/>
      <c r="F31" s="96" t="s">
        <v>2690</v>
      </c>
      <c r="G31" s="97">
        <f>N30</f>
        <v>0</v>
      </c>
      <c r="I31" s="319" t="str">
        <f>IFERROR(G32/G30,"")</f>
        <v/>
      </c>
      <c r="J31" s="318">
        <f>G30</f>
        <v>0</v>
      </c>
      <c r="M31" t="s">
        <v>2663</v>
      </c>
      <c r="N31" s="92">
        <f>'Project Info &amp; Summary'!$C$18+SUM(Calculator!CY5:CY254)</f>
        <v>0</v>
      </c>
    </row>
    <row r="32" spans="2:14" ht="14.45" customHeight="1">
      <c r="B32" s="362"/>
      <c r="C32" s="348"/>
      <c r="D32" s="349"/>
      <c r="E32" s="88"/>
      <c r="F32" s="96" t="s">
        <v>2639</v>
      </c>
      <c r="G32" s="97">
        <f>G28-G31</f>
        <v>0</v>
      </c>
      <c r="I32" s="319"/>
      <c r="J32" s="318"/>
    </row>
    <row r="33" spans="2:14">
      <c r="B33" s="362"/>
      <c r="C33" s="350"/>
      <c r="D33" s="351"/>
      <c r="E33" s="88"/>
      <c r="F33" s="96" t="s">
        <v>2703</v>
      </c>
      <c r="G33" s="132">
        <f>IF(ISERROR(1/I31),0,1/I31)</f>
        <v>0</v>
      </c>
      <c r="I33" s="109" t="s">
        <v>2696</v>
      </c>
      <c r="J33" s="110" t="s">
        <v>2642</v>
      </c>
    </row>
    <row r="34" spans="2:14" ht="8.1" customHeight="1">
      <c r="I34" s="128"/>
      <c r="J34" s="128"/>
    </row>
    <row r="35" spans="2:14" ht="14.45" customHeight="1">
      <c r="B35" s="308" t="s">
        <v>2646</v>
      </c>
      <c r="C35" s="352" t="s">
        <v>2669</v>
      </c>
      <c r="D35" s="353"/>
      <c r="E35" s="88"/>
      <c r="F35" s="116" t="s">
        <v>2636</v>
      </c>
      <c r="G35" s="117">
        <f>N38</f>
        <v>0</v>
      </c>
      <c r="I35" s="310">
        <f>G38</f>
        <v>0</v>
      </c>
      <c r="J35" s="312">
        <f>J38/12</f>
        <v>0</v>
      </c>
      <c r="M35" t="s">
        <v>2660</v>
      </c>
      <c r="N35" s="124">
        <f>SUM(Calculator!BK5:BK254)+SUM(Calculator!DA5:DA254)</f>
        <v>0</v>
      </c>
    </row>
    <row r="36" spans="2:14">
      <c r="B36" s="308"/>
      <c r="C36" s="354"/>
      <c r="D36" s="355"/>
      <c r="E36" s="88"/>
      <c r="F36" s="116" t="s">
        <v>2637</v>
      </c>
      <c r="G36" s="118">
        <f>N35</f>
        <v>0</v>
      </c>
      <c r="I36" s="311"/>
      <c r="J36" s="313"/>
      <c r="M36" t="s">
        <v>2661</v>
      </c>
      <c r="N36" s="91">
        <f>SUM(Calculator!BH5:BH254)+SUM(Calculator!DB5:DB254)</f>
        <v>0</v>
      </c>
    </row>
    <row r="37" spans="2:14">
      <c r="B37" s="308"/>
      <c r="C37" s="354"/>
      <c r="D37" s="355"/>
      <c r="E37" s="88"/>
      <c r="F37" s="116" t="s">
        <v>2654</v>
      </c>
      <c r="G37" s="117">
        <f>'Project Info &amp; Summary'!$C$16*N35+'Project Info &amp; Summary'!$C$17*N36</f>
        <v>0</v>
      </c>
      <c r="I37" s="119" t="s">
        <v>2640</v>
      </c>
      <c r="J37" s="120" t="s">
        <v>2641</v>
      </c>
      <c r="M37" t="s">
        <v>2662</v>
      </c>
      <c r="N37" s="92">
        <f>SUM(Calculator!CF5:CF254)+SUM(Calculator!DC5:DC254)</f>
        <v>0</v>
      </c>
    </row>
    <row r="38" spans="2:14" ht="14.45" customHeight="1">
      <c r="B38" s="308"/>
      <c r="C38" s="354"/>
      <c r="D38" s="355"/>
      <c r="E38" s="88"/>
      <c r="F38" s="116" t="s">
        <v>2690</v>
      </c>
      <c r="G38" s="117">
        <f>N37</f>
        <v>0</v>
      </c>
      <c r="I38" s="314" t="str">
        <f>IFERROR(G39/G37,"")</f>
        <v/>
      </c>
      <c r="J38" s="313">
        <f>G37</f>
        <v>0</v>
      </c>
      <c r="M38" t="s">
        <v>2663</v>
      </c>
      <c r="N38" s="92">
        <f>'Project Info &amp; Summary'!$C$18+SUM(Calculator!DD5:DD254)</f>
        <v>0</v>
      </c>
    </row>
    <row r="39" spans="2:14" ht="14.45" customHeight="1">
      <c r="B39" s="308"/>
      <c r="C39" s="354"/>
      <c r="D39" s="355"/>
      <c r="E39" s="88"/>
      <c r="F39" s="116" t="s">
        <v>2639</v>
      </c>
      <c r="G39" s="117">
        <f>G35-G38</f>
        <v>0</v>
      </c>
      <c r="I39" s="314"/>
      <c r="J39" s="313"/>
    </row>
    <row r="40" spans="2:14">
      <c r="B40" s="308"/>
      <c r="C40" s="356"/>
      <c r="D40" s="357"/>
      <c r="E40" s="111"/>
      <c r="F40" s="116" t="s">
        <v>2703</v>
      </c>
      <c r="G40" s="131">
        <f>IF(ISERROR(1/I38),0,1/I38)</f>
        <v>0</v>
      </c>
      <c r="I40" s="121" t="s">
        <v>2696</v>
      </c>
      <c r="J40" s="122" t="s">
        <v>2642</v>
      </c>
    </row>
    <row r="41" spans="2:14"/>
    <row r="42" spans="2:14" ht="22.5" customHeight="1">
      <c r="B42" s="358" t="s">
        <v>2678</v>
      </c>
      <c r="C42" s="112" t="s">
        <v>2677</v>
      </c>
      <c r="D42" s="326" t="s">
        <v>2673</v>
      </c>
      <c r="E42" s="327"/>
      <c r="F42" s="115" t="s">
        <v>2674</v>
      </c>
      <c r="G42" s="112" t="s">
        <v>2675</v>
      </c>
      <c r="H42" s="326" t="s">
        <v>2676</v>
      </c>
      <c r="I42" s="327"/>
      <c r="J42" s="112" t="s">
        <v>68</v>
      </c>
    </row>
    <row r="43" spans="2:14" ht="63.6" customHeight="1">
      <c r="B43" s="359"/>
      <c r="C43" s="113" t="s">
        <v>2679</v>
      </c>
      <c r="D43" s="330" t="s">
        <v>2680</v>
      </c>
      <c r="E43" s="331"/>
      <c r="F43" s="113" t="s">
        <v>2708</v>
      </c>
      <c r="G43" s="113" t="s">
        <v>2709</v>
      </c>
      <c r="H43" s="330" t="s">
        <v>2681</v>
      </c>
      <c r="I43" s="331"/>
      <c r="J43" s="113" t="s">
        <v>2682</v>
      </c>
    </row>
    <row r="44" spans="2:14">
      <c r="B44" s="359"/>
      <c r="C44" s="114" t="s">
        <v>2683</v>
      </c>
      <c r="D44" s="338" t="s">
        <v>2688</v>
      </c>
      <c r="E44" s="339"/>
      <c r="F44" s="114" t="s">
        <v>2684</v>
      </c>
      <c r="G44" s="114" t="s">
        <v>2685</v>
      </c>
      <c r="H44" s="338" t="s">
        <v>2687</v>
      </c>
      <c r="I44" s="339"/>
      <c r="J44" s="114" t="s">
        <v>2686</v>
      </c>
      <c r="K44" s="111"/>
    </row>
    <row r="45" spans="2:14"/>
    <row r="47" spans="2:14" hidden="1">
      <c r="B47" s="133" t="s">
        <v>2697</v>
      </c>
    </row>
    <row r="48" spans="2:14" hidden="1">
      <c r="B48" s="305" t="s">
        <v>2693</v>
      </c>
      <c r="C48" s="305"/>
      <c r="D48" s="305"/>
      <c r="E48" s="305"/>
      <c r="F48" s="305"/>
      <c r="G48" s="305"/>
      <c r="H48" s="305"/>
      <c r="I48" s="305"/>
      <c r="J48" s="305"/>
    </row>
    <row r="49" spans="2:10" hidden="1">
      <c r="B49" s="306" t="s">
        <v>2665</v>
      </c>
      <c r="C49" s="306"/>
      <c r="D49" s="307" t="s">
        <v>2649</v>
      </c>
      <c r="E49" s="307"/>
      <c r="F49" s="307"/>
      <c r="G49" s="307"/>
      <c r="H49" s="307"/>
      <c r="I49" s="307"/>
      <c r="J49" s="307"/>
    </row>
    <row r="50" spans="2:10" hidden="1">
      <c r="B50" s="306" t="s">
        <v>2672</v>
      </c>
      <c r="C50" s="306"/>
      <c r="D50" s="307" t="s">
        <v>2650</v>
      </c>
      <c r="E50" s="307"/>
      <c r="F50" s="307"/>
      <c r="G50" s="307"/>
      <c r="H50" s="307"/>
      <c r="I50" s="307"/>
      <c r="J50" s="307"/>
    </row>
    <row r="51" spans="2:10" hidden="1">
      <c r="B51" s="306" t="s">
        <v>2666</v>
      </c>
      <c r="C51" s="306"/>
      <c r="D51" s="306" t="s">
        <v>2691</v>
      </c>
      <c r="E51" s="306"/>
      <c r="F51" s="306"/>
      <c r="G51" s="306"/>
      <c r="H51" s="306"/>
      <c r="I51" s="306"/>
      <c r="J51" s="306"/>
    </row>
    <row r="52" spans="2:10" hidden="1">
      <c r="B52" s="306" t="s">
        <v>2667</v>
      </c>
      <c r="C52" s="306"/>
      <c r="D52" s="306" t="s">
        <v>2694</v>
      </c>
      <c r="E52" s="306"/>
      <c r="F52" s="306"/>
      <c r="G52" s="306"/>
      <c r="H52" s="306"/>
      <c r="I52" s="306"/>
      <c r="J52" s="306"/>
    </row>
    <row r="53" spans="2:10" hidden="1">
      <c r="B53" s="306" t="s">
        <v>2668</v>
      </c>
      <c r="C53" s="306"/>
      <c r="D53" s="306" t="s">
        <v>2692</v>
      </c>
      <c r="E53" s="306"/>
      <c r="F53" s="306"/>
      <c r="G53" s="306"/>
      <c r="H53" s="306"/>
      <c r="I53" s="306"/>
      <c r="J53" s="306"/>
    </row>
    <row r="54" spans="2:10" hidden="1">
      <c r="B54" s="306" t="s">
        <v>2670</v>
      </c>
      <c r="C54" s="306"/>
      <c r="D54" s="307" t="s">
        <v>2689</v>
      </c>
      <c r="E54" s="307"/>
      <c r="F54" s="307"/>
      <c r="G54" s="307"/>
      <c r="H54" s="307"/>
      <c r="I54" s="307"/>
      <c r="J54" s="307"/>
    </row>
    <row r="55" spans="2:10" hidden="1">
      <c r="D55" s="304"/>
      <c r="E55" s="304"/>
      <c r="F55" s="304"/>
      <c r="G55" s="304"/>
      <c r="H55" s="304"/>
      <c r="I55" s="304"/>
      <c r="J55" s="304"/>
    </row>
    <row r="56" spans="2:10" hidden="1">
      <c r="D56" s="123"/>
    </row>
  </sheetData>
  <sheetProtection algorithmName="SHA-512" hashValue="IJZ9RBZamOqrhyxhS7hdVil9c3lo8Iv4cFOhcYGdb3M9Veo0fajHSdBtp4xq+I5LCmtZtbNkIAyMDt3zHpoezQ==" saltValue="uKzH7V0YFbWD3TVYWXdPpg==" spinCount="100000" sheet="1" objects="1" scenarios="1"/>
  <mergeCells count="51">
    <mergeCell ref="H44:I44"/>
    <mergeCell ref="B7:J7"/>
    <mergeCell ref="B8:J10"/>
    <mergeCell ref="C21:D26"/>
    <mergeCell ref="C28:D33"/>
    <mergeCell ref="C35:D40"/>
    <mergeCell ref="C12:D12"/>
    <mergeCell ref="B42:B44"/>
    <mergeCell ref="D42:E42"/>
    <mergeCell ref="D43:E43"/>
    <mergeCell ref="D44:E44"/>
    <mergeCell ref="B14:B19"/>
    <mergeCell ref="B21:B26"/>
    <mergeCell ref="B28:B33"/>
    <mergeCell ref="I24:I25"/>
    <mergeCell ref="J14:J15"/>
    <mergeCell ref="H42:I42"/>
    <mergeCell ref="I17:I18"/>
    <mergeCell ref="J17:J18"/>
    <mergeCell ref="H43:I43"/>
    <mergeCell ref="C14:D19"/>
    <mergeCell ref="B35:B40"/>
    <mergeCell ref="F12:G12"/>
    <mergeCell ref="I35:I36"/>
    <mergeCell ref="J35:J36"/>
    <mergeCell ref="I38:I39"/>
    <mergeCell ref="J38:J39"/>
    <mergeCell ref="I28:I29"/>
    <mergeCell ref="J28:J29"/>
    <mergeCell ref="I31:I32"/>
    <mergeCell ref="J31:J32"/>
    <mergeCell ref="I21:I22"/>
    <mergeCell ref="J21:J22"/>
    <mergeCell ref="J24:J25"/>
    <mergeCell ref="I14:I15"/>
    <mergeCell ref="A1:G6"/>
    <mergeCell ref="I1:J1"/>
    <mergeCell ref="D55:J55"/>
    <mergeCell ref="B48:J48"/>
    <mergeCell ref="B54:C54"/>
    <mergeCell ref="D49:J49"/>
    <mergeCell ref="D50:J50"/>
    <mergeCell ref="D51:J51"/>
    <mergeCell ref="D52:J52"/>
    <mergeCell ref="D53:J53"/>
    <mergeCell ref="D54:J54"/>
    <mergeCell ref="B49:C49"/>
    <mergeCell ref="B50:C50"/>
    <mergeCell ref="B51:C51"/>
    <mergeCell ref="B52:C52"/>
    <mergeCell ref="B53:C53"/>
  </mergeCells>
  <conditionalFormatting sqref="B21:B26">
    <cfRule type="expression" dxfId="0" priority="1">
      <formula>$N$14&gt;$N$21</formula>
    </cfRule>
  </conditionalFormatting>
  <hyperlinks>
    <hyperlink ref="D49" r:id="rId1" location=":~:text=In%202020%2C%20the%20cost%20on,standard%20LED%20fixture%20without%20controls." xr:uid="{789E5D50-E743-4464-85B4-D67493642A53}"/>
    <hyperlink ref="D50" r:id="rId2" xr:uid="{02892AB0-8059-48E2-97F0-EA7A9D3082FC}"/>
    <hyperlink ref="C44" r:id="rId3" xr:uid="{29E3C62D-A5DB-4817-90C7-902DC7593514}"/>
    <hyperlink ref="D44" r:id="rId4" xr:uid="{D52E82D6-0584-436C-9A35-0642B16988F5}"/>
    <hyperlink ref="F44" r:id="rId5" xr:uid="{01930C20-1EFE-4EEA-8156-46EBD9B58DAF}"/>
    <hyperlink ref="G44" r:id="rId6" xr:uid="{5C04AEA5-009D-402B-92B8-98276B96CEA1}"/>
    <hyperlink ref="H44" r:id="rId7" xr:uid="{8DAB5293-DDFC-4F17-82F0-97063578473D}"/>
    <hyperlink ref="J44" r:id="rId8" xr:uid="{90A919E4-7BFD-44E6-99FA-31E497108B6A}"/>
    <hyperlink ref="D54" r:id="rId9" xr:uid="{E0701A1E-10C7-416E-94E4-02351F580CCA}"/>
  </hyperlinks>
  <pageMargins left="0.7" right="0.7" top="0.75" bottom="0.75" header="0.3" footer="0.3"/>
  <pageSetup scale="61" orientation="landscape" r:id="rId10"/>
  <ignoredErrors>
    <ignoredError sqref="G23 G30 G37" formula="1"/>
  </ignoredErrors>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sheetPr>
  <dimension ref="A1:AJ332"/>
  <sheetViews>
    <sheetView zoomScale="80" zoomScaleNormal="80" workbookViewId="0">
      <selection activeCell="B83" sqref="A83:B86"/>
    </sheetView>
  </sheetViews>
  <sheetFormatPr defaultRowHeight="15" customHeight="1"/>
  <cols>
    <col min="1" max="1" width="81" customWidth="1"/>
    <col min="2" max="2" width="28.140625" customWidth="1"/>
    <col min="3" max="4" width="22.5703125" customWidth="1"/>
    <col min="5" max="5" width="2.5703125" customWidth="1"/>
    <col min="6" max="6" width="20.5703125" bestFit="1" customWidth="1"/>
    <col min="7" max="7" width="49.5703125" bestFit="1" customWidth="1"/>
    <col min="8" max="8" width="9.42578125" customWidth="1"/>
    <col min="10" max="10" width="10.5703125" customWidth="1"/>
    <col min="11" max="11" width="16.5703125" customWidth="1"/>
    <col min="12" max="12" width="15.42578125" customWidth="1"/>
    <col min="13" max="13" width="2.5703125" customWidth="1"/>
    <col min="14" max="14" width="14.5703125" customWidth="1"/>
    <col min="15" max="15" width="23" customWidth="1"/>
    <col min="16" max="16" width="34.42578125" bestFit="1" customWidth="1"/>
    <col min="18" max="18" width="15.5703125" customWidth="1"/>
    <col min="19" max="19" width="21.5703125" customWidth="1"/>
    <col min="20" max="20" width="20.42578125" customWidth="1"/>
    <col min="21" max="21" width="2.5703125" customWidth="1"/>
    <col min="22" max="22" width="28.5703125" bestFit="1" customWidth="1"/>
    <col min="23" max="23" width="25" bestFit="1" customWidth="1"/>
    <col min="24" max="24" width="53.42578125" bestFit="1" customWidth="1"/>
    <col min="25" max="25" width="30" bestFit="1" customWidth="1"/>
    <col min="26" max="26" width="2.5703125" customWidth="1"/>
    <col min="27" max="27" width="34.42578125" bestFit="1" customWidth="1"/>
    <col min="28" max="28" width="2.5703125" customWidth="1"/>
    <col min="29" max="29" width="30.85546875" style="47" bestFit="1" customWidth="1"/>
    <col min="30" max="30" width="90.5703125" style="47" bestFit="1" customWidth="1"/>
    <col min="31" max="31" width="24.5703125" style="47" customWidth="1"/>
    <col min="34" max="34" width="14.5703125" customWidth="1"/>
    <col min="36" max="36" width="10.5703125" customWidth="1"/>
  </cols>
  <sheetData>
    <row r="1" spans="1:36" ht="60" customHeight="1">
      <c r="A1" s="8" t="s">
        <v>372</v>
      </c>
      <c r="B1" s="8" t="s">
        <v>373</v>
      </c>
      <c r="C1" s="8" t="s">
        <v>374</v>
      </c>
      <c r="D1" s="83" t="s">
        <v>375</v>
      </c>
      <c r="F1" s="6" t="s">
        <v>376</v>
      </c>
      <c r="G1" s="6" t="s">
        <v>159</v>
      </c>
      <c r="H1" s="6" t="s">
        <v>377</v>
      </c>
      <c r="I1" s="6" t="s">
        <v>226</v>
      </c>
      <c r="J1" s="6" t="s">
        <v>378</v>
      </c>
      <c r="K1" s="6" t="s">
        <v>379</v>
      </c>
      <c r="L1" s="6" t="s">
        <v>380</v>
      </c>
      <c r="N1" s="13" t="s">
        <v>381</v>
      </c>
      <c r="O1" s="13" t="s">
        <v>221</v>
      </c>
      <c r="P1" s="13" t="s">
        <v>377</v>
      </c>
      <c r="Q1" s="12" t="s">
        <v>228</v>
      </c>
      <c r="R1" s="14" t="s">
        <v>382</v>
      </c>
      <c r="S1" s="14" t="s">
        <v>383</v>
      </c>
      <c r="T1" s="14" t="s">
        <v>384</v>
      </c>
      <c r="V1" s="12" t="s">
        <v>385</v>
      </c>
      <c r="W1" s="12" t="s">
        <v>386</v>
      </c>
      <c r="X1" s="12" t="s">
        <v>387</v>
      </c>
      <c r="Y1" s="12" t="s">
        <v>221</v>
      </c>
      <c r="AA1" s="3" t="s">
        <v>388</v>
      </c>
      <c r="AC1" s="3" t="s">
        <v>5</v>
      </c>
      <c r="AD1" s="3" t="s">
        <v>6</v>
      </c>
      <c r="AE1" s="3" t="s">
        <v>223</v>
      </c>
      <c r="AF1" s="3" t="s">
        <v>246</v>
      </c>
      <c r="AG1" s="3" t="s">
        <v>231</v>
      </c>
      <c r="AH1" s="3" t="s">
        <v>389</v>
      </c>
      <c r="AI1" s="3" t="s">
        <v>250</v>
      </c>
      <c r="AJ1" s="74" t="s">
        <v>390</v>
      </c>
    </row>
    <row r="2" spans="1:36">
      <c r="A2" s="9" t="s">
        <v>391</v>
      </c>
      <c r="B2" s="9" t="s">
        <v>2719</v>
      </c>
      <c r="C2" s="9" t="s">
        <v>66</v>
      </c>
      <c r="D2" s="9" t="s">
        <v>392</v>
      </c>
      <c r="F2" s="1" t="s">
        <v>2719</v>
      </c>
      <c r="G2" s="1" t="s">
        <v>394</v>
      </c>
      <c r="H2" s="1" t="str">
        <f t="shared" ref="H2:H65" si="0">_xlfn.CONCAT(F2,G2)</f>
        <v>AllAuditorium/Gym</v>
      </c>
      <c r="I2" s="1">
        <v>3438</v>
      </c>
      <c r="J2" s="1">
        <v>0.65</v>
      </c>
      <c r="K2" s="1">
        <v>0.64</v>
      </c>
      <c r="L2" s="1">
        <v>0.4</v>
      </c>
      <c r="N2" s="1" t="s">
        <v>257</v>
      </c>
      <c r="O2" s="15" t="s">
        <v>395</v>
      </c>
      <c r="P2" s="9" t="str">
        <f t="shared" ref="P2:P75" si="1">_xlfn.CONCAT(N2,O2)</f>
        <v>OfficeAC/ ElecRes</v>
      </c>
      <c r="Q2" s="2">
        <v>0.85</v>
      </c>
      <c r="R2" s="2">
        <v>1.34</v>
      </c>
      <c r="S2" s="2">
        <v>1.31</v>
      </c>
      <c r="T2" s="2">
        <v>0.18</v>
      </c>
      <c r="V2" s="5" t="s">
        <v>261</v>
      </c>
      <c r="W2" s="5" t="s">
        <v>396</v>
      </c>
      <c r="X2" s="5" t="str">
        <f t="shared" ref="X2:X18" si="2">_xlfn.CONCAT(V2,W2)</f>
        <v>Air ConditionedElectric Resistance Heating</v>
      </c>
      <c r="Y2" s="5" t="s">
        <v>395</v>
      </c>
      <c r="AA2" s="4" t="str">
        <f>IF(ISBLANK('Project Info &amp; Summary'!$C$19)=TRUE,"",'Project Info &amp; Summary'!$C$19)</f>
        <v/>
      </c>
      <c r="AC2" s="48" t="s">
        <v>7</v>
      </c>
      <c r="AD2" s="49" t="s">
        <v>277</v>
      </c>
      <c r="AE2" s="49" t="s">
        <v>279</v>
      </c>
      <c r="AF2" s="1">
        <v>0.7</v>
      </c>
      <c r="AG2" s="75">
        <v>3.4129999999999998E-3</v>
      </c>
      <c r="AH2" s="1">
        <v>0.23</v>
      </c>
      <c r="AI2" s="1">
        <v>0.84</v>
      </c>
      <c r="AJ2" s="5">
        <v>1</v>
      </c>
    </row>
    <row r="3" spans="1:36" ht="15" customHeight="1">
      <c r="A3" s="9" t="s">
        <v>397</v>
      </c>
      <c r="B3" s="9" t="s">
        <v>2719</v>
      </c>
      <c r="C3" s="9" t="s">
        <v>66</v>
      </c>
      <c r="D3" s="9" t="s">
        <v>398</v>
      </c>
      <c r="F3" s="1" t="s">
        <v>2719</v>
      </c>
      <c r="G3" s="1" t="s">
        <v>399</v>
      </c>
      <c r="H3" s="1" t="str">
        <f t="shared" si="0"/>
        <v>AllAuto Repair Workshop</v>
      </c>
      <c r="I3" s="1">
        <v>6189</v>
      </c>
      <c r="J3" s="1">
        <v>0.88</v>
      </c>
      <c r="K3" s="1">
        <v>0.89</v>
      </c>
      <c r="L3" s="1">
        <v>0.61</v>
      </c>
      <c r="N3" s="1" t="s">
        <v>257</v>
      </c>
      <c r="O3" s="15" t="s">
        <v>400</v>
      </c>
      <c r="P3" s="9" t="str">
        <f t="shared" si="1"/>
        <v>OfficeAC/ NonElec</v>
      </c>
      <c r="Q3" s="2">
        <v>1.1000000000000001</v>
      </c>
      <c r="R3" s="2">
        <v>1.34</v>
      </c>
      <c r="S3" s="2">
        <v>1.31</v>
      </c>
      <c r="T3" s="2">
        <v>1</v>
      </c>
      <c r="V3" s="5" t="s">
        <v>261</v>
      </c>
      <c r="W3" s="5" t="s">
        <v>263</v>
      </c>
      <c r="X3" s="5" t="str">
        <f t="shared" si="2"/>
        <v>Air ConditionedGas</v>
      </c>
      <c r="Y3" s="5" t="s">
        <v>400</v>
      </c>
      <c r="AC3" s="48" t="s">
        <v>7</v>
      </c>
      <c r="AD3" s="49" t="s">
        <v>266</v>
      </c>
      <c r="AE3" s="49" t="s">
        <v>279</v>
      </c>
      <c r="AF3" s="1">
        <v>0.7</v>
      </c>
      <c r="AG3" s="75">
        <v>3.4129999999999998E-3</v>
      </c>
      <c r="AH3" s="1">
        <v>0.23</v>
      </c>
      <c r="AI3" s="1">
        <v>0.84</v>
      </c>
      <c r="AJ3" s="5">
        <v>1</v>
      </c>
    </row>
    <row r="4" spans="1:36" ht="15" customHeight="1">
      <c r="A4" s="9" t="s">
        <v>401</v>
      </c>
      <c r="B4" s="9" t="s">
        <v>398</v>
      </c>
      <c r="C4" s="9" t="s">
        <v>398</v>
      </c>
      <c r="D4" s="9" t="s">
        <v>398</v>
      </c>
      <c r="F4" s="1" t="s">
        <v>2719</v>
      </c>
      <c r="G4" s="1" t="s">
        <v>413</v>
      </c>
      <c r="H4" s="1" t="str">
        <f t="shared" si="0"/>
        <v>AllClassroom/Lecture</v>
      </c>
      <c r="I4" s="1">
        <v>1584</v>
      </c>
      <c r="J4" s="1">
        <v>0.24</v>
      </c>
      <c r="K4" s="1">
        <v>0.24</v>
      </c>
      <c r="L4" s="1">
        <v>0.2</v>
      </c>
      <c r="N4" s="1" t="s">
        <v>257</v>
      </c>
      <c r="O4" s="15" t="s">
        <v>264</v>
      </c>
      <c r="P4" s="9" t="str">
        <f t="shared" si="1"/>
        <v>OfficeAC/ Unconditioned</v>
      </c>
      <c r="Q4" s="2">
        <v>1</v>
      </c>
      <c r="R4" s="2">
        <v>1.34</v>
      </c>
      <c r="S4" s="2">
        <v>1.31</v>
      </c>
      <c r="T4" s="2">
        <v>1</v>
      </c>
      <c r="V4" s="5" t="s">
        <v>261</v>
      </c>
      <c r="W4" s="5" t="s">
        <v>402</v>
      </c>
      <c r="X4" s="5" t="str">
        <f t="shared" si="2"/>
        <v>Air ConditionedUnconditioned</v>
      </c>
      <c r="Y4" s="5" t="s">
        <v>264</v>
      </c>
      <c r="AC4" s="48" t="s">
        <v>10</v>
      </c>
      <c r="AD4" s="49" t="s">
        <v>11</v>
      </c>
      <c r="AE4" s="49" t="s">
        <v>279</v>
      </c>
      <c r="AF4" s="1">
        <v>0.7</v>
      </c>
      <c r="AG4" s="75">
        <v>3.4129999999999998E-3</v>
      </c>
      <c r="AH4" s="1">
        <v>0.23</v>
      </c>
      <c r="AI4" s="1">
        <v>0.84</v>
      </c>
      <c r="AJ4" s="5">
        <v>1</v>
      </c>
    </row>
    <row r="5" spans="1:36" ht="15" customHeight="1">
      <c r="A5" s="9" t="s">
        <v>403</v>
      </c>
      <c r="B5" s="9" t="s">
        <v>2727</v>
      </c>
      <c r="C5" s="9" t="s">
        <v>404</v>
      </c>
      <c r="D5" s="9" t="s">
        <v>404</v>
      </c>
      <c r="F5" s="1" t="s">
        <v>2719</v>
      </c>
      <c r="G5" s="1" t="s">
        <v>2720</v>
      </c>
      <c r="H5" s="1" t="str">
        <f t="shared" si="0"/>
        <v>AllComm/Ind Work (General High Bay)</v>
      </c>
      <c r="I5" s="1">
        <v>4790</v>
      </c>
      <c r="J5" s="1">
        <v>0.9</v>
      </c>
      <c r="K5" s="1">
        <v>0.91</v>
      </c>
      <c r="L5" s="1">
        <v>0.82</v>
      </c>
      <c r="N5" s="1" t="s">
        <v>257</v>
      </c>
      <c r="O5" s="15" t="s">
        <v>405</v>
      </c>
      <c r="P5" s="9" t="str">
        <f t="shared" si="1"/>
        <v>OfficeAC/ Unknown</v>
      </c>
      <c r="Q5" s="2">
        <v>1</v>
      </c>
      <c r="R5" s="2">
        <v>1.34</v>
      </c>
      <c r="S5" s="2">
        <v>1.31</v>
      </c>
      <c r="T5" s="2">
        <v>0.68</v>
      </c>
      <c r="V5" s="5" t="s">
        <v>261</v>
      </c>
      <c r="W5" s="5" t="s">
        <v>406</v>
      </c>
      <c r="X5" s="5" t="str">
        <f t="shared" si="2"/>
        <v>Air ConditionedUnknown</v>
      </c>
      <c r="Y5" s="5" t="s">
        <v>405</v>
      </c>
      <c r="AC5" s="48" t="s">
        <v>10</v>
      </c>
      <c r="AD5" s="49" t="s">
        <v>12</v>
      </c>
      <c r="AE5" s="49" t="s">
        <v>279</v>
      </c>
      <c r="AF5" s="1">
        <v>0.7</v>
      </c>
      <c r="AG5" s="75">
        <v>3.4129999999999998E-3</v>
      </c>
      <c r="AH5" s="1">
        <v>0.23</v>
      </c>
      <c r="AI5" s="1">
        <v>0.84</v>
      </c>
      <c r="AJ5" s="5">
        <v>1</v>
      </c>
    </row>
    <row r="6" spans="1:36" ht="15" customHeight="1">
      <c r="A6" s="9" t="s">
        <v>407</v>
      </c>
      <c r="B6" s="9" t="s">
        <v>2727</v>
      </c>
      <c r="C6" s="9" t="s">
        <v>404</v>
      </c>
      <c r="D6" s="9" t="s">
        <v>404</v>
      </c>
      <c r="F6" s="1" t="s">
        <v>2719</v>
      </c>
      <c r="G6" s="1" t="s">
        <v>2721</v>
      </c>
      <c r="H6" s="1" t="str">
        <f t="shared" si="0"/>
        <v>AllComm/Ind Work (General Low Bay)</v>
      </c>
      <c r="I6" s="1">
        <v>6775</v>
      </c>
      <c r="J6" s="1">
        <v>0.95</v>
      </c>
      <c r="K6" s="1">
        <v>0.95</v>
      </c>
      <c r="L6" s="1">
        <v>0.77</v>
      </c>
      <c r="N6" s="1" t="s">
        <v>257</v>
      </c>
      <c r="O6" s="15" t="s">
        <v>408</v>
      </c>
      <c r="P6" s="9" t="str">
        <f t="shared" si="1"/>
        <v>OfficeHeat Pump</v>
      </c>
      <c r="Q6" s="2">
        <v>0.94</v>
      </c>
      <c r="R6" s="2">
        <v>1.34</v>
      </c>
      <c r="S6" s="2">
        <v>1.31</v>
      </c>
      <c r="T6" s="2">
        <v>0.6</v>
      </c>
      <c r="V6" s="5" t="s">
        <v>409</v>
      </c>
      <c r="W6" s="5" t="s">
        <v>410</v>
      </c>
      <c r="X6" s="5" t="str">
        <f t="shared" si="2"/>
        <v>Air Conditioned w/ Heat PumpHeated w/ Heat Pump</v>
      </c>
      <c r="Y6" s="5" t="s">
        <v>408</v>
      </c>
      <c r="AC6" s="48" t="s">
        <v>13</v>
      </c>
      <c r="AD6" s="49" t="s">
        <v>14</v>
      </c>
      <c r="AE6" s="49" t="s">
        <v>279</v>
      </c>
      <c r="AF6" s="1">
        <v>0.7</v>
      </c>
      <c r="AG6" s="75">
        <v>3.4129999999999998E-3</v>
      </c>
      <c r="AH6" s="1">
        <v>0.23</v>
      </c>
      <c r="AI6" s="1">
        <v>0.84</v>
      </c>
      <c r="AJ6" s="5">
        <v>1</v>
      </c>
    </row>
    <row r="7" spans="1:36" ht="15" customHeight="1">
      <c r="A7" s="9" t="s">
        <v>411</v>
      </c>
      <c r="B7" s="9" t="s">
        <v>2727</v>
      </c>
      <c r="C7" s="9" t="s">
        <v>404</v>
      </c>
      <c r="D7" s="9" t="s">
        <v>404</v>
      </c>
      <c r="F7" s="1" t="s">
        <v>2719</v>
      </c>
      <c r="G7" s="1" t="s">
        <v>433</v>
      </c>
      <c r="H7" s="1" t="str">
        <f t="shared" si="0"/>
        <v>AllComm/Ind Work (Precision)</v>
      </c>
      <c r="I7" s="1">
        <v>3438</v>
      </c>
      <c r="J7" s="1">
        <v>0.65</v>
      </c>
      <c r="K7" s="1">
        <v>0.64</v>
      </c>
      <c r="L7" s="1">
        <v>0.4</v>
      </c>
      <c r="N7" s="1" t="s">
        <v>257</v>
      </c>
      <c r="O7" s="15" t="s">
        <v>412</v>
      </c>
      <c r="P7" s="9" t="str">
        <f t="shared" si="1"/>
        <v>OfficeHeat Pump/ Unconditioned</v>
      </c>
      <c r="Q7" s="2">
        <v>1</v>
      </c>
      <c r="R7" s="2">
        <v>1.34</v>
      </c>
      <c r="S7" s="2">
        <v>1.31</v>
      </c>
      <c r="T7" s="2">
        <v>1</v>
      </c>
      <c r="V7" s="5" t="s">
        <v>409</v>
      </c>
      <c r="W7" s="5" t="s">
        <v>402</v>
      </c>
      <c r="X7" s="5" t="str">
        <f t="shared" si="2"/>
        <v>Air Conditioned w/ Heat PumpUnconditioned</v>
      </c>
      <c r="Y7" s="5" t="s">
        <v>412</v>
      </c>
      <c r="AC7" s="48" t="s">
        <v>13</v>
      </c>
      <c r="AD7" s="49" t="s">
        <v>15</v>
      </c>
      <c r="AE7" s="49" t="s">
        <v>279</v>
      </c>
      <c r="AF7" s="1">
        <v>0.7</v>
      </c>
      <c r="AG7" s="75">
        <v>3.4129999999999998E-3</v>
      </c>
      <c r="AH7" s="1">
        <v>0.23</v>
      </c>
      <c r="AI7" s="1">
        <v>0.84</v>
      </c>
      <c r="AJ7" s="5">
        <v>1</v>
      </c>
    </row>
    <row r="8" spans="1:36" ht="15" customHeight="1">
      <c r="A8" s="9" t="s">
        <v>393</v>
      </c>
      <c r="B8" s="9" t="s">
        <v>393</v>
      </c>
      <c r="C8" s="9" t="s">
        <v>66</v>
      </c>
      <c r="D8" s="9" t="s">
        <v>398</v>
      </c>
      <c r="F8" s="1" t="s">
        <v>2719</v>
      </c>
      <c r="G8" s="1" t="s">
        <v>2722</v>
      </c>
      <c r="H8" s="1" t="str">
        <f t="shared" si="0"/>
        <v>AllCommon Area Hallways[2]</v>
      </c>
      <c r="I8" s="1">
        <v>3438</v>
      </c>
      <c r="J8" s="1">
        <v>0.65</v>
      </c>
      <c r="K8" s="1">
        <v>0.64</v>
      </c>
      <c r="L8" s="1">
        <v>0.4</v>
      </c>
      <c r="N8" s="1" t="s">
        <v>257</v>
      </c>
      <c r="O8" s="15" t="s">
        <v>414</v>
      </c>
      <c r="P8" s="9" t="str">
        <f t="shared" si="1"/>
        <v>OfficeHeat Pump/ Unknown</v>
      </c>
      <c r="Q8" s="2">
        <v>1</v>
      </c>
      <c r="R8" s="2">
        <v>1.34</v>
      </c>
      <c r="S8" s="2">
        <v>1.31</v>
      </c>
      <c r="T8" s="2">
        <v>0.68</v>
      </c>
      <c r="V8" s="5" t="s">
        <v>409</v>
      </c>
      <c r="W8" s="5" t="s">
        <v>406</v>
      </c>
      <c r="X8" s="5" t="str">
        <f t="shared" si="2"/>
        <v>Air Conditioned w/ Heat PumpUnknown</v>
      </c>
      <c r="Y8" s="5" t="s">
        <v>414</v>
      </c>
      <c r="AC8" s="48" t="s">
        <v>13</v>
      </c>
      <c r="AD8" s="49" t="s">
        <v>16</v>
      </c>
      <c r="AE8" s="49" t="s">
        <v>279</v>
      </c>
      <c r="AF8" s="1">
        <v>0.7</v>
      </c>
      <c r="AG8" s="75">
        <v>3.4129999999999998E-3</v>
      </c>
      <c r="AH8" s="1">
        <v>0.23</v>
      </c>
      <c r="AI8" s="1">
        <v>0.84</v>
      </c>
      <c r="AJ8" s="5">
        <v>1</v>
      </c>
    </row>
    <row r="9" spans="1:36" ht="15" customHeight="1">
      <c r="A9" s="9" t="s">
        <v>415</v>
      </c>
      <c r="B9" s="9" t="s">
        <v>2719</v>
      </c>
      <c r="C9" s="9" t="s">
        <v>66</v>
      </c>
      <c r="D9" s="9" t="s">
        <v>392</v>
      </c>
      <c r="F9" s="1" t="s">
        <v>2719</v>
      </c>
      <c r="G9" s="1" t="s">
        <v>423</v>
      </c>
      <c r="H9" s="1" t="str">
        <f t="shared" si="0"/>
        <v>AllComputer Room/Data Processing</v>
      </c>
      <c r="I9" s="1">
        <v>3438</v>
      </c>
      <c r="J9" s="1">
        <v>0.65</v>
      </c>
      <c r="K9" s="1">
        <v>0.64</v>
      </c>
      <c r="L9" s="1">
        <v>0.4</v>
      </c>
      <c r="N9" s="1" t="s">
        <v>257</v>
      </c>
      <c r="O9" s="15" t="s">
        <v>416</v>
      </c>
      <c r="P9" s="9" t="str">
        <f t="shared" si="1"/>
        <v>OfficeNoAC/ ElecRes</v>
      </c>
      <c r="Q9" s="2">
        <v>0.75</v>
      </c>
      <c r="R9" s="2">
        <v>1</v>
      </c>
      <c r="S9" s="2">
        <v>1</v>
      </c>
      <c r="T9" s="2">
        <v>0.18</v>
      </c>
      <c r="V9" s="4" t="s">
        <v>417</v>
      </c>
      <c r="W9" s="5" t="s">
        <v>402</v>
      </c>
      <c r="X9" s="5" t="str">
        <f t="shared" si="2"/>
        <v>RefrigeratedUnconditioned</v>
      </c>
      <c r="Y9" s="5" t="s">
        <v>418</v>
      </c>
      <c r="AC9" s="48" t="s">
        <v>17</v>
      </c>
      <c r="AD9" s="49" t="s">
        <v>18</v>
      </c>
      <c r="AE9" s="49" t="s">
        <v>279</v>
      </c>
      <c r="AF9" s="1">
        <v>0.7</v>
      </c>
      <c r="AG9" s="75">
        <v>3.4129999999999998E-3</v>
      </c>
      <c r="AH9" s="1">
        <v>0.23</v>
      </c>
      <c r="AI9" s="1">
        <v>0.84</v>
      </c>
      <c r="AJ9" s="5">
        <v>1</v>
      </c>
    </row>
    <row r="10" spans="1:36" ht="15" customHeight="1">
      <c r="A10" s="9" t="s">
        <v>419</v>
      </c>
      <c r="B10" s="9" t="s">
        <v>420</v>
      </c>
      <c r="C10" s="9" t="s">
        <v>421</v>
      </c>
      <c r="D10" s="9" t="s">
        <v>422</v>
      </c>
      <c r="F10" s="1" t="s">
        <v>2719</v>
      </c>
      <c r="G10" s="1" t="s">
        <v>436</v>
      </c>
      <c r="H10" s="1" t="str">
        <f t="shared" si="0"/>
        <v>AllConference Room</v>
      </c>
      <c r="I10" s="1">
        <v>1201</v>
      </c>
      <c r="J10" s="1">
        <v>0.28000000000000003</v>
      </c>
      <c r="K10" s="1">
        <v>0.3</v>
      </c>
      <c r="L10" s="1">
        <v>0.16</v>
      </c>
      <c r="N10" s="1" t="s">
        <v>257</v>
      </c>
      <c r="O10" s="15" t="s">
        <v>424</v>
      </c>
      <c r="P10" s="9" t="str">
        <f t="shared" si="1"/>
        <v>OfficeNoAC/ NonElec</v>
      </c>
      <c r="Q10" s="2">
        <v>1</v>
      </c>
      <c r="R10" s="2">
        <v>1</v>
      </c>
      <c r="S10" s="2">
        <v>1</v>
      </c>
      <c r="T10" s="2">
        <v>1</v>
      </c>
      <c r="V10" s="4" t="s">
        <v>425</v>
      </c>
      <c r="W10" s="5" t="s">
        <v>402</v>
      </c>
      <c r="X10" s="5" t="str">
        <f t="shared" si="2"/>
        <v>FreezerUnconditioned</v>
      </c>
      <c r="Y10" s="5" t="s">
        <v>426</v>
      </c>
      <c r="AC10" s="48" t="s">
        <v>17</v>
      </c>
      <c r="AD10" s="49" t="s">
        <v>19</v>
      </c>
      <c r="AE10" s="49" t="s">
        <v>279</v>
      </c>
      <c r="AF10" s="1">
        <v>0.7</v>
      </c>
      <c r="AG10" s="75">
        <v>3.4129999999999998E-3</v>
      </c>
      <c r="AH10" s="1">
        <v>0.23</v>
      </c>
      <c r="AI10" s="1">
        <v>0.84</v>
      </c>
      <c r="AJ10" s="5">
        <v>1</v>
      </c>
    </row>
    <row r="11" spans="1:36" ht="15" customHeight="1">
      <c r="A11" s="9" t="s">
        <v>427</v>
      </c>
      <c r="B11" s="9" t="s">
        <v>420</v>
      </c>
      <c r="C11" s="9" t="s">
        <v>421</v>
      </c>
      <c r="D11" s="9" t="s">
        <v>422</v>
      </c>
      <c r="F11" s="7" t="s">
        <v>2719</v>
      </c>
      <c r="G11" s="1" t="s">
        <v>442</v>
      </c>
      <c r="H11" s="1" t="str">
        <f t="shared" si="0"/>
        <v>AllCopy Room</v>
      </c>
      <c r="I11" s="1">
        <v>3438</v>
      </c>
      <c r="J11" s="1">
        <v>0.65</v>
      </c>
      <c r="K11" s="1">
        <v>0.64</v>
      </c>
      <c r="L11" s="1">
        <v>0.4</v>
      </c>
      <c r="N11" s="1" t="s">
        <v>257</v>
      </c>
      <c r="O11" s="15" t="s">
        <v>428</v>
      </c>
      <c r="P11" s="9" t="str">
        <f t="shared" si="1"/>
        <v>OfficeNoAC/ Unconditioned</v>
      </c>
      <c r="Q11" s="2">
        <v>1</v>
      </c>
      <c r="R11" s="2">
        <v>1</v>
      </c>
      <c r="S11" s="2">
        <v>1</v>
      </c>
      <c r="T11" s="2">
        <v>1</v>
      </c>
      <c r="V11" s="5" t="s">
        <v>429</v>
      </c>
      <c r="W11" s="5" t="s">
        <v>396</v>
      </c>
      <c r="X11" s="5" t="str">
        <f t="shared" si="2"/>
        <v>Not Air ConditionedElectric Resistance Heating</v>
      </c>
      <c r="Y11" s="5" t="s">
        <v>416</v>
      </c>
      <c r="AC11" s="48" t="s">
        <v>20</v>
      </c>
      <c r="AD11" s="49" t="s">
        <v>21</v>
      </c>
      <c r="AE11" s="49" t="s">
        <v>279</v>
      </c>
      <c r="AF11" s="1">
        <v>0.7</v>
      </c>
      <c r="AG11" s="75">
        <v>3.4129999999999998E-3</v>
      </c>
      <c r="AH11" s="1">
        <v>0.23</v>
      </c>
      <c r="AI11" s="1">
        <v>0.84</v>
      </c>
      <c r="AJ11" s="5">
        <v>1</v>
      </c>
    </row>
    <row r="12" spans="1:36" ht="15" customHeight="1">
      <c r="A12" s="9" t="s">
        <v>430</v>
      </c>
      <c r="B12" s="9" t="s">
        <v>420</v>
      </c>
      <c r="C12" s="9" t="s">
        <v>421</v>
      </c>
      <c r="D12" s="9" t="s">
        <v>422</v>
      </c>
      <c r="F12" s="1" t="s">
        <v>2719</v>
      </c>
      <c r="G12" s="1" t="s">
        <v>445</v>
      </c>
      <c r="H12" s="1" t="str">
        <f t="shared" si="0"/>
        <v>AllCorridor/Hallways</v>
      </c>
      <c r="I12" s="1">
        <v>5670</v>
      </c>
      <c r="J12" s="1">
        <v>0.86</v>
      </c>
      <c r="K12" s="1">
        <v>0.86</v>
      </c>
      <c r="L12" s="1">
        <v>0.73</v>
      </c>
      <c r="N12" s="1" t="s">
        <v>257</v>
      </c>
      <c r="O12" s="15" t="s">
        <v>431</v>
      </c>
      <c r="P12" s="9" t="str">
        <f t="shared" si="1"/>
        <v>OfficeNoAC/ Unknown</v>
      </c>
      <c r="Q12" s="2">
        <v>1</v>
      </c>
      <c r="R12" s="2">
        <v>1</v>
      </c>
      <c r="S12" s="2">
        <v>1</v>
      </c>
      <c r="T12" s="2">
        <v>0.68</v>
      </c>
      <c r="V12" s="5" t="s">
        <v>429</v>
      </c>
      <c r="W12" s="5" t="s">
        <v>263</v>
      </c>
      <c r="X12" s="5" t="str">
        <f t="shared" si="2"/>
        <v>Not Air ConditionedGas</v>
      </c>
      <c r="Y12" s="5" t="s">
        <v>424</v>
      </c>
      <c r="AC12" s="51" t="s">
        <v>20</v>
      </c>
      <c r="AD12" s="49" t="s">
        <v>22</v>
      </c>
      <c r="AE12" s="48" t="s">
        <v>299</v>
      </c>
      <c r="AF12" s="1">
        <v>0</v>
      </c>
      <c r="AG12" s="75">
        <v>0</v>
      </c>
      <c r="AH12" s="1">
        <v>0</v>
      </c>
      <c r="AI12" s="1">
        <v>0</v>
      </c>
      <c r="AJ12" s="5">
        <v>0</v>
      </c>
    </row>
    <row r="13" spans="1:36" ht="15" customHeight="1">
      <c r="A13" s="9" t="s">
        <v>432</v>
      </c>
      <c r="B13" s="9" t="s">
        <v>2719</v>
      </c>
      <c r="C13" s="9" t="s">
        <v>66</v>
      </c>
      <c r="D13" s="9" t="s">
        <v>66</v>
      </c>
      <c r="F13" s="1" t="s">
        <v>2719</v>
      </c>
      <c r="G13" s="1" t="s">
        <v>448</v>
      </c>
      <c r="H13" s="1" t="str">
        <f t="shared" si="0"/>
        <v>AllDining Area</v>
      </c>
      <c r="I13" s="1">
        <v>2962</v>
      </c>
      <c r="J13" s="1">
        <v>0.48</v>
      </c>
      <c r="K13" s="1">
        <v>0.53</v>
      </c>
      <c r="L13" s="1">
        <v>0.51</v>
      </c>
      <c r="N13" s="1" t="s">
        <v>257</v>
      </c>
      <c r="O13" s="15" t="s">
        <v>434</v>
      </c>
      <c r="P13" s="9" t="str">
        <f t="shared" si="1"/>
        <v>OfficeUnknown/ ElecRes</v>
      </c>
      <c r="Q13" s="2">
        <v>1</v>
      </c>
      <c r="R13" s="2">
        <v>1</v>
      </c>
      <c r="S13" s="2">
        <v>1</v>
      </c>
      <c r="T13" s="2">
        <v>0.18</v>
      </c>
      <c r="V13" s="5" t="s">
        <v>429</v>
      </c>
      <c r="W13" s="5" t="s">
        <v>402</v>
      </c>
      <c r="X13" s="5" t="str">
        <f t="shared" si="2"/>
        <v>Not Air ConditionedUnconditioned</v>
      </c>
      <c r="Y13" s="5" t="s">
        <v>428</v>
      </c>
      <c r="AC13" s="49" t="s">
        <v>23</v>
      </c>
      <c r="AD13" s="49" t="s">
        <v>24</v>
      </c>
      <c r="AE13" s="49" t="s">
        <v>279</v>
      </c>
      <c r="AF13" s="1">
        <v>1</v>
      </c>
      <c r="AG13" s="75">
        <v>3.4129999999999998E-3</v>
      </c>
      <c r="AH13" s="1">
        <v>0.23</v>
      </c>
      <c r="AI13" s="1">
        <v>0.84</v>
      </c>
      <c r="AJ13" s="5">
        <v>1</v>
      </c>
    </row>
    <row r="14" spans="1:36" ht="15" customHeight="1">
      <c r="A14" s="9" t="s">
        <v>435</v>
      </c>
      <c r="B14" s="9" t="s">
        <v>2719</v>
      </c>
      <c r="C14" s="9" t="s">
        <v>66</v>
      </c>
      <c r="D14" s="9" t="s">
        <v>66</v>
      </c>
      <c r="F14" s="1" t="s">
        <v>2719</v>
      </c>
      <c r="G14" s="1" t="s">
        <v>450</v>
      </c>
      <c r="H14" s="1" t="str">
        <f t="shared" si="0"/>
        <v>AllExercise Centers/Gymnasium</v>
      </c>
      <c r="I14" s="1">
        <v>4833</v>
      </c>
      <c r="J14" s="1">
        <v>0.81</v>
      </c>
      <c r="K14" s="1">
        <v>0.82</v>
      </c>
      <c r="L14" s="1">
        <v>0.6</v>
      </c>
      <c r="N14" s="1" t="s">
        <v>257</v>
      </c>
      <c r="O14" s="15" t="s">
        <v>437</v>
      </c>
      <c r="P14" s="9" t="str">
        <f t="shared" si="1"/>
        <v>OfficeUnknown/ NonElec</v>
      </c>
      <c r="Q14" s="2">
        <v>1</v>
      </c>
      <c r="R14" s="2">
        <v>1</v>
      </c>
      <c r="S14" s="2">
        <v>1</v>
      </c>
      <c r="T14" s="2">
        <v>1</v>
      </c>
      <c r="V14" s="5" t="s">
        <v>429</v>
      </c>
      <c r="W14" s="5" t="s">
        <v>406</v>
      </c>
      <c r="X14" s="5" t="str">
        <f t="shared" si="2"/>
        <v>Not Air ConditionedUnknown</v>
      </c>
      <c r="Y14" s="5" t="s">
        <v>431</v>
      </c>
      <c r="AC14" s="49" t="s">
        <v>23</v>
      </c>
      <c r="AD14" s="49" t="s">
        <v>25</v>
      </c>
      <c r="AE14" s="49" t="s">
        <v>279</v>
      </c>
      <c r="AF14" s="1">
        <v>1</v>
      </c>
      <c r="AG14" s="75">
        <v>3.4129999999999998E-3</v>
      </c>
      <c r="AH14" s="1">
        <v>0.23</v>
      </c>
      <c r="AI14" s="1">
        <v>0.84</v>
      </c>
      <c r="AJ14" s="5">
        <v>1</v>
      </c>
    </row>
    <row r="15" spans="1:36" ht="15" customHeight="1">
      <c r="A15" s="9" t="s">
        <v>438</v>
      </c>
      <c r="B15" s="9" t="s">
        <v>2719</v>
      </c>
      <c r="C15" s="9" t="s">
        <v>66</v>
      </c>
      <c r="D15" s="9" t="s">
        <v>66</v>
      </c>
      <c r="F15" s="1" t="s">
        <v>2719</v>
      </c>
      <c r="G15" s="1" t="s">
        <v>451</v>
      </c>
      <c r="H15" s="1" t="str">
        <f t="shared" si="0"/>
        <v>AllExhibit Display Area/Museum</v>
      </c>
      <c r="I15" s="1">
        <v>3438</v>
      </c>
      <c r="J15" s="1">
        <v>0.65</v>
      </c>
      <c r="K15" s="1">
        <v>0.64</v>
      </c>
      <c r="L15" s="1">
        <v>0.4</v>
      </c>
      <c r="N15" s="1" t="s">
        <v>257</v>
      </c>
      <c r="O15" s="15" t="s">
        <v>439</v>
      </c>
      <c r="P15" s="9" t="str">
        <f t="shared" si="1"/>
        <v>OfficeUnknown/ Unconditioned</v>
      </c>
      <c r="Q15" s="2">
        <v>1</v>
      </c>
      <c r="R15" s="2">
        <v>1</v>
      </c>
      <c r="S15" s="2">
        <v>1</v>
      </c>
      <c r="T15" s="2">
        <v>1</v>
      </c>
      <c r="V15" s="5" t="s">
        <v>406</v>
      </c>
      <c r="W15" s="5" t="s">
        <v>396</v>
      </c>
      <c r="X15" s="5" t="str">
        <f t="shared" si="2"/>
        <v>UnknownElectric Resistance Heating</v>
      </c>
      <c r="Y15" s="5" t="s">
        <v>434</v>
      </c>
      <c r="AC15" s="49" t="s">
        <v>23</v>
      </c>
      <c r="AD15" s="49" t="s">
        <v>26</v>
      </c>
      <c r="AE15" s="49" t="s">
        <v>279</v>
      </c>
      <c r="AF15" s="1">
        <v>1</v>
      </c>
      <c r="AG15" s="75">
        <v>3.4129999999999998E-3</v>
      </c>
      <c r="AH15" s="1">
        <v>0.23</v>
      </c>
      <c r="AI15" s="1">
        <v>0.84</v>
      </c>
      <c r="AJ15" s="5">
        <v>1</v>
      </c>
    </row>
    <row r="16" spans="1:36" ht="15" customHeight="1">
      <c r="A16" s="9" t="s">
        <v>440</v>
      </c>
      <c r="B16" s="9" t="s">
        <v>441</v>
      </c>
      <c r="C16" s="9" t="s">
        <v>66</v>
      </c>
      <c r="D16" s="9" t="s">
        <v>66</v>
      </c>
      <c r="F16" s="1" t="s">
        <v>2719</v>
      </c>
      <c r="G16" s="1" t="s">
        <v>455</v>
      </c>
      <c r="H16" s="1" t="str">
        <f t="shared" si="0"/>
        <v>AllKitchen/Break room &amp; Food Prep</v>
      </c>
      <c r="I16" s="1">
        <v>3522</v>
      </c>
      <c r="J16" s="1">
        <v>0.79</v>
      </c>
      <c r="K16" s="1">
        <v>0.74</v>
      </c>
      <c r="L16" s="1">
        <v>0.42</v>
      </c>
      <c r="N16" s="1" t="s">
        <v>257</v>
      </c>
      <c r="O16" s="15" t="s">
        <v>443</v>
      </c>
      <c r="P16" s="9" t="str">
        <f t="shared" si="1"/>
        <v>OfficeUnknown/ Unknown</v>
      </c>
      <c r="Q16" s="2">
        <v>1</v>
      </c>
      <c r="R16" s="2">
        <v>1</v>
      </c>
      <c r="S16" s="2">
        <v>1</v>
      </c>
      <c r="T16" s="2">
        <v>0.68</v>
      </c>
      <c r="V16" s="5" t="s">
        <v>406</v>
      </c>
      <c r="W16" s="5" t="s">
        <v>263</v>
      </c>
      <c r="X16" s="5" t="str">
        <f t="shared" si="2"/>
        <v>UnknownGas</v>
      </c>
      <c r="Y16" s="5" t="s">
        <v>437</v>
      </c>
      <c r="AC16" s="49" t="s">
        <v>23</v>
      </c>
      <c r="AD16" s="49" t="s">
        <v>27</v>
      </c>
      <c r="AE16" s="49" t="s">
        <v>279</v>
      </c>
      <c r="AF16" s="1">
        <v>1</v>
      </c>
      <c r="AG16" s="75">
        <v>3.4129999999999998E-3</v>
      </c>
      <c r="AH16" s="1">
        <v>0.23</v>
      </c>
      <c r="AI16" s="1">
        <v>0.84</v>
      </c>
      <c r="AJ16" s="5">
        <v>1</v>
      </c>
    </row>
    <row r="17" spans="1:36" ht="15" customHeight="1">
      <c r="A17" s="9" t="s">
        <v>444</v>
      </c>
      <c r="B17" s="10" t="s">
        <v>441</v>
      </c>
      <c r="C17" s="10" t="s">
        <v>66</v>
      </c>
      <c r="D17" s="10" t="s">
        <v>66</v>
      </c>
      <c r="F17" s="1" t="s">
        <v>2719</v>
      </c>
      <c r="G17" s="1" t="s">
        <v>458</v>
      </c>
      <c r="H17" s="1" t="str">
        <f t="shared" si="0"/>
        <v>AllLaundry</v>
      </c>
      <c r="I17" s="1">
        <v>3438</v>
      </c>
      <c r="J17" s="1">
        <v>0.65</v>
      </c>
      <c r="K17" s="1">
        <v>0.64</v>
      </c>
      <c r="L17" s="1">
        <v>0.4</v>
      </c>
      <c r="N17" s="1" t="s">
        <v>257</v>
      </c>
      <c r="O17" s="5" t="s">
        <v>418</v>
      </c>
      <c r="P17" s="9" t="str">
        <f t="shared" si="1"/>
        <v>OfficeRefrigerated/ Unconditioned</v>
      </c>
      <c r="Q17" s="2">
        <v>1.41</v>
      </c>
      <c r="R17" s="2">
        <v>1.4</v>
      </c>
      <c r="S17" s="2">
        <v>1.4</v>
      </c>
      <c r="T17" s="2">
        <v>1.4</v>
      </c>
      <c r="V17" s="5" t="s">
        <v>406</v>
      </c>
      <c r="W17" s="5" t="s">
        <v>402</v>
      </c>
      <c r="X17" s="5" t="str">
        <f t="shared" si="2"/>
        <v>UnknownUnconditioned</v>
      </c>
      <c r="Y17" s="5" t="s">
        <v>439</v>
      </c>
      <c r="AC17" s="49" t="s">
        <v>23</v>
      </c>
      <c r="AD17" s="49" t="s">
        <v>28</v>
      </c>
      <c r="AE17" s="49" t="s">
        <v>279</v>
      </c>
      <c r="AF17" s="1">
        <v>1</v>
      </c>
      <c r="AG17" s="75">
        <v>3.4129999999999998E-3</v>
      </c>
      <c r="AH17" s="1">
        <v>0.23</v>
      </c>
      <c r="AI17" s="1">
        <v>0.84</v>
      </c>
      <c r="AJ17" s="5">
        <v>1</v>
      </c>
    </row>
    <row r="18" spans="1:36" ht="15" customHeight="1">
      <c r="A18" s="9" t="s">
        <v>446</v>
      </c>
      <c r="B18" s="9" t="s">
        <v>2734</v>
      </c>
      <c r="C18" s="9" t="s">
        <v>66</v>
      </c>
      <c r="D18" s="9" t="s">
        <v>66</v>
      </c>
      <c r="F18" s="1" t="s">
        <v>2719</v>
      </c>
      <c r="G18" s="1" t="s">
        <v>460</v>
      </c>
      <c r="H18" s="1" t="str">
        <f t="shared" si="0"/>
        <v>AllLibrary</v>
      </c>
      <c r="I18" s="1">
        <v>1957</v>
      </c>
      <c r="J18" s="1">
        <v>0.44</v>
      </c>
      <c r="K18" s="1">
        <v>0.46</v>
      </c>
      <c r="L18" s="1">
        <v>0.31</v>
      </c>
      <c r="N18" s="1" t="s">
        <v>257</v>
      </c>
      <c r="O18" s="5" t="s">
        <v>426</v>
      </c>
      <c r="P18" s="9" t="str">
        <f t="shared" si="1"/>
        <v>OfficeFreezer/ Unconditioned</v>
      </c>
      <c r="Q18" s="2">
        <v>1.52</v>
      </c>
      <c r="R18" s="2">
        <v>1.51</v>
      </c>
      <c r="S18" s="2">
        <v>1.51</v>
      </c>
      <c r="T18" s="2">
        <v>1.51</v>
      </c>
      <c r="V18" s="5" t="s">
        <v>406</v>
      </c>
      <c r="W18" s="5" t="s">
        <v>406</v>
      </c>
      <c r="X18" s="5" t="str">
        <f t="shared" si="2"/>
        <v>UnknownUnknown</v>
      </c>
      <c r="Y18" s="5" t="s">
        <v>443</v>
      </c>
      <c r="AC18" s="49" t="s">
        <v>29</v>
      </c>
      <c r="AD18" s="49" t="s">
        <v>30</v>
      </c>
      <c r="AE18" s="49" t="s">
        <v>312</v>
      </c>
      <c r="AF18" s="1">
        <v>0</v>
      </c>
      <c r="AG18" s="75">
        <v>0</v>
      </c>
      <c r="AH18" s="1">
        <v>0</v>
      </c>
      <c r="AI18" s="1">
        <v>0</v>
      </c>
      <c r="AJ18" s="5">
        <v>0</v>
      </c>
    </row>
    <row r="19" spans="1:36" ht="15" customHeight="1">
      <c r="A19" s="9" t="s">
        <v>447</v>
      </c>
      <c r="B19" s="9" t="s">
        <v>2719</v>
      </c>
      <c r="C19" s="9" t="s">
        <v>66</v>
      </c>
      <c r="D19" s="9" t="s">
        <v>257</v>
      </c>
      <c r="F19" s="1" t="s">
        <v>2719</v>
      </c>
      <c r="G19" s="1" t="s">
        <v>462</v>
      </c>
      <c r="H19" s="1" t="str">
        <f t="shared" si="0"/>
        <v>AllLoading Dock</v>
      </c>
      <c r="I19" s="1">
        <v>7358</v>
      </c>
      <c r="J19" s="1">
        <v>0.97</v>
      </c>
      <c r="K19" s="1">
        <v>0.97</v>
      </c>
      <c r="L19" s="1">
        <v>0.62</v>
      </c>
      <c r="N19" s="1" t="s">
        <v>398</v>
      </c>
      <c r="O19" s="15" t="s">
        <v>395</v>
      </c>
      <c r="P19" s="9" t="str">
        <f t="shared" si="1"/>
        <v>RetailAC/ ElecRes</v>
      </c>
      <c r="Q19" s="2">
        <v>0.83</v>
      </c>
      <c r="R19" s="2">
        <v>1.27</v>
      </c>
      <c r="S19" s="2">
        <v>1.25</v>
      </c>
      <c r="T19" s="2">
        <v>0.41</v>
      </c>
      <c r="AC19" s="49" t="s">
        <v>29</v>
      </c>
      <c r="AD19" s="49" t="s">
        <v>31</v>
      </c>
      <c r="AE19" s="49" t="s">
        <v>312</v>
      </c>
      <c r="AF19" s="1">
        <v>0</v>
      </c>
      <c r="AG19" s="75">
        <v>0</v>
      </c>
      <c r="AH19" s="1">
        <v>0</v>
      </c>
      <c r="AI19" s="1">
        <v>0</v>
      </c>
      <c r="AJ19" s="5">
        <v>0</v>
      </c>
    </row>
    <row r="20" spans="1:36" ht="15" customHeight="1">
      <c r="A20" s="9" t="s">
        <v>449</v>
      </c>
      <c r="B20" s="9" t="s">
        <v>2734</v>
      </c>
      <c r="C20" s="9" t="s">
        <v>66</v>
      </c>
      <c r="D20" s="9" t="s">
        <v>66</v>
      </c>
      <c r="F20" s="1" t="s">
        <v>2719</v>
      </c>
      <c r="G20" s="1" t="s">
        <v>466</v>
      </c>
      <c r="H20" s="1" t="str">
        <f t="shared" si="0"/>
        <v>AllLobby (Main Entry and Assembly)</v>
      </c>
      <c r="I20" s="1">
        <v>5947</v>
      </c>
      <c r="J20" s="1">
        <v>0.83</v>
      </c>
      <c r="K20" s="1">
        <v>0.82</v>
      </c>
      <c r="L20" s="1">
        <v>0.71</v>
      </c>
      <c r="N20" s="1" t="s">
        <v>398</v>
      </c>
      <c r="O20" s="15" t="s">
        <v>400</v>
      </c>
      <c r="P20" s="9" t="str">
        <f t="shared" si="1"/>
        <v>RetailAC/ NonElec</v>
      </c>
      <c r="Q20" s="2">
        <v>1.06</v>
      </c>
      <c r="R20" s="2">
        <v>1.27</v>
      </c>
      <c r="S20" s="2">
        <v>1.25</v>
      </c>
      <c r="T20" s="2">
        <v>1</v>
      </c>
      <c r="V20" s="3" t="s">
        <v>385</v>
      </c>
      <c r="W20" s="3" t="s">
        <v>276</v>
      </c>
      <c r="Y20" s="11"/>
      <c r="AC20" s="49" t="s">
        <v>29</v>
      </c>
      <c r="AD20" s="49" t="s">
        <v>32</v>
      </c>
      <c r="AE20" s="49" t="s">
        <v>312</v>
      </c>
      <c r="AF20" s="1">
        <v>0</v>
      </c>
      <c r="AG20" s="75">
        <v>0</v>
      </c>
      <c r="AH20" s="1">
        <v>0</v>
      </c>
      <c r="AI20" s="1">
        <v>0</v>
      </c>
      <c r="AJ20" s="5">
        <v>0</v>
      </c>
    </row>
    <row r="21" spans="1:36" ht="15" customHeight="1">
      <c r="A21" s="9" t="s">
        <v>257</v>
      </c>
      <c r="B21" s="9" t="s">
        <v>257</v>
      </c>
      <c r="C21" s="9" t="s">
        <v>257</v>
      </c>
      <c r="D21" s="9" t="s">
        <v>257</v>
      </c>
      <c r="F21" s="1" t="s">
        <v>2719</v>
      </c>
      <c r="G21" s="1" t="s">
        <v>468</v>
      </c>
      <c r="H21" s="1" t="str">
        <f t="shared" si="0"/>
        <v>AllLobby (Office Reception/Waiting)</v>
      </c>
      <c r="I21" s="1">
        <v>3425</v>
      </c>
      <c r="J21" s="1">
        <v>0.84</v>
      </c>
      <c r="K21" s="1">
        <v>0.87</v>
      </c>
      <c r="L21" s="1">
        <v>0.49</v>
      </c>
      <c r="N21" s="1" t="s">
        <v>398</v>
      </c>
      <c r="O21" s="15" t="s">
        <v>264</v>
      </c>
      <c r="P21" s="9" t="str">
        <f t="shared" si="1"/>
        <v>RetailAC/ Unconditioned</v>
      </c>
      <c r="Q21" s="2">
        <v>1</v>
      </c>
      <c r="R21" s="2">
        <v>1.27</v>
      </c>
      <c r="S21" s="2">
        <v>1.25</v>
      </c>
      <c r="T21" s="2">
        <v>1</v>
      </c>
      <c r="V21" s="4" t="s">
        <v>261</v>
      </c>
      <c r="W21" s="4" t="s">
        <v>262</v>
      </c>
      <c r="AC21" s="49" t="s">
        <v>29</v>
      </c>
      <c r="AD21" s="49" t="s">
        <v>33</v>
      </c>
      <c r="AE21" s="49" t="s">
        <v>312</v>
      </c>
      <c r="AF21" s="1">
        <v>0</v>
      </c>
      <c r="AG21" s="75">
        <v>0</v>
      </c>
      <c r="AH21" s="1">
        <v>0</v>
      </c>
      <c r="AI21" s="1">
        <v>0</v>
      </c>
      <c r="AJ21" s="5">
        <v>0</v>
      </c>
    </row>
    <row r="22" spans="1:36" ht="15" customHeight="1">
      <c r="A22" s="9" t="s">
        <v>66</v>
      </c>
      <c r="B22" s="9" t="s">
        <v>2719</v>
      </c>
      <c r="C22" s="9" t="s">
        <v>66</v>
      </c>
      <c r="D22" s="9" t="s">
        <v>66</v>
      </c>
      <c r="F22" s="1" t="s">
        <v>2719</v>
      </c>
      <c r="G22" s="1" t="s">
        <v>470</v>
      </c>
      <c r="H22" s="1" t="str">
        <f t="shared" si="0"/>
        <v>AllLocker and Dressing Room</v>
      </c>
      <c r="I22" s="1">
        <v>3438</v>
      </c>
      <c r="J22" s="1">
        <v>0.65</v>
      </c>
      <c r="K22" s="1">
        <v>0.64</v>
      </c>
      <c r="L22" s="1">
        <v>0.4</v>
      </c>
      <c r="N22" s="1" t="s">
        <v>398</v>
      </c>
      <c r="O22" s="15" t="s">
        <v>405</v>
      </c>
      <c r="P22" s="9" t="str">
        <f t="shared" si="1"/>
        <v>RetailAC/ Unknown</v>
      </c>
      <c r="Q22" s="2">
        <v>1</v>
      </c>
      <c r="R22" s="2">
        <v>1.27</v>
      </c>
      <c r="S22" s="2">
        <v>1.25</v>
      </c>
      <c r="T22" s="2">
        <v>0.83</v>
      </c>
      <c r="V22" s="4" t="s">
        <v>409</v>
      </c>
      <c r="W22" s="4" t="s">
        <v>452</v>
      </c>
      <c r="AC22" s="49" t="s">
        <v>29</v>
      </c>
      <c r="AD22" s="49" t="s">
        <v>34</v>
      </c>
      <c r="AE22" s="49" t="s">
        <v>312</v>
      </c>
      <c r="AF22" s="1">
        <v>0</v>
      </c>
      <c r="AG22" s="75">
        <v>0</v>
      </c>
      <c r="AH22" s="1">
        <v>0</v>
      </c>
      <c r="AI22" s="1">
        <v>0</v>
      </c>
      <c r="AJ22" s="5">
        <v>0</v>
      </c>
    </row>
    <row r="23" spans="1:36" ht="15" customHeight="1">
      <c r="A23" s="9" t="s">
        <v>453</v>
      </c>
      <c r="B23" s="9" t="s">
        <v>2719</v>
      </c>
      <c r="C23" s="9" t="s">
        <v>66</v>
      </c>
      <c r="D23" s="9" t="s">
        <v>66</v>
      </c>
      <c r="F23" s="1" t="s">
        <v>2719</v>
      </c>
      <c r="G23" s="1" t="s">
        <v>473</v>
      </c>
      <c r="H23" s="1" t="str">
        <f t="shared" si="0"/>
        <v>AllMechanical/Electrical Room</v>
      </c>
      <c r="I23" s="1">
        <v>5026</v>
      </c>
      <c r="J23" s="1">
        <v>0.73</v>
      </c>
      <c r="K23" s="1">
        <v>0.74</v>
      </c>
      <c r="L23" s="1">
        <v>0.46</v>
      </c>
      <c r="N23" s="1" t="s">
        <v>398</v>
      </c>
      <c r="O23" s="15" t="s">
        <v>408</v>
      </c>
      <c r="P23" s="9" t="str">
        <f t="shared" si="1"/>
        <v>RetailHeat Pump</v>
      </c>
      <c r="Q23" s="2">
        <v>0.95</v>
      </c>
      <c r="R23" s="2">
        <v>1.27</v>
      </c>
      <c r="S23" s="2">
        <v>1.25</v>
      </c>
      <c r="T23" s="2">
        <v>0.71</v>
      </c>
      <c r="V23" s="4" t="s">
        <v>417</v>
      </c>
      <c r="W23" s="4" t="s">
        <v>417</v>
      </c>
      <c r="AC23" s="49" t="s">
        <v>29</v>
      </c>
      <c r="AD23" s="49" t="s">
        <v>35</v>
      </c>
      <c r="AE23" s="49" t="s">
        <v>312</v>
      </c>
      <c r="AF23" s="1">
        <v>0</v>
      </c>
      <c r="AG23" s="75">
        <v>0</v>
      </c>
      <c r="AH23" s="1">
        <v>0</v>
      </c>
      <c r="AI23" s="1">
        <v>0</v>
      </c>
      <c r="AJ23" s="5">
        <v>0</v>
      </c>
    </row>
    <row r="24" spans="1:36" ht="15" customHeight="1">
      <c r="A24" s="9" t="s">
        <v>454</v>
      </c>
      <c r="B24" s="9" t="s">
        <v>2719</v>
      </c>
      <c r="C24" s="9" t="s">
        <v>66</v>
      </c>
      <c r="D24" s="9" t="s">
        <v>66</v>
      </c>
      <c r="F24" s="1" t="s">
        <v>2719</v>
      </c>
      <c r="G24" s="1" t="s">
        <v>475</v>
      </c>
      <c r="H24" s="1" t="str">
        <f t="shared" si="0"/>
        <v>AllMedical Offices and Exam rooms</v>
      </c>
      <c r="I24" s="1">
        <v>3438</v>
      </c>
      <c r="J24" s="1">
        <v>0.65</v>
      </c>
      <c r="K24" s="1">
        <v>0.64</v>
      </c>
      <c r="L24" s="1">
        <v>0.4</v>
      </c>
      <c r="N24" s="1" t="s">
        <v>398</v>
      </c>
      <c r="O24" s="15" t="s">
        <v>412</v>
      </c>
      <c r="P24" s="9" t="str">
        <f t="shared" si="1"/>
        <v>RetailHeat Pump/ Unconditioned</v>
      </c>
      <c r="Q24" s="2">
        <v>1</v>
      </c>
      <c r="R24" s="2">
        <v>1.27</v>
      </c>
      <c r="S24" s="2">
        <v>1.25</v>
      </c>
      <c r="T24" s="2">
        <v>1</v>
      </c>
      <c r="V24" s="4" t="s">
        <v>425</v>
      </c>
      <c r="W24" s="4" t="s">
        <v>425</v>
      </c>
      <c r="AC24" s="49" t="s">
        <v>36</v>
      </c>
      <c r="AD24" s="49" t="s">
        <v>37</v>
      </c>
      <c r="AE24" s="49" t="s">
        <v>279</v>
      </c>
      <c r="AF24" s="1">
        <v>0.7</v>
      </c>
      <c r="AG24" s="75">
        <v>3.4129999999999998E-3</v>
      </c>
      <c r="AH24" s="1">
        <v>0.23</v>
      </c>
      <c r="AI24" s="1">
        <v>0.84</v>
      </c>
      <c r="AJ24" s="5">
        <v>1</v>
      </c>
    </row>
    <row r="25" spans="1:36" ht="15" customHeight="1">
      <c r="A25" s="9" t="s">
        <v>456</v>
      </c>
      <c r="B25" s="9" t="s">
        <v>2719</v>
      </c>
      <c r="C25" s="9" t="s">
        <v>66</v>
      </c>
      <c r="D25" s="9" t="s">
        <v>66</v>
      </c>
      <c r="F25" s="1" t="s">
        <v>2719</v>
      </c>
      <c r="G25" s="1" t="s">
        <v>2723</v>
      </c>
      <c r="H25" s="1" t="str">
        <f t="shared" si="0"/>
        <v>AllNon-Hallway Common Areas[1]</v>
      </c>
      <c r="I25" s="1">
        <v>3438</v>
      </c>
      <c r="J25" s="1">
        <v>0.65</v>
      </c>
      <c r="K25" s="1">
        <v>0.64</v>
      </c>
      <c r="L25" s="1">
        <v>0.4</v>
      </c>
      <c r="N25" s="1" t="s">
        <v>398</v>
      </c>
      <c r="O25" s="15" t="s">
        <v>414</v>
      </c>
      <c r="P25" s="9" t="str">
        <f t="shared" si="1"/>
        <v>RetailHeat Pump/ Unknown</v>
      </c>
      <c r="Q25" s="2">
        <v>1</v>
      </c>
      <c r="R25" s="2">
        <v>1.27</v>
      </c>
      <c r="S25" s="2">
        <v>1.25</v>
      </c>
      <c r="T25" s="2">
        <v>0.83</v>
      </c>
      <c r="V25" s="4" t="s">
        <v>429</v>
      </c>
      <c r="W25" s="4" t="s">
        <v>269</v>
      </c>
      <c r="AC25" s="49" t="s">
        <v>36</v>
      </c>
      <c r="AD25" s="49" t="s">
        <v>38</v>
      </c>
      <c r="AE25" s="49" t="s">
        <v>279</v>
      </c>
      <c r="AF25" s="1">
        <v>0.7</v>
      </c>
      <c r="AG25" s="75">
        <v>3.4129999999999998E-3</v>
      </c>
      <c r="AH25" s="1">
        <v>0.23</v>
      </c>
      <c r="AI25" s="1">
        <v>0.84</v>
      </c>
      <c r="AJ25" s="5">
        <v>1</v>
      </c>
    </row>
    <row r="26" spans="1:36" ht="15" customHeight="1">
      <c r="A26" s="9" t="s">
        <v>457</v>
      </c>
      <c r="B26" s="9" t="s">
        <v>2719</v>
      </c>
      <c r="C26" s="9" t="s">
        <v>66</v>
      </c>
      <c r="D26" s="9" t="s">
        <v>392</v>
      </c>
      <c r="F26" s="1" t="s">
        <v>2719</v>
      </c>
      <c r="G26" s="1" t="s">
        <v>477</v>
      </c>
      <c r="H26" s="1" t="str">
        <f t="shared" si="0"/>
        <v>AllOffice (Executive/Private)</v>
      </c>
      <c r="I26" s="1">
        <v>1753</v>
      </c>
      <c r="J26" s="1">
        <v>0.42</v>
      </c>
      <c r="K26" s="1">
        <v>0.44</v>
      </c>
      <c r="L26" s="1">
        <v>0.2</v>
      </c>
      <c r="N26" s="1" t="s">
        <v>398</v>
      </c>
      <c r="O26" s="15" t="s">
        <v>416</v>
      </c>
      <c r="P26" s="9" t="str">
        <f t="shared" si="1"/>
        <v>RetailNoAC/ ElecRes</v>
      </c>
      <c r="Q26" s="2">
        <v>0.77</v>
      </c>
      <c r="R26" s="2">
        <v>1</v>
      </c>
      <c r="S26" s="2">
        <v>1</v>
      </c>
      <c r="T26" s="2">
        <v>0.41</v>
      </c>
      <c r="V26" s="4" t="s">
        <v>406</v>
      </c>
      <c r="W26" s="4" t="s">
        <v>406</v>
      </c>
      <c r="AC26" s="49" t="s">
        <v>36</v>
      </c>
      <c r="AD26" s="49" t="s">
        <v>39</v>
      </c>
      <c r="AE26" s="49" t="s">
        <v>279</v>
      </c>
      <c r="AF26" s="1">
        <v>0.7</v>
      </c>
      <c r="AG26" s="75">
        <v>3.4129999999999998E-3</v>
      </c>
      <c r="AH26" s="1">
        <v>0.23</v>
      </c>
      <c r="AI26" s="1">
        <v>0.84</v>
      </c>
      <c r="AJ26" s="5">
        <v>1</v>
      </c>
    </row>
    <row r="27" spans="1:36" ht="15" customHeight="1">
      <c r="A27" s="9" t="s">
        <v>459</v>
      </c>
      <c r="B27" s="9" t="s">
        <v>2719</v>
      </c>
      <c r="C27" s="9" t="s">
        <v>66</v>
      </c>
      <c r="D27" s="9" t="s">
        <v>66</v>
      </c>
      <c r="F27" s="1" t="s">
        <v>2719</v>
      </c>
      <c r="G27" s="1" t="s">
        <v>260</v>
      </c>
      <c r="H27" s="1" t="str">
        <f t="shared" si="0"/>
        <v>AllOffice (General)</v>
      </c>
      <c r="I27" s="1">
        <v>3001</v>
      </c>
      <c r="J27" s="1">
        <v>0.67</v>
      </c>
      <c r="K27" s="1">
        <v>0.67</v>
      </c>
      <c r="L27" s="1">
        <v>0.43</v>
      </c>
      <c r="N27" s="1" t="s">
        <v>398</v>
      </c>
      <c r="O27" s="15" t="s">
        <v>424</v>
      </c>
      <c r="P27" s="9" t="str">
        <f t="shared" si="1"/>
        <v>RetailNoAC/ NonElec</v>
      </c>
      <c r="Q27" s="2">
        <v>1</v>
      </c>
      <c r="R27" s="2">
        <v>1</v>
      </c>
      <c r="S27" s="2">
        <v>1</v>
      </c>
      <c r="T27" s="2">
        <v>1</v>
      </c>
      <c r="AC27" s="49" t="s">
        <v>36</v>
      </c>
      <c r="AD27" s="49" t="s">
        <v>40</v>
      </c>
      <c r="AE27" s="49" t="s">
        <v>279</v>
      </c>
      <c r="AF27" s="1">
        <v>0.7</v>
      </c>
      <c r="AG27" s="75">
        <v>3.4129999999999998E-3</v>
      </c>
      <c r="AH27" s="1">
        <v>0.23</v>
      </c>
      <c r="AI27" s="1">
        <v>0.84</v>
      </c>
      <c r="AJ27" s="5">
        <v>1</v>
      </c>
    </row>
    <row r="28" spans="1:36" ht="15" customHeight="1">
      <c r="A28" s="9" t="s">
        <v>461</v>
      </c>
      <c r="B28" s="9" t="s">
        <v>257</v>
      </c>
      <c r="C28" s="9" t="s">
        <v>257</v>
      </c>
      <c r="D28" s="9" t="s">
        <v>257</v>
      </c>
      <c r="F28" s="1" t="s">
        <v>2719</v>
      </c>
      <c r="G28" s="1" t="s">
        <v>2724</v>
      </c>
      <c r="H28" s="1" t="str">
        <f t="shared" si="0"/>
        <v>AllOffice (Open Plan)</v>
      </c>
      <c r="I28" s="1">
        <v>3159</v>
      </c>
      <c r="J28" s="1">
        <v>0.81</v>
      </c>
      <c r="K28" s="1">
        <v>0.82</v>
      </c>
      <c r="L28" s="1">
        <v>0.49</v>
      </c>
      <c r="N28" s="1" t="s">
        <v>398</v>
      </c>
      <c r="O28" s="15" t="s">
        <v>428</v>
      </c>
      <c r="P28" s="9" t="str">
        <f t="shared" si="1"/>
        <v>RetailNoAC/ Unconditioned</v>
      </c>
      <c r="Q28" s="2">
        <v>1</v>
      </c>
      <c r="R28" s="2">
        <v>1</v>
      </c>
      <c r="S28" s="2">
        <v>1</v>
      </c>
      <c r="T28" s="2">
        <v>1</v>
      </c>
      <c r="AC28" s="49" t="s">
        <v>36</v>
      </c>
      <c r="AD28" s="49" t="s">
        <v>41</v>
      </c>
      <c r="AE28" s="49" t="s">
        <v>279</v>
      </c>
      <c r="AF28" s="1">
        <v>0.7</v>
      </c>
      <c r="AG28" s="75">
        <v>3.4129999999999998E-3</v>
      </c>
      <c r="AH28" s="1">
        <v>0.23</v>
      </c>
      <c r="AI28" s="1">
        <v>0.84</v>
      </c>
      <c r="AJ28" s="5">
        <v>1</v>
      </c>
    </row>
    <row r="29" spans="1:36" ht="15" customHeight="1">
      <c r="A29" s="9" t="s">
        <v>463</v>
      </c>
      <c r="B29" s="9" t="s">
        <v>2719</v>
      </c>
      <c r="C29" s="9" t="s">
        <v>66</v>
      </c>
      <c r="D29" s="9" t="s">
        <v>66</v>
      </c>
      <c r="F29" s="1" t="s">
        <v>2719</v>
      </c>
      <c r="G29" s="1" t="s">
        <v>66</v>
      </c>
      <c r="H29" s="1" t="str">
        <f t="shared" si="0"/>
        <v>AllOther</v>
      </c>
      <c r="I29" s="1">
        <v>3438</v>
      </c>
      <c r="J29" s="1">
        <v>0.65</v>
      </c>
      <c r="K29" s="1">
        <v>0.64</v>
      </c>
      <c r="L29" s="1">
        <v>0.4</v>
      </c>
      <c r="N29" s="1" t="s">
        <v>398</v>
      </c>
      <c r="O29" s="15" t="s">
        <v>431</v>
      </c>
      <c r="P29" s="9" t="str">
        <f t="shared" si="1"/>
        <v>RetailNoAC/ Unknown</v>
      </c>
      <c r="Q29" s="2">
        <v>1</v>
      </c>
      <c r="R29" s="2">
        <v>1</v>
      </c>
      <c r="S29" s="2">
        <v>1</v>
      </c>
      <c r="T29" s="2">
        <v>0.83</v>
      </c>
      <c r="AC29" s="49" t="s">
        <v>36</v>
      </c>
      <c r="AD29" s="49" t="s">
        <v>42</v>
      </c>
      <c r="AE29" s="49" t="s">
        <v>279</v>
      </c>
      <c r="AF29" s="1">
        <v>0.7</v>
      </c>
      <c r="AG29" s="75">
        <v>3.4129999999999998E-3</v>
      </c>
      <c r="AH29" s="1">
        <v>0.23</v>
      </c>
      <c r="AI29" s="1">
        <v>0.84</v>
      </c>
      <c r="AJ29" s="5">
        <v>1</v>
      </c>
    </row>
    <row r="30" spans="1:36" ht="15" customHeight="1">
      <c r="A30" s="9" t="s">
        <v>464</v>
      </c>
      <c r="B30" s="9" t="s">
        <v>2719</v>
      </c>
      <c r="C30" s="9" t="s">
        <v>66</v>
      </c>
      <c r="D30" s="9" t="s">
        <v>465</v>
      </c>
      <c r="F30" s="1" t="s">
        <v>2719</v>
      </c>
      <c r="G30" s="1" t="s">
        <v>496</v>
      </c>
      <c r="H30" s="1" t="str">
        <f t="shared" si="0"/>
        <v>AllOutside/Outdoor Area</v>
      </c>
      <c r="I30" s="1">
        <v>3604</v>
      </c>
      <c r="J30" s="1">
        <v>0.11</v>
      </c>
      <c r="K30" s="1">
        <v>0.11</v>
      </c>
      <c r="L30" s="1">
        <v>0.57999999999999996</v>
      </c>
      <c r="N30" s="1" t="s">
        <v>398</v>
      </c>
      <c r="O30" s="15" t="s">
        <v>434</v>
      </c>
      <c r="P30" s="9" t="str">
        <f t="shared" si="1"/>
        <v>RetailUnknown/ ElecRes</v>
      </c>
      <c r="Q30" s="2">
        <v>1</v>
      </c>
      <c r="R30" s="2">
        <v>1</v>
      </c>
      <c r="S30" s="2">
        <v>1</v>
      </c>
      <c r="T30" s="2">
        <v>0.41</v>
      </c>
      <c r="AC30" s="49" t="s">
        <v>36</v>
      </c>
      <c r="AD30" s="49" t="s">
        <v>43</v>
      </c>
      <c r="AE30" s="49" t="s">
        <v>279</v>
      </c>
      <c r="AF30" s="1">
        <v>0.7</v>
      </c>
      <c r="AG30" s="75">
        <v>3.4129999999999998E-3</v>
      </c>
      <c r="AH30" s="1">
        <v>0.23</v>
      </c>
      <c r="AI30" s="1">
        <v>0.84</v>
      </c>
      <c r="AJ30" s="5">
        <v>1</v>
      </c>
    </row>
    <row r="31" spans="1:36" ht="15" customHeight="1">
      <c r="A31" s="9" t="s">
        <v>467</v>
      </c>
      <c r="B31" s="10" t="s">
        <v>2719</v>
      </c>
      <c r="C31" s="10" t="s">
        <v>66</v>
      </c>
      <c r="D31" s="10" t="s">
        <v>465</v>
      </c>
      <c r="F31" s="1" t="s">
        <v>2719</v>
      </c>
      <c r="G31" s="1" t="s">
        <v>492</v>
      </c>
      <c r="H31" s="1" t="str">
        <f t="shared" si="0"/>
        <v>AllParking Garage</v>
      </c>
      <c r="I31" s="1">
        <v>8678</v>
      </c>
      <c r="J31" s="1">
        <v>0.98</v>
      </c>
      <c r="K31" s="1">
        <v>0.98</v>
      </c>
      <c r="L31" s="1">
        <v>0.99</v>
      </c>
      <c r="N31" s="1" t="s">
        <v>398</v>
      </c>
      <c r="O31" s="15" t="s">
        <v>437</v>
      </c>
      <c r="P31" s="9" t="str">
        <f t="shared" si="1"/>
        <v>RetailUnknown/ NonElec</v>
      </c>
      <c r="Q31" s="2">
        <v>1</v>
      </c>
      <c r="R31" s="2">
        <v>1</v>
      </c>
      <c r="S31" s="2">
        <v>1</v>
      </c>
      <c r="T31" s="2">
        <v>1</v>
      </c>
      <c r="AC31" s="49" t="s">
        <v>36</v>
      </c>
      <c r="AD31" s="49" t="s">
        <v>44</v>
      </c>
      <c r="AE31" s="49" t="s">
        <v>279</v>
      </c>
      <c r="AF31" s="1">
        <v>0.7</v>
      </c>
      <c r="AG31" s="75">
        <v>3.4129999999999998E-3</v>
      </c>
      <c r="AH31" s="1">
        <v>0.23</v>
      </c>
      <c r="AI31" s="1">
        <v>0.84</v>
      </c>
      <c r="AJ31" s="5">
        <v>1</v>
      </c>
    </row>
    <row r="32" spans="1:36" ht="15" customHeight="1">
      <c r="A32" s="9" t="s">
        <v>469</v>
      </c>
      <c r="B32" s="10" t="s">
        <v>398</v>
      </c>
      <c r="C32" s="10" t="s">
        <v>398</v>
      </c>
      <c r="D32" s="10" t="s">
        <v>398</v>
      </c>
      <c r="F32" s="1" t="s">
        <v>2719</v>
      </c>
      <c r="G32" s="1" t="s">
        <v>480</v>
      </c>
      <c r="H32" s="1" t="str">
        <f t="shared" si="0"/>
        <v>AllPatient Rooms</v>
      </c>
      <c r="I32" s="1">
        <v>3438</v>
      </c>
      <c r="J32" s="1">
        <v>0.65</v>
      </c>
      <c r="K32" s="1">
        <v>0.64</v>
      </c>
      <c r="L32" s="1">
        <v>0.4</v>
      </c>
      <c r="N32" s="1" t="s">
        <v>398</v>
      </c>
      <c r="O32" s="15" t="s">
        <v>439</v>
      </c>
      <c r="P32" s="9" t="str">
        <f t="shared" si="1"/>
        <v>RetailUnknown/ Unconditioned</v>
      </c>
      <c r="Q32" s="2">
        <v>1</v>
      </c>
      <c r="R32" s="2">
        <v>1</v>
      </c>
      <c r="S32" s="2">
        <v>1</v>
      </c>
      <c r="T32" s="2">
        <v>1</v>
      </c>
      <c r="AC32" s="49" t="s">
        <v>36</v>
      </c>
      <c r="AD32" s="49" t="s">
        <v>45</v>
      </c>
      <c r="AE32" s="49" t="s">
        <v>312</v>
      </c>
      <c r="AF32" s="1">
        <v>0</v>
      </c>
      <c r="AG32" s="75">
        <v>0</v>
      </c>
      <c r="AH32" s="1">
        <v>0</v>
      </c>
      <c r="AI32" s="1">
        <v>0</v>
      </c>
      <c r="AJ32" s="5">
        <v>0</v>
      </c>
    </row>
    <row r="33" spans="1:36" ht="15" customHeight="1">
      <c r="A33" s="9" t="s">
        <v>471</v>
      </c>
      <c r="B33" s="9" t="s">
        <v>398</v>
      </c>
      <c r="C33" s="9" t="s">
        <v>398</v>
      </c>
      <c r="D33" s="9" t="s">
        <v>398</v>
      </c>
      <c r="F33" s="1" t="s">
        <v>2719</v>
      </c>
      <c r="G33" s="1" t="s">
        <v>482</v>
      </c>
      <c r="H33" s="1" t="str">
        <f t="shared" si="0"/>
        <v>AllResidential</v>
      </c>
      <c r="I33" s="1">
        <v>3438</v>
      </c>
      <c r="J33" s="1">
        <v>0.65</v>
      </c>
      <c r="K33" s="1">
        <v>0.64</v>
      </c>
      <c r="L33" s="1">
        <v>0.4</v>
      </c>
      <c r="N33" s="1" t="s">
        <v>398</v>
      </c>
      <c r="O33" s="15" t="s">
        <v>443</v>
      </c>
      <c r="P33" s="9" t="str">
        <f t="shared" si="1"/>
        <v>RetailUnknown/ Unknown</v>
      </c>
      <c r="Q33" s="2">
        <v>1</v>
      </c>
      <c r="R33" s="2">
        <v>1</v>
      </c>
      <c r="S33" s="2">
        <v>1</v>
      </c>
      <c r="T33" s="2">
        <v>0.83</v>
      </c>
      <c r="AC33" s="49" t="s">
        <v>46</v>
      </c>
      <c r="AD33" s="49" t="s">
        <v>47</v>
      </c>
      <c r="AE33" s="49" t="s">
        <v>279</v>
      </c>
      <c r="AF33" s="1">
        <v>0.7</v>
      </c>
      <c r="AG33" s="75">
        <v>3.4129999999999998E-3</v>
      </c>
      <c r="AH33" s="1">
        <v>0.23</v>
      </c>
      <c r="AI33" s="1">
        <v>0.84</v>
      </c>
      <c r="AJ33" s="5">
        <v>1</v>
      </c>
    </row>
    <row r="34" spans="1:36" ht="15" customHeight="1">
      <c r="A34" s="9" t="s">
        <v>472</v>
      </c>
      <c r="B34" s="9" t="s">
        <v>2719</v>
      </c>
      <c r="C34" s="9" t="s">
        <v>66</v>
      </c>
      <c r="D34" s="9" t="s">
        <v>421</v>
      </c>
      <c r="F34" s="1" t="s">
        <v>2719</v>
      </c>
      <c r="G34" s="1" t="s">
        <v>483</v>
      </c>
      <c r="H34" s="1" t="str">
        <f t="shared" si="0"/>
        <v>AllRestrooms</v>
      </c>
      <c r="I34" s="1">
        <v>2521</v>
      </c>
      <c r="J34" s="1">
        <v>0.48</v>
      </c>
      <c r="K34" s="1">
        <v>0.42</v>
      </c>
      <c r="L34" s="1">
        <v>0.3</v>
      </c>
      <c r="N34" s="1" t="s">
        <v>398</v>
      </c>
      <c r="O34" s="5" t="s">
        <v>418</v>
      </c>
      <c r="P34" s="9" t="str">
        <f t="shared" si="1"/>
        <v>RetailRefrigerated/ Unconditioned</v>
      </c>
      <c r="Q34" s="2">
        <v>1.41</v>
      </c>
      <c r="R34" s="2">
        <v>1.4</v>
      </c>
      <c r="S34" s="2">
        <v>1.4</v>
      </c>
      <c r="T34" s="2">
        <v>1.4</v>
      </c>
      <c r="AC34" s="49" t="s">
        <v>46</v>
      </c>
      <c r="AD34" s="49" t="s">
        <v>48</v>
      </c>
      <c r="AE34" s="49" t="s">
        <v>279</v>
      </c>
      <c r="AF34" s="1">
        <v>0.7</v>
      </c>
      <c r="AG34" s="75">
        <v>3.4129999999999998E-3</v>
      </c>
      <c r="AH34" s="1">
        <v>0.23</v>
      </c>
      <c r="AI34" s="1">
        <v>0.84</v>
      </c>
      <c r="AJ34" s="5">
        <v>1</v>
      </c>
    </row>
    <row r="35" spans="1:36" ht="15" customHeight="1">
      <c r="A35" s="9" t="s">
        <v>474</v>
      </c>
      <c r="B35" s="9" t="s">
        <v>2719</v>
      </c>
      <c r="C35" s="9" t="s">
        <v>66</v>
      </c>
      <c r="D35" s="9" t="s">
        <v>421</v>
      </c>
      <c r="F35" s="1" t="s">
        <v>2719</v>
      </c>
      <c r="G35" s="1" t="s">
        <v>484</v>
      </c>
      <c r="H35" s="1" t="str">
        <f t="shared" si="0"/>
        <v>AllRetail Sales/Showroom</v>
      </c>
      <c r="I35" s="1">
        <v>6152</v>
      </c>
      <c r="J35" s="1">
        <v>0.97</v>
      </c>
      <c r="K35" s="1">
        <v>0.97</v>
      </c>
      <c r="L35" s="1">
        <v>0.78</v>
      </c>
      <c r="N35" s="1" t="s">
        <v>398</v>
      </c>
      <c r="O35" s="5" t="s">
        <v>426</v>
      </c>
      <c r="P35" s="9" t="str">
        <f t="shared" si="1"/>
        <v>RetailFreezer/ Unconditioned</v>
      </c>
      <c r="Q35" s="2">
        <v>1.52</v>
      </c>
      <c r="R35" s="2">
        <v>1.51</v>
      </c>
      <c r="S35" s="2">
        <v>1.51</v>
      </c>
      <c r="T35" s="2">
        <v>1.51</v>
      </c>
      <c r="AC35" s="49" t="s">
        <v>46</v>
      </c>
      <c r="AD35" s="49" t="s">
        <v>49</v>
      </c>
      <c r="AE35" s="49" t="s">
        <v>279</v>
      </c>
      <c r="AF35" s="1">
        <v>0.7</v>
      </c>
      <c r="AG35" s="75">
        <v>3.4129999999999998E-3</v>
      </c>
      <c r="AH35" s="1">
        <v>0.23</v>
      </c>
      <c r="AI35" s="1">
        <v>0.84</v>
      </c>
      <c r="AJ35" s="5">
        <v>1</v>
      </c>
    </row>
    <row r="36" spans="1:36" ht="15" customHeight="1">
      <c r="A36" s="9" t="s">
        <v>476</v>
      </c>
      <c r="B36" s="9" t="s">
        <v>420</v>
      </c>
      <c r="C36" s="9" t="s">
        <v>421</v>
      </c>
      <c r="D36" s="9" t="s">
        <v>421</v>
      </c>
      <c r="F36" s="1" t="s">
        <v>2719</v>
      </c>
      <c r="G36" s="1" t="s">
        <v>485</v>
      </c>
      <c r="H36" s="1" t="str">
        <f t="shared" si="0"/>
        <v>AllSmoking Lounge</v>
      </c>
      <c r="I36" s="1">
        <v>3438</v>
      </c>
      <c r="J36" s="1">
        <v>0.65</v>
      </c>
      <c r="K36" s="1">
        <v>0.64</v>
      </c>
      <c r="L36" s="1">
        <v>0.4</v>
      </c>
      <c r="N36" s="1" t="s">
        <v>404</v>
      </c>
      <c r="O36" s="15" t="s">
        <v>395</v>
      </c>
      <c r="P36" s="9" t="str">
        <f t="shared" si="1"/>
        <v>SchoolAC/ ElecRes</v>
      </c>
      <c r="Q36" s="2">
        <v>0.81</v>
      </c>
      <c r="R36" s="2">
        <v>1.45</v>
      </c>
      <c r="S36" s="2">
        <v>1.45</v>
      </c>
      <c r="T36" s="2">
        <v>0.16</v>
      </c>
      <c r="AC36" s="49" t="s">
        <v>50</v>
      </c>
      <c r="AD36" s="49" t="s">
        <v>51</v>
      </c>
      <c r="AE36" s="49" t="s">
        <v>335</v>
      </c>
      <c r="AF36" s="1">
        <v>0.7</v>
      </c>
      <c r="AG36" s="75">
        <v>3.4129999999999998E-3</v>
      </c>
      <c r="AH36" s="1">
        <v>0.23</v>
      </c>
      <c r="AI36" s="1">
        <v>0.84</v>
      </c>
      <c r="AJ36" s="5">
        <v>1</v>
      </c>
    </row>
    <row r="37" spans="1:36" ht="15" customHeight="1">
      <c r="A37" s="9" t="s">
        <v>478</v>
      </c>
      <c r="B37" s="9" t="s">
        <v>420</v>
      </c>
      <c r="C37" s="9" t="s">
        <v>421</v>
      </c>
      <c r="D37" s="9" t="s">
        <v>421</v>
      </c>
      <c r="F37" s="1" t="s">
        <v>2719</v>
      </c>
      <c r="G37" s="1" t="s">
        <v>2725</v>
      </c>
      <c r="H37" s="1" t="str">
        <f t="shared" si="0"/>
        <v>AllStorage (Conditioned &amp; Walk-In Refrigerator/Freezer)</v>
      </c>
      <c r="I37" s="1">
        <v>4672</v>
      </c>
      <c r="J37" s="1">
        <v>0.81</v>
      </c>
      <c r="K37" s="1">
        <v>0.81</v>
      </c>
      <c r="L37" s="1">
        <v>0.44</v>
      </c>
      <c r="N37" s="1" t="s">
        <v>404</v>
      </c>
      <c r="O37" s="15" t="s">
        <v>400</v>
      </c>
      <c r="P37" s="9" t="str">
        <f t="shared" si="1"/>
        <v>SchoolAC/ NonElec</v>
      </c>
      <c r="Q37" s="2">
        <v>1.1000000000000001</v>
      </c>
      <c r="R37" s="2">
        <v>1.45</v>
      </c>
      <c r="S37" s="2">
        <v>1.45</v>
      </c>
      <c r="T37" s="2">
        <v>1</v>
      </c>
      <c r="AC37" s="67" t="s">
        <v>50</v>
      </c>
      <c r="AD37" s="67" t="s">
        <v>337</v>
      </c>
      <c r="AE37" s="49" t="s">
        <v>335</v>
      </c>
      <c r="AF37" s="1">
        <v>0.7</v>
      </c>
      <c r="AG37" s="75">
        <v>3.4129999999999998E-3</v>
      </c>
      <c r="AH37" s="1">
        <v>0.23</v>
      </c>
      <c r="AI37" s="1">
        <v>0.84</v>
      </c>
      <c r="AJ37" s="5">
        <v>1</v>
      </c>
    </row>
    <row r="38" spans="1:36" ht="15" customHeight="1">
      <c r="A38" s="9" t="s">
        <v>479</v>
      </c>
      <c r="B38" s="9" t="s">
        <v>2719</v>
      </c>
      <c r="C38" s="9" t="s">
        <v>66</v>
      </c>
      <c r="D38" s="9" t="s">
        <v>66</v>
      </c>
      <c r="F38" s="1" t="s">
        <v>2719</v>
      </c>
      <c r="G38" s="1" t="s">
        <v>486</v>
      </c>
      <c r="H38" s="1" t="str">
        <f t="shared" si="0"/>
        <v>AllStorage (Conditioned)</v>
      </c>
      <c r="I38" s="1">
        <v>3438</v>
      </c>
      <c r="J38" s="1">
        <v>0.65</v>
      </c>
      <c r="K38" s="1">
        <v>0.64</v>
      </c>
      <c r="L38" s="1">
        <v>0.4</v>
      </c>
      <c r="N38" s="1" t="s">
        <v>404</v>
      </c>
      <c r="O38" s="15" t="s">
        <v>264</v>
      </c>
      <c r="P38" s="9" t="str">
        <f t="shared" si="1"/>
        <v>SchoolAC/ Unconditioned</v>
      </c>
      <c r="Q38" s="2">
        <v>1</v>
      </c>
      <c r="R38" s="2">
        <v>1.45</v>
      </c>
      <c r="S38" s="2">
        <v>1.45</v>
      </c>
      <c r="T38" s="2">
        <v>1</v>
      </c>
      <c r="AC38" s="67" t="s">
        <v>50</v>
      </c>
      <c r="AD38" s="67" t="s">
        <v>52</v>
      </c>
      <c r="AE38" s="49" t="s">
        <v>339</v>
      </c>
      <c r="AF38" s="1">
        <v>0.7</v>
      </c>
      <c r="AG38" s="75">
        <v>3.4129999999999998E-3</v>
      </c>
      <c r="AH38" s="1">
        <v>0.23</v>
      </c>
      <c r="AI38" s="1">
        <v>0.84</v>
      </c>
      <c r="AJ38" s="5">
        <v>1</v>
      </c>
    </row>
    <row r="39" spans="1:36" ht="15" customHeight="1">
      <c r="F39" s="1" t="s">
        <v>2719</v>
      </c>
      <c r="G39" s="1" t="s">
        <v>488</v>
      </c>
      <c r="H39" s="1" t="str">
        <f t="shared" si="0"/>
        <v>AllStorage (Refrigerated/Freezer),Walk-in</v>
      </c>
      <c r="I39" s="1">
        <v>3438</v>
      </c>
      <c r="J39" s="1">
        <v>0.65</v>
      </c>
      <c r="K39" s="1">
        <v>0.64</v>
      </c>
      <c r="L39" s="1">
        <v>0.4</v>
      </c>
      <c r="N39" s="1" t="s">
        <v>404</v>
      </c>
      <c r="O39" s="15" t="s">
        <v>405</v>
      </c>
      <c r="P39" s="9" t="str">
        <f t="shared" si="1"/>
        <v>SchoolAC/ Unknown</v>
      </c>
      <c r="Q39" s="2">
        <v>1</v>
      </c>
      <c r="R39" s="2">
        <v>1.45</v>
      </c>
      <c r="S39" s="2">
        <v>1.45</v>
      </c>
      <c r="T39" s="2">
        <v>0.93</v>
      </c>
      <c r="AC39" s="67" t="s">
        <v>50</v>
      </c>
      <c r="AD39" s="67" t="s">
        <v>53</v>
      </c>
      <c r="AE39" s="49" t="s">
        <v>339</v>
      </c>
      <c r="AF39" s="1">
        <v>0.7</v>
      </c>
      <c r="AG39" s="75">
        <v>3.4129999999999998E-3</v>
      </c>
      <c r="AH39" s="1">
        <v>0.23</v>
      </c>
      <c r="AI39" s="1">
        <v>0.84</v>
      </c>
      <c r="AJ39" s="5">
        <v>1</v>
      </c>
    </row>
    <row r="40" spans="1:36" ht="15" customHeight="1">
      <c r="F40" s="1" t="s">
        <v>2719</v>
      </c>
      <c r="G40" s="1" t="s">
        <v>487</v>
      </c>
      <c r="H40" s="1" t="str">
        <f t="shared" si="0"/>
        <v>AllStorage (Unconditioned)</v>
      </c>
      <c r="I40" s="1">
        <v>2930</v>
      </c>
      <c r="J40" s="1">
        <v>0.66</v>
      </c>
      <c r="K40" s="1">
        <v>0.64</v>
      </c>
      <c r="L40" s="1">
        <v>0.4</v>
      </c>
      <c r="N40" s="1" t="s">
        <v>404</v>
      </c>
      <c r="O40" s="15" t="s">
        <v>408</v>
      </c>
      <c r="P40" s="9" t="str">
        <f t="shared" si="1"/>
        <v>SchoolHeat Pump</v>
      </c>
      <c r="Q40" s="2">
        <v>0.96</v>
      </c>
      <c r="R40" s="2">
        <v>1.45</v>
      </c>
      <c r="S40" s="2">
        <v>1.45</v>
      </c>
      <c r="T40" s="2">
        <v>0.59</v>
      </c>
      <c r="AC40" s="67" t="s">
        <v>50</v>
      </c>
      <c r="AD40" s="67" t="s">
        <v>54</v>
      </c>
      <c r="AE40" s="49" t="s">
        <v>339</v>
      </c>
      <c r="AF40" s="1">
        <v>0.7</v>
      </c>
      <c r="AG40" s="75">
        <v>3.4129999999999998E-3</v>
      </c>
      <c r="AH40" s="1">
        <v>0.23</v>
      </c>
      <c r="AI40" s="1">
        <v>0.84</v>
      </c>
      <c r="AJ40" s="5">
        <v>1</v>
      </c>
    </row>
    <row r="41" spans="1:36" ht="15" customHeight="1">
      <c r="A41" s="8" t="s">
        <v>481</v>
      </c>
      <c r="B41" s="8" t="s">
        <v>241</v>
      </c>
      <c r="C41" s="8" t="s">
        <v>242</v>
      </c>
      <c r="F41" s="1" t="s">
        <v>2719</v>
      </c>
      <c r="G41" s="1" t="s">
        <v>2726</v>
      </c>
      <c r="H41" s="1" t="str">
        <f t="shared" si="0"/>
        <v>AllStorage (Walk-In Refrigerator/Freezer)</v>
      </c>
      <c r="I41" s="1">
        <v>3438</v>
      </c>
      <c r="J41" s="1">
        <v>0.65</v>
      </c>
      <c r="K41" s="1">
        <v>0.64</v>
      </c>
      <c r="L41" s="1">
        <v>0.4</v>
      </c>
      <c r="N41" s="1" t="s">
        <v>404</v>
      </c>
      <c r="O41" s="15" t="s">
        <v>412</v>
      </c>
      <c r="P41" s="9" t="str">
        <f t="shared" si="1"/>
        <v>SchoolHeat Pump/ Unconditioned</v>
      </c>
      <c r="Q41" s="2">
        <v>1</v>
      </c>
      <c r="R41" s="2">
        <v>1.45</v>
      </c>
      <c r="S41" s="2">
        <v>1.45</v>
      </c>
      <c r="T41" s="2">
        <v>1</v>
      </c>
      <c r="AC41" s="67" t="s">
        <v>50</v>
      </c>
      <c r="AD41" s="67" t="s">
        <v>55</v>
      </c>
      <c r="AE41" s="49" t="s">
        <v>339</v>
      </c>
      <c r="AF41" s="1">
        <v>0.7</v>
      </c>
      <c r="AG41" s="75">
        <v>3.4129999999999998E-3</v>
      </c>
      <c r="AH41" s="1">
        <v>0.23</v>
      </c>
      <c r="AI41" s="1">
        <v>0.84</v>
      </c>
      <c r="AJ41" s="5">
        <v>1</v>
      </c>
    </row>
    <row r="42" spans="1:36" ht="15" customHeight="1">
      <c r="A42" s="9" t="s">
        <v>269</v>
      </c>
      <c r="B42" s="9">
        <v>0</v>
      </c>
      <c r="C42" s="9">
        <v>0</v>
      </c>
      <c r="F42" s="1" t="s">
        <v>2719</v>
      </c>
      <c r="G42" s="1" t="s">
        <v>2728</v>
      </c>
      <c r="H42" s="1" t="str">
        <f t="shared" si="0"/>
        <v>AllVacant (Conditioned)</v>
      </c>
      <c r="I42" s="1">
        <v>3438</v>
      </c>
      <c r="J42" s="1">
        <v>0.65</v>
      </c>
      <c r="K42" s="1">
        <v>0.64</v>
      </c>
      <c r="L42" s="1">
        <v>0.4</v>
      </c>
      <c r="N42" s="1" t="s">
        <v>404</v>
      </c>
      <c r="O42" s="15" t="s">
        <v>414</v>
      </c>
      <c r="P42" s="9" t="str">
        <f t="shared" si="1"/>
        <v>SchoolHeat Pump/ Unknown</v>
      </c>
      <c r="Q42" s="2">
        <v>1</v>
      </c>
      <c r="R42" s="2">
        <v>1.45</v>
      </c>
      <c r="S42" s="2">
        <v>1.45</v>
      </c>
      <c r="T42" s="2">
        <v>0.93</v>
      </c>
      <c r="AC42" s="67" t="s">
        <v>50</v>
      </c>
      <c r="AD42" s="67" t="s">
        <v>56</v>
      </c>
      <c r="AE42" s="49" t="s">
        <v>339</v>
      </c>
      <c r="AF42" s="1">
        <v>0.7</v>
      </c>
      <c r="AG42" s="75">
        <v>3.4129999999999998E-3</v>
      </c>
      <c r="AH42" s="1">
        <v>0.23</v>
      </c>
      <c r="AI42" s="1">
        <v>0.84</v>
      </c>
      <c r="AJ42" s="5">
        <v>1</v>
      </c>
    </row>
    <row r="43" spans="1:36" ht="15" customHeight="1">
      <c r="A43" s="70" t="s">
        <v>72</v>
      </c>
      <c r="B43" s="9" t="e">
        <f>INDEX($B$102:$B$109,MATCH(INDEX($D$2:$D$38,MATCH('Project Info &amp; Summary'!$C$19,BuildingTypefromApp,0)),$A$102:$A$109,0))</f>
        <v>#N/A</v>
      </c>
      <c r="C43" s="9" t="e">
        <f>INDEX($B$102:$B$109,MATCH(INDEX($D$2:$D$38,MATCH('Project Info &amp; Summary'!$C$19,BuildingTypefromApp,0)),$A$102:$A$109,0))</f>
        <v>#N/A</v>
      </c>
      <c r="F43" s="1" t="s">
        <v>2727</v>
      </c>
      <c r="G43" s="1" t="s">
        <v>394</v>
      </c>
      <c r="H43" s="1" t="str">
        <f t="shared" si="0"/>
        <v>EducationAuditorium/Gym</v>
      </c>
      <c r="I43" s="1">
        <v>2032</v>
      </c>
      <c r="J43" s="1">
        <v>0.33</v>
      </c>
      <c r="K43" s="1">
        <v>0.34</v>
      </c>
      <c r="L43" s="1">
        <v>0.35</v>
      </c>
      <c r="N43" s="1" t="s">
        <v>404</v>
      </c>
      <c r="O43" s="15" t="s">
        <v>416</v>
      </c>
      <c r="P43" s="9" t="str">
        <f t="shared" si="1"/>
        <v>SchoolNoAC/ ElecRes</v>
      </c>
      <c r="Q43" s="2">
        <v>0.71</v>
      </c>
      <c r="R43" s="2">
        <v>1</v>
      </c>
      <c r="S43" s="2">
        <v>1</v>
      </c>
      <c r="T43" s="2">
        <v>0.16</v>
      </c>
      <c r="AC43" s="67" t="s">
        <v>50</v>
      </c>
      <c r="AD43" s="67" t="s">
        <v>57</v>
      </c>
      <c r="AE43" s="49" t="s">
        <v>339</v>
      </c>
      <c r="AF43" s="1">
        <v>0.7</v>
      </c>
      <c r="AG43" s="75">
        <v>3.4129999999999998E-3</v>
      </c>
      <c r="AH43" s="1">
        <v>0.23</v>
      </c>
      <c r="AI43" s="1">
        <v>0.84</v>
      </c>
      <c r="AJ43" s="5">
        <v>1</v>
      </c>
    </row>
    <row r="44" spans="1:36" ht="15" customHeight="1">
      <c r="A44" s="70" t="s">
        <v>73</v>
      </c>
      <c r="B44" s="9" t="e">
        <f>INDEX($B$102:$B$109,MATCH(INDEX($D$2:$D$38,MATCH('Project Info &amp; Summary'!$C$19,BuildingTypefromApp,0)),$A$102:$A$109,0))</f>
        <v>#N/A</v>
      </c>
      <c r="C44" s="9" t="e">
        <f>INDEX($B$102:$B$109,MATCH(INDEX($D$2:$D$38,MATCH('Project Info &amp; Summary'!$C$19,BuildingTypefromApp,0)),$A$102:$A$109,0))</f>
        <v>#N/A</v>
      </c>
      <c r="F44" s="1" t="s">
        <v>2727</v>
      </c>
      <c r="G44" s="1" t="s">
        <v>399</v>
      </c>
      <c r="H44" s="1" t="str">
        <f t="shared" si="0"/>
        <v>EducationAuto Repair Workshop</v>
      </c>
      <c r="I44" s="1">
        <v>6189</v>
      </c>
      <c r="J44" s="1">
        <v>0.88</v>
      </c>
      <c r="K44" s="1">
        <v>0.89</v>
      </c>
      <c r="L44" s="1">
        <v>0.61</v>
      </c>
      <c r="N44" s="1" t="s">
        <v>404</v>
      </c>
      <c r="O44" s="15" t="s">
        <v>424</v>
      </c>
      <c r="P44" s="9" t="str">
        <f t="shared" si="1"/>
        <v>SchoolNoAC/ NonElec</v>
      </c>
      <c r="Q44" s="2">
        <v>1</v>
      </c>
      <c r="R44" s="2">
        <v>1</v>
      </c>
      <c r="S44" s="2">
        <v>1</v>
      </c>
      <c r="T44" s="2">
        <v>1</v>
      </c>
      <c r="AC44" s="67" t="s">
        <v>50</v>
      </c>
      <c r="AD44" s="67" t="s">
        <v>58</v>
      </c>
      <c r="AE44" s="49" t="s">
        <v>339</v>
      </c>
      <c r="AF44" s="1">
        <v>0.7</v>
      </c>
      <c r="AG44" s="75">
        <v>3.4129999999999998E-3</v>
      </c>
      <c r="AH44" s="1">
        <v>0.23</v>
      </c>
      <c r="AI44" s="1">
        <v>0.84</v>
      </c>
      <c r="AJ44" s="5">
        <v>1</v>
      </c>
    </row>
    <row r="45" spans="1:36" ht="15" customHeight="1">
      <c r="A45" s="70" t="s">
        <v>74</v>
      </c>
      <c r="B45" s="9" t="e">
        <f>INDEX($B$102:$B$109,MATCH(INDEX($D$2:$D$38,MATCH('Project Info &amp; Summary'!$C$19,BuildingTypefromApp,0)),$A$102:$A$109,0))</f>
        <v>#N/A</v>
      </c>
      <c r="C45" s="9" t="e">
        <f>INDEX($B$102:$B$109,MATCH(INDEX($D$2:$D$38,MATCH('Project Info &amp; Summary'!$C$19,BuildingTypefromApp,0)),$A$102:$A$109,0))</f>
        <v>#N/A</v>
      </c>
      <c r="F45" s="1" t="s">
        <v>2727</v>
      </c>
      <c r="G45" s="1" t="s">
        <v>413</v>
      </c>
      <c r="H45" s="1" t="str">
        <f t="shared" si="0"/>
        <v>EducationClassroom/Lecture</v>
      </c>
      <c r="I45" s="1">
        <v>1505</v>
      </c>
      <c r="J45" s="1">
        <v>0.21</v>
      </c>
      <c r="K45" s="1">
        <v>0.22</v>
      </c>
      <c r="L45" s="1">
        <v>0.2</v>
      </c>
      <c r="N45" s="1" t="s">
        <v>404</v>
      </c>
      <c r="O45" s="15" t="s">
        <v>428</v>
      </c>
      <c r="P45" s="9" t="str">
        <f t="shared" si="1"/>
        <v>SchoolNoAC/ Unconditioned</v>
      </c>
      <c r="Q45" s="2">
        <v>1</v>
      </c>
      <c r="R45" s="2">
        <v>1</v>
      </c>
      <c r="S45" s="2">
        <v>1</v>
      </c>
      <c r="T45" s="2">
        <v>1</v>
      </c>
      <c r="AC45" s="67" t="s">
        <v>50</v>
      </c>
      <c r="AD45" s="67" t="s">
        <v>59</v>
      </c>
      <c r="AE45" s="67" t="s">
        <v>335</v>
      </c>
      <c r="AF45" s="1">
        <v>1</v>
      </c>
      <c r="AG45" s="75">
        <v>3.4129999999999998E-3</v>
      </c>
      <c r="AH45" s="1">
        <v>0.23</v>
      </c>
      <c r="AI45" s="1">
        <v>0.84</v>
      </c>
      <c r="AJ45" s="5">
        <v>1</v>
      </c>
    </row>
    <row r="46" spans="1:36" ht="15" customHeight="1">
      <c r="A46" s="70" t="s">
        <v>75</v>
      </c>
      <c r="B46" s="9" t="e">
        <f>INDEX($B$102:$B$109,MATCH(INDEX($D$2:$D$38,MATCH('Project Info &amp; Summary'!$C$19,BuildingTypefromApp,0)),$A$102:$A$109,0))</f>
        <v>#N/A</v>
      </c>
      <c r="C46" s="9" t="e">
        <f>INDEX($B$102:$B$109,MATCH(INDEX($D$2:$D$38,MATCH('Project Info &amp; Summary'!$C$19,BuildingTypefromApp,0)),$A$102:$A$109,0))</f>
        <v>#N/A</v>
      </c>
      <c r="F46" s="1" t="s">
        <v>2727</v>
      </c>
      <c r="G46" s="1" t="s">
        <v>2720</v>
      </c>
      <c r="H46" s="1" t="str">
        <f t="shared" si="0"/>
        <v>EducationComm/Ind Work (General High Bay)</v>
      </c>
      <c r="I46" s="1">
        <v>4790</v>
      </c>
      <c r="J46" s="1">
        <v>0.9</v>
      </c>
      <c r="K46" s="1">
        <v>0.91</v>
      </c>
      <c r="L46" s="1">
        <v>0.82</v>
      </c>
      <c r="N46" s="1" t="s">
        <v>404</v>
      </c>
      <c r="O46" s="15" t="s">
        <v>431</v>
      </c>
      <c r="P46" s="9" t="str">
        <f t="shared" si="1"/>
        <v>SchoolNoAC/ Unknown</v>
      </c>
      <c r="Q46" s="2">
        <v>1</v>
      </c>
      <c r="R46" s="2">
        <v>1</v>
      </c>
      <c r="S46" s="2">
        <v>1</v>
      </c>
      <c r="T46" s="2">
        <v>0.93</v>
      </c>
      <c r="AC46" s="67" t="s">
        <v>60</v>
      </c>
      <c r="AD46" s="67" t="s">
        <v>61</v>
      </c>
      <c r="AE46" s="67" t="s">
        <v>60</v>
      </c>
      <c r="AF46" s="1">
        <v>0.7</v>
      </c>
      <c r="AG46" s="75">
        <v>3.4129999999999998E-3</v>
      </c>
      <c r="AH46" s="1">
        <v>0.23</v>
      </c>
      <c r="AI46" s="1">
        <v>0.84</v>
      </c>
      <c r="AJ46" s="5">
        <v>1</v>
      </c>
    </row>
    <row r="47" spans="1:36" ht="15" customHeight="1">
      <c r="A47" s="70" t="s">
        <v>76</v>
      </c>
      <c r="B47" s="9" t="e">
        <f>INDEX($B$102:$B$109,MATCH(INDEX($D$2:$D$38,MATCH('Project Info &amp; Summary'!$C$19,BuildingTypefromApp,0)),$A$102:$A$109,0))</f>
        <v>#N/A</v>
      </c>
      <c r="C47" s="9" t="e">
        <f>INDEX($B$102:$B$109,MATCH(INDEX($D$2:$D$38,MATCH('Project Info &amp; Summary'!$C$19,BuildingTypefromApp,0)),$A$102:$A$109,0))</f>
        <v>#N/A</v>
      </c>
      <c r="F47" s="1" t="s">
        <v>2727</v>
      </c>
      <c r="G47" s="1" t="s">
        <v>2721</v>
      </c>
      <c r="H47" s="1" t="str">
        <f t="shared" si="0"/>
        <v>EducationComm/Ind Work (General Low Bay)</v>
      </c>
      <c r="I47" s="1">
        <v>6775</v>
      </c>
      <c r="J47" s="1">
        <v>0.95</v>
      </c>
      <c r="K47" s="1">
        <v>0.95</v>
      </c>
      <c r="L47" s="1">
        <v>0.77</v>
      </c>
      <c r="N47" s="1" t="s">
        <v>404</v>
      </c>
      <c r="O47" s="15" t="s">
        <v>434</v>
      </c>
      <c r="P47" s="9" t="str">
        <f t="shared" si="1"/>
        <v>SchoolUnknown/ ElecRes</v>
      </c>
      <c r="Q47" s="2">
        <v>1</v>
      </c>
      <c r="R47" s="2">
        <v>1</v>
      </c>
      <c r="S47" s="2">
        <v>1</v>
      </c>
      <c r="T47" s="2">
        <v>0.16</v>
      </c>
      <c r="AC47" s="67" t="s">
        <v>62</v>
      </c>
      <c r="AD47" s="67" t="s">
        <v>63</v>
      </c>
      <c r="AE47" s="67" t="s">
        <v>349</v>
      </c>
      <c r="AF47" s="1">
        <v>0.7</v>
      </c>
      <c r="AG47" s="75">
        <v>3.4129999999999998E-3</v>
      </c>
      <c r="AH47" s="1">
        <v>0.23</v>
      </c>
      <c r="AI47" s="1">
        <v>0.84</v>
      </c>
      <c r="AJ47" s="5">
        <v>0.224</v>
      </c>
    </row>
    <row r="48" spans="1:36" ht="15" customHeight="1">
      <c r="A48" s="70" t="s">
        <v>78</v>
      </c>
      <c r="B48" s="9">
        <v>0.38</v>
      </c>
      <c r="C48" s="9">
        <v>0.38</v>
      </c>
      <c r="F48" s="1" t="s">
        <v>2727</v>
      </c>
      <c r="G48" s="1" t="s">
        <v>433</v>
      </c>
      <c r="H48" s="1" t="str">
        <f t="shared" si="0"/>
        <v>EducationComm/Ind Work (Precision)</v>
      </c>
      <c r="I48" s="1">
        <v>3438</v>
      </c>
      <c r="J48" s="1">
        <v>0.65</v>
      </c>
      <c r="K48" s="1">
        <v>0.64</v>
      </c>
      <c r="L48" s="1">
        <v>0.4</v>
      </c>
      <c r="N48" s="1" t="s">
        <v>404</v>
      </c>
      <c r="O48" s="15" t="s">
        <v>437</v>
      </c>
      <c r="P48" s="9" t="str">
        <f t="shared" si="1"/>
        <v>SchoolUnknown/ NonElec</v>
      </c>
      <c r="Q48" s="2">
        <v>1</v>
      </c>
      <c r="R48" s="2">
        <v>1</v>
      </c>
      <c r="S48" s="2">
        <v>1</v>
      </c>
      <c r="T48" s="2">
        <v>1</v>
      </c>
      <c r="AC48" s="67" t="s">
        <v>64</v>
      </c>
      <c r="AD48" s="67" t="s">
        <v>65</v>
      </c>
      <c r="AE48" s="67" t="s">
        <v>351</v>
      </c>
      <c r="AF48" s="1">
        <v>0</v>
      </c>
      <c r="AG48" s="75">
        <v>0</v>
      </c>
      <c r="AH48" s="1">
        <v>0</v>
      </c>
      <c r="AI48" s="1">
        <v>0</v>
      </c>
      <c r="AJ48" s="5">
        <v>0</v>
      </c>
    </row>
    <row r="49" spans="1:36" ht="15" customHeight="1">
      <c r="A49" s="70" t="s">
        <v>79</v>
      </c>
      <c r="B49" s="9">
        <v>0.38</v>
      </c>
      <c r="C49" s="9">
        <v>0.38</v>
      </c>
      <c r="F49" s="1" t="s">
        <v>2727</v>
      </c>
      <c r="G49" s="1" t="s">
        <v>2722</v>
      </c>
      <c r="H49" s="1" t="str">
        <f t="shared" si="0"/>
        <v>EducationCommon Area Hallways[2]</v>
      </c>
      <c r="I49" s="1">
        <v>3438</v>
      </c>
      <c r="J49" s="1">
        <v>0.65</v>
      </c>
      <c r="K49" s="1">
        <v>0.64</v>
      </c>
      <c r="L49" s="1">
        <v>0.4</v>
      </c>
      <c r="N49" s="1" t="s">
        <v>404</v>
      </c>
      <c r="O49" s="15" t="s">
        <v>439</v>
      </c>
      <c r="P49" s="9" t="str">
        <f t="shared" si="1"/>
        <v>SchoolUnknown/ Unconditioned</v>
      </c>
      <c r="Q49" s="2">
        <v>1</v>
      </c>
      <c r="R49" s="2">
        <v>1</v>
      </c>
      <c r="S49" s="2">
        <v>1</v>
      </c>
      <c r="T49" s="2">
        <v>1</v>
      </c>
      <c r="AC49" s="80" t="s">
        <v>66</v>
      </c>
      <c r="AD49" s="81" t="s">
        <v>67</v>
      </c>
      <c r="AE49" s="67" t="s">
        <v>67</v>
      </c>
      <c r="AF49" s="1">
        <v>0.7</v>
      </c>
      <c r="AG49" s="75">
        <v>3.4129999999999998E-3</v>
      </c>
      <c r="AH49" s="1">
        <v>0.23</v>
      </c>
      <c r="AI49" s="1">
        <v>0.84</v>
      </c>
      <c r="AJ49" s="5">
        <v>1</v>
      </c>
    </row>
    <row r="50" spans="1:36" ht="15" customHeight="1">
      <c r="A50" s="70" t="s">
        <v>81</v>
      </c>
      <c r="B50" s="9">
        <v>0.28000000000000003</v>
      </c>
      <c r="C50" s="9">
        <v>0.28000000000000003</v>
      </c>
      <c r="F50" s="1" t="s">
        <v>2727</v>
      </c>
      <c r="G50" s="1" t="s">
        <v>423</v>
      </c>
      <c r="H50" s="1" t="str">
        <f t="shared" si="0"/>
        <v>EducationComputer Room/Data Processing</v>
      </c>
      <c r="I50" s="1">
        <v>2032</v>
      </c>
      <c r="J50" s="1">
        <v>0.33</v>
      </c>
      <c r="K50" s="1">
        <v>0.34</v>
      </c>
      <c r="L50" s="1">
        <v>0.35</v>
      </c>
      <c r="N50" s="1" t="s">
        <v>404</v>
      </c>
      <c r="O50" s="15" t="s">
        <v>443</v>
      </c>
      <c r="P50" s="9" t="str">
        <f t="shared" si="1"/>
        <v>SchoolUnknown/ Unknown</v>
      </c>
      <c r="Q50" s="2">
        <v>1</v>
      </c>
      <c r="R50" s="2">
        <v>1</v>
      </c>
      <c r="S50" s="2">
        <v>1</v>
      </c>
      <c r="T50" s="2">
        <v>0.93</v>
      </c>
      <c r="AC50" s="80" t="s">
        <v>68</v>
      </c>
      <c r="AD50" s="81" t="s">
        <v>69</v>
      </c>
      <c r="AE50" s="67" t="s">
        <v>69</v>
      </c>
      <c r="AF50" s="1">
        <v>0.7</v>
      </c>
      <c r="AG50" s="75">
        <v>3.4129999999999998E-3</v>
      </c>
      <c r="AH50" s="1">
        <v>0.23</v>
      </c>
      <c r="AI50" s="1">
        <v>0.84</v>
      </c>
      <c r="AJ50" s="5">
        <v>1</v>
      </c>
    </row>
    <row r="51" spans="1:36" ht="15" customHeight="1">
      <c r="A51" s="70" t="s">
        <v>82</v>
      </c>
      <c r="B51" s="9">
        <v>0.28000000000000003</v>
      </c>
      <c r="C51" s="9">
        <v>0.28000000000000003</v>
      </c>
      <c r="F51" s="1" t="s">
        <v>2727</v>
      </c>
      <c r="G51" s="1" t="s">
        <v>436</v>
      </c>
      <c r="H51" s="1" t="str">
        <f t="shared" si="0"/>
        <v>EducationConference Room</v>
      </c>
      <c r="I51" s="1">
        <v>1201</v>
      </c>
      <c r="J51" s="1">
        <v>0.28000000000000003</v>
      </c>
      <c r="K51" s="1">
        <v>0.3</v>
      </c>
      <c r="L51" s="1">
        <v>0.16</v>
      </c>
      <c r="N51" s="1" t="s">
        <v>404</v>
      </c>
      <c r="O51" s="5" t="s">
        <v>418</v>
      </c>
      <c r="P51" s="9" t="str">
        <f t="shared" si="1"/>
        <v>SchoolRefrigerated/ Unconditioned</v>
      </c>
      <c r="Q51" s="2">
        <v>1.41</v>
      </c>
      <c r="R51" s="2">
        <v>1.4</v>
      </c>
      <c r="S51" s="2">
        <v>1.4</v>
      </c>
      <c r="T51" s="2">
        <v>1.4</v>
      </c>
      <c r="AC51" s="70" t="s">
        <v>71</v>
      </c>
      <c r="AD51" s="70" t="s">
        <v>72</v>
      </c>
      <c r="AE51" s="70" t="s">
        <v>357</v>
      </c>
      <c r="AF51" s="1">
        <v>1</v>
      </c>
      <c r="AG51" s="75">
        <v>3.4129999999999998E-3</v>
      </c>
      <c r="AH51" s="70">
        <v>0.23</v>
      </c>
      <c r="AI51" s="70">
        <v>0.84</v>
      </c>
      <c r="AJ51" s="5">
        <v>1</v>
      </c>
    </row>
    <row r="52" spans="1:36" ht="15" customHeight="1">
      <c r="A52" s="70" t="s">
        <v>84</v>
      </c>
      <c r="B52" s="9">
        <v>0.28000000000000003</v>
      </c>
      <c r="C52" s="9">
        <v>0.14000000000000001</v>
      </c>
      <c r="F52" s="1" t="s">
        <v>2727</v>
      </c>
      <c r="G52" s="1" t="s">
        <v>442</v>
      </c>
      <c r="H52" s="1" t="str">
        <f t="shared" si="0"/>
        <v>EducationCopy Room</v>
      </c>
      <c r="I52" s="1">
        <v>3438</v>
      </c>
      <c r="J52" s="1">
        <v>0.65</v>
      </c>
      <c r="K52" s="1">
        <v>0.64</v>
      </c>
      <c r="L52" s="1">
        <v>0.4</v>
      </c>
      <c r="N52" s="1" t="s">
        <v>404</v>
      </c>
      <c r="O52" s="5" t="s">
        <v>426</v>
      </c>
      <c r="P52" s="9" t="str">
        <f t="shared" si="1"/>
        <v>SchoolFreezer/ Unconditioned</v>
      </c>
      <c r="Q52" s="2">
        <v>1.52</v>
      </c>
      <c r="R52" s="2">
        <v>1.51</v>
      </c>
      <c r="S52" s="2">
        <v>1.51</v>
      </c>
      <c r="T52" s="2">
        <v>1.51</v>
      </c>
      <c r="AC52" s="70" t="s">
        <v>71</v>
      </c>
      <c r="AD52" s="70" t="s">
        <v>73</v>
      </c>
      <c r="AE52" s="70" t="s">
        <v>357</v>
      </c>
      <c r="AF52" s="1">
        <v>1</v>
      </c>
      <c r="AG52" s="75">
        <v>3.4129999999999998E-3</v>
      </c>
      <c r="AH52" s="70">
        <v>0.23</v>
      </c>
      <c r="AI52" s="70">
        <v>0.84</v>
      </c>
      <c r="AJ52" s="5">
        <v>1</v>
      </c>
    </row>
    <row r="53" spans="1:36" ht="15" customHeight="1">
      <c r="A53" s="70" t="s">
        <v>85</v>
      </c>
      <c r="B53" s="9">
        <v>0.28000000000000003</v>
      </c>
      <c r="C53" s="9">
        <v>0.14000000000000001</v>
      </c>
      <c r="F53" s="1" t="s">
        <v>2727</v>
      </c>
      <c r="G53" s="1" t="s">
        <v>445</v>
      </c>
      <c r="H53" s="1" t="str">
        <f t="shared" si="0"/>
        <v>EducationCorridor/Hallways</v>
      </c>
      <c r="I53" s="1">
        <v>5052</v>
      </c>
      <c r="J53" s="1">
        <v>0.77</v>
      </c>
      <c r="K53" s="1">
        <v>0.78</v>
      </c>
      <c r="L53" s="1">
        <v>0.75</v>
      </c>
      <c r="N53" s="1" t="s">
        <v>421</v>
      </c>
      <c r="O53" s="15" t="s">
        <v>395</v>
      </c>
      <c r="P53" s="9" t="str">
        <f t="shared" si="1"/>
        <v>WarehouseAC/ ElecRes</v>
      </c>
      <c r="Q53" s="2">
        <v>0.75</v>
      </c>
      <c r="R53" s="2">
        <v>1.2</v>
      </c>
      <c r="S53" s="2">
        <v>1.21</v>
      </c>
      <c r="T53" s="2">
        <v>0.23</v>
      </c>
      <c r="AC53" s="70" t="s">
        <v>71</v>
      </c>
      <c r="AD53" s="70" t="s">
        <v>489</v>
      </c>
      <c r="AE53" s="70" t="s">
        <v>357</v>
      </c>
      <c r="AF53" s="1">
        <v>1</v>
      </c>
      <c r="AG53" s="75">
        <v>3.4129999999999998E-3</v>
      </c>
      <c r="AH53" s="70">
        <v>0.23</v>
      </c>
      <c r="AI53" s="70">
        <v>0.84</v>
      </c>
      <c r="AJ53" s="5">
        <v>1</v>
      </c>
    </row>
    <row r="54" spans="1:36" ht="15" customHeight="1">
      <c r="A54" s="70" t="s">
        <v>86</v>
      </c>
      <c r="B54" s="9">
        <v>0.28000000000000003</v>
      </c>
      <c r="C54" s="9">
        <v>0.14000000000000001</v>
      </c>
      <c r="F54" s="1" t="s">
        <v>2727</v>
      </c>
      <c r="G54" s="1" t="s">
        <v>448</v>
      </c>
      <c r="H54" s="1" t="str">
        <f t="shared" si="0"/>
        <v>EducationDining Area</v>
      </c>
      <c r="I54" s="1">
        <v>2962</v>
      </c>
      <c r="J54" s="1">
        <v>0.48</v>
      </c>
      <c r="K54" s="1">
        <v>0.53</v>
      </c>
      <c r="L54" s="1">
        <v>0.51</v>
      </c>
      <c r="N54" s="1" t="s">
        <v>421</v>
      </c>
      <c r="O54" s="15" t="s">
        <v>400</v>
      </c>
      <c r="P54" s="9" t="str">
        <f t="shared" si="1"/>
        <v>WarehouseAC/ NonElec</v>
      </c>
      <c r="Q54" s="2">
        <v>1.02</v>
      </c>
      <c r="R54" s="2">
        <v>1.2</v>
      </c>
      <c r="S54" s="2">
        <v>1.21</v>
      </c>
      <c r="T54" s="2">
        <v>1</v>
      </c>
      <c r="AC54" s="70" t="s">
        <v>71</v>
      </c>
      <c r="AD54" s="70" t="s">
        <v>75</v>
      </c>
      <c r="AE54" s="70" t="s">
        <v>357</v>
      </c>
      <c r="AF54" s="1">
        <v>1</v>
      </c>
      <c r="AG54" s="75">
        <v>3.4129999999999998E-3</v>
      </c>
      <c r="AH54" s="70">
        <v>0.23</v>
      </c>
      <c r="AI54" s="70">
        <v>0.84</v>
      </c>
      <c r="AJ54" s="5">
        <v>1</v>
      </c>
    </row>
    <row r="55" spans="1:36" ht="15" customHeight="1">
      <c r="A55" s="70" t="s">
        <v>87</v>
      </c>
      <c r="B55" s="9">
        <v>0.28000000000000003</v>
      </c>
      <c r="C55" s="9">
        <v>0.14000000000000001</v>
      </c>
      <c r="F55" s="1" t="s">
        <v>2727</v>
      </c>
      <c r="G55" s="1" t="s">
        <v>450</v>
      </c>
      <c r="H55" s="1" t="str">
        <f t="shared" si="0"/>
        <v>EducationExercise Centers/Gymnasium</v>
      </c>
      <c r="I55" s="1">
        <v>4833</v>
      </c>
      <c r="J55" s="1">
        <v>0.81</v>
      </c>
      <c r="K55" s="1">
        <v>0.82</v>
      </c>
      <c r="L55" s="1">
        <v>0.6</v>
      </c>
      <c r="N55" s="1" t="s">
        <v>421</v>
      </c>
      <c r="O55" s="15" t="s">
        <v>264</v>
      </c>
      <c r="P55" s="9" t="str">
        <f t="shared" si="1"/>
        <v>WarehouseAC/ Unconditioned</v>
      </c>
      <c r="Q55" s="2">
        <v>1</v>
      </c>
      <c r="R55" s="2">
        <v>1.2</v>
      </c>
      <c r="S55" s="2">
        <v>1.21</v>
      </c>
      <c r="T55" s="2">
        <v>1</v>
      </c>
      <c r="AC55" s="70" t="s">
        <v>71</v>
      </c>
      <c r="AD55" s="70" t="s">
        <v>490</v>
      </c>
      <c r="AE55" s="70" t="s">
        <v>357</v>
      </c>
      <c r="AF55" s="1">
        <v>1</v>
      </c>
      <c r="AG55" s="75">
        <v>3.4129999999999998E-3</v>
      </c>
      <c r="AH55" s="70">
        <v>0.23</v>
      </c>
      <c r="AI55" s="70">
        <v>0.84</v>
      </c>
      <c r="AJ55" s="5">
        <v>1</v>
      </c>
    </row>
    <row r="56" spans="1:36" ht="15" customHeight="1">
      <c r="A56" s="257">
        <v>2024</v>
      </c>
      <c r="B56" s="73"/>
      <c r="C56" s="73"/>
      <c r="F56" s="1" t="s">
        <v>2727</v>
      </c>
      <c r="G56" s="1" t="s">
        <v>451</v>
      </c>
      <c r="H56" s="1" t="str">
        <f t="shared" si="0"/>
        <v>EducationExhibit Display Area/Museum</v>
      </c>
      <c r="I56" s="1">
        <v>3438</v>
      </c>
      <c r="J56" s="1">
        <v>0.65</v>
      </c>
      <c r="K56" s="1">
        <v>0.64</v>
      </c>
      <c r="L56" s="1">
        <v>0.4</v>
      </c>
      <c r="N56" s="1" t="s">
        <v>421</v>
      </c>
      <c r="O56" s="15" t="s">
        <v>405</v>
      </c>
      <c r="P56" s="9" t="str">
        <f t="shared" si="1"/>
        <v>WarehouseAC/ Unknown</v>
      </c>
      <c r="Q56" s="2">
        <v>1</v>
      </c>
      <c r="R56" s="2">
        <v>1.2</v>
      </c>
      <c r="S56" s="2">
        <v>1.21</v>
      </c>
      <c r="T56" s="2">
        <v>0.91</v>
      </c>
      <c r="AC56" s="70" t="s">
        <v>77</v>
      </c>
      <c r="AD56" s="70" t="s">
        <v>78</v>
      </c>
      <c r="AE56" s="70" t="s">
        <v>363</v>
      </c>
      <c r="AF56" s="1">
        <v>0.7</v>
      </c>
      <c r="AG56" s="75">
        <v>3.4129999999999998E-3</v>
      </c>
      <c r="AH56" s="1">
        <v>0.23</v>
      </c>
      <c r="AI56" s="70">
        <v>0.84</v>
      </c>
      <c r="AJ56" s="5">
        <v>1</v>
      </c>
    </row>
    <row r="57" spans="1:36" ht="15" customHeight="1">
      <c r="A57" s="70" t="s">
        <v>269</v>
      </c>
      <c r="B57" s="236">
        <v>0</v>
      </c>
      <c r="C57" s="236">
        <v>0</v>
      </c>
      <c r="F57" s="1" t="s">
        <v>2727</v>
      </c>
      <c r="G57" s="1" t="s">
        <v>455</v>
      </c>
      <c r="H57" s="1" t="str">
        <f t="shared" si="0"/>
        <v>EducationKitchen/Break room &amp; Food Prep</v>
      </c>
      <c r="I57" s="1">
        <v>3522</v>
      </c>
      <c r="J57" s="1">
        <v>0.79</v>
      </c>
      <c r="K57" s="1">
        <v>0.74</v>
      </c>
      <c r="L57" s="1">
        <v>0.42</v>
      </c>
      <c r="N57" s="1" t="s">
        <v>421</v>
      </c>
      <c r="O57" s="15" t="s">
        <v>408</v>
      </c>
      <c r="P57" s="9" t="str">
        <f t="shared" si="1"/>
        <v>WarehouseHeat Pump</v>
      </c>
      <c r="Q57" s="2">
        <v>0.89</v>
      </c>
      <c r="R57" s="2">
        <v>1.2</v>
      </c>
      <c r="S57" s="2">
        <v>1.21</v>
      </c>
      <c r="T57" s="2">
        <v>0.62</v>
      </c>
      <c r="AC57" s="70" t="s">
        <v>77</v>
      </c>
      <c r="AD57" s="70" t="s">
        <v>79</v>
      </c>
      <c r="AE57" s="70" t="s">
        <v>363</v>
      </c>
      <c r="AF57" s="1">
        <v>0.7</v>
      </c>
      <c r="AG57" s="75">
        <v>3.4129999999999998E-3</v>
      </c>
      <c r="AH57" s="1">
        <v>0.23</v>
      </c>
      <c r="AI57" s="70">
        <v>0.84</v>
      </c>
      <c r="AJ57" s="5">
        <v>1</v>
      </c>
    </row>
    <row r="58" spans="1:36" ht="15" customHeight="1">
      <c r="A58" s="70" t="s">
        <v>2816</v>
      </c>
      <c r="B58" s="236">
        <v>0.24</v>
      </c>
      <c r="C58" s="236">
        <v>0.14000000000000001</v>
      </c>
      <c r="F58" s="1" t="s">
        <v>2727</v>
      </c>
      <c r="G58" s="1" t="s">
        <v>458</v>
      </c>
      <c r="H58" s="1" t="str">
        <f t="shared" si="0"/>
        <v>EducationLaundry</v>
      </c>
      <c r="I58" s="1">
        <v>3438</v>
      </c>
      <c r="J58" s="1">
        <v>0.65</v>
      </c>
      <c r="K58" s="1">
        <v>0.64</v>
      </c>
      <c r="L58" s="1">
        <v>0.4</v>
      </c>
      <c r="N58" s="1" t="s">
        <v>421</v>
      </c>
      <c r="O58" s="15" t="s">
        <v>412</v>
      </c>
      <c r="P58" s="9" t="str">
        <f t="shared" si="1"/>
        <v>WarehouseHeat Pump/ Unconditioned</v>
      </c>
      <c r="Q58" s="2">
        <v>1</v>
      </c>
      <c r="R58" s="2">
        <v>1.2</v>
      </c>
      <c r="S58" s="2">
        <v>1.21</v>
      </c>
      <c r="T58" s="2">
        <v>1</v>
      </c>
      <c r="AC58" s="70" t="s">
        <v>80</v>
      </c>
      <c r="AD58" s="70" t="s">
        <v>81</v>
      </c>
      <c r="AE58" s="70" t="s">
        <v>363</v>
      </c>
      <c r="AF58" s="1">
        <v>0.7</v>
      </c>
      <c r="AG58" s="75">
        <v>3.4129999999999998E-3</v>
      </c>
      <c r="AH58" s="1">
        <v>0.23</v>
      </c>
      <c r="AI58" s="70">
        <v>0.84</v>
      </c>
      <c r="AJ58" s="5">
        <v>1</v>
      </c>
    </row>
    <row r="59" spans="1:36" ht="15" customHeight="1">
      <c r="A59" s="70" t="s">
        <v>2817</v>
      </c>
      <c r="B59" s="236">
        <v>0.24</v>
      </c>
      <c r="C59" s="236">
        <v>0.14000000000000001</v>
      </c>
      <c r="F59" s="1" t="s">
        <v>2727</v>
      </c>
      <c r="G59" s="1" t="s">
        <v>460</v>
      </c>
      <c r="H59" s="1" t="str">
        <f t="shared" si="0"/>
        <v>EducationLibrary</v>
      </c>
      <c r="I59" s="1">
        <v>1957</v>
      </c>
      <c r="J59" s="1">
        <v>0.44</v>
      </c>
      <c r="K59" s="1">
        <v>0.46</v>
      </c>
      <c r="L59" s="1">
        <v>0.31</v>
      </c>
      <c r="N59" s="1" t="s">
        <v>421</v>
      </c>
      <c r="O59" s="15" t="s">
        <v>414</v>
      </c>
      <c r="P59" s="9" t="str">
        <f t="shared" si="1"/>
        <v>WarehouseHeat Pump/ Unknown</v>
      </c>
      <c r="Q59" s="2">
        <v>1</v>
      </c>
      <c r="R59" s="2">
        <v>1.2</v>
      </c>
      <c r="S59" s="2">
        <v>1.21</v>
      </c>
      <c r="T59" s="2">
        <v>0.91</v>
      </c>
      <c r="AC59" s="70" t="s">
        <v>80</v>
      </c>
      <c r="AD59" s="70" t="s">
        <v>82</v>
      </c>
      <c r="AE59" s="70" t="s">
        <v>363</v>
      </c>
      <c r="AF59" s="1">
        <v>0.7</v>
      </c>
      <c r="AG59" s="75">
        <v>3.4129999999999998E-3</v>
      </c>
      <c r="AH59" s="1">
        <v>0.23</v>
      </c>
      <c r="AI59" s="70">
        <v>0.84</v>
      </c>
      <c r="AJ59" s="5">
        <v>1</v>
      </c>
    </row>
    <row r="60" spans="1:36" ht="15" customHeight="1">
      <c r="A60" s="70" t="s">
        <v>2818</v>
      </c>
      <c r="B60" s="237">
        <v>0.28000000000000003</v>
      </c>
      <c r="C60" s="237">
        <v>0.28000000000000003</v>
      </c>
      <c r="F60" s="1" t="s">
        <v>2727</v>
      </c>
      <c r="G60" s="1" t="s">
        <v>462</v>
      </c>
      <c r="H60" s="1" t="str">
        <f t="shared" si="0"/>
        <v>EducationLoading Dock</v>
      </c>
      <c r="I60" s="1">
        <v>7358</v>
      </c>
      <c r="J60" s="1">
        <v>0.97</v>
      </c>
      <c r="K60" s="1">
        <v>0.97</v>
      </c>
      <c r="L60" s="1">
        <v>0.62</v>
      </c>
      <c r="N60" s="1" t="s">
        <v>421</v>
      </c>
      <c r="O60" s="15" t="s">
        <v>416</v>
      </c>
      <c r="P60" s="9" t="str">
        <f t="shared" si="1"/>
        <v>WarehouseNoAC/ ElecRes</v>
      </c>
      <c r="Q60" s="2">
        <v>0.73</v>
      </c>
      <c r="R60" s="2">
        <v>1</v>
      </c>
      <c r="S60" s="2">
        <v>1</v>
      </c>
      <c r="T60" s="2">
        <v>0.23</v>
      </c>
      <c r="AC60" s="70" t="s">
        <v>83</v>
      </c>
      <c r="AD60" s="70" t="s">
        <v>84</v>
      </c>
      <c r="AE60" s="70" t="s">
        <v>363</v>
      </c>
      <c r="AF60" s="1">
        <v>0.7</v>
      </c>
      <c r="AG60" s="75">
        <v>3.4129999999999998E-3</v>
      </c>
      <c r="AH60" s="1">
        <v>0.23</v>
      </c>
      <c r="AI60" s="1">
        <v>0.75</v>
      </c>
      <c r="AJ60" s="5">
        <v>1</v>
      </c>
    </row>
    <row r="61" spans="1:36" ht="15" customHeight="1">
      <c r="A61" s="70" t="s">
        <v>2819</v>
      </c>
      <c r="B61" s="238">
        <v>0.38</v>
      </c>
      <c r="C61" s="238">
        <v>0.38</v>
      </c>
      <c r="F61" s="1" t="s">
        <v>2727</v>
      </c>
      <c r="G61" s="1" t="s">
        <v>466</v>
      </c>
      <c r="H61" s="1" t="str">
        <f t="shared" si="0"/>
        <v>EducationLobby (Main Entry and Assembly)</v>
      </c>
      <c r="I61" s="1">
        <v>5947</v>
      </c>
      <c r="J61" s="1">
        <v>0.83</v>
      </c>
      <c r="K61" s="1">
        <v>0.82</v>
      </c>
      <c r="L61" s="1">
        <v>0.71</v>
      </c>
      <c r="N61" s="1" t="s">
        <v>421</v>
      </c>
      <c r="O61" s="15" t="s">
        <v>424</v>
      </c>
      <c r="P61" s="9" t="str">
        <f t="shared" si="1"/>
        <v>WarehouseNoAC/ NonElec</v>
      </c>
      <c r="Q61" s="2">
        <v>1</v>
      </c>
      <c r="R61" s="2">
        <v>1</v>
      </c>
      <c r="S61" s="2">
        <v>1</v>
      </c>
      <c r="T61" s="2">
        <v>1</v>
      </c>
      <c r="AC61" s="70" t="s">
        <v>83</v>
      </c>
      <c r="AD61" s="70" t="s">
        <v>85</v>
      </c>
      <c r="AE61" s="70" t="s">
        <v>363</v>
      </c>
      <c r="AF61" s="1">
        <v>0.7</v>
      </c>
      <c r="AG61" s="75">
        <v>3.4129999999999998E-3</v>
      </c>
      <c r="AH61" s="1">
        <v>0.23</v>
      </c>
      <c r="AI61" s="1">
        <v>0.75</v>
      </c>
      <c r="AJ61" s="5">
        <v>1</v>
      </c>
    </row>
    <row r="62" spans="1:36" ht="15" customHeight="1">
      <c r="A62" s="70" t="s">
        <v>2820</v>
      </c>
      <c r="B62" s="238" t="e">
        <f>INDEX($B$102:$B$109,MATCH(INDEX($D$2:$D$38,MATCH('Project Info &amp; Summary'!$C$19,BuildingTypefromApp,0)),$A$102:$A$109,0))</f>
        <v>#N/A</v>
      </c>
      <c r="C62" s="238" t="e">
        <f>INDEX($B$102:$B$109,MATCH(INDEX($D$2:$D$38,MATCH('Project Info &amp; Summary'!$C$19,BuildingTypefromApp,0)),$A$102:$A$109,0))</f>
        <v>#N/A</v>
      </c>
      <c r="F62" s="1" t="s">
        <v>2727</v>
      </c>
      <c r="G62" s="1" t="s">
        <v>468</v>
      </c>
      <c r="H62" s="1" t="str">
        <f t="shared" si="0"/>
        <v>EducationLobby (Office Reception/Waiting)</v>
      </c>
      <c r="I62" s="1">
        <v>3425</v>
      </c>
      <c r="J62" s="1">
        <v>0.84</v>
      </c>
      <c r="K62" s="1">
        <v>0.87</v>
      </c>
      <c r="L62" s="1">
        <v>0.49</v>
      </c>
      <c r="N62" s="1" t="s">
        <v>421</v>
      </c>
      <c r="O62" s="15" t="s">
        <v>428</v>
      </c>
      <c r="P62" s="9" t="str">
        <f t="shared" si="1"/>
        <v>WarehouseNoAC/ Unconditioned</v>
      </c>
      <c r="Q62" s="2">
        <v>1</v>
      </c>
      <c r="R62" s="2">
        <v>1</v>
      </c>
      <c r="S62" s="2">
        <v>1</v>
      </c>
      <c r="T62" s="2">
        <v>1</v>
      </c>
      <c r="AC62" s="70" t="s">
        <v>83</v>
      </c>
      <c r="AD62" s="70" t="s">
        <v>86</v>
      </c>
      <c r="AE62" s="70" t="s">
        <v>363</v>
      </c>
      <c r="AF62" s="1">
        <v>0.7</v>
      </c>
      <c r="AG62" s="75">
        <v>3.4129999999999998E-3</v>
      </c>
      <c r="AH62" s="1">
        <v>0.23</v>
      </c>
      <c r="AI62" s="1">
        <v>0.84</v>
      </c>
      <c r="AJ62" s="5">
        <v>1</v>
      </c>
    </row>
    <row r="63" spans="1:36" ht="15" customHeight="1">
      <c r="F63" s="1" t="s">
        <v>2727</v>
      </c>
      <c r="G63" s="1" t="s">
        <v>470</v>
      </c>
      <c r="H63" s="1" t="str">
        <f t="shared" si="0"/>
        <v>EducationLocker and Dressing Room</v>
      </c>
      <c r="I63" s="1">
        <v>2032</v>
      </c>
      <c r="J63" s="1">
        <v>0.33</v>
      </c>
      <c r="K63" s="1">
        <v>0.34</v>
      </c>
      <c r="L63" s="1">
        <v>0.35</v>
      </c>
      <c r="N63" s="1" t="s">
        <v>421</v>
      </c>
      <c r="O63" s="15" t="s">
        <v>431</v>
      </c>
      <c r="P63" s="9" t="str">
        <f t="shared" si="1"/>
        <v>WarehouseNoAC/ Unknown</v>
      </c>
      <c r="Q63" s="2">
        <v>1</v>
      </c>
      <c r="R63" s="2">
        <v>1</v>
      </c>
      <c r="S63" s="2">
        <v>1</v>
      </c>
      <c r="T63" s="2">
        <v>0.91</v>
      </c>
      <c r="AC63" s="76" t="s">
        <v>83</v>
      </c>
      <c r="AD63" s="76" t="s">
        <v>87</v>
      </c>
      <c r="AE63" s="76" t="s">
        <v>363</v>
      </c>
      <c r="AF63" s="21">
        <v>0.7</v>
      </c>
      <c r="AG63" s="77">
        <v>3.4129999999999998E-3</v>
      </c>
      <c r="AH63" s="21">
        <v>0.23</v>
      </c>
      <c r="AI63" s="21">
        <v>0.84</v>
      </c>
      <c r="AJ63" s="4">
        <v>1</v>
      </c>
    </row>
    <row r="64" spans="1:36" ht="15" customHeight="1">
      <c r="A64" s="71"/>
      <c r="C64" s="73"/>
      <c r="D64" s="73"/>
      <c r="F64" s="1" t="s">
        <v>2727</v>
      </c>
      <c r="G64" s="1" t="s">
        <v>473</v>
      </c>
      <c r="H64" s="1" t="str">
        <f t="shared" si="0"/>
        <v>EducationMechanical/Electrical Room</v>
      </c>
      <c r="I64" s="1">
        <v>5026</v>
      </c>
      <c r="J64" s="1">
        <v>0.73</v>
      </c>
      <c r="K64" s="1">
        <v>0.74</v>
      </c>
      <c r="L64" s="1">
        <v>0.46</v>
      </c>
      <c r="N64" s="1" t="s">
        <v>421</v>
      </c>
      <c r="O64" s="15" t="s">
        <v>434</v>
      </c>
      <c r="P64" s="9" t="str">
        <f t="shared" si="1"/>
        <v>WarehouseUnknown/ ElecRes</v>
      </c>
      <c r="Q64" s="2">
        <v>1</v>
      </c>
      <c r="R64" s="2">
        <v>1</v>
      </c>
      <c r="S64" s="2">
        <v>1</v>
      </c>
      <c r="T64" s="2">
        <v>0.23</v>
      </c>
      <c r="AC64" s="369">
        <v>2024</v>
      </c>
      <c r="AD64" s="370"/>
      <c r="AE64" s="370"/>
      <c r="AF64" s="370"/>
      <c r="AG64" s="370"/>
      <c r="AH64" s="370"/>
      <c r="AI64" s="370"/>
      <c r="AJ64" s="370"/>
    </row>
    <row r="65" spans="1:36" ht="15" customHeight="1">
      <c r="A65" s="71"/>
      <c r="C65" s="73"/>
      <c r="D65" s="73"/>
      <c r="F65" s="1" t="s">
        <v>2727</v>
      </c>
      <c r="G65" s="1" t="s">
        <v>475</v>
      </c>
      <c r="H65" s="1" t="str">
        <f t="shared" si="0"/>
        <v>EducationMedical Offices and Exam rooms</v>
      </c>
      <c r="I65" s="1">
        <v>3438</v>
      </c>
      <c r="J65" s="1">
        <v>0.65</v>
      </c>
      <c r="K65" s="1">
        <v>0.64</v>
      </c>
      <c r="L65" s="1">
        <v>0.4</v>
      </c>
      <c r="N65" s="1" t="s">
        <v>421</v>
      </c>
      <c r="O65" s="15" t="s">
        <v>437</v>
      </c>
      <c r="P65" s="9" t="str">
        <f t="shared" si="1"/>
        <v>WarehouseUnknown/ NonElec</v>
      </c>
      <c r="Q65" s="2">
        <v>1</v>
      </c>
      <c r="R65" s="2">
        <v>1</v>
      </c>
      <c r="S65" s="2">
        <v>1</v>
      </c>
      <c r="T65" s="2">
        <v>1</v>
      </c>
      <c r="AC65" s="70" t="s">
        <v>83</v>
      </c>
      <c r="AD65" s="70" t="s">
        <v>2816</v>
      </c>
      <c r="AE65" s="70" t="s">
        <v>363</v>
      </c>
      <c r="AF65" s="1">
        <v>0.7</v>
      </c>
      <c r="AG65" s="75">
        <v>3.4129999999999998E-3</v>
      </c>
      <c r="AH65" s="1">
        <v>0.23</v>
      </c>
      <c r="AI65" s="1">
        <v>0.84</v>
      </c>
      <c r="AJ65" s="5">
        <v>1</v>
      </c>
    </row>
    <row r="66" spans="1:36" ht="15" customHeight="1">
      <c r="A66" s="365" t="s">
        <v>491</v>
      </c>
      <c r="B66" s="366"/>
      <c r="C66" s="73"/>
      <c r="D66" s="73"/>
      <c r="F66" s="1" t="s">
        <v>2727</v>
      </c>
      <c r="G66" s="1" t="s">
        <v>2723</v>
      </c>
      <c r="H66" s="1" t="str">
        <f t="shared" ref="H66:H129" si="3">_xlfn.CONCAT(F66,G66)</f>
        <v>EducationNon-Hallway Common Areas[1]</v>
      </c>
      <c r="I66" s="1">
        <v>3438</v>
      </c>
      <c r="J66" s="1">
        <v>0.65</v>
      </c>
      <c r="K66" s="1">
        <v>0.64</v>
      </c>
      <c r="L66" s="1">
        <v>0.4</v>
      </c>
      <c r="N66" s="1" t="s">
        <v>421</v>
      </c>
      <c r="O66" s="15" t="s">
        <v>439</v>
      </c>
      <c r="P66" s="9" t="str">
        <f t="shared" si="1"/>
        <v>WarehouseUnknown/ Unconditioned</v>
      </c>
      <c r="Q66" s="2">
        <v>1</v>
      </c>
      <c r="R66" s="2">
        <v>1</v>
      </c>
      <c r="S66" s="2">
        <v>1</v>
      </c>
      <c r="T66" s="2">
        <v>1</v>
      </c>
      <c r="AC66" s="70" t="s">
        <v>83</v>
      </c>
      <c r="AD66" s="70" t="s">
        <v>2817</v>
      </c>
      <c r="AE66" s="70" t="s">
        <v>363</v>
      </c>
      <c r="AF66" s="1">
        <v>0.7</v>
      </c>
      <c r="AG66" s="75">
        <v>3.4129999999999998E-3</v>
      </c>
      <c r="AH66" s="1">
        <v>0.23</v>
      </c>
      <c r="AI66" s="1">
        <v>0.75</v>
      </c>
      <c r="AJ66" s="5">
        <v>1</v>
      </c>
    </row>
    <row r="67" spans="1:36" ht="15" customHeight="1">
      <c r="A67" s="8" t="s">
        <v>481</v>
      </c>
      <c r="B67" s="8" t="s">
        <v>276</v>
      </c>
      <c r="C67" s="73"/>
      <c r="D67" s="73"/>
      <c r="F67" s="1" t="s">
        <v>2727</v>
      </c>
      <c r="G67" s="1" t="s">
        <v>477</v>
      </c>
      <c r="H67" s="1" t="str">
        <f t="shared" si="3"/>
        <v>EducationOffice (Executive/Private)</v>
      </c>
      <c r="I67" s="1">
        <v>2084</v>
      </c>
      <c r="J67" s="1">
        <v>0.42</v>
      </c>
      <c r="K67" s="1">
        <v>0.56999999999999995</v>
      </c>
      <c r="L67" s="1">
        <v>0.26</v>
      </c>
      <c r="N67" s="1" t="s">
        <v>421</v>
      </c>
      <c r="O67" s="15" t="s">
        <v>443</v>
      </c>
      <c r="P67" s="9" t="str">
        <f t="shared" si="1"/>
        <v>WarehouseUnknown/ Unknown</v>
      </c>
      <c r="Q67" s="2">
        <v>1</v>
      </c>
      <c r="R67" s="2">
        <v>1</v>
      </c>
      <c r="S67" s="2">
        <v>1</v>
      </c>
      <c r="T67" s="2">
        <v>0.91</v>
      </c>
      <c r="AC67" s="70" t="s">
        <v>80</v>
      </c>
      <c r="AD67" s="70" t="s">
        <v>2818</v>
      </c>
      <c r="AE67" s="70" t="s">
        <v>363</v>
      </c>
      <c r="AF67" s="1">
        <v>0.7</v>
      </c>
      <c r="AG67" s="75">
        <v>3.4129999999999998E-3</v>
      </c>
      <c r="AH67" s="1">
        <v>0.23</v>
      </c>
      <c r="AI67" s="70">
        <v>0.84</v>
      </c>
      <c r="AJ67" s="5">
        <v>1</v>
      </c>
    </row>
    <row r="68" spans="1:36" ht="15" customHeight="1">
      <c r="A68" s="9" t="s">
        <v>269</v>
      </c>
      <c r="B68" s="9" t="s">
        <v>493</v>
      </c>
      <c r="C68" s="73"/>
      <c r="D68" s="73"/>
      <c r="F68" s="1" t="s">
        <v>2727</v>
      </c>
      <c r="G68" s="1" t="s">
        <v>260</v>
      </c>
      <c r="H68" s="1" t="str">
        <f t="shared" si="3"/>
        <v>EducationOffice (General)</v>
      </c>
      <c r="I68" s="1">
        <v>4252</v>
      </c>
      <c r="J68" s="1">
        <v>0.66</v>
      </c>
      <c r="K68" s="1">
        <v>0.67</v>
      </c>
      <c r="L68" s="1">
        <v>0.46</v>
      </c>
      <c r="N68" s="1" t="s">
        <v>421</v>
      </c>
      <c r="O68" s="5" t="s">
        <v>418</v>
      </c>
      <c r="P68" s="9" t="str">
        <f t="shared" si="1"/>
        <v>WarehouseRefrigerated/ Unconditioned</v>
      </c>
      <c r="Q68" s="2">
        <v>1.41</v>
      </c>
      <c r="R68" s="2">
        <v>1.4</v>
      </c>
      <c r="S68" s="2">
        <v>1.4</v>
      </c>
      <c r="T68" s="2">
        <v>1.4</v>
      </c>
      <c r="AC68" s="70" t="s">
        <v>77</v>
      </c>
      <c r="AD68" s="70" t="s">
        <v>2819</v>
      </c>
      <c r="AE68" s="70" t="s">
        <v>363</v>
      </c>
      <c r="AF68" s="1">
        <v>0.7</v>
      </c>
      <c r="AG68" s="75">
        <v>3.4129999999999998E-3</v>
      </c>
      <c r="AH68" s="1">
        <v>0.23</v>
      </c>
      <c r="AI68" s="70">
        <v>0.84</v>
      </c>
      <c r="AJ68" s="5">
        <v>1</v>
      </c>
    </row>
    <row r="69" spans="1:36" ht="15" customHeight="1">
      <c r="A69" s="70" t="s">
        <v>72</v>
      </c>
      <c r="B69" s="70" t="s">
        <v>358</v>
      </c>
      <c r="C69" s="73"/>
      <c r="D69" s="73"/>
      <c r="F69" s="1" t="s">
        <v>2727</v>
      </c>
      <c r="G69" s="1" t="s">
        <v>2724</v>
      </c>
      <c r="H69" s="1" t="str">
        <f t="shared" si="3"/>
        <v>EducationOffice (Open Plan)</v>
      </c>
      <c r="I69" s="1">
        <v>2888</v>
      </c>
      <c r="J69" s="1">
        <v>0.62</v>
      </c>
      <c r="K69" s="1">
        <v>0.7</v>
      </c>
      <c r="L69" s="1">
        <v>0.54</v>
      </c>
      <c r="N69" s="1" t="s">
        <v>421</v>
      </c>
      <c r="O69" s="5" t="s">
        <v>426</v>
      </c>
      <c r="P69" s="9" t="str">
        <f t="shared" si="1"/>
        <v>WarehouseFreezer/ Unconditioned</v>
      </c>
      <c r="Q69" s="2">
        <v>1.52</v>
      </c>
      <c r="R69" s="2">
        <v>1.51</v>
      </c>
      <c r="S69" s="2">
        <v>1.51</v>
      </c>
      <c r="T69" s="2">
        <v>1.51</v>
      </c>
      <c r="AC69" s="70" t="s">
        <v>71</v>
      </c>
      <c r="AD69" s="70" t="s">
        <v>2820</v>
      </c>
      <c r="AE69" s="70" t="s">
        <v>357</v>
      </c>
      <c r="AF69" s="1">
        <v>1</v>
      </c>
      <c r="AG69" s="75">
        <v>3.4129999999999998E-3</v>
      </c>
      <c r="AH69" s="70">
        <v>0.23</v>
      </c>
      <c r="AI69" s="70">
        <v>0.84</v>
      </c>
      <c r="AJ69" s="5">
        <v>1</v>
      </c>
    </row>
    <row r="70" spans="1:36" ht="15" customHeight="1">
      <c r="A70" s="70" t="s">
        <v>73</v>
      </c>
      <c r="B70" s="70" t="s">
        <v>359</v>
      </c>
      <c r="C70" s="73"/>
      <c r="D70" s="73"/>
      <c r="F70" s="1" t="s">
        <v>2727</v>
      </c>
      <c r="G70" s="1" t="s">
        <v>66</v>
      </c>
      <c r="H70" s="1" t="str">
        <f t="shared" si="3"/>
        <v>EducationOther</v>
      </c>
      <c r="I70" s="1">
        <v>3438</v>
      </c>
      <c r="J70" s="1">
        <v>0.65</v>
      </c>
      <c r="K70" s="1">
        <v>0.64</v>
      </c>
      <c r="L70" s="1">
        <v>0.4</v>
      </c>
      <c r="N70" s="1" t="s">
        <v>66</v>
      </c>
      <c r="O70" s="15" t="s">
        <v>395</v>
      </c>
      <c r="P70" s="9" t="str">
        <f t="shared" si="1"/>
        <v>OtherAC/ ElecRes</v>
      </c>
      <c r="Q70" s="2">
        <v>0.82</v>
      </c>
      <c r="R70" s="2">
        <v>1.33</v>
      </c>
      <c r="S70" s="2">
        <v>1.31</v>
      </c>
      <c r="T70" s="2">
        <v>0.2</v>
      </c>
    </row>
    <row r="71" spans="1:36" ht="15" customHeight="1">
      <c r="A71" s="70" t="s">
        <v>74</v>
      </c>
      <c r="B71" s="70" t="s">
        <v>360</v>
      </c>
      <c r="C71" s="73"/>
      <c r="D71" s="73"/>
      <c r="F71" s="1" t="s">
        <v>2727</v>
      </c>
      <c r="G71" s="1" t="s">
        <v>496</v>
      </c>
      <c r="H71" s="1" t="str">
        <f t="shared" si="3"/>
        <v>EducationOutside/Outdoor Area</v>
      </c>
      <c r="I71" s="1">
        <v>3604</v>
      </c>
      <c r="J71" s="1">
        <v>0.11</v>
      </c>
      <c r="K71" s="1">
        <v>0.11</v>
      </c>
      <c r="L71" s="1">
        <v>0.57999999999999996</v>
      </c>
      <c r="N71" s="1" t="s">
        <v>66</v>
      </c>
      <c r="O71" s="15" t="s">
        <v>400</v>
      </c>
      <c r="P71" s="9" t="str">
        <f t="shared" si="1"/>
        <v>OtherAC/ NonElec</v>
      </c>
      <c r="Q71" s="2">
        <v>1.08</v>
      </c>
      <c r="R71" s="2">
        <v>1.33</v>
      </c>
      <c r="S71" s="2">
        <v>1.31</v>
      </c>
      <c r="T71" s="2">
        <v>1</v>
      </c>
    </row>
    <row r="72" spans="1:36" ht="15" customHeight="1">
      <c r="A72" s="70" t="s">
        <v>75</v>
      </c>
      <c r="B72" s="70" t="s">
        <v>361</v>
      </c>
      <c r="C72" s="73"/>
      <c r="D72" s="73"/>
      <c r="F72" s="1" t="s">
        <v>2727</v>
      </c>
      <c r="G72" s="1" t="s">
        <v>492</v>
      </c>
      <c r="H72" s="1" t="str">
        <f t="shared" si="3"/>
        <v>EducationParking Garage</v>
      </c>
      <c r="I72" s="1">
        <v>8678</v>
      </c>
      <c r="J72" s="1">
        <v>0.98</v>
      </c>
      <c r="K72" s="1">
        <v>0.98</v>
      </c>
      <c r="L72" s="1">
        <v>0.99</v>
      </c>
      <c r="N72" s="1" t="s">
        <v>66</v>
      </c>
      <c r="O72" s="15" t="s">
        <v>264</v>
      </c>
      <c r="P72" s="9" t="str">
        <f t="shared" si="1"/>
        <v>OtherAC/ Unconditioned</v>
      </c>
      <c r="Q72" s="2">
        <v>1</v>
      </c>
      <c r="R72" s="2">
        <v>1.33</v>
      </c>
      <c r="S72" s="2">
        <v>1.31</v>
      </c>
      <c r="T72" s="2">
        <v>1</v>
      </c>
    </row>
    <row r="73" spans="1:36" ht="15" customHeight="1">
      <c r="A73" s="70" t="s">
        <v>76</v>
      </c>
      <c r="B73" s="70" t="s">
        <v>362</v>
      </c>
      <c r="C73" s="73"/>
      <c r="D73" s="73"/>
      <c r="F73" s="1" t="s">
        <v>2727</v>
      </c>
      <c r="G73" s="1" t="s">
        <v>480</v>
      </c>
      <c r="H73" s="1" t="str">
        <f t="shared" si="3"/>
        <v>EducationPatient Rooms</v>
      </c>
      <c r="I73" s="1">
        <v>3438</v>
      </c>
      <c r="J73" s="1">
        <v>0.65</v>
      </c>
      <c r="K73" s="1">
        <v>0.64</v>
      </c>
      <c r="L73" s="1">
        <v>0.4</v>
      </c>
      <c r="N73" s="1" t="s">
        <v>66</v>
      </c>
      <c r="O73" s="15" t="s">
        <v>405</v>
      </c>
      <c r="P73" s="9" t="str">
        <f t="shared" si="1"/>
        <v>OtherAC/ Unknown</v>
      </c>
      <c r="Q73" s="2">
        <v>1</v>
      </c>
      <c r="R73" s="2">
        <v>1.33</v>
      </c>
      <c r="S73" s="2">
        <v>1.31</v>
      </c>
      <c r="T73" s="2">
        <v>0.89</v>
      </c>
    </row>
    <row r="74" spans="1:36" ht="15" customHeight="1">
      <c r="A74" s="70" t="s">
        <v>78</v>
      </c>
      <c r="B74" s="70" t="s">
        <v>364</v>
      </c>
      <c r="C74" s="73"/>
      <c r="D74" s="73"/>
      <c r="F74" s="1" t="s">
        <v>2727</v>
      </c>
      <c r="G74" s="1" t="s">
        <v>482</v>
      </c>
      <c r="H74" s="1" t="str">
        <f t="shared" si="3"/>
        <v>EducationResidential</v>
      </c>
      <c r="I74" s="1">
        <v>2032</v>
      </c>
      <c r="J74" s="1">
        <v>0.33</v>
      </c>
      <c r="K74" s="1">
        <v>0.34</v>
      </c>
      <c r="L74" s="1">
        <v>0.35</v>
      </c>
      <c r="N74" s="1" t="s">
        <v>66</v>
      </c>
      <c r="O74" s="15" t="s">
        <v>408</v>
      </c>
      <c r="P74" s="9" t="str">
        <f t="shared" si="1"/>
        <v>OtherHeat Pump</v>
      </c>
      <c r="Q74" s="2">
        <v>0.93</v>
      </c>
      <c r="R74" s="2">
        <v>1.33</v>
      </c>
      <c r="S74" s="2">
        <v>1.31</v>
      </c>
      <c r="T74" s="2">
        <v>0.61</v>
      </c>
    </row>
    <row r="75" spans="1:36" ht="15" customHeight="1">
      <c r="A75" s="70" t="s">
        <v>79</v>
      </c>
      <c r="B75" s="70" t="s">
        <v>365</v>
      </c>
      <c r="F75" s="1" t="s">
        <v>2727</v>
      </c>
      <c r="G75" s="1" t="s">
        <v>483</v>
      </c>
      <c r="H75" s="1" t="str">
        <f t="shared" si="3"/>
        <v>EducationRestrooms</v>
      </c>
      <c r="I75" s="1">
        <v>2521</v>
      </c>
      <c r="J75" s="1">
        <v>0.48</v>
      </c>
      <c r="K75" s="1">
        <v>0.42</v>
      </c>
      <c r="L75" s="1">
        <v>0.3</v>
      </c>
      <c r="N75" s="1" t="s">
        <v>66</v>
      </c>
      <c r="O75" s="15" t="s">
        <v>412</v>
      </c>
      <c r="P75" s="9" t="str">
        <f t="shared" si="1"/>
        <v>OtherHeat Pump/ Unconditioned</v>
      </c>
      <c r="Q75" s="2">
        <v>1</v>
      </c>
      <c r="R75" s="2">
        <v>1.33</v>
      </c>
      <c r="S75" s="2">
        <v>1.31</v>
      </c>
      <c r="T75" s="2">
        <v>1</v>
      </c>
    </row>
    <row r="76" spans="1:36" ht="15" customHeight="1">
      <c r="A76" s="70" t="s">
        <v>81</v>
      </c>
      <c r="B76" s="70" t="s">
        <v>366</v>
      </c>
      <c r="F76" s="1" t="s">
        <v>2727</v>
      </c>
      <c r="G76" s="1" t="s">
        <v>484</v>
      </c>
      <c r="H76" s="1" t="str">
        <f t="shared" si="3"/>
        <v>EducationRetail Sales/Showroom</v>
      </c>
      <c r="I76" s="1">
        <v>6152</v>
      </c>
      <c r="J76" s="1">
        <v>0.97</v>
      </c>
      <c r="K76" s="1">
        <v>0.97</v>
      </c>
      <c r="L76" s="1">
        <v>0.78</v>
      </c>
      <c r="N76" s="1" t="s">
        <v>66</v>
      </c>
      <c r="O76" s="15" t="s">
        <v>414</v>
      </c>
      <c r="P76" s="9" t="str">
        <f t="shared" ref="P76:P86" si="4">_xlfn.CONCAT(N76,O76)</f>
        <v>OtherHeat Pump/ Unknown</v>
      </c>
      <c r="Q76" s="2">
        <v>1</v>
      </c>
      <c r="R76" s="2">
        <v>1.33</v>
      </c>
      <c r="S76" s="2">
        <v>1.31</v>
      </c>
      <c r="T76" s="1">
        <v>0.89</v>
      </c>
    </row>
    <row r="77" spans="1:36" ht="15" customHeight="1">
      <c r="A77" s="70" t="s">
        <v>82</v>
      </c>
      <c r="B77" s="70" t="s">
        <v>367</v>
      </c>
      <c r="F77" s="1" t="s">
        <v>2727</v>
      </c>
      <c r="G77" s="1" t="s">
        <v>485</v>
      </c>
      <c r="H77" s="1" t="str">
        <f t="shared" si="3"/>
        <v>EducationSmoking Lounge</v>
      </c>
      <c r="I77" s="1">
        <v>3438</v>
      </c>
      <c r="J77" s="1">
        <v>0.65</v>
      </c>
      <c r="K77" s="1">
        <v>0.64</v>
      </c>
      <c r="L77" s="1">
        <v>0.4</v>
      </c>
      <c r="N77" s="1" t="s">
        <v>66</v>
      </c>
      <c r="O77" s="15" t="s">
        <v>416</v>
      </c>
      <c r="P77" s="9" t="str">
        <f t="shared" si="4"/>
        <v>OtherNoAC/ ElecRes</v>
      </c>
      <c r="Q77" s="2">
        <v>0.74</v>
      </c>
      <c r="R77" s="2">
        <v>1</v>
      </c>
      <c r="S77" s="2">
        <v>1</v>
      </c>
      <c r="T77" s="1">
        <v>0.2</v>
      </c>
    </row>
    <row r="78" spans="1:36" ht="15" customHeight="1">
      <c r="A78" s="70" t="s">
        <v>84</v>
      </c>
      <c r="B78" s="70" t="s">
        <v>368</v>
      </c>
      <c r="F78" s="1" t="s">
        <v>2727</v>
      </c>
      <c r="G78" s="1" t="s">
        <v>2725</v>
      </c>
      <c r="H78" s="1" t="str">
        <f t="shared" si="3"/>
        <v>EducationStorage (Conditioned &amp; Walk-In Refrigerator/Freezer)</v>
      </c>
      <c r="I78" s="1">
        <v>4672</v>
      </c>
      <c r="J78" s="1">
        <v>0.81</v>
      </c>
      <c r="K78" s="1">
        <v>0.81</v>
      </c>
      <c r="L78" s="1">
        <v>0.44</v>
      </c>
      <c r="N78" s="1" t="s">
        <v>66</v>
      </c>
      <c r="O78" s="15" t="s">
        <v>424</v>
      </c>
      <c r="P78" s="9" t="str">
        <f t="shared" si="4"/>
        <v>OtherNoAC/ NonElec</v>
      </c>
      <c r="Q78" s="2">
        <v>1</v>
      </c>
      <c r="R78" s="2">
        <v>1</v>
      </c>
      <c r="S78" s="2">
        <v>1</v>
      </c>
      <c r="T78" s="1">
        <v>1</v>
      </c>
    </row>
    <row r="79" spans="1:36" ht="15" customHeight="1">
      <c r="A79" s="70" t="s">
        <v>85</v>
      </c>
      <c r="B79" s="70" t="s">
        <v>369</v>
      </c>
      <c r="F79" s="1" t="s">
        <v>2727</v>
      </c>
      <c r="G79" s="1" t="s">
        <v>486</v>
      </c>
      <c r="H79" s="1" t="str">
        <f t="shared" si="3"/>
        <v>EducationStorage (Conditioned)</v>
      </c>
      <c r="I79" s="1">
        <v>2032</v>
      </c>
      <c r="J79" s="1">
        <v>0.33</v>
      </c>
      <c r="K79" s="1">
        <v>0.34</v>
      </c>
      <c r="L79" s="1">
        <v>0.35</v>
      </c>
      <c r="N79" s="1" t="s">
        <v>66</v>
      </c>
      <c r="O79" s="15" t="s">
        <v>428</v>
      </c>
      <c r="P79" s="9" t="str">
        <f t="shared" si="4"/>
        <v>OtherNoAC/ Unconditioned</v>
      </c>
      <c r="Q79" s="2">
        <v>1</v>
      </c>
      <c r="R79" s="2">
        <v>1</v>
      </c>
      <c r="S79" s="2">
        <v>1</v>
      </c>
      <c r="T79" s="1">
        <v>1</v>
      </c>
    </row>
    <row r="80" spans="1:36" ht="15" customHeight="1">
      <c r="A80" s="70" t="s">
        <v>86</v>
      </c>
      <c r="B80" s="70" t="s">
        <v>370</v>
      </c>
      <c r="F80" s="1" t="s">
        <v>2727</v>
      </c>
      <c r="G80" s="1" t="s">
        <v>488</v>
      </c>
      <c r="H80" s="1" t="str">
        <f t="shared" si="3"/>
        <v>EducationStorage (Refrigerated/Freezer),Walk-in</v>
      </c>
      <c r="I80" s="1">
        <v>3438</v>
      </c>
      <c r="J80" s="1">
        <v>0.65</v>
      </c>
      <c r="K80" s="1">
        <v>0.64</v>
      </c>
      <c r="L80" s="1">
        <v>0.4</v>
      </c>
      <c r="N80" s="1" t="s">
        <v>66</v>
      </c>
      <c r="O80" s="15" t="s">
        <v>431</v>
      </c>
      <c r="P80" s="9" t="str">
        <f t="shared" si="4"/>
        <v>OtherNoAC/ Unknown</v>
      </c>
      <c r="Q80" s="2">
        <v>1</v>
      </c>
      <c r="R80" s="2">
        <v>1</v>
      </c>
      <c r="S80" s="2">
        <v>1</v>
      </c>
      <c r="T80" s="1">
        <v>0.89</v>
      </c>
    </row>
    <row r="81" spans="1:20" ht="15" customHeight="1">
      <c r="A81" s="70" t="s">
        <v>87</v>
      </c>
      <c r="B81" s="70" t="s">
        <v>371</v>
      </c>
      <c r="F81" s="1" t="s">
        <v>2727</v>
      </c>
      <c r="G81" s="1" t="s">
        <v>487</v>
      </c>
      <c r="H81" s="1" t="str">
        <f t="shared" si="3"/>
        <v>EducationStorage (Unconditioned)</v>
      </c>
      <c r="I81" s="1">
        <v>2930</v>
      </c>
      <c r="J81" s="1">
        <v>0.66</v>
      </c>
      <c r="K81" s="1">
        <v>0.64</v>
      </c>
      <c r="L81" s="1">
        <v>0.4</v>
      </c>
      <c r="N81" s="1" t="s">
        <v>66</v>
      </c>
      <c r="O81" s="15" t="s">
        <v>434</v>
      </c>
      <c r="P81" s="9" t="str">
        <f t="shared" si="4"/>
        <v>OtherUnknown/ ElecRes</v>
      </c>
      <c r="Q81" s="2">
        <v>1</v>
      </c>
      <c r="R81" s="2">
        <v>1</v>
      </c>
      <c r="S81" s="2">
        <v>1</v>
      </c>
      <c r="T81" s="1">
        <v>0.2</v>
      </c>
    </row>
    <row r="82" spans="1:20" ht="15" customHeight="1">
      <c r="A82" s="70" t="s">
        <v>2780</v>
      </c>
      <c r="B82" s="70" t="s">
        <v>2781</v>
      </c>
      <c r="F82" s="1" t="s">
        <v>2727</v>
      </c>
      <c r="G82" s="1" t="s">
        <v>2726</v>
      </c>
      <c r="H82" s="1" t="str">
        <f t="shared" si="3"/>
        <v>EducationStorage (Walk-In Refrigerator/Freezer)</v>
      </c>
      <c r="I82" s="1">
        <v>3438</v>
      </c>
      <c r="J82" s="1">
        <v>0.65</v>
      </c>
      <c r="K82" s="1">
        <v>0.64</v>
      </c>
      <c r="L82" s="1">
        <v>0.4</v>
      </c>
      <c r="N82" s="1" t="s">
        <v>66</v>
      </c>
      <c r="O82" s="15" t="s">
        <v>437</v>
      </c>
      <c r="P82" s="9" t="str">
        <f t="shared" si="4"/>
        <v>OtherUnknown/ NonElec</v>
      </c>
      <c r="Q82" s="2">
        <v>1</v>
      </c>
      <c r="R82" s="2">
        <v>1</v>
      </c>
      <c r="S82" s="2">
        <v>1</v>
      </c>
      <c r="T82" s="1">
        <v>1</v>
      </c>
    </row>
    <row r="83" spans="1:20" ht="15" customHeight="1">
      <c r="A83" s="70" t="s">
        <v>2816</v>
      </c>
      <c r="B83" s="70" t="s">
        <v>2824</v>
      </c>
      <c r="F83" s="1" t="s">
        <v>2727</v>
      </c>
      <c r="G83" s="1" t="s">
        <v>2728</v>
      </c>
      <c r="H83" s="1" t="str">
        <f t="shared" si="3"/>
        <v>EducationVacant (Conditioned)</v>
      </c>
      <c r="I83" s="1">
        <v>2032</v>
      </c>
      <c r="J83" s="1">
        <v>0.33</v>
      </c>
      <c r="K83" s="1">
        <v>0.34</v>
      </c>
      <c r="L83" s="1">
        <v>0.35</v>
      </c>
      <c r="N83" s="1" t="s">
        <v>66</v>
      </c>
      <c r="O83" s="15" t="s">
        <v>439</v>
      </c>
      <c r="P83" s="9" t="str">
        <f t="shared" si="4"/>
        <v>OtherUnknown/ Unconditioned</v>
      </c>
      <c r="Q83" s="2">
        <v>1</v>
      </c>
      <c r="R83" s="2">
        <v>1</v>
      </c>
      <c r="S83" s="2">
        <v>1</v>
      </c>
      <c r="T83" s="1">
        <v>1</v>
      </c>
    </row>
    <row r="84" spans="1:20" ht="15" customHeight="1">
      <c r="A84" s="70" t="s">
        <v>2817</v>
      </c>
      <c r="B84" s="70" t="s">
        <v>2825</v>
      </c>
      <c r="F84" s="1" t="s">
        <v>393</v>
      </c>
      <c r="G84" s="1" t="s">
        <v>394</v>
      </c>
      <c r="H84" s="1" t="str">
        <f t="shared" si="3"/>
        <v>GroceryAuditorium/Gym</v>
      </c>
      <c r="I84" s="1">
        <v>3438</v>
      </c>
      <c r="J84" s="1">
        <v>0.65</v>
      </c>
      <c r="K84" s="1">
        <v>0.64</v>
      </c>
      <c r="L84" s="1">
        <v>0.4</v>
      </c>
      <c r="N84" s="1" t="s">
        <v>66</v>
      </c>
      <c r="O84" s="15" t="s">
        <v>443</v>
      </c>
      <c r="P84" s="9" t="str">
        <f t="shared" si="4"/>
        <v>OtherUnknown/ Unknown</v>
      </c>
      <c r="Q84" s="2">
        <v>1</v>
      </c>
      <c r="R84" s="2">
        <v>1</v>
      </c>
      <c r="S84" s="2">
        <v>1</v>
      </c>
      <c r="T84" s="1">
        <v>0.89</v>
      </c>
    </row>
    <row r="85" spans="1:20" ht="15" customHeight="1">
      <c r="A85" s="70" t="s">
        <v>2818</v>
      </c>
      <c r="B85" s="70" t="s">
        <v>2826</v>
      </c>
      <c r="F85" s="1" t="s">
        <v>393</v>
      </c>
      <c r="G85" s="1" t="s">
        <v>399</v>
      </c>
      <c r="H85" s="1" t="str">
        <f t="shared" si="3"/>
        <v>GroceryAuto Repair Workshop</v>
      </c>
      <c r="I85" s="1">
        <v>6189</v>
      </c>
      <c r="J85" s="1">
        <v>0.88</v>
      </c>
      <c r="K85" s="1">
        <v>0.89</v>
      </c>
      <c r="L85" s="1">
        <v>0.61</v>
      </c>
      <c r="N85" s="1" t="s">
        <v>66</v>
      </c>
      <c r="O85" s="5" t="s">
        <v>418</v>
      </c>
      <c r="P85" s="9" t="str">
        <f t="shared" si="4"/>
        <v>OtherRefrigerated/ Unconditioned</v>
      </c>
      <c r="Q85" s="2">
        <v>1.41</v>
      </c>
      <c r="R85" s="2">
        <v>1.4</v>
      </c>
      <c r="S85" s="2">
        <v>1.4</v>
      </c>
      <c r="T85" s="2">
        <v>1.4</v>
      </c>
    </row>
    <row r="86" spans="1:20" ht="15" customHeight="1">
      <c r="A86" s="70" t="s">
        <v>2819</v>
      </c>
      <c r="B86" s="70" t="s">
        <v>2827</v>
      </c>
      <c r="F86" s="1" t="s">
        <v>393</v>
      </c>
      <c r="G86" s="1" t="s">
        <v>413</v>
      </c>
      <c r="H86" s="1" t="str">
        <f t="shared" si="3"/>
        <v>GroceryClassroom/Lecture</v>
      </c>
      <c r="I86" s="1">
        <v>1584</v>
      </c>
      <c r="J86" s="1">
        <v>0.24</v>
      </c>
      <c r="K86" s="1">
        <v>0.24</v>
      </c>
      <c r="L86" s="1">
        <v>0.2</v>
      </c>
      <c r="N86" s="1" t="s">
        <v>66</v>
      </c>
      <c r="O86" s="5" t="s">
        <v>426</v>
      </c>
      <c r="P86" s="9" t="str">
        <f t="shared" si="4"/>
        <v>OtherFreezer/ Unconditioned</v>
      </c>
      <c r="Q86" s="2">
        <v>1.52</v>
      </c>
      <c r="R86" s="2">
        <v>1.51</v>
      </c>
      <c r="S86" s="2">
        <v>1.51</v>
      </c>
      <c r="T86" s="2">
        <v>1.51</v>
      </c>
    </row>
    <row r="87" spans="1:20" ht="15" customHeight="1">
      <c r="A87" s="70" t="s">
        <v>2820</v>
      </c>
      <c r="B87" s="70" t="s">
        <v>358</v>
      </c>
      <c r="F87" s="1" t="s">
        <v>393</v>
      </c>
      <c r="G87" s="1" t="s">
        <v>2720</v>
      </c>
      <c r="H87" s="1" t="str">
        <f t="shared" si="3"/>
        <v>GroceryComm/Ind Work (General High Bay)</v>
      </c>
      <c r="I87" s="1">
        <v>4790</v>
      </c>
      <c r="J87" s="1">
        <v>0.9</v>
      </c>
      <c r="K87" s="1">
        <v>0.91</v>
      </c>
      <c r="L87" s="1">
        <v>0.82</v>
      </c>
    </row>
    <row r="88" spans="1:20" ht="15" customHeight="1">
      <c r="F88" s="1" t="s">
        <v>393</v>
      </c>
      <c r="G88" s="1" t="s">
        <v>2721</v>
      </c>
      <c r="H88" s="1" t="str">
        <f t="shared" si="3"/>
        <v>GroceryComm/Ind Work (General Low Bay)</v>
      </c>
      <c r="I88" s="1">
        <v>6775</v>
      </c>
      <c r="J88" s="1">
        <v>0.95</v>
      </c>
      <c r="K88" s="1">
        <v>0.95</v>
      </c>
      <c r="L88" s="1">
        <v>0.77</v>
      </c>
    </row>
    <row r="89" spans="1:20" ht="15" customHeight="1">
      <c r="A89" s="78" t="s">
        <v>497</v>
      </c>
      <c r="B89" s="79"/>
      <c r="F89" s="1" t="s">
        <v>393</v>
      </c>
      <c r="G89" s="1" t="s">
        <v>433</v>
      </c>
      <c r="H89" s="1" t="str">
        <f t="shared" si="3"/>
        <v>GroceryComm/Ind Work (Precision)</v>
      </c>
      <c r="I89" s="1">
        <v>3438</v>
      </c>
      <c r="J89" s="1">
        <v>0.65</v>
      </c>
      <c r="K89" s="1">
        <v>0.64</v>
      </c>
      <c r="L89" s="1">
        <v>0.4</v>
      </c>
    </row>
    <row r="90" spans="1:20" ht="15" customHeight="1">
      <c r="A90" s="1" t="s">
        <v>492</v>
      </c>
      <c r="F90" s="1" t="s">
        <v>393</v>
      </c>
      <c r="G90" s="1" t="s">
        <v>2722</v>
      </c>
      <c r="H90" s="1" t="str">
        <f t="shared" si="3"/>
        <v>GroceryCommon Area Hallways[2]</v>
      </c>
      <c r="I90" s="1">
        <v>3438</v>
      </c>
      <c r="J90" s="1">
        <v>0.65</v>
      </c>
      <c r="K90" s="1">
        <v>0.64</v>
      </c>
      <c r="L90" s="1">
        <v>0.4</v>
      </c>
    </row>
    <row r="91" spans="1:20" ht="15" customHeight="1">
      <c r="A91" s="1" t="s">
        <v>494</v>
      </c>
      <c r="F91" s="1" t="s">
        <v>393</v>
      </c>
      <c r="G91" s="1" t="s">
        <v>423</v>
      </c>
      <c r="H91" s="1" t="str">
        <f t="shared" si="3"/>
        <v>GroceryComputer Room/Data Processing</v>
      </c>
      <c r="I91" s="1">
        <v>3438</v>
      </c>
      <c r="J91" s="1">
        <v>0.65</v>
      </c>
      <c r="K91" s="1">
        <v>0.64</v>
      </c>
      <c r="L91" s="1">
        <v>0.4</v>
      </c>
    </row>
    <row r="92" spans="1:20" ht="15" customHeight="1">
      <c r="A92" s="1" t="s">
        <v>495</v>
      </c>
      <c r="F92" s="1" t="s">
        <v>393</v>
      </c>
      <c r="G92" s="1" t="s">
        <v>436</v>
      </c>
      <c r="H92" s="1" t="str">
        <f t="shared" si="3"/>
        <v>GroceryConference Room</v>
      </c>
      <c r="I92" s="1">
        <v>1201</v>
      </c>
      <c r="J92" s="1">
        <v>0.28000000000000003</v>
      </c>
      <c r="K92" s="1">
        <v>0.3</v>
      </c>
      <c r="L92" s="1">
        <v>0.16</v>
      </c>
    </row>
    <row r="93" spans="1:20" ht="15" customHeight="1">
      <c r="A93" s="1" t="s">
        <v>496</v>
      </c>
      <c r="F93" s="1" t="s">
        <v>393</v>
      </c>
      <c r="G93" s="1" t="s">
        <v>442</v>
      </c>
      <c r="H93" s="1" t="str">
        <f t="shared" si="3"/>
        <v>GroceryCopy Room</v>
      </c>
      <c r="I93" s="1">
        <v>3438</v>
      </c>
      <c r="J93" s="1">
        <v>0.65</v>
      </c>
      <c r="K93" s="1">
        <v>0.64</v>
      </c>
      <c r="L93" s="1">
        <v>0.4</v>
      </c>
    </row>
    <row r="94" spans="1:20" ht="15" customHeight="1">
      <c r="F94" s="1" t="s">
        <v>393</v>
      </c>
      <c r="G94" s="1" t="s">
        <v>445</v>
      </c>
      <c r="H94" s="1" t="str">
        <f t="shared" si="3"/>
        <v>GroceryCorridor/Hallways</v>
      </c>
      <c r="I94" s="1">
        <v>5670</v>
      </c>
      <c r="J94" s="1">
        <v>0.86</v>
      </c>
      <c r="K94" s="1">
        <v>0.86</v>
      </c>
      <c r="L94" s="1">
        <v>0.73</v>
      </c>
    </row>
    <row r="95" spans="1:20" ht="15" customHeight="1">
      <c r="A95" s="12" t="s">
        <v>498</v>
      </c>
      <c r="F95" s="1" t="s">
        <v>393</v>
      </c>
      <c r="G95" s="1" t="s">
        <v>448</v>
      </c>
      <c r="H95" s="1" t="str">
        <f t="shared" si="3"/>
        <v>GroceryDining Area</v>
      </c>
      <c r="I95" s="1">
        <v>2962</v>
      </c>
      <c r="J95" s="1">
        <v>0.48</v>
      </c>
      <c r="K95" s="1">
        <v>0.53</v>
      </c>
      <c r="L95" s="1">
        <v>0.51</v>
      </c>
    </row>
    <row r="96" spans="1:20" ht="15" customHeight="1">
      <c r="A96" s="1" t="s">
        <v>429</v>
      </c>
      <c r="F96" s="1" t="s">
        <v>393</v>
      </c>
      <c r="G96" s="1" t="s">
        <v>450</v>
      </c>
      <c r="H96" s="1" t="str">
        <f t="shared" si="3"/>
        <v>GroceryExercise Centers/Gymnasium</v>
      </c>
      <c r="I96" s="1">
        <v>4833</v>
      </c>
      <c r="J96" s="1">
        <v>0.81</v>
      </c>
      <c r="K96" s="1">
        <v>0.82</v>
      </c>
      <c r="L96" s="1">
        <v>0.6</v>
      </c>
    </row>
    <row r="97" spans="1:12" ht="15" customHeight="1">
      <c r="F97" s="1" t="s">
        <v>393</v>
      </c>
      <c r="G97" s="1" t="s">
        <v>451</v>
      </c>
      <c r="H97" s="1" t="str">
        <f t="shared" si="3"/>
        <v>GroceryExhibit Display Area/Museum</v>
      </c>
      <c r="I97" s="1">
        <v>3438</v>
      </c>
      <c r="J97" s="1">
        <v>0.65</v>
      </c>
      <c r="K97" s="1">
        <v>0.64</v>
      </c>
      <c r="L97" s="1">
        <v>0.4</v>
      </c>
    </row>
    <row r="98" spans="1:12" ht="15" customHeight="1">
      <c r="A98" s="12" t="s">
        <v>499</v>
      </c>
      <c r="F98" s="1" t="s">
        <v>393</v>
      </c>
      <c r="G98" s="1" t="s">
        <v>455</v>
      </c>
      <c r="H98" s="1" t="str">
        <f t="shared" si="3"/>
        <v>GroceryKitchen/Break room &amp; Food Prep</v>
      </c>
      <c r="I98" s="1">
        <v>3522</v>
      </c>
      <c r="J98" s="1">
        <v>0.79</v>
      </c>
      <c r="K98" s="1">
        <v>0.74</v>
      </c>
      <c r="L98" s="1">
        <v>0.42</v>
      </c>
    </row>
    <row r="99" spans="1:12" ht="15" customHeight="1">
      <c r="A99" t="s">
        <v>402</v>
      </c>
      <c r="F99" s="1" t="s">
        <v>393</v>
      </c>
      <c r="G99" s="1" t="s">
        <v>458</v>
      </c>
      <c r="H99" s="1" t="str">
        <f t="shared" si="3"/>
        <v>GroceryLaundry</v>
      </c>
      <c r="I99" s="1">
        <v>3438</v>
      </c>
      <c r="J99" s="1">
        <v>0.65</v>
      </c>
      <c r="K99" s="1">
        <v>0.64</v>
      </c>
      <c r="L99" s="1">
        <v>0.4</v>
      </c>
    </row>
    <row r="100" spans="1:12" ht="15" customHeight="1">
      <c r="F100" s="1" t="s">
        <v>393</v>
      </c>
      <c r="G100" s="1" t="s">
        <v>460</v>
      </c>
      <c r="H100" s="1" t="str">
        <f t="shared" si="3"/>
        <v>GroceryLibrary</v>
      </c>
      <c r="I100" s="1">
        <v>1957</v>
      </c>
      <c r="J100" s="1">
        <v>0.44</v>
      </c>
      <c r="K100" s="1">
        <v>0.46</v>
      </c>
      <c r="L100" s="1">
        <v>0.31</v>
      </c>
    </row>
    <row r="101" spans="1:12" ht="15" customHeight="1">
      <c r="A101" s="8" t="s">
        <v>376</v>
      </c>
      <c r="B101" s="8" t="s">
        <v>500</v>
      </c>
      <c r="F101" s="1" t="s">
        <v>393</v>
      </c>
      <c r="G101" s="1" t="s">
        <v>462</v>
      </c>
      <c r="H101" s="1" t="str">
        <f t="shared" si="3"/>
        <v>GroceryLoading Dock</v>
      </c>
      <c r="I101" s="1">
        <v>7358</v>
      </c>
      <c r="J101" s="1">
        <v>0.97</v>
      </c>
      <c r="K101" s="1">
        <v>0.97</v>
      </c>
      <c r="L101" s="1">
        <v>0.62</v>
      </c>
    </row>
    <row r="102" spans="1:12" ht="15" customHeight="1">
      <c r="A102" s="70" t="s">
        <v>392</v>
      </c>
      <c r="B102" s="9">
        <v>0.23</v>
      </c>
      <c r="F102" s="1" t="s">
        <v>393</v>
      </c>
      <c r="G102" s="1" t="s">
        <v>466</v>
      </c>
      <c r="H102" s="1" t="str">
        <f t="shared" si="3"/>
        <v>GroceryLobby (Main Entry and Assembly)</v>
      </c>
      <c r="I102" s="1">
        <v>5947</v>
      </c>
      <c r="J102" s="1">
        <v>0.83</v>
      </c>
      <c r="K102" s="1">
        <v>0.82</v>
      </c>
      <c r="L102" s="1">
        <v>0.71</v>
      </c>
    </row>
    <row r="103" spans="1:12" ht="15" customHeight="1">
      <c r="A103" s="70" t="s">
        <v>422</v>
      </c>
      <c r="B103" s="9">
        <v>0.3</v>
      </c>
      <c r="F103" s="1" t="s">
        <v>393</v>
      </c>
      <c r="G103" s="1" t="s">
        <v>468</v>
      </c>
      <c r="H103" s="1" t="str">
        <f t="shared" si="3"/>
        <v>GroceryLobby (Office Reception/Waiting)</v>
      </c>
      <c r="I103" s="1">
        <v>3425</v>
      </c>
      <c r="J103" s="1">
        <v>0.84</v>
      </c>
      <c r="K103" s="1">
        <v>0.87</v>
      </c>
      <c r="L103" s="1">
        <v>0.49</v>
      </c>
    </row>
    <row r="104" spans="1:12" ht="15" customHeight="1">
      <c r="A104" s="70" t="s">
        <v>257</v>
      </c>
      <c r="B104" s="9">
        <v>0.63</v>
      </c>
      <c r="F104" s="1" t="s">
        <v>393</v>
      </c>
      <c r="G104" s="1" t="s">
        <v>470</v>
      </c>
      <c r="H104" s="1" t="str">
        <f t="shared" si="3"/>
        <v>GroceryLocker and Dressing Room</v>
      </c>
      <c r="I104" s="1">
        <v>3438</v>
      </c>
      <c r="J104" s="1">
        <v>0.65</v>
      </c>
      <c r="K104" s="1">
        <v>0.64</v>
      </c>
      <c r="L104" s="1">
        <v>0.4</v>
      </c>
    </row>
    <row r="105" spans="1:12" ht="15" customHeight="1">
      <c r="A105" s="70" t="s">
        <v>404</v>
      </c>
      <c r="B105" s="9">
        <v>0.28000000000000003</v>
      </c>
      <c r="F105" s="1" t="s">
        <v>393</v>
      </c>
      <c r="G105" s="1" t="s">
        <v>473</v>
      </c>
      <c r="H105" s="1" t="str">
        <f t="shared" si="3"/>
        <v>GroceryMechanical/Electrical Room</v>
      </c>
      <c r="I105" s="1">
        <v>5026</v>
      </c>
      <c r="J105" s="1">
        <v>0.73</v>
      </c>
      <c r="K105" s="1">
        <v>0.74</v>
      </c>
      <c r="L105" s="1">
        <v>0.46</v>
      </c>
    </row>
    <row r="106" spans="1:12" ht="15" customHeight="1">
      <c r="A106" s="70" t="s">
        <v>465</v>
      </c>
      <c r="B106" s="9">
        <v>0.47</v>
      </c>
      <c r="F106" s="1" t="s">
        <v>393</v>
      </c>
      <c r="G106" s="1" t="s">
        <v>475</v>
      </c>
      <c r="H106" s="1" t="str">
        <f t="shared" si="3"/>
        <v>GroceryMedical Offices and Exam rooms</v>
      </c>
      <c r="I106" s="1">
        <v>3438</v>
      </c>
      <c r="J106" s="1">
        <v>0.65</v>
      </c>
      <c r="K106" s="1">
        <v>0.64</v>
      </c>
      <c r="L106" s="1">
        <v>0.4</v>
      </c>
    </row>
    <row r="107" spans="1:12" ht="15" customHeight="1">
      <c r="A107" s="70" t="s">
        <v>398</v>
      </c>
      <c r="B107" s="9">
        <v>0.44</v>
      </c>
      <c r="F107" s="1" t="s">
        <v>393</v>
      </c>
      <c r="G107" s="1" t="s">
        <v>2723</v>
      </c>
      <c r="H107" s="1" t="str">
        <f t="shared" si="3"/>
        <v>GroceryNon-Hallway Common Areas[1]</v>
      </c>
      <c r="I107" s="1">
        <v>3438</v>
      </c>
      <c r="J107" s="1">
        <v>0.65</v>
      </c>
      <c r="K107" s="1">
        <v>0.64</v>
      </c>
      <c r="L107" s="1">
        <v>0.4</v>
      </c>
    </row>
    <row r="108" spans="1:12" ht="15" customHeight="1">
      <c r="A108" s="70" t="s">
        <v>421</v>
      </c>
      <c r="B108" s="9">
        <v>0.82</v>
      </c>
      <c r="F108" s="1" t="s">
        <v>393</v>
      </c>
      <c r="G108" s="1" t="s">
        <v>477</v>
      </c>
      <c r="H108" s="1" t="str">
        <f t="shared" si="3"/>
        <v>GroceryOffice (Executive/Private)</v>
      </c>
      <c r="I108" s="1">
        <v>1753</v>
      </c>
      <c r="J108" s="1">
        <v>0.42</v>
      </c>
      <c r="K108" s="1">
        <v>0.44</v>
      </c>
      <c r="L108" s="1">
        <v>0.2</v>
      </c>
    </row>
    <row r="109" spans="1:12" ht="15" customHeight="1">
      <c r="A109" s="70" t="s">
        <v>66</v>
      </c>
      <c r="B109" s="9">
        <v>0.47</v>
      </c>
      <c r="F109" s="1" t="s">
        <v>393</v>
      </c>
      <c r="G109" s="1" t="s">
        <v>260</v>
      </c>
      <c r="H109" s="1" t="str">
        <f t="shared" si="3"/>
        <v>GroceryOffice (General)</v>
      </c>
      <c r="I109" s="1">
        <v>3001</v>
      </c>
      <c r="J109" s="1">
        <v>0.67</v>
      </c>
      <c r="K109" s="1">
        <v>0.67</v>
      </c>
      <c r="L109" s="1">
        <v>0.43</v>
      </c>
    </row>
    <row r="110" spans="1:12" ht="15" customHeight="1">
      <c r="F110" s="1" t="s">
        <v>393</v>
      </c>
      <c r="G110" s="1" t="s">
        <v>2724</v>
      </c>
      <c r="H110" s="1" t="str">
        <f t="shared" si="3"/>
        <v>GroceryOffice (Open Plan)</v>
      </c>
      <c r="I110" s="1">
        <v>3159</v>
      </c>
      <c r="J110" s="1">
        <v>0.81</v>
      </c>
      <c r="K110" s="1">
        <v>0.82</v>
      </c>
      <c r="L110" s="1">
        <v>0.49</v>
      </c>
    </row>
    <row r="111" spans="1:12" ht="15" customHeight="1">
      <c r="A111" s="367" t="s">
        <v>2735</v>
      </c>
      <c r="B111" s="368"/>
      <c r="F111" s="1" t="s">
        <v>393</v>
      </c>
      <c r="G111" s="1" t="s">
        <v>66</v>
      </c>
      <c r="H111" s="1" t="str">
        <f t="shared" si="3"/>
        <v>GroceryOther</v>
      </c>
      <c r="I111" s="1">
        <v>3438</v>
      </c>
      <c r="J111" s="1">
        <v>0.65</v>
      </c>
      <c r="K111" s="1">
        <v>0.64</v>
      </c>
      <c r="L111" s="1">
        <v>0.4</v>
      </c>
    </row>
    <row r="112" spans="1:12" ht="15" customHeight="1">
      <c r="A112" s="1" t="s">
        <v>2736</v>
      </c>
      <c r="B112" s="1" t="s">
        <v>2712</v>
      </c>
      <c r="F112" s="1" t="s">
        <v>393</v>
      </c>
      <c r="G112" s="1" t="s">
        <v>496</v>
      </c>
      <c r="H112" s="1" t="str">
        <f t="shared" si="3"/>
        <v>GroceryOutside/Outdoor Area</v>
      </c>
      <c r="I112" s="1">
        <v>3604</v>
      </c>
      <c r="J112" s="1">
        <v>0.11</v>
      </c>
      <c r="K112" s="1">
        <v>0.11</v>
      </c>
      <c r="L112" s="1">
        <v>0.57999999999999996</v>
      </c>
    </row>
    <row r="113" spans="1:12" ht="15" customHeight="1">
      <c r="A113" s="1" t="s">
        <v>2737</v>
      </c>
      <c r="B113" s="1" t="s">
        <v>2712</v>
      </c>
      <c r="F113" s="1" t="s">
        <v>393</v>
      </c>
      <c r="G113" s="1" t="s">
        <v>492</v>
      </c>
      <c r="H113" s="1" t="str">
        <f t="shared" si="3"/>
        <v>GroceryParking Garage</v>
      </c>
      <c r="I113" s="1">
        <v>8678</v>
      </c>
      <c r="J113" s="1">
        <v>0.98</v>
      </c>
      <c r="K113" s="1">
        <v>0.98</v>
      </c>
      <c r="L113" s="1">
        <v>0.99</v>
      </c>
    </row>
    <row r="114" spans="1:12" ht="15" customHeight="1">
      <c r="A114" s="1" t="s">
        <v>2738</v>
      </c>
      <c r="B114" s="1" t="s">
        <v>2712</v>
      </c>
      <c r="F114" s="1" t="s">
        <v>393</v>
      </c>
      <c r="G114" s="1" t="s">
        <v>480</v>
      </c>
      <c r="H114" s="1" t="str">
        <f t="shared" si="3"/>
        <v>GroceryPatient Rooms</v>
      </c>
      <c r="I114" s="1">
        <v>3438</v>
      </c>
      <c r="J114" s="1">
        <v>0.65</v>
      </c>
      <c r="K114" s="1">
        <v>0.64</v>
      </c>
      <c r="L114" s="1">
        <v>0.4</v>
      </c>
    </row>
    <row r="115" spans="1:12" ht="15" customHeight="1">
      <c r="A115" s="1" t="s">
        <v>2739</v>
      </c>
      <c r="B115" s="1" t="s">
        <v>2712</v>
      </c>
      <c r="F115" s="1" t="s">
        <v>393</v>
      </c>
      <c r="G115" s="1" t="s">
        <v>482</v>
      </c>
      <c r="H115" s="1" t="str">
        <f t="shared" si="3"/>
        <v>GroceryResidential</v>
      </c>
      <c r="I115" s="1">
        <v>3438</v>
      </c>
      <c r="J115" s="1">
        <v>0.65</v>
      </c>
      <c r="K115" s="1">
        <v>0.64</v>
      </c>
      <c r="L115" s="1">
        <v>0.4</v>
      </c>
    </row>
    <row r="116" spans="1:12" ht="15" customHeight="1">
      <c r="A116" s="1" t="s">
        <v>2740</v>
      </c>
      <c r="B116" s="1" t="s">
        <v>2712</v>
      </c>
      <c r="F116" s="1" t="s">
        <v>393</v>
      </c>
      <c r="G116" s="1" t="s">
        <v>483</v>
      </c>
      <c r="H116" s="1" t="str">
        <f t="shared" si="3"/>
        <v>GroceryRestrooms</v>
      </c>
      <c r="I116" s="1">
        <v>2521</v>
      </c>
      <c r="J116" s="1">
        <v>0.48</v>
      </c>
      <c r="K116" s="1">
        <v>0.42</v>
      </c>
      <c r="L116" s="1">
        <v>0.3</v>
      </c>
    </row>
    <row r="117" spans="1:12" ht="15" customHeight="1">
      <c r="A117" s="1" t="s">
        <v>2741</v>
      </c>
      <c r="B117" s="1" t="s">
        <v>2712</v>
      </c>
      <c r="F117" s="1" t="s">
        <v>393</v>
      </c>
      <c r="G117" s="1" t="s">
        <v>484</v>
      </c>
      <c r="H117" s="1" t="str">
        <f t="shared" si="3"/>
        <v>GroceryRetail Sales/Showroom</v>
      </c>
      <c r="I117" s="1">
        <v>7374</v>
      </c>
      <c r="J117" s="1">
        <v>0.98</v>
      </c>
      <c r="K117" s="1">
        <v>0.98</v>
      </c>
      <c r="L117" s="1">
        <v>0.93</v>
      </c>
    </row>
    <row r="118" spans="1:12" ht="15" customHeight="1">
      <c r="A118" s="1" t="s">
        <v>2742</v>
      </c>
      <c r="B118" s="1" t="s">
        <v>2712</v>
      </c>
      <c r="F118" s="1" t="s">
        <v>393</v>
      </c>
      <c r="G118" s="1" t="s">
        <v>485</v>
      </c>
      <c r="H118" s="1" t="str">
        <f t="shared" si="3"/>
        <v>GrocerySmoking Lounge</v>
      </c>
      <c r="I118" s="1">
        <v>3438</v>
      </c>
      <c r="J118" s="1">
        <v>0.65</v>
      </c>
      <c r="K118" s="1">
        <v>0.64</v>
      </c>
      <c r="L118" s="1">
        <v>0.4</v>
      </c>
    </row>
    <row r="119" spans="1:12" ht="15" customHeight="1">
      <c r="A119" s="1" t="s">
        <v>2743</v>
      </c>
      <c r="B119" s="1" t="s">
        <v>2712</v>
      </c>
      <c r="F119" s="1" t="s">
        <v>393</v>
      </c>
      <c r="G119" s="1" t="s">
        <v>2725</v>
      </c>
      <c r="H119" s="1" t="str">
        <f t="shared" si="3"/>
        <v>GroceryStorage (Conditioned &amp; Walk-In Refrigerator/Freezer)</v>
      </c>
      <c r="I119" s="1">
        <v>4672</v>
      </c>
      <c r="J119" s="1">
        <v>0.81</v>
      </c>
      <c r="K119" s="1">
        <v>0.81</v>
      </c>
      <c r="L119" s="1">
        <v>0.44</v>
      </c>
    </row>
    <row r="120" spans="1:12" ht="15" customHeight="1">
      <c r="A120" s="1" t="s">
        <v>2744</v>
      </c>
      <c r="B120" s="1" t="s">
        <v>2712</v>
      </c>
      <c r="F120" s="1" t="s">
        <v>393</v>
      </c>
      <c r="G120" s="1" t="s">
        <v>486</v>
      </c>
      <c r="H120" s="1" t="str">
        <f t="shared" si="3"/>
        <v>GroceryStorage (Conditioned)</v>
      </c>
      <c r="I120" s="1">
        <v>6027</v>
      </c>
      <c r="J120" s="1">
        <v>0.84</v>
      </c>
      <c r="K120" s="1">
        <v>0.84</v>
      </c>
      <c r="L120" s="1">
        <v>0.82</v>
      </c>
    </row>
    <row r="121" spans="1:12" ht="15" customHeight="1">
      <c r="A121" s="1" t="s">
        <v>2745</v>
      </c>
      <c r="B121" s="1" t="s">
        <v>2712</v>
      </c>
      <c r="F121" s="1" t="s">
        <v>393</v>
      </c>
      <c r="G121" s="1" t="s">
        <v>488</v>
      </c>
      <c r="H121" s="1" t="str">
        <f t="shared" si="3"/>
        <v>GroceryStorage (Refrigerated/Freezer),Walk-in</v>
      </c>
      <c r="I121" s="1">
        <v>3438</v>
      </c>
      <c r="J121" s="1">
        <v>0.65</v>
      </c>
      <c r="K121" s="1">
        <v>0.64</v>
      </c>
      <c r="L121" s="1">
        <v>0.4</v>
      </c>
    </row>
    <row r="122" spans="1:12" ht="15" customHeight="1">
      <c r="A122" s="1" t="s">
        <v>2746</v>
      </c>
      <c r="B122" s="1" t="s">
        <v>2712</v>
      </c>
      <c r="F122" s="1" t="s">
        <v>393</v>
      </c>
      <c r="G122" s="1" t="s">
        <v>487</v>
      </c>
      <c r="H122" s="1" t="str">
        <f t="shared" si="3"/>
        <v>GroceryStorage (Unconditioned)</v>
      </c>
      <c r="I122" s="1">
        <v>2930</v>
      </c>
      <c r="J122" s="1">
        <v>0.66</v>
      </c>
      <c r="K122" s="1">
        <v>0.64</v>
      </c>
      <c r="L122" s="1">
        <v>0.4</v>
      </c>
    </row>
    <row r="123" spans="1:12" ht="15" customHeight="1">
      <c r="A123" s="1" t="s">
        <v>2747</v>
      </c>
      <c r="B123" s="1" t="s">
        <v>2712</v>
      </c>
      <c r="F123" s="1" t="s">
        <v>393</v>
      </c>
      <c r="G123" s="1" t="s">
        <v>2726</v>
      </c>
      <c r="H123" s="1" t="str">
        <f t="shared" si="3"/>
        <v>GroceryStorage (Walk-In Refrigerator/Freezer)</v>
      </c>
      <c r="I123" s="1">
        <v>5851</v>
      </c>
      <c r="J123" s="1">
        <v>1</v>
      </c>
      <c r="K123" s="1">
        <v>0.99</v>
      </c>
      <c r="L123" s="1">
        <v>0.98</v>
      </c>
    </row>
    <row r="124" spans="1:12" ht="15" customHeight="1">
      <c r="A124" s="1" t="s">
        <v>2748</v>
      </c>
      <c r="B124" s="1" t="s">
        <v>2712</v>
      </c>
      <c r="F124" s="1" t="s">
        <v>393</v>
      </c>
      <c r="G124" s="1" t="s">
        <v>2728</v>
      </c>
      <c r="H124" s="1" t="str">
        <f t="shared" si="3"/>
        <v>GroceryVacant (Conditioned)</v>
      </c>
      <c r="I124" s="1">
        <v>3438</v>
      </c>
      <c r="J124" s="1">
        <v>0.65</v>
      </c>
      <c r="K124" s="1">
        <v>0.64</v>
      </c>
      <c r="L124" s="1">
        <v>0.4</v>
      </c>
    </row>
    <row r="125" spans="1:12" ht="15" customHeight="1">
      <c r="A125" s="1" t="s">
        <v>2749</v>
      </c>
      <c r="B125" s="1" t="s">
        <v>2712</v>
      </c>
      <c r="F125" s="1" t="s">
        <v>441</v>
      </c>
      <c r="G125" s="1" t="s">
        <v>394</v>
      </c>
      <c r="H125" s="1" t="str">
        <f t="shared" si="3"/>
        <v>HealthAuditorium/Gym</v>
      </c>
      <c r="I125" s="1">
        <v>3438</v>
      </c>
      <c r="J125" s="1">
        <v>0.65</v>
      </c>
      <c r="K125" s="1">
        <v>0.64</v>
      </c>
      <c r="L125" s="1">
        <v>0.4</v>
      </c>
    </row>
    <row r="126" spans="1:12" ht="15" customHeight="1">
      <c r="A126" s="1" t="s">
        <v>2750</v>
      </c>
      <c r="B126" s="1" t="s">
        <v>2712</v>
      </c>
      <c r="F126" s="1" t="s">
        <v>441</v>
      </c>
      <c r="G126" s="1" t="s">
        <v>399</v>
      </c>
      <c r="H126" s="1" t="str">
        <f t="shared" si="3"/>
        <v>HealthAuto Repair Workshop</v>
      </c>
      <c r="I126" s="1">
        <v>6189</v>
      </c>
      <c r="J126" s="1">
        <v>0.88</v>
      </c>
      <c r="K126" s="1">
        <v>0.89</v>
      </c>
      <c r="L126" s="1">
        <v>0.61</v>
      </c>
    </row>
    <row r="127" spans="1:12" ht="15" customHeight="1">
      <c r="A127" s="1" t="s">
        <v>2751</v>
      </c>
      <c r="B127" s="1" t="s">
        <v>2712</v>
      </c>
      <c r="F127" s="1" t="s">
        <v>441</v>
      </c>
      <c r="G127" s="1" t="s">
        <v>413</v>
      </c>
      <c r="H127" s="1" t="str">
        <f t="shared" si="3"/>
        <v>HealthClassroom/Lecture</v>
      </c>
      <c r="I127" s="1">
        <v>1584</v>
      </c>
      <c r="J127" s="1">
        <v>0.24</v>
      </c>
      <c r="K127" s="1">
        <v>0.24</v>
      </c>
      <c r="L127" s="1">
        <v>0.2</v>
      </c>
    </row>
    <row r="128" spans="1:12" ht="15" customHeight="1">
      <c r="A128" s="1" t="s">
        <v>2752</v>
      </c>
      <c r="B128" s="1" t="s">
        <v>2712</v>
      </c>
      <c r="F128" s="1" t="s">
        <v>441</v>
      </c>
      <c r="G128" s="1" t="s">
        <v>2720</v>
      </c>
      <c r="H128" s="1" t="str">
        <f t="shared" si="3"/>
        <v>HealthComm/Ind Work (General High Bay)</v>
      </c>
      <c r="I128" s="1">
        <v>4790</v>
      </c>
      <c r="J128" s="1">
        <v>0.9</v>
      </c>
      <c r="K128" s="1">
        <v>0.91</v>
      </c>
      <c r="L128" s="1">
        <v>0.82</v>
      </c>
    </row>
    <row r="129" spans="1:12" ht="15" customHeight="1">
      <c r="A129" s="1" t="s">
        <v>2753</v>
      </c>
      <c r="B129" s="1" t="s">
        <v>2712</v>
      </c>
      <c r="F129" s="1" t="s">
        <v>441</v>
      </c>
      <c r="G129" s="1" t="s">
        <v>2721</v>
      </c>
      <c r="H129" s="1" t="str">
        <f t="shared" si="3"/>
        <v>HealthComm/Ind Work (General Low Bay)</v>
      </c>
      <c r="I129" s="1">
        <v>6775</v>
      </c>
      <c r="J129" s="1">
        <v>0.95</v>
      </c>
      <c r="K129" s="1">
        <v>0.95</v>
      </c>
      <c r="L129" s="1">
        <v>0.77</v>
      </c>
    </row>
    <row r="130" spans="1:12" ht="15" customHeight="1">
      <c r="A130" s="1" t="s">
        <v>2754</v>
      </c>
      <c r="B130" s="1" t="s">
        <v>2712</v>
      </c>
      <c r="F130" s="1" t="s">
        <v>441</v>
      </c>
      <c r="G130" s="1" t="s">
        <v>433</v>
      </c>
      <c r="H130" s="1" t="str">
        <f t="shared" ref="H130:H193" si="5">_xlfn.CONCAT(F130,G130)</f>
        <v>HealthComm/Ind Work (Precision)</v>
      </c>
      <c r="I130" s="1">
        <v>3438</v>
      </c>
      <c r="J130" s="1">
        <v>0.65</v>
      </c>
      <c r="K130" s="1">
        <v>0.64</v>
      </c>
      <c r="L130" s="1">
        <v>0.4</v>
      </c>
    </row>
    <row r="131" spans="1:12" ht="15" customHeight="1">
      <c r="A131" s="1" t="s">
        <v>2755</v>
      </c>
      <c r="B131" s="1" t="s">
        <v>2712</v>
      </c>
      <c r="F131" s="1" t="s">
        <v>441</v>
      </c>
      <c r="G131" s="1" t="s">
        <v>2722</v>
      </c>
      <c r="H131" s="1" t="str">
        <f t="shared" si="5"/>
        <v>HealthCommon Area Hallways[2]</v>
      </c>
      <c r="I131" s="1">
        <v>3438</v>
      </c>
      <c r="J131" s="1">
        <v>0.65</v>
      </c>
      <c r="K131" s="1">
        <v>0.64</v>
      </c>
      <c r="L131" s="1">
        <v>0.4</v>
      </c>
    </row>
    <row r="132" spans="1:12" ht="15" customHeight="1">
      <c r="A132" s="1" t="s">
        <v>2756</v>
      </c>
      <c r="B132" s="1" t="s">
        <v>2712</v>
      </c>
      <c r="F132" s="1" t="s">
        <v>441</v>
      </c>
      <c r="G132" s="1" t="s">
        <v>423</v>
      </c>
      <c r="H132" s="1" t="str">
        <f t="shared" si="5"/>
        <v>HealthComputer Room/Data Processing</v>
      </c>
      <c r="I132" s="1">
        <v>3438</v>
      </c>
      <c r="J132" s="1">
        <v>0.65</v>
      </c>
      <c r="K132" s="1">
        <v>0.64</v>
      </c>
      <c r="L132" s="1">
        <v>0.4</v>
      </c>
    </row>
    <row r="133" spans="1:12" ht="15" customHeight="1">
      <c r="A133" s="1" t="s">
        <v>2757</v>
      </c>
      <c r="B133" s="1" t="s">
        <v>2712</v>
      </c>
      <c r="F133" s="1" t="s">
        <v>441</v>
      </c>
      <c r="G133" s="1" t="s">
        <v>436</v>
      </c>
      <c r="H133" s="1" t="str">
        <f t="shared" si="5"/>
        <v>HealthConference Room</v>
      </c>
      <c r="I133" s="1">
        <v>1201</v>
      </c>
      <c r="J133" s="1">
        <v>0.28000000000000003</v>
      </c>
      <c r="K133" s="1">
        <v>0.3</v>
      </c>
      <c r="L133" s="1">
        <v>0.16</v>
      </c>
    </row>
    <row r="134" spans="1:12" ht="15" customHeight="1">
      <c r="A134" s="1" t="s">
        <v>2758</v>
      </c>
      <c r="B134" s="1" t="s">
        <v>2712</v>
      </c>
      <c r="F134" s="1" t="s">
        <v>441</v>
      </c>
      <c r="G134" s="1" t="s">
        <v>442</v>
      </c>
      <c r="H134" s="1" t="str">
        <f t="shared" si="5"/>
        <v>HealthCopy Room</v>
      </c>
      <c r="I134" s="1">
        <v>2964</v>
      </c>
      <c r="J134" s="1">
        <v>0.59</v>
      </c>
      <c r="K134" s="1">
        <v>0.61</v>
      </c>
      <c r="L134" s="1">
        <v>0.41</v>
      </c>
    </row>
    <row r="135" spans="1:12" ht="15" customHeight="1">
      <c r="A135" s="1" t="s">
        <v>2759</v>
      </c>
      <c r="B135" s="1" t="s">
        <v>2773</v>
      </c>
      <c r="F135" s="1" t="s">
        <v>441</v>
      </c>
      <c r="G135" s="1" t="s">
        <v>445</v>
      </c>
      <c r="H135" s="1" t="str">
        <f t="shared" si="5"/>
        <v>HealthCorridor/Hallways</v>
      </c>
      <c r="I135" s="1">
        <v>6191</v>
      </c>
      <c r="J135" s="1">
        <v>0.9</v>
      </c>
      <c r="K135" s="1">
        <v>0.9</v>
      </c>
      <c r="L135" s="1">
        <v>0.77</v>
      </c>
    </row>
    <row r="136" spans="1:12" ht="15" customHeight="1">
      <c r="A136" s="1" t="s">
        <v>2760</v>
      </c>
      <c r="B136" s="1" t="s">
        <v>2773</v>
      </c>
      <c r="F136" s="1" t="s">
        <v>441</v>
      </c>
      <c r="G136" s="1" t="s">
        <v>448</v>
      </c>
      <c r="H136" s="1" t="str">
        <f t="shared" si="5"/>
        <v>HealthDining Area</v>
      </c>
      <c r="I136" s="1">
        <v>2962</v>
      </c>
      <c r="J136" s="1">
        <v>0.48</v>
      </c>
      <c r="K136" s="1">
        <v>0.53</v>
      </c>
      <c r="L136" s="1">
        <v>0.51</v>
      </c>
    </row>
    <row r="137" spans="1:12" ht="15" customHeight="1">
      <c r="A137" s="1" t="s">
        <v>2761</v>
      </c>
      <c r="B137" s="1" t="s">
        <v>2773</v>
      </c>
      <c r="F137" s="1" t="s">
        <v>441</v>
      </c>
      <c r="G137" s="1" t="s">
        <v>450</v>
      </c>
      <c r="H137" s="1" t="str">
        <f t="shared" si="5"/>
        <v>HealthExercise Centers/Gymnasium</v>
      </c>
      <c r="I137" s="1">
        <v>4833</v>
      </c>
      <c r="J137" s="1">
        <v>0.81</v>
      </c>
      <c r="K137" s="1">
        <v>0.82</v>
      </c>
      <c r="L137" s="1">
        <v>0.6</v>
      </c>
    </row>
    <row r="138" spans="1:12" ht="15" customHeight="1">
      <c r="A138" s="1" t="s">
        <v>2762</v>
      </c>
      <c r="B138" s="1" t="s">
        <v>2773</v>
      </c>
      <c r="F138" s="1" t="s">
        <v>441</v>
      </c>
      <c r="G138" s="1" t="s">
        <v>451</v>
      </c>
      <c r="H138" s="1" t="str">
        <f t="shared" si="5"/>
        <v>HealthExhibit Display Area/Museum</v>
      </c>
      <c r="I138" s="1">
        <v>2964</v>
      </c>
      <c r="J138" s="1">
        <v>0.59</v>
      </c>
      <c r="K138" s="1">
        <v>0.61</v>
      </c>
      <c r="L138" s="1">
        <v>0.41</v>
      </c>
    </row>
    <row r="139" spans="1:12" ht="15" customHeight="1">
      <c r="A139" s="1" t="s">
        <v>2763</v>
      </c>
      <c r="B139" s="1" t="s">
        <v>2712</v>
      </c>
      <c r="F139" s="1" t="s">
        <v>441</v>
      </c>
      <c r="G139" s="1" t="s">
        <v>455</v>
      </c>
      <c r="H139" s="1" t="str">
        <f t="shared" si="5"/>
        <v>HealthKitchen/Break room &amp; Food Prep</v>
      </c>
      <c r="I139" s="1">
        <v>3522</v>
      </c>
      <c r="J139" s="1">
        <v>0.79</v>
      </c>
      <c r="K139" s="1">
        <v>0.74</v>
      </c>
      <c r="L139" s="1">
        <v>0.42</v>
      </c>
    </row>
    <row r="140" spans="1:12" ht="15" customHeight="1">
      <c r="A140" s="1" t="s">
        <v>2764</v>
      </c>
      <c r="B140" s="1" t="s">
        <v>2773</v>
      </c>
      <c r="F140" s="1" t="s">
        <v>441</v>
      </c>
      <c r="G140" s="1" t="s">
        <v>458</v>
      </c>
      <c r="H140" s="1" t="str">
        <f t="shared" si="5"/>
        <v>HealthLaundry</v>
      </c>
      <c r="I140" s="1">
        <v>2964</v>
      </c>
      <c r="J140" s="1">
        <v>0.59</v>
      </c>
      <c r="K140" s="1">
        <v>0.61</v>
      </c>
      <c r="L140" s="1">
        <v>0.41</v>
      </c>
    </row>
    <row r="141" spans="1:12" ht="15" customHeight="1">
      <c r="A141" s="1" t="s">
        <v>2765</v>
      </c>
      <c r="B141" s="1" t="s">
        <v>2712</v>
      </c>
      <c r="F141" s="1" t="s">
        <v>441</v>
      </c>
      <c r="G141" s="1" t="s">
        <v>460</v>
      </c>
      <c r="H141" s="1" t="str">
        <f t="shared" si="5"/>
        <v>HealthLibrary</v>
      </c>
      <c r="I141" s="1">
        <v>1957</v>
      </c>
      <c r="J141" s="1">
        <v>0.44</v>
      </c>
      <c r="K141" s="1">
        <v>0.46</v>
      </c>
      <c r="L141" s="1">
        <v>0.31</v>
      </c>
    </row>
    <row r="142" spans="1:12" ht="15" customHeight="1">
      <c r="A142" s="1" t="s">
        <v>2766</v>
      </c>
      <c r="B142" s="1" t="s">
        <v>2712</v>
      </c>
      <c r="F142" s="1" t="s">
        <v>441</v>
      </c>
      <c r="G142" s="1" t="s">
        <v>462</v>
      </c>
      <c r="H142" s="1" t="str">
        <f t="shared" si="5"/>
        <v>HealthLoading Dock</v>
      </c>
      <c r="I142" s="1">
        <v>7358</v>
      </c>
      <c r="J142" s="1">
        <v>0.97</v>
      </c>
      <c r="K142" s="1">
        <v>0.97</v>
      </c>
      <c r="L142" s="1">
        <v>0.62</v>
      </c>
    </row>
    <row r="143" spans="1:12" ht="15" customHeight="1">
      <c r="A143" s="1" t="s">
        <v>2767</v>
      </c>
      <c r="B143" s="1" t="s">
        <v>2712</v>
      </c>
      <c r="F143" s="1" t="s">
        <v>441</v>
      </c>
      <c r="G143" s="1" t="s">
        <v>466</v>
      </c>
      <c r="H143" s="1" t="str">
        <f t="shared" si="5"/>
        <v>HealthLobby (Main Entry and Assembly)</v>
      </c>
      <c r="I143" s="1">
        <v>5947</v>
      </c>
      <c r="J143" s="1">
        <v>0.83</v>
      </c>
      <c r="K143" s="1">
        <v>0.82</v>
      </c>
      <c r="L143" s="1">
        <v>0.71</v>
      </c>
    </row>
    <row r="144" spans="1:12" ht="15" customHeight="1">
      <c r="A144" s="1" t="s">
        <v>2768</v>
      </c>
      <c r="B144" s="1" t="s">
        <v>2712</v>
      </c>
      <c r="F144" s="1" t="s">
        <v>441</v>
      </c>
      <c r="G144" s="1" t="s">
        <v>468</v>
      </c>
      <c r="H144" s="1" t="str">
        <f t="shared" si="5"/>
        <v>HealthLobby (Office Reception/Waiting)</v>
      </c>
      <c r="I144" s="1">
        <v>3425</v>
      </c>
      <c r="J144" s="1">
        <v>0.84</v>
      </c>
      <c r="K144" s="1">
        <v>0.87</v>
      </c>
      <c r="L144" s="1">
        <v>0.49</v>
      </c>
    </row>
    <row r="145" spans="1:12" ht="15" customHeight="1">
      <c r="A145" s="1" t="s">
        <v>2769</v>
      </c>
      <c r="B145" s="1" t="s">
        <v>2712</v>
      </c>
      <c r="F145" s="1" t="s">
        <v>441</v>
      </c>
      <c r="G145" s="1" t="s">
        <v>470</v>
      </c>
      <c r="H145" s="1" t="str">
        <f t="shared" si="5"/>
        <v>HealthLocker and Dressing Room</v>
      </c>
      <c r="I145" s="1">
        <v>2964</v>
      </c>
      <c r="J145" s="1">
        <v>0.59</v>
      </c>
      <c r="K145" s="1">
        <v>0.61</v>
      </c>
      <c r="L145" s="1">
        <v>0.41</v>
      </c>
    </row>
    <row r="146" spans="1:12" ht="15" customHeight="1">
      <c r="A146" s="1" t="s">
        <v>2770</v>
      </c>
      <c r="B146" s="1" t="s">
        <v>2712</v>
      </c>
      <c r="F146" s="1" t="s">
        <v>441</v>
      </c>
      <c r="G146" s="1" t="s">
        <v>473</v>
      </c>
      <c r="H146" s="1" t="str">
        <f t="shared" si="5"/>
        <v>HealthMechanical/Electrical Room</v>
      </c>
      <c r="I146" s="1">
        <v>5026</v>
      </c>
      <c r="J146" s="1">
        <v>0.73</v>
      </c>
      <c r="K146" s="1">
        <v>0.74</v>
      </c>
      <c r="L146" s="1">
        <v>0.46</v>
      </c>
    </row>
    <row r="147" spans="1:12" ht="15" customHeight="1">
      <c r="A147" s="1" t="s">
        <v>2771</v>
      </c>
      <c r="B147" s="1" t="s">
        <v>2712</v>
      </c>
      <c r="F147" s="1" t="s">
        <v>441</v>
      </c>
      <c r="G147" s="1" t="s">
        <v>475</v>
      </c>
      <c r="H147" s="1" t="str">
        <f t="shared" si="5"/>
        <v>HealthMedical Offices and Exam rooms</v>
      </c>
      <c r="I147" s="1">
        <v>2964</v>
      </c>
      <c r="J147" s="1">
        <v>0.59</v>
      </c>
      <c r="K147" s="1">
        <v>0.61</v>
      </c>
      <c r="L147" s="1">
        <v>0.41</v>
      </c>
    </row>
    <row r="148" spans="1:12" ht="15" customHeight="1">
      <c r="A148" s="1" t="s">
        <v>66</v>
      </c>
      <c r="B148" s="1" t="s">
        <v>2712</v>
      </c>
      <c r="F148" s="1" t="s">
        <v>441</v>
      </c>
      <c r="G148" s="1" t="s">
        <v>2723</v>
      </c>
      <c r="H148" s="1" t="str">
        <f t="shared" si="5"/>
        <v>HealthNon-Hallway Common Areas[1]</v>
      </c>
      <c r="I148" s="1">
        <v>3438</v>
      </c>
      <c r="J148" s="1">
        <v>0.65</v>
      </c>
      <c r="K148" s="1">
        <v>0.64</v>
      </c>
      <c r="L148" s="1">
        <v>0.4</v>
      </c>
    </row>
    <row r="149" spans="1:12" ht="15" customHeight="1">
      <c r="F149" s="1" t="s">
        <v>441</v>
      </c>
      <c r="G149" s="1" t="s">
        <v>477</v>
      </c>
      <c r="H149" s="1" t="str">
        <f t="shared" si="5"/>
        <v>HealthOffice (Executive/Private)</v>
      </c>
      <c r="I149" s="1">
        <v>1753</v>
      </c>
      <c r="J149" s="1">
        <v>0.42</v>
      </c>
      <c r="K149" s="1">
        <v>0.44</v>
      </c>
      <c r="L149" s="1">
        <v>0.2</v>
      </c>
    </row>
    <row r="150" spans="1:12" ht="15" customHeight="1">
      <c r="F150" s="1" t="s">
        <v>441</v>
      </c>
      <c r="G150" s="1" t="s">
        <v>260</v>
      </c>
      <c r="H150" s="1" t="str">
        <f t="shared" si="5"/>
        <v>HealthOffice (General)</v>
      </c>
      <c r="I150" s="1">
        <v>3001</v>
      </c>
      <c r="J150" s="1">
        <v>0.67</v>
      </c>
      <c r="K150" s="1">
        <v>0.67</v>
      </c>
      <c r="L150" s="1">
        <v>0.43</v>
      </c>
    </row>
    <row r="151" spans="1:12" ht="15" customHeight="1">
      <c r="F151" s="1" t="s">
        <v>441</v>
      </c>
      <c r="G151" s="1" t="s">
        <v>2724</v>
      </c>
      <c r="H151" s="1" t="str">
        <f t="shared" si="5"/>
        <v>HealthOffice (Open Plan)</v>
      </c>
      <c r="I151" s="1">
        <v>3159</v>
      </c>
      <c r="J151" s="1">
        <v>0.81</v>
      </c>
      <c r="K151" s="1">
        <v>0.82</v>
      </c>
      <c r="L151" s="1">
        <v>0.49</v>
      </c>
    </row>
    <row r="152" spans="1:12" ht="15" customHeight="1">
      <c r="F152" s="1" t="s">
        <v>441</v>
      </c>
      <c r="G152" s="1" t="s">
        <v>66</v>
      </c>
      <c r="H152" s="1" t="str">
        <f t="shared" si="5"/>
        <v>HealthOther</v>
      </c>
      <c r="I152" s="1">
        <v>3438</v>
      </c>
      <c r="J152" s="1">
        <v>0.65</v>
      </c>
      <c r="K152" s="1">
        <v>0.64</v>
      </c>
      <c r="L152" s="1">
        <v>0.4</v>
      </c>
    </row>
    <row r="153" spans="1:12" ht="15" customHeight="1">
      <c r="F153" s="1" t="s">
        <v>441</v>
      </c>
      <c r="G153" s="1" t="s">
        <v>496</v>
      </c>
      <c r="H153" s="1" t="str">
        <f t="shared" si="5"/>
        <v>HealthOutside/Outdoor Area</v>
      </c>
      <c r="I153" s="1">
        <v>3604</v>
      </c>
      <c r="J153" s="1">
        <v>0.11</v>
      </c>
      <c r="K153" s="1">
        <v>0.11</v>
      </c>
      <c r="L153" s="1">
        <v>0.57999999999999996</v>
      </c>
    </row>
    <row r="154" spans="1:12" ht="15" customHeight="1">
      <c r="F154" s="1" t="s">
        <v>441</v>
      </c>
      <c r="G154" s="1" t="s">
        <v>492</v>
      </c>
      <c r="H154" s="1" t="str">
        <f t="shared" si="5"/>
        <v>HealthParking Garage</v>
      </c>
      <c r="I154" s="1">
        <v>8678</v>
      </c>
      <c r="J154" s="1">
        <v>0.98</v>
      </c>
      <c r="K154" s="1">
        <v>0.98</v>
      </c>
      <c r="L154" s="1">
        <v>0.99</v>
      </c>
    </row>
    <row r="155" spans="1:12" ht="15" customHeight="1">
      <c r="F155" s="1" t="s">
        <v>441</v>
      </c>
      <c r="G155" s="1" t="s">
        <v>480</v>
      </c>
      <c r="H155" s="1" t="str">
        <f t="shared" si="5"/>
        <v>HealthPatient Rooms</v>
      </c>
      <c r="I155" s="1">
        <v>2964</v>
      </c>
      <c r="J155" s="1">
        <v>0.59</v>
      </c>
      <c r="K155" s="1">
        <v>0.61</v>
      </c>
      <c r="L155" s="1">
        <v>0.41</v>
      </c>
    </row>
    <row r="156" spans="1:12" ht="15" customHeight="1">
      <c r="F156" s="1" t="s">
        <v>441</v>
      </c>
      <c r="G156" s="1" t="s">
        <v>482</v>
      </c>
      <c r="H156" s="1" t="str">
        <f t="shared" si="5"/>
        <v>HealthResidential</v>
      </c>
      <c r="I156" s="1">
        <v>3438</v>
      </c>
      <c r="J156" s="1">
        <v>0.65</v>
      </c>
      <c r="K156" s="1">
        <v>0.64</v>
      </c>
      <c r="L156" s="1">
        <v>0.4</v>
      </c>
    </row>
    <row r="157" spans="1:12" ht="15" customHeight="1">
      <c r="F157" s="1" t="s">
        <v>441</v>
      </c>
      <c r="G157" s="1" t="s">
        <v>483</v>
      </c>
      <c r="H157" s="1" t="str">
        <f t="shared" si="5"/>
        <v>HealthRestrooms</v>
      </c>
      <c r="I157" s="1">
        <v>2521</v>
      </c>
      <c r="J157" s="1">
        <v>0.48</v>
      </c>
      <c r="K157" s="1">
        <v>0.42</v>
      </c>
      <c r="L157" s="1">
        <v>0.3</v>
      </c>
    </row>
    <row r="158" spans="1:12" ht="15" customHeight="1">
      <c r="F158" s="1" t="s">
        <v>441</v>
      </c>
      <c r="G158" s="1" t="s">
        <v>484</v>
      </c>
      <c r="H158" s="1" t="str">
        <f t="shared" si="5"/>
        <v>HealthRetail Sales/Showroom</v>
      </c>
      <c r="I158" s="1">
        <v>6152</v>
      </c>
      <c r="J158" s="1">
        <v>0.97</v>
      </c>
      <c r="K158" s="1">
        <v>0.97</v>
      </c>
      <c r="L158" s="1">
        <v>0.78</v>
      </c>
    </row>
    <row r="159" spans="1:12" ht="15" customHeight="1">
      <c r="F159" s="1" t="s">
        <v>441</v>
      </c>
      <c r="G159" s="1" t="s">
        <v>485</v>
      </c>
      <c r="H159" s="1" t="str">
        <f t="shared" si="5"/>
        <v>HealthSmoking Lounge</v>
      </c>
      <c r="I159" s="1">
        <v>3438</v>
      </c>
      <c r="J159" s="1">
        <v>0.65</v>
      </c>
      <c r="K159" s="1">
        <v>0.64</v>
      </c>
      <c r="L159" s="1">
        <v>0.4</v>
      </c>
    </row>
    <row r="160" spans="1:12" ht="15" customHeight="1">
      <c r="F160" s="1" t="s">
        <v>441</v>
      </c>
      <c r="G160" s="1" t="s">
        <v>2725</v>
      </c>
      <c r="H160" s="1" t="str">
        <f t="shared" si="5"/>
        <v>HealthStorage (Conditioned &amp; Walk-In Refrigerator/Freezer)</v>
      </c>
      <c r="I160" s="1">
        <v>4672</v>
      </c>
      <c r="J160" s="1">
        <v>0.81</v>
      </c>
      <c r="K160" s="1">
        <v>0.81</v>
      </c>
      <c r="L160" s="1">
        <v>0.44</v>
      </c>
    </row>
    <row r="161" spans="6:12" ht="15" customHeight="1">
      <c r="F161" s="1" t="s">
        <v>441</v>
      </c>
      <c r="G161" s="1" t="s">
        <v>486</v>
      </c>
      <c r="H161" s="1" t="str">
        <f t="shared" si="5"/>
        <v>HealthStorage (Conditioned)</v>
      </c>
      <c r="I161" s="1">
        <v>2964</v>
      </c>
      <c r="J161" s="1">
        <v>0.59</v>
      </c>
      <c r="K161" s="1">
        <v>0.61</v>
      </c>
      <c r="L161" s="1">
        <v>0.41</v>
      </c>
    </row>
    <row r="162" spans="6:12" ht="15" customHeight="1">
      <c r="F162" s="1" t="s">
        <v>441</v>
      </c>
      <c r="G162" s="1" t="s">
        <v>488</v>
      </c>
      <c r="H162" s="1" t="str">
        <f t="shared" si="5"/>
        <v>HealthStorage (Refrigerated/Freezer),Walk-in</v>
      </c>
      <c r="I162" s="1">
        <v>3438</v>
      </c>
      <c r="J162" s="1">
        <v>0.65</v>
      </c>
      <c r="K162" s="1">
        <v>0.64</v>
      </c>
      <c r="L162" s="1">
        <v>0.4</v>
      </c>
    </row>
    <row r="163" spans="6:12" ht="15" customHeight="1">
      <c r="F163" s="1" t="s">
        <v>441</v>
      </c>
      <c r="G163" s="1" t="s">
        <v>487</v>
      </c>
      <c r="H163" s="1" t="str">
        <f t="shared" si="5"/>
        <v>HealthStorage (Unconditioned)</v>
      </c>
      <c r="I163" s="1">
        <v>2930</v>
      </c>
      <c r="J163" s="1">
        <v>0.66</v>
      </c>
      <c r="K163" s="1">
        <v>0.64</v>
      </c>
      <c r="L163" s="1">
        <v>0.4</v>
      </c>
    </row>
    <row r="164" spans="6:12" ht="15" customHeight="1">
      <c r="F164" s="1" t="s">
        <v>441</v>
      </c>
      <c r="G164" s="1" t="s">
        <v>2726</v>
      </c>
      <c r="H164" s="1" t="str">
        <f t="shared" si="5"/>
        <v>HealthStorage (Walk-In Refrigerator/Freezer)</v>
      </c>
      <c r="I164" s="1">
        <v>3438</v>
      </c>
      <c r="J164" s="1">
        <v>0.65</v>
      </c>
      <c r="K164" s="1">
        <v>0.64</v>
      </c>
      <c r="L164" s="1">
        <v>0.4</v>
      </c>
    </row>
    <row r="165" spans="6:12" ht="15" customHeight="1">
      <c r="F165" s="1" t="s">
        <v>441</v>
      </c>
      <c r="G165" s="1" t="s">
        <v>2728</v>
      </c>
      <c r="H165" s="1" t="str">
        <f t="shared" si="5"/>
        <v>HealthVacant (Conditioned)</v>
      </c>
      <c r="I165" s="1">
        <v>3438</v>
      </c>
      <c r="J165" s="1">
        <v>0.65</v>
      </c>
      <c r="K165" s="1">
        <v>0.64</v>
      </c>
      <c r="L165" s="1">
        <v>0.4</v>
      </c>
    </row>
    <row r="166" spans="6:12" ht="15" customHeight="1">
      <c r="F166" s="1" t="s">
        <v>2779</v>
      </c>
      <c r="G166" s="1" t="s">
        <v>2777</v>
      </c>
      <c r="H166" s="1" t="str">
        <f t="shared" si="5"/>
        <v>Hotel_LodgingCommon Areas</v>
      </c>
      <c r="I166" s="1">
        <v>6138</v>
      </c>
      <c r="J166" s="1">
        <v>0.85</v>
      </c>
      <c r="K166" s="1">
        <v>0.85</v>
      </c>
      <c r="L166" s="1">
        <v>0.24</v>
      </c>
    </row>
    <row r="167" spans="6:12" ht="15" customHeight="1">
      <c r="F167" s="1" t="s">
        <v>2779</v>
      </c>
      <c r="G167" s="1" t="s">
        <v>2778</v>
      </c>
      <c r="H167" s="1" t="str">
        <f t="shared" si="5"/>
        <v>Hotel_LodgingGuest Rooms</v>
      </c>
      <c r="I167" s="1">
        <v>2390</v>
      </c>
      <c r="J167" s="1">
        <v>0.46</v>
      </c>
      <c r="K167" s="1">
        <v>0.46</v>
      </c>
      <c r="L167" s="1">
        <v>0.4</v>
      </c>
    </row>
    <row r="168" spans="6:12" ht="15" customHeight="1">
      <c r="F168" s="1" t="s">
        <v>2734</v>
      </c>
      <c r="G168" s="1" t="s">
        <v>394</v>
      </c>
      <c r="H168" s="1" t="str">
        <f t="shared" si="5"/>
        <v>Multi_FamilyAuditorium/Gym</v>
      </c>
      <c r="I168" s="1">
        <v>3438</v>
      </c>
      <c r="J168" s="1">
        <v>0.65</v>
      </c>
      <c r="K168" s="1">
        <v>0.64</v>
      </c>
      <c r="L168" s="1">
        <v>0.4</v>
      </c>
    </row>
    <row r="169" spans="6:12" ht="15" customHeight="1">
      <c r="F169" s="1" t="s">
        <v>2734</v>
      </c>
      <c r="G169" s="1" t="s">
        <v>399</v>
      </c>
      <c r="H169" s="1" t="str">
        <f t="shared" si="5"/>
        <v>Multi_FamilyAuto Repair Workshop</v>
      </c>
      <c r="I169" s="1">
        <v>6189</v>
      </c>
      <c r="J169" s="1">
        <v>0.88</v>
      </c>
      <c r="K169" s="1">
        <v>0.89</v>
      </c>
      <c r="L169" s="1">
        <v>0.61</v>
      </c>
    </row>
    <row r="170" spans="6:12" ht="15" customHeight="1">
      <c r="F170" s="1" t="s">
        <v>2734</v>
      </c>
      <c r="G170" s="1" t="s">
        <v>413</v>
      </c>
      <c r="H170" s="1" t="str">
        <f t="shared" si="5"/>
        <v>Multi_FamilyClassroom/Lecture</v>
      </c>
      <c r="I170" s="1">
        <v>1584</v>
      </c>
      <c r="J170" s="1">
        <v>0.24</v>
      </c>
      <c r="K170" s="1">
        <v>0.24</v>
      </c>
      <c r="L170" s="1">
        <v>0.2</v>
      </c>
    </row>
    <row r="171" spans="6:12" ht="15" customHeight="1">
      <c r="F171" s="1" t="s">
        <v>2734</v>
      </c>
      <c r="G171" s="1" t="s">
        <v>2720</v>
      </c>
      <c r="H171" s="1" t="str">
        <f t="shared" si="5"/>
        <v>Multi_FamilyComm/Ind Work (General High Bay)</v>
      </c>
      <c r="I171" s="1">
        <v>4790</v>
      </c>
      <c r="J171" s="1">
        <v>0.9</v>
      </c>
      <c r="K171" s="1">
        <v>0.91</v>
      </c>
      <c r="L171" s="1">
        <v>0.82</v>
      </c>
    </row>
    <row r="172" spans="6:12" ht="15" customHeight="1">
      <c r="F172" s="1" t="s">
        <v>2734</v>
      </c>
      <c r="G172" s="1" t="s">
        <v>2721</v>
      </c>
      <c r="H172" s="1" t="str">
        <f t="shared" si="5"/>
        <v>Multi_FamilyComm/Ind Work (General Low Bay)</v>
      </c>
      <c r="I172" s="1">
        <v>6775</v>
      </c>
      <c r="J172" s="1">
        <v>0.95</v>
      </c>
      <c r="K172" s="1">
        <v>0.95</v>
      </c>
      <c r="L172" s="1">
        <v>0.77</v>
      </c>
    </row>
    <row r="173" spans="6:12" ht="15" customHeight="1">
      <c r="F173" s="1" t="s">
        <v>2734</v>
      </c>
      <c r="G173" s="1" t="s">
        <v>433</v>
      </c>
      <c r="H173" s="1" t="str">
        <f t="shared" si="5"/>
        <v>Multi_FamilyComm/Ind Work (Precision)</v>
      </c>
      <c r="I173" s="1">
        <v>3438</v>
      </c>
      <c r="J173" s="1">
        <v>0.65</v>
      </c>
      <c r="K173" s="1">
        <v>0.64</v>
      </c>
      <c r="L173" s="1">
        <v>0.4</v>
      </c>
    </row>
    <row r="174" spans="6:12" ht="15" customHeight="1">
      <c r="F174" s="1" t="s">
        <v>2734</v>
      </c>
      <c r="G174" s="1" t="s">
        <v>2722</v>
      </c>
      <c r="H174" s="1" t="str">
        <f t="shared" si="5"/>
        <v>Multi_FamilyCommon Area Hallways[2]</v>
      </c>
      <c r="I174" s="1">
        <v>7669</v>
      </c>
      <c r="J174" s="1">
        <v>0.87</v>
      </c>
      <c r="K174" s="1">
        <v>0.87</v>
      </c>
      <c r="L174" s="1">
        <v>0.88</v>
      </c>
    </row>
    <row r="175" spans="6:12" ht="15" customHeight="1">
      <c r="F175" s="1" t="s">
        <v>2734</v>
      </c>
      <c r="G175" s="1" t="s">
        <v>423</v>
      </c>
      <c r="H175" s="1" t="str">
        <f t="shared" si="5"/>
        <v>Multi_FamilyComputer Room/Data Processing</v>
      </c>
      <c r="I175" s="1">
        <v>3438</v>
      </c>
      <c r="J175" s="1">
        <v>0.65</v>
      </c>
      <c r="K175" s="1">
        <v>0.64</v>
      </c>
      <c r="L175" s="1">
        <v>0.4</v>
      </c>
    </row>
    <row r="176" spans="6:12" ht="15" customHeight="1">
      <c r="F176" s="1" t="s">
        <v>2734</v>
      </c>
      <c r="G176" s="1" t="s">
        <v>436</v>
      </c>
      <c r="H176" s="1" t="str">
        <f t="shared" si="5"/>
        <v>Multi_FamilyConference Room</v>
      </c>
      <c r="I176" s="1">
        <v>1201</v>
      </c>
      <c r="J176" s="1">
        <v>0.28000000000000003</v>
      </c>
      <c r="K176" s="1">
        <v>0.3</v>
      </c>
      <c r="L176" s="1">
        <v>0.16</v>
      </c>
    </row>
    <row r="177" spans="6:12" ht="15" customHeight="1">
      <c r="F177" s="1" t="s">
        <v>2734</v>
      </c>
      <c r="G177" s="1" t="s">
        <v>442</v>
      </c>
      <c r="H177" s="1" t="str">
        <f t="shared" si="5"/>
        <v>Multi_FamilyCopy Room</v>
      </c>
      <c r="I177" s="1">
        <v>3438</v>
      </c>
      <c r="J177" s="1">
        <v>0.65</v>
      </c>
      <c r="K177" s="1">
        <v>0.64</v>
      </c>
      <c r="L177" s="1">
        <v>0.4</v>
      </c>
    </row>
    <row r="178" spans="6:12" ht="15" customHeight="1">
      <c r="F178" s="1" t="s">
        <v>2734</v>
      </c>
      <c r="G178" s="1" t="s">
        <v>445</v>
      </c>
      <c r="H178" s="1" t="str">
        <f t="shared" si="5"/>
        <v>Multi_FamilyCorridor/Hallways</v>
      </c>
      <c r="I178" s="1">
        <v>5670</v>
      </c>
      <c r="J178" s="1">
        <v>0.86</v>
      </c>
      <c r="K178" s="1">
        <v>0.86</v>
      </c>
      <c r="L178" s="1">
        <v>0.73</v>
      </c>
    </row>
    <row r="179" spans="6:12" ht="15" customHeight="1">
      <c r="F179" s="1" t="s">
        <v>2734</v>
      </c>
      <c r="G179" s="1" t="s">
        <v>448</v>
      </c>
      <c r="H179" s="1" t="str">
        <f t="shared" si="5"/>
        <v>Multi_FamilyDining Area</v>
      </c>
      <c r="I179" s="1">
        <v>2962</v>
      </c>
      <c r="J179" s="1">
        <v>0.48</v>
      </c>
      <c r="K179" s="1">
        <v>0.53</v>
      </c>
      <c r="L179" s="1">
        <v>0.51</v>
      </c>
    </row>
    <row r="180" spans="6:12" ht="15" customHeight="1">
      <c r="F180" s="1" t="s">
        <v>2734</v>
      </c>
      <c r="G180" s="1" t="s">
        <v>450</v>
      </c>
      <c r="H180" s="1" t="str">
        <f t="shared" si="5"/>
        <v>Multi_FamilyExercise Centers/Gymnasium</v>
      </c>
      <c r="I180" s="1">
        <v>4833</v>
      </c>
      <c r="J180" s="1">
        <v>0.81</v>
      </c>
      <c r="K180" s="1">
        <v>0.82</v>
      </c>
      <c r="L180" s="1">
        <v>0.6</v>
      </c>
    </row>
    <row r="181" spans="6:12" ht="15" customHeight="1">
      <c r="F181" s="1" t="s">
        <v>2734</v>
      </c>
      <c r="G181" s="1" t="s">
        <v>451</v>
      </c>
      <c r="H181" s="1" t="str">
        <f t="shared" si="5"/>
        <v>Multi_FamilyExhibit Display Area/Museum</v>
      </c>
      <c r="I181" s="1">
        <v>3438</v>
      </c>
      <c r="J181" s="1">
        <v>0.65</v>
      </c>
      <c r="K181" s="1">
        <v>0.64</v>
      </c>
      <c r="L181" s="1">
        <v>0.4</v>
      </c>
    </row>
    <row r="182" spans="6:12" ht="15" customHeight="1">
      <c r="F182" s="1" t="s">
        <v>2734</v>
      </c>
      <c r="G182" s="1" t="s">
        <v>455</v>
      </c>
      <c r="H182" s="1" t="str">
        <f t="shared" si="5"/>
        <v>Multi_FamilyKitchen/Break room &amp; Food Prep</v>
      </c>
      <c r="I182" s="1">
        <v>3522</v>
      </c>
      <c r="J182" s="1">
        <v>0.79</v>
      </c>
      <c r="K182" s="1">
        <v>0.74</v>
      </c>
      <c r="L182" s="1">
        <v>0.42</v>
      </c>
    </row>
    <row r="183" spans="6:12" ht="15" customHeight="1">
      <c r="F183" s="1" t="s">
        <v>2734</v>
      </c>
      <c r="G183" s="1" t="s">
        <v>458</v>
      </c>
      <c r="H183" s="1" t="str">
        <f t="shared" si="5"/>
        <v>Multi_FamilyLaundry</v>
      </c>
      <c r="I183" s="1">
        <v>3438</v>
      </c>
      <c r="J183" s="1">
        <v>0.65</v>
      </c>
      <c r="K183" s="1">
        <v>0.64</v>
      </c>
      <c r="L183" s="1">
        <v>0.4</v>
      </c>
    </row>
    <row r="184" spans="6:12" ht="15" customHeight="1">
      <c r="F184" s="1" t="s">
        <v>2734</v>
      </c>
      <c r="G184" s="1" t="s">
        <v>460</v>
      </c>
      <c r="H184" s="1" t="str">
        <f t="shared" si="5"/>
        <v>Multi_FamilyLibrary</v>
      </c>
      <c r="I184" s="1">
        <v>1957</v>
      </c>
      <c r="J184" s="1">
        <v>0.44</v>
      </c>
      <c r="K184" s="1">
        <v>0.46</v>
      </c>
      <c r="L184" s="1">
        <v>0.31</v>
      </c>
    </row>
    <row r="185" spans="6:12" ht="15" customHeight="1">
      <c r="F185" s="1" t="s">
        <v>2734</v>
      </c>
      <c r="G185" s="1" t="s">
        <v>462</v>
      </c>
      <c r="H185" s="1" t="str">
        <f t="shared" si="5"/>
        <v>Multi_FamilyLoading Dock</v>
      </c>
      <c r="I185" s="1">
        <v>7358</v>
      </c>
      <c r="J185" s="1">
        <v>0.97</v>
      </c>
      <c r="K185" s="1">
        <v>0.97</v>
      </c>
      <c r="L185" s="1">
        <v>0.62</v>
      </c>
    </row>
    <row r="186" spans="6:12" ht="15" customHeight="1">
      <c r="F186" s="1" t="s">
        <v>2734</v>
      </c>
      <c r="G186" s="1" t="s">
        <v>466</v>
      </c>
      <c r="H186" s="1" t="str">
        <f t="shared" si="5"/>
        <v>Multi_FamilyLobby (Main Entry and Assembly)</v>
      </c>
      <c r="I186" s="1">
        <v>5947</v>
      </c>
      <c r="J186" s="1">
        <v>0.83</v>
      </c>
      <c r="K186" s="1">
        <v>0.82</v>
      </c>
      <c r="L186" s="1">
        <v>0.71</v>
      </c>
    </row>
    <row r="187" spans="6:12" ht="15" customHeight="1">
      <c r="F187" s="1" t="s">
        <v>2734</v>
      </c>
      <c r="G187" s="1" t="s">
        <v>468</v>
      </c>
      <c r="H187" s="1" t="str">
        <f t="shared" si="5"/>
        <v>Multi_FamilyLobby (Office Reception/Waiting)</v>
      </c>
      <c r="I187" s="1">
        <v>3425</v>
      </c>
      <c r="J187" s="1">
        <v>0.84</v>
      </c>
      <c r="K187" s="1">
        <v>0.87</v>
      </c>
      <c r="L187" s="1">
        <v>0.49</v>
      </c>
    </row>
    <row r="188" spans="6:12" ht="15" customHeight="1">
      <c r="F188" s="1" t="s">
        <v>2734</v>
      </c>
      <c r="G188" s="1" t="s">
        <v>470</v>
      </c>
      <c r="H188" s="1" t="str">
        <f t="shared" si="5"/>
        <v>Multi_FamilyLocker and Dressing Room</v>
      </c>
      <c r="I188" s="1">
        <v>3438</v>
      </c>
      <c r="J188" s="1">
        <v>0.65</v>
      </c>
      <c r="K188" s="1">
        <v>0.64</v>
      </c>
      <c r="L188" s="1">
        <v>0.4</v>
      </c>
    </row>
    <row r="189" spans="6:12" ht="15" customHeight="1">
      <c r="F189" s="1" t="s">
        <v>2734</v>
      </c>
      <c r="G189" s="1" t="s">
        <v>473</v>
      </c>
      <c r="H189" s="1" t="str">
        <f t="shared" si="5"/>
        <v>Multi_FamilyMechanical/Electrical Room</v>
      </c>
      <c r="I189" s="1">
        <v>5026</v>
      </c>
      <c r="J189" s="1">
        <v>0.73</v>
      </c>
      <c r="K189" s="1">
        <v>0.74</v>
      </c>
      <c r="L189" s="1">
        <v>0.46</v>
      </c>
    </row>
    <row r="190" spans="6:12" ht="15" customHeight="1">
      <c r="F190" s="1" t="s">
        <v>2734</v>
      </c>
      <c r="G190" s="1" t="s">
        <v>475</v>
      </c>
      <c r="H190" s="1" t="str">
        <f t="shared" si="5"/>
        <v>Multi_FamilyMedical Offices and Exam rooms</v>
      </c>
      <c r="I190" s="1">
        <v>3438</v>
      </c>
      <c r="J190" s="1">
        <v>0.65</v>
      </c>
      <c r="K190" s="1">
        <v>0.64</v>
      </c>
      <c r="L190" s="1">
        <v>0.4</v>
      </c>
    </row>
    <row r="191" spans="6:12" ht="15" customHeight="1">
      <c r="F191" s="1" t="s">
        <v>2734</v>
      </c>
      <c r="G191" s="1" t="s">
        <v>2723</v>
      </c>
      <c r="H191" s="1" t="str">
        <f t="shared" si="5"/>
        <v>Multi_FamilyNon-Hallway Common Areas[1]</v>
      </c>
      <c r="I191" s="1">
        <v>5091</v>
      </c>
      <c r="J191" s="1">
        <v>0.76</v>
      </c>
      <c r="K191" s="1">
        <v>0.75</v>
      </c>
      <c r="L191" s="1">
        <v>0.63</v>
      </c>
    </row>
    <row r="192" spans="6:12" ht="15" customHeight="1">
      <c r="F192" s="1" t="s">
        <v>2734</v>
      </c>
      <c r="G192" s="1" t="s">
        <v>477</v>
      </c>
      <c r="H192" s="1" t="str">
        <f t="shared" si="5"/>
        <v>Multi_FamilyOffice (Executive/Private)</v>
      </c>
      <c r="I192" s="1">
        <v>1753</v>
      </c>
      <c r="J192" s="1">
        <v>0.42</v>
      </c>
      <c r="K192" s="1">
        <v>0.44</v>
      </c>
      <c r="L192" s="1">
        <v>0.2</v>
      </c>
    </row>
    <row r="193" spans="6:12" ht="15" customHeight="1">
      <c r="F193" s="1" t="s">
        <v>2734</v>
      </c>
      <c r="G193" s="1" t="s">
        <v>260</v>
      </c>
      <c r="H193" s="1" t="str">
        <f t="shared" si="5"/>
        <v>Multi_FamilyOffice (General)</v>
      </c>
      <c r="I193" s="1">
        <v>3001</v>
      </c>
      <c r="J193" s="1">
        <v>0.67</v>
      </c>
      <c r="K193" s="1">
        <v>0.67</v>
      </c>
      <c r="L193" s="1">
        <v>0.43</v>
      </c>
    </row>
    <row r="194" spans="6:12" ht="15" customHeight="1">
      <c r="F194" s="1" t="s">
        <v>2734</v>
      </c>
      <c r="G194" s="1" t="s">
        <v>2724</v>
      </c>
      <c r="H194" s="1" t="str">
        <f t="shared" ref="H194:H257" si="6">_xlfn.CONCAT(F194,G194)</f>
        <v>Multi_FamilyOffice (Open Plan)</v>
      </c>
      <c r="I194" s="1">
        <v>3159</v>
      </c>
      <c r="J194" s="1">
        <v>0.81</v>
      </c>
      <c r="K194" s="1">
        <v>0.82</v>
      </c>
      <c r="L194" s="1">
        <v>0.49</v>
      </c>
    </row>
    <row r="195" spans="6:12" ht="15" customHeight="1">
      <c r="F195" s="1" t="s">
        <v>2734</v>
      </c>
      <c r="G195" s="1" t="s">
        <v>66</v>
      </c>
      <c r="H195" s="1" t="str">
        <f t="shared" si="6"/>
        <v>Multi_FamilyOther</v>
      </c>
      <c r="I195" s="1">
        <v>3438</v>
      </c>
      <c r="J195" s="1">
        <v>0.65</v>
      </c>
      <c r="K195" s="1">
        <v>0.64</v>
      </c>
      <c r="L195" s="1">
        <v>0.4</v>
      </c>
    </row>
    <row r="196" spans="6:12" ht="15" customHeight="1">
      <c r="F196" s="1" t="s">
        <v>2734</v>
      </c>
      <c r="G196" s="1" t="s">
        <v>496</v>
      </c>
      <c r="H196" s="1" t="str">
        <f t="shared" si="6"/>
        <v>Multi_FamilyOutside/Outdoor Area</v>
      </c>
      <c r="I196" s="1">
        <v>3604</v>
      </c>
      <c r="J196" s="1">
        <v>0.11</v>
      </c>
      <c r="K196" s="1">
        <v>0.11</v>
      </c>
      <c r="L196" s="1">
        <v>0.57999999999999996</v>
      </c>
    </row>
    <row r="197" spans="6:12" ht="15" customHeight="1">
      <c r="F197" s="1" t="s">
        <v>2734</v>
      </c>
      <c r="G197" s="1" t="s">
        <v>492</v>
      </c>
      <c r="H197" s="1" t="str">
        <f t="shared" si="6"/>
        <v>Multi_FamilyParking Garage</v>
      </c>
      <c r="I197" s="1">
        <v>8678</v>
      </c>
      <c r="J197" s="1">
        <v>0.98</v>
      </c>
      <c r="K197" s="1">
        <v>0.98</v>
      </c>
      <c r="L197" s="1">
        <v>0.99</v>
      </c>
    </row>
    <row r="198" spans="6:12" ht="15" customHeight="1">
      <c r="F198" s="1" t="s">
        <v>2734</v>
      </c>
      <c r="G198" s="1" t="s">
        <v>480</v>
      </c>
      <c r="H198" s="1" t="str">
        <f t="shared" si="6"/>
        <v>Multi_FamilyPatient Rooms</v>
      </c>
      <c r="I198" s="1">
        <v>3438</v>
      </c>
      <c r="J198" s="1">
        <v>0.65</v>
      </c>
      <c r="K198" s="1">
        <v>0.64</v>
      </c>
      <c r="L198" s="1">
        <v>0.4</v>
      </c>
    </row>
    <row r="199" spans="6:12" ht="15" customHeight="1">
      <c r="F199" s="1" t="s">
        <v>2734</v>
      </c>
      <c r="G199" s="1" t="s">
        <v>482</v>
      </c>
      <c r="H199" s="1" t="str">
        <f t="shared" si="6"/>
        <v>Multi_FamilyResidential</v>
      </c>
      <c r="I199" s="1">
        <v>3438</v>
      </c>
      <c r="J199" s="1">
        <v>0.65</v>
      </c>
      <c r="K199" s="1">
        <v>0.64</v>
      </c>
      <c r="L199" s="1">
        <v>0.4</v>
      </c>
    </row>
    <row r="200" spans="6:12" ht="15" customHeight="1">
      <c r="F200" s="1" t="s">
        <v>2734</v>
      </c>
      <c r="G200" s="1" t="s">
        <v>483</v>
      </c>
      <c r="H200" s="1" t="str">
        <f t="shared" si="6"/>
        <v>Multi_FamilyRestrooms</v>
      </c>
      <c r="I200" s="1">
        <v>2521</v>
      </c>
      <c r="J200" s="1">
        <v>0.48</v>
      </c>
      <c r="K200" s="1">
        <v>0.42</v>
      </c>
      <c r="L200" s="1">
        <v>0.3</v>
      </c>
    </row>
    <row r="201" spans="6:12" ht="15" customHeight="1">
      <c r="F201" s="1" t="s">
        <v>2734</v>
      </c>
      <c r="G201" s="1" t="s">
        <v>484</v>
      </c>
      <c r="H201" s="1" t="str">
        <f t="shared" si="6"/>
        <v>Multi_FamilyRetail Sales/Showroom</v>
      </c>
      <c r="I201" s="1">
        <v>6152</v>
      </c>
      <c r="J201" s="1">
        <v>0.97</v>
      </c>
      <c r="K201" s="1">
        <v>0.97</v>
      </c>
      <c r="L201" s="1">
        <v>0.78</v>
      </c>
    </row>
    <row r="202" spans="6:12" ht="15" customHeight="1">
      <c r="F202" s="1" t="s">
        <v>2734</v>
      </c>
      <c r="G202" s="1" t="s">
        <v>485</v>
      </c>
      <c r="H202" s="1" t="str">
        <f t="shared" si="6"/>
        <v>Multi_FamilySmoking Lounge</v>
      </c>
      <c r="I202" s="1">
        <v>3438</v>
      </c>
      <c r="J202" s="1">
        <v>0.65</v>
      </c>
      <c r="K202" s="1">
        <v>0.64</v>
      </c>
      <c r="L202" s="1">
        <v>0.4</v>
      </c>
    </row>
    <row r="203" spans="6:12" ht="15" customHeight="1">
      <c r="F203" s="1" t="s">
        <v>2734</v>
      </c>
      <c r="G203" s="1" t="s">
        <v>2725</v>
      </c>
      <c r="H203" s="1" t="str">
        <f t="shared" si="6"/>
        <v>Multi_FamilyStorage (Conditioned &amp; Walk-In Refrigerator/Freezer)</v>
      </c>
      <c r="I203" s="1">
        <v>4672</v>
      </c>
      <c r="J203" s="1">
        <v>0.81</v>
      </c>
      <c r="K203" s="1">
        <v>0.81</v>
      </c>
      <c r="L203" s="1">
        <v>0.44</v>
      </c>
    </row>
    <row r="204" spans="6:12" ht="15" customHeight="1">
      <c r="F204" s="1" t="s">
        <v>2734</v>
      </c>
      <c r="G204" s="1" t="s">
        <v>486</v>
      </c>
      <c r="H204" s="1" t="str">
        <f t="shared" si="6"/>
        <v>Multi_FamilyStorage (Conditioned)</v>
      </c>
      <c r="I204" s="1">
        <v>3438</v>
      </c>
      <c r="J204" s="1">
        <v>0.65</v>
      </c>
      <c r="K204" s="1">
        <v>0.64</v>
      </c>
      <c r="L204" s="1">
        <v>0.4</v>
      </c>
    </row>
    <row r="205" spans="6:12" ht="15" customHeight="1">
      <c r="F205" s="1" t="s">
        <v>2734</v>
      </c>
      <c r="G205" s="1" t="s">
        <v>488</v>
      </c>
      <c r="H205" s="1" t="str">
        <f t="shared" si="6"/>
        <v>Multi_FamilyStorage (Refrigerated/Freezer),Walk-in</v>
      </c>
      <c r="I205" s="1">
        <v>3438</v>
      </c>
      <c r="J205" s="1">
        <v>0.65</v>
      </c>
      <c r="K205" s="1">
        <v>0.64</v>
      </c>
      <c r="L205" s="1">
        <v>0.4</v>
      </c>
    </row>
    <row r="206" spans="6:12" ht="15" customHeight="1">
      <c r="F206" s="1" t="s">
        <v>2734</v>
      </c>
      <c r="G206" s="1" t="s">
        <v>487</v>
      </c>
      <c r="H206" s="1" t="str">
        <f t="shared" si="6"/>
        <v>Multi_FamilyStorage (Unconditioned)</v>
      </c>
      <c r="I206" s="1">
        <v>2930</v>
      </c>
      <c r="J206" s="1">
        <v>0.66</v>
      </c>
      <c r="K206" s="1">
        <v>0.64</v>
      </c>
      <c r="L206" s="1">
        <v>0.4</v>
      </c>
    </row>
    <row r="207" spans="6:12" ht="15" customHeight="1">
      <c r="F207" s="1" t="s">
        <v>2734</v>
      </c>
      <c r="G207" s="1" t="s">
        <v>2726</v>
      </c>
      <c r="H207" s="1" t="str">
        <f t="shared" si="6"/>
        <v>Multi_FamilyStorage (Walk-In Refrigerator/Freezer)</v>
      </c>
      <c r="I207" s="1">
        <v>3438</v>
      </c>
      <c r="J207" s="1">
        <v>0.65</v>
      </c>
      <c r="K207" s="1">
        <v>0.64</v>
      </c>
      <c r="L207" s="1">
        <v>0.4</v>
      </c>
    </row>
    <row r="208" spans="6:12" ht="15" customHeight="1">
      <c r="F208" s="1" t="s">
        <v>2734</v>
      </c>
      <c r="G208" s="1" t="s">
        <v>2728</v>
      </c>
      <c r="H208" s="1" t="str">
        <f t="shared" si="6"/>
        <v>Multi_FamilyVacant (Conditioned)</v>
      </c>
      <c r="I208" s="1">
        <v>3438</v>
      </c>
      <c r="J208" s="1">
        <v>0.65</v>
      </c>
      <c r="K208" s="1">
        <v>0.64</v>
      </c>
      <c r="L208" s="1">
        <v>0.4</v>
      </c>
    </row>
    <row r="209" spans="6:12" ht="15" customHeight="1">
      <c r="F209" s="1" t="s">
        <v>2734</v>
      </c>
      <c r="G209" s="1" t="s">
        <v>2729</v>
      </c>
      <c r="H209" s="1" t="str">
        <f t="shared" si="6"/>
        <v>Multi_FamilyResidential in-unit</v>
      </c>
      <c r="I209" s="1">
        <v>679</v>
      </c>
      <c r="J209" s="142" t="s">
        <v>2731</v>
      </c>
      <c r="K209" s="142" t="s">
        <v>2732</v>
      </c>
      <c r="L209" s="142">
        <v>0.124</v>
      </c>
    </row>
    <row r="210" spans="6:12" ht="15" customHeight="1">
      <c r="F210" s="1" t="s">
        <v>2734</v>
      </c>
      <c r="G210" s="1" t="s">
        <v>2730</v>
      </c>
      <c r="H210" s="1" t="str">
        <f t="shared" si="6"/>
        <v>Multi_Family(DO NOT USE) Common Areas</v>
      </c>
      <c r="I210" s="1">
        <v>5950</v>
      </c>
      <c r="J210" s="142" t="s">
        <v>2733</v>
      </c>
      <c r="K210" s="142" t="s">
        <v>2733</v>
      </c>
      <c r="L210" s="142">
        <v>0.65</v>
      </c>
    </row>
    <row r="211" spans="6:12" ht="15" customHeight="1">
      <c r="F211" s="1" t="s">
        <v>257</v>
      </c>
      <c r="G211" s="1" t="s">
        <v>394</v>
      </c>
      <c r="H211" s="1" t="str">
        <f t="shared" si="6"/>
        <v>OfficeAuditorium/Gym</v>
      </c>
      <c r="I211" s="1">
        <v>3438</v>
      </c>
      <c r="J211" s="1">
        <v>0.65</v>
      </c>
      <c r="K211" s="1">
        <v>0.64</v>
      </c>
      <c r="L211" s="1">
        <v>0.4</v>
      </c>
    </row>
    <row r="212" spans="6:12" ht="15" customHeight="1">
      <c r="F212" s="1" t="s">
        <v>257</v>
      </c>
      <c r="G212" s="1" t="s">
        <v>399</v>
      </c>
      <c r="H212" s="1" t="str">
        <f t="shared" si="6"/>
        <v>OfficeAuto Repair Workshop</v>
      </c>
      <c r="I212" s="1">
        <v>6189</v>
      </c>
      <c r="J212" s="1">
        <v>0.88</v>
      </c>
      <c r="K212" s="1">
        <v>0.89</v>
      </c>
      <c r="L212" s="1">
        <v>0.61</v>
      </c>
    </row>
    <row r="213" spans="6:12" ht="15" customHeight="1">
      <c r="F213" s="1" t="s">
        <v>257</v>
      </c>
      <c r="G213" s="1" t="s">
        <v>413</v>
      </c>
      <c r="H213" s="1" t="str">
        <f t="shared" si="6"/>
        <v>OfficeClassroom/Lecture</v>
      </c>
      <c r="I213" s="1">
        <v>1584</v>
      </c>
      <c r="J213" s="1">
        <v>0.24</v>
      </c>
      <c r="K213" s="1">
        <v>0.24</v>
      </c>
      <c r="L213" s="1">
        <v>0.2</v>
      </c>
    </row>
    <row r="214" spans="6:12" ht="15" customHeight="1">
      <c r="F214" s="1" t="s">
        <v>257</v>
      </c>
      <c r="G214" s="1" t="s">
        <v>2720</v>
      </c>
      <c r="H214" s="1" t="str">
        <f t="shared" si="6"/>
        <v>OfficeComm/Ind Work (General High Bay)</v>
      </c>
      <c r="I214" s="1">
        <v>4790</v>
      </c>
      <c r="J214" s="1">
        <v>0.9</v>
      </c>
      <c r="K214" s="1">
        <v>0.91</v>
      </c>
      <c r="L214" s="1">
        <v>0.82</v>
      </c>
    </row>
    <row r="215" spans="6:12" ht="15" customHeight="1">
      <c r="F215" s="1" t="s">
        <v>257</v>
      </c>
      <c r="G215" s="1" t="s">
        <v>2721</v>
      </c>
      <c r="H215" s="1" t="str">
        <f t="shared" si="6"/>
        <v>OfficeComm/Ind Work (General Low Bay)</v>
      </c>
      <c r="I215" s="1">
        <v>6775</v>
      </c>
      <c r="J215" s="1">
        <v>0.95</v>
      </c>
      <c r="K215" s="1">
        <v>0.95</v>
      </c>
      <c r="L215" s="1">
        <v>0.77</v>
      </c>
    </row>
    <row r="216" spans="6:12" ht="15" customHeight="1">
      <c r="F216" s="1" t="s">
        <v>257</v>
      </c>
      <c r="G216" s="1" t="s">
        <v>433</v>
      </c>
      <c r="H216" s="1" t="str">
        <f t="shared" si="6"/>
        <v>OfficeComm/Ind Work (Precision)</v>
      </c>
      <c r="I216" s="1">
        <v>3438</v>
      </c>
      <c r="J216" s="1">
        <v>0.65</v>
      </c>
      <c r="K216" s="1">
        <v>0.64</v>
      </c>
      <c r="L216" s="1">
        <v>0.4</v>
      </c>
    </row>
    <row r="217" spans="6:12" ht="15" customHeight="1">
      <c r="F217" s="1" t="s">
        <v>257</v>
      </c>
      <c r="G217" s="1" t="s">
        <v>2722</v>
      </c>
      <c r="H217" s="1" t="str">
        <f t="shared" si="6"/>
        <v>OfficeCommon Area Hallways[2]</v>
      </c>
      <c r="I217" s="1">
        <v>3438</v>
      </c>
      <c r="J217" s="1">
        <v>0.65</v>
      </c>
      <c r="K217" s="1">
        <v>0.64</v>
      </c>
      <c r="L217" s="1">
        <v>0.4</v>
      </c>
    </row>
    <row r="218" spans="6:12" ht="15" customHeight="1">
      <c r="F218" s="1" t="s">
        <v>257</v>
      </c>
      <c r="G218" s="1" t="s">
        <v>423</v>
      </c>
      <c r="H218" s="1" t="str">
        <f t="shared" si="6"/>
        <v>OfficeComputer Room/Data Processing</v>
      </c>
      <c r="I218" s="1">
        <v>2897</v>
      </c>
      <c r="J218" s="1">
        <v>0.7</v>
      </c>
      <c r="K218" s="1">
        <v>0.69</v>
      </c>
      <c r="L218" s="1">
        <v>0.48</v>
      </c>
    </row>
    <row r="219" spans="6:12" ht="15" customHeight="1">
      <c r="F219" s="1" t="s">
        <v>257</v>
      </c>
      <c r="G219" s="1" t="s">
        <v>436</v>
      </c>
      <c r="H219" s="1" t="str">
        <f t="shared" si="6"/>
        <v>OfficeConference Room</v>
      </c>
      <c r="I219" s="1">
        <v>1201</v>
      </c>
      <c r="J219" s="1">
        <v>0.28000000000000003</v>
      </c>
      <c r="K219" s="1">
        <v>0.3</v>
      </c>
      <c r="L219" s="1">
        <v>0.16</v>
      </c>
    </row>
    <row r="220" spans="6:12" ht="15" customHeight="1">
      <c r="F220" s="1" t="s">
        <v>257</v>
      </c>
      <c r="G220" s="1" t="s">
        <v>442</v>
      </c>
      <c r="H220" s="1" t="str">
        <f t="shared" si="6"/>
        <v>OfficeCopy Room</v>
      </c>
      <c r="I220" s="1">
        <v>2897</v>
      </c>
      <c r="J220" s="1">
        <v>0.7</v>
      </c>
      <c r="K220" s="1">
        <v>0.69</v>
      </c>
      <c r="L220" s="1">
        <v>0.48</v>
      </c>
    </row>
    <row r="221" spans="6:12" ht="15" customHeight="1">
      <c r="F221" s="1" t="s">
        <v>257</v>
      </c>
      <c r="G221" s="1" t="s">
        <v>445</v>
      </c>
      <c r="H221" s="1" t="str">
        <f t="shared" si="6"/>
        <v>OfficeCorridor/Hallways</v>
      </c>
      <c r="I221" s="1">
        <v>4092</v>
      </c>
      <c r="J221" s="1">
        <v>0.65</v>
      </c>
      <c r="K221" s="1">
        <v>0.64</v>
      </c>
      <c r="L221" s="1">
        <v>0.71</v>
      </c>
    </row>
    <row r="222" spans="6:12" ht="15" customHeight="1">
      <c r="F222" s="1" t="s">
        <v>257</v>
      </c>
      <c r="G222" s="1" t="s">
        <v>448</v>
      </c>
      <c r="H222" s="1" t="str">
        <f t="shared" si="6"/>
        <v>OfficeDining Area</v>
      </c>
      <c r="I222" s="1">
        <v>2962</v>
      </c>
      <c r="J222" s="1">
        <v>0.48</v>
      </c>
      <c r="K222" s="1">
        <v>0.53</v>
      </c>
      <c r="L222" s="1">
        <v>0.51</v>
      </c>
    </row>
    <row r="223" spans="6:12" ht="15" customHeight="1">
      <c r="F223" s="1" t="s">
        <v>257</v>
      </c>
      <c r="G223" s="1" t="s">
        <v>450</v>
      </c>
      <c r="H223" s="1" t="str">
        <f t="shared" si="6"/>
        <v>OfficeExercise Centers/Gymnasium</v>
      </c>
      <c r="I223" s="1">
        <v>4833</v>
      </c>
      <c r="J223" s="1">
        <v>0.81</v>
      </c>
      <c r="K223" s="1">
        <v>0.82</v>
      </c>
      <c r="L223" s="1">
        <v>0.6</v>
      </c>
    </row>
    <row r="224" spans="6:12" ht="15" customHeight="1">
      <c r="F224" s="1" t="s">
        <v>257</v>
      </c>
      <c r="G224" s="1" t="s">
        <v>451</v>
      </c>
      <c r="H224" s="1" t="str">
        <f t="shared" si="6"/>
        <v>OfficeExhibit Display Area/Museum</v>
      </c>
      <c r="I224" s="1">
        <v>3438</v>
      </c>
      <c r="J224" s="1">
        <v>0.65</v>
      </c>
      <c r="K224" s="1">
        <v>0.64</v>
      </c>
      <c r="L224" s="1">
        <v>0.4</v>
      </c>
    </row>
    <row r="225" spans="6:12" ht="15" customHeight="1">
      <c r="F225" s="1" t="s">
        <v>257</v>
      </c>
      <c r="G225" s="1" t="s">
        <v>455</v>
      </c>
      <c r="H225" s="1" t="str">
        <f t="shared" si="6"/>
        <v>OfficeKitchen/Break room &amp; Food Prep</v>
      </c>
      <c r="I225" s="1">
        <v>3522</v>
      </c>
      <c r="J225" s="1">
        <v>0.79</v>
      </c>
      <c r="K225" s="1">
        <v>0.74</v>
      </c>
      <c r="L225" s="1">
        <v>0.42</v>
      </c>
    </row>
    <row r="226" spans="6:12" ht="15" customHeight="1">
      <c r="F226" s="1" t="s">
        <v>257</v>
      </c>
      <c r="G226" s="1" t="s">
        <v>458</v>
      </c>
      <c r="H226" s="1" t="str">
        <f t="shared" si="6"/>
        <v>OfficeLaundry</v>
      </c>
      <c r="I226" s="1">
        <v>3438</v>
      </c>
      <c r="J226" s="1">
        <v>0.65</v>
      </c>
      <c r="K226" s="1">
        <v>0.64</v>
      </c>
      <c r="L226" s="1">
        <v>0.4</v>
      </c>
    </row>
    <row r="227" spans="6:12" ht="15" customHeight="1">
      <c r="F227" s="1" t="s">
        <v>257</v>
      </c>
      <c r="G227" s="1" t="s">
        <v>460</v>
      </c>
      <c r="H227" s="1" t="str">
        <f t="shared" si="6"/>
        <v>OfficeLibrary</v>
      </c>
      <c r="I227" s="1">
        <v>1957</v>
      </c>
      <c r="J227" s="1">
        <v>0.44</v>
      </c>
      <c r="K227" s="1">
        <v>0.46</v>
      </c>
      <c r="L227" s="1">
        <v>0.31</v>
      </c>
    </row>
    <row r="228" spans="6:12" ht="15" customHeight="1">
      <c r="F228" s="1" t="s">
        <v>257</v>
      </c>
      <c r="G228" s="1" t="s">
        <v>462</v>
      </c>
      <c r="H228" s="1" t="str">
        <f t="shared" si="6"/>
        <v>OfficeLoading Dock</v>
      </c>
      <c r="I228" s="1">
        <v>7358</v>
      </c>
      <c r="J228" s="1">
        <v>0.97</v>
      </c>
      <c r="K228" s="1">
        <v>0.97</v>
      </c>
      <c r="L228" s="1">
        <v>0.62</v>
      </c>
    </row>
    <row r="229" spans="6:12" ht="15" customHeight="1">
      <c r="F229" s="1" t="s">
        <v>257</v>
      </c>
      <c r="G229" s="1" t="s">
        <v>466</v>
      </c>
      <c r="H229" s="1" t="str">
        <f t="shared" si="6"/>
        <v>OfficeLobby (Main Entry and Assembly)</v>
      </c>
      <c r="I229" s="1">
        <v>6569</v>
      </c>
      <c r="J229" s="1">
        <v>0.93</v>
      </c>
      <c r="K229" s="1">
        <v>0.91</v>
      </c>
      <c r="L229" s="1">
        <v>0.8</v>
      </c>
    </row>
    <row r="230" spans="6:12" ht="15" customHeight="1">
      <c r="F230" s="1" t="s">
        <v>257</v>
      </c>
      <c r="G230" s="1" t="s">
        <v>468</v>
      </c>
      <c r="H230" s="1" t="str">
        <f t="shared" si="6"/>
        <v>OfficeLobby (Office Reception/Waiting)</v>
      </c>
      <c r="I230" s="1">
        <v>3425</v>
      </c>
      <c r="J230" s="1">
        <v>0.84</v>
      </c>
      <c r="K230" s="1">
        <v>0.87</v>
      </c>
      <c r="L230" s="1">
        <v>0.49</v>
      </c>
    </row>
    <row r="231" spans="6:12" ht="15" customHeight="1">
      <c r="F231" s="1" t="s">
        <v>257</v>
      </c>
      <c r="G231" s="1" t="s">
        <v>470</v>
      </c>
      <c r="H231" s="1" t="str">
        <f t="shared" si="6"/>
        <v>OfficeLocker and Dressing Room</v>
      </c>
      <c r="I231" s="1">
        <v>3438</v>
      </c>
      <c r="J231" s="1">
        <v>0.65</v>
      </c>
      <c r="K231" s="1">
        <v>0.64</v>
      </c>
      <c r="L231" s="1">
        <v>0.4</v>
      </c>
    </row>
    <row r="232" spans="6:12" ht="15" customHeight="1">
      <c r="F232" s="1" t="s">
        <v>257</v>
      </c>
      <c r="G232" s="1" t="s">
        <v>473</v>
      </c>
      <c r="H232" s="1" t="str">
        <f t="shared" si="6"/>
        <v>OfficeMechanical/Electrical Room</v>
      </c>
      <c r="I232" s="1">
        <v>5026</v>
      </c>
      <c r="J232" s="1">
        <v>0.73</v>
      </c>
      <c r="K232" s="1">
        <v>0.74</v>
      </c>
      <c r="L232" s="1">
        <v>0.46</v>
      </c>
    </row>
    <row r="233" spans="6:12" ht="15" customHeight="1">
      <c r="F233" s="1" t="s">
        <v>257</v>
      </c>
      <c r="G233" s="1" t="s">
        <v>475</v>
      </c>
      <c r="H233" s="1" t="str">
        <f t="shared" si="6"/>
        <v>OfficeMedical Offices and Exam rooms</v>
      </c>
      <c r="I233" s="1">
        <v>3438</v>
      </c>
      <c r="J233" s="1">
        <v>0.65</v>
      </c>
      <c r="K233" s="1">
        <v>0.64</v>
      </c>
      <c r="L233" s="1">
        <v>0.4</v>
      </c>
    </row>
    <row r="234" spans="6:12" ht="15" customHeight="1">
      <c r="F234" s="1" t="s">
        <v>257</v>
      </c>
      <c r="G234" s="1" t="s">
        <v>2723</v>
      </c>
      <c r="H234" s="1" t="str">
        <f t="shared" si="6"/>
        <v>OfficeNon-Hallway Common Areas[1]</v>
      </c>
      <c r="I234" s="1">
        <v>3438</v>
      </c>
      <c r="J234" s="1">
        <v>0.65</v>
      </c>
      <c r="K234" s="1">
        <v>0.64</v>
      </c>
      <c r="L234" s="1">
        <v>0.4</v>
      </c>
    </row>
    <row r="235" spans="6:12" ht="15" customHeight="1">
      <c r="F235" s="1" t="s">
        <v>257</v>
      </c>
      <c r="G235" s="1" t="s">
        <v>477</v>
      </c>
      <c r="H235" s="1" t="str">
        <f t="shared" si="6"/>
        <v>OfficeOffice (Executive/Private)</v>
      </c>
      <c r="I235" s="1">
        <v>1753</v>
      </c>
      <c r="J235" s="1">
        <v>0.42</v>
      </c>
      <c r="K235" s="1">
        <v>0.44</v>
      </c>
      <c r="L235" s="1">
        <v>0.2</v>
      </c>
    </row>
    <row r="236" spans="6:12" ht="15" customHeight="1">
      <c r="F236" s="1" t="s">
        <v>257</v>
      </c>
      <c r="G236" s="1" t="s">
        <v>260</v>
      </c>
      <c r="H236" s="1" t="str">
        <f t="shared" si="6"/>
        <v>OfficeOffice (General)</v>
      </c>
      <c r="I236" s="1">
        <v>3009</v>
      </c>
      <c r="J236" s="1">
        <v>0.7</v>
      </c>
      <c r="K236" s="1">
        <v>0.7</v>
      </c>
      <c r="L236" s="1">
        <v>0.48</v>
      </c>
    </row>
    <row r="237" spans="6:12" ht="15" customHeight="1">
      <c r="F237" s="1" t="s">
        <v>257</v>
      </c>
      <c r="G237" s="1" t="s">
        <v>2724</v>
      </c>
      <c r="H237" s="1" t="str">
        <f t="shared" si="6"/>
        <v>OfficeOffice (Open Plan)</v>
      </c>
      <c r="I237" s="1">
        <v>3159</v>
      </c>
      <c r="J237" s="1">
        <v>0.81</v>
      </c>
      <c r="K237" s="1">
        <v>0.82</v>
      </c>
      <c r="L237" s="1">
        <v>0.49</v>
      </c>
    </row>
    <row r="238" spans="6:12" ht="15" customHeight="1">
      <c r="F238" s="1" t="s">
        <v>257</v>
      </c>
      <c r="G238" s="1" t="s">
        <v>66</v>
      </c>
      <c r="H238" s="1" t="str">
        <f t="shared" si="6"/>
        <v>OfficeOther</v>
      </c>
      <c r="I238" s="1">
        <v>3438</v>
      </c>
      <c r="J238" s="1">
        <v>0.65</v>
      </c>
      <c r="K238" s="1">
        <v>0.64</v>
      </c>
      <c r="L238" s="1">
        <v>0.4</v>
      </c>
    </row>
    <row r="239" spans="6:12" ht="15" customHeight="1">
      <c r="F239" s="1" t="s">
        <v>257</v>
      </c>
      <c r="G239" s="1" t="s">
        <v>496</v>
      </c>
      <c r="H239" s="1" t="str">
        <f t="shared" si="6"/>
        <v>OfficeOutside/Outdoor Area</v>
      </c>
      <c r="I239" s="1">
        <v>3604</v>
      </c>
      <c r="J239" s="1">
        <v>0.11</v>
      </c>
      <c r="K239" s="1">
        <v>0.11</v>
      </c>
      <c r="L239" s="1">
        <v>0.57999999999999996</v>
      </c>
    </row>
    <row r="240" spans="6:12" ht="15" customHeight="1">
      <c r="F240" s="1" t="s">
        <v>257</v>
      </c>
      <c r="G240" s="1" t="s">
        <v>492</v>
      </c>
      <c r="H240" s="1" t="str">
        <f t="shared" si="6"/>
        <v>OfficeParking Garage</v>
      </c>
      <c r="I240" s="1">
        <v>8678</v>
      </c>
      <c r="J240" s="1">
        <v>0.98</v>
      </c>
      <c r="K240" s="1">
        <v>0.98</v>
      </c>
      <c r="L240" s="1">
        <v>0.99</v>
      </c>
    </row>
    <row r="241" spans="6:12" ht="15" customHeight="1">
      <c r="F241" s="1" t="s">
        <v>257</v>
      </c>
      <c r="G241" s="1" t="s">
        <v>480</v>
      </c>
      <c r="H241" s="1" t="str">
        <f t="shared" si="6"/>
        <v>OfficePatient Rooms</v>
      </c>
      <c r="I241" s="1">
        <v>3438</v>
      </c>
      <c r="J241" s="1">
        <v>0.65</v>
      </c>
      <c r="K241" s="1">
        <v>0.64</v>
      </c>
      <c r="L241" s="1">
        <v>0.4</v>
      </c>
    </row>
    <row r="242" spans="6:12" ht="15" customHeight="1">
      <c r="F242" s="1" t="s">
        <v>257</v>
      </c>
      <c r="G242" s="1" t="s">
        <v>482</v>
      </c>
      <c r="H242" s="1" t="str">
        <f t="shared" si="6"/>
        <v>OfficeResidential</v>
      </c>
      <c r="I242" s="1">
        <v>3438</v>
      </c>
      <c r="J242" s="1">
        <v>0.65</v>
      </c>
      <c r="K242" s="1">
        <v>0.64</v>
      </c>
      <c r="L242" s="1">
        <v>0.4</v>
      </c>
    </row>
    <row r="243" spans="6:12" ht="15" customHeight="1">
      <c r="F243" s="1" t="s">
        <v>257</v>
      </c>
      <c r="G243" s="1" t="s">
        <v>483</v>
      </c>
      <c r="H243" s="1" t="str">
        <f t="shared" si="6"/>
        <v>OfficeRestrooms</v>
      </c>
      <c r="I243" s="1">
        <v>2521</v>
      </c>
      <c r="J243" s="1">
        <v>0.48</v>
      </c>
      <c r="K243" s="1">
        <v>0.42</v>
      </c>
      <c r="L243" s="1">
        <v>0.3</v>
      </c>
    </row>
    <row r="244" spans="6:12" ht="15" customHeight="1">
      <c r="F244" s="1" t="s">
        <v>257</v>
      </c>
      <c r="G244" s="1" t="s">
        <v>484</v>
      </c>
      <c r="H244" s="1" t="str">
        <f t="shared" si="6"/>
        <v>OfficeRetail Sales/Showroom</v>
      </c>
      <c r="I244" s="1">
        <v>6152</v>
      </c>
      <c r="J244" s="1">
        <v>0.97</v>
      </c>
      <c r="K244" s="1">
        <v>0.97</v>
      </c>
      <c r="L244" s="1">
        <v>0.78</v>
      </c>
    </row>
    <row r="245" spans="6:12" ht="15" customHeight="1">
      <c r="F245" s="1" t="s">
        <v>257</v>
      </c>
      <c r="G245" s="1" t="s">
        <v>485</v>
      </c>
      <c r="H245" s="1" t="str">
        <f t="shared" si="6"/>
        <v>OfficeSmoking Lounge</v>
      </c>
      <c r="I245" s="1">
        <v>2897</v>
      </c>
      <c r="J245" s="1">
        <v>0.7</v>
      </c>
      <c r="K245" s="1">
        <v>0.69</v>
      </c>
      <c r="L245" s="1">
        <v>0.48</v>
      </c>
    </row>
    <row r="246" spans="6:12" ht="15" customHeight="1">
      <c r="F246" s="1" t="s">
        <v>257</v>
      </c>
      <c r="G246" s="1" t="s">
        <v>2725</v>
      </c>
      <c r="H246" s="1" t="str">
        <f t="shared" si="6"/>
        <v>OfficeStorage (Conditioned &amp; Walk-In Refrigerator/Freezer)</v>
      </c>
      <c r="I246" s="1">
        <v>4672</v>
      </c>
      <c r="J246" s="1">
        <v>0.81</v>
      </c>
      <c r="K246" s="1">
        <v>0.81</v>
      </c>
      <c r="L246" s="1">
        <v>0.44</v>
      </c>
    </row>
    <row r="247" spans="6:12" ht="15" customHeight="1">
      <c r="F247" s="1" t="s">
        <v>257</v>
      </c>
      <c r="G247" s="1" t="s">
        <v>486</v>
      </c>
      <c r="H247" s="1" t="str">
        <f t="shared" si="6"/>
        <v>OfficeStorage (Conditioned)</v>
      </c>
      <c r="I247" s="1">
        <v>2897</v>
      </c>
      <c r="J247" s="1">
        <v>0.7</v>
      </c>
      <c r="K247" s="1">
        <v>0.69</v>
      </c>
      <c r="L247" s="1">
        <v>0.48</v>
      </c>
    </row>
    <row r="248" spans="6:12" ht="15" customHeight="1">
      <c r="F248" s="1" t="s">
        <v>257</v>
      </c>
      <c r="G248" s="1" t="s">
        <v>488</v>
      </c>
      <c r="H248" s="1" t="str">
        <f t="shared" si="6"/>
        <v>OfficeStorage (Refrigerated/Freezer),Walk-in</v>
      </c>
      <c r="I248" s="1">
        <v>3438</v>
      </c>
      <c r="J248" s="1">
        <v>0.65</v>
      </c>
      <c r="K248" s="1">
        <v>0.64</v>
      </c>
      <c r="L248" s="1">
        <v>0.4</v>
      </c>
    </row>
    <row r="249" spans="6:12" ht="15" customHeight="1">
      <c r="F249" s="1" t="s">
        <v>257</v>
      </c>
      <c r="G249" s="1" t="s">
        <v>487</v>
      </c>
      <c r="H249" s="1" t="str">
        <f t="shared" si="6"/>
        <v>OfficeStorage (Unconditioned)</v>
      </c>
      <c r="I249" s="1">
        <v>2930</v>
      </c>
      <c r="J249" s="1">
        <v>0.66</v>
      </c>
      <c r="K249" s="1">
        <v>0.64</v>
      </c>
      <c r="L249" s="1">
        <v>0.4</v>
      </c>
    </row>
    <row r="250" spans="6:12" ht="15" customHeight="1">
      <c r="F250" s="1" t="s">
        <v>257</v>
      </c>
      <c r="G250" s="1" t="s">
        <v>2726</v>
      </c>
      <c r="H250" s="1" t="str">
        <f t="shared" si="6"/>
        <v>OfficeStorage (Walk-In Refrigerator/Freezer)</v>
      </c>
      <c r="I250" s="1">
        <v>3438</v>
      </c>
      <c r="J250" s="1">
        <v>0.65</v>
      </c>
      <c r="K250" s="1">
        <v>0.64</v>
      </c>
      <c r="L250" s="1">
        <v>0.4</v>
      </c>
    </row>
    <row r="251" spans="6:12" ht="15" customHeight="1">
      <c r="F251" s="1" t="s">
        <v>257</v>
      </c>
      <c r="G251" s="1" t="s">
        <v>2728</v>
      </c>
      <c r="H251" s="1" t="str">
        <f t="shared" si="6"/>
        <v>OfficeVacant (Conditioned)</v>
      </c>
      <c r="I251" s="1">
        <v>3438</v>
      </c>
      <c r="J251" s="1">
        <v>0.65</v>
      </c>
      <c r="K251" s="1">
        <v>0.64</v>
      </c>
      <c r="L251" s="1">
        <v>0.4</v>
      </c>
    </row>
    <row r="252" spans="6:12" ht="15" customHeight="1">
      <c r="F252" s="1" t="s">
        <v>398</v>
      </c>
      <c r="G252" s="1" t="s">
        <v>399</v>
      </c>
      <c r="H252" s="1" t="str">
        <f t="shared" si="6"/>
        <v>RetailAuto Repair Workshop</v>
      </c>
      <c r="I252" s="1">
        <v>6189</v>
      </c>
      <c r="J252" s="1">
        <v>0.88</v>
      </c>
      <c r="K252" s="1">
        <v>0.89</v>
      </c>
      <c r="L252" s="1">
        <v>0.61</v>
      </c>
    </row>
    <row r="253" spans="6:12" ht="15" customHeight="1">
      <c r="F253" s="1" t="s">
        <v>398</v>
      </c>
      <c r="G253" s="1" t="s">
        <v>413</v>
      </c>
      <c r="H253" s="1" t="str">
        <f t="shared" si="6"/>
        <v>RetailClassroom/Lecture</v>
      </c>
      <c r="I253" s="1">
        <v>1584</v>
      </c>
      <c r="J253" s="1">
        <v>0.24</v>
      </c>
      <c r="K253" s="1">
        <v>0.24</v>
      </c>
      <c r="L253" s="1">
        <v>0.2</v>
      </c>
    </row>
    <row r="254" spans="6:12" ht="15" customHeight="1">
      <c r="F254" s="1" t="s">
        <v>398</v>
      </c>
      <c r="G254" s="1" t="s">
        <v>2720</v>
      </c>
      <c r="H254" s="1" t="str">
        <f t="shared" si="6"/>
        <v>RetailComm/Ind Work (General High Bay)</v>
      </c>
      <c r="I254" s="1">
        <v>4790</v>
      </c>
      <c r="J254" s="1">
        <v>0.9</v>
      </c>
      <c r="K254" s="1">
        <v>0.91</v>
      </c>
      <c r="L254" s="1">
        <v>0.82</v>
      </c>
    </row>
    <row r="255" spans="6:12" ht="15" customHeight="1">
      <c r="F255" s="1" t="s">
        <v>398</v>
      </c>
      <c r="G255" s="1" t="s">
        <v>2721</v>
      </c>
      <c r="H255" s="1" t="str">
        <f t="shared" si="6"/>
        <v>RetailComm/Ind Work (General Low Bay)</v>
      </c>
      <c r="I255" s="1">
        <v>6775</v>
      </c>
      <c r="J255" s="1">
        <v>0.95</v>
      </c>
      <c r="K255" s="1">
        <v>0.95</v>
      </c>
      <c r="L255" s="1">
        <v>0.77</v>
      </c>
    </row>
    <row r="256" spans="6:12" ht="15" customHeight="1">
      <c r="F256" s="1" t="s">
        <v>398</v>
      </c>
      <c r="G256" s="1" t="s">
        <v>433</v>
      </c>
      <c r="H256" s="1" t="str">
        <f t="shared" si="6"/>
        <v>RetailComm/Ind Work (Precision)</v>
      </c>
      <c r="I256" s="1">
        <v>3438</v>
      </c>
      <c r="J256" s="1">
        <v>0.65</v>
      </c>
      <c r="K256" s="1">
        <v>0.64</v>
      </c>
      <c r="L256" s="1">
        <v>0.4</v>
      </c>
    </row>
    <row r="257" spans="6:12" ht="15" customHeight="1">
      <c r="F257" s="1" t="s">
        <v>398</v>
      </c>
      <c r="G257" s="1" t="s">
        <v>2722</v>
      </c>
      <c r="H257" s="1" t="str">
        <f t="shared" si="6"/>
        <v>RetailCommon Area Hallways[2]</v>
      </c>
      <c r="I257" s="1">
        <v>3438</v>
      </c>
      <c r="J257" s="1">
        <v>0.65</v>
      </c>
      <c r="K257" s="1">
        <v>0.64</v>
      </c>
      <c r="L257" s="1">
        <v>0.4</v>
      </c>
    </row>
    <row r="258" spans="6:12" ht="15" customHeight="1">
      <c r="F258" s="1" t="s">
        <v>398</v>
      </c>
      <c r="G258" s="1" t="s">
        <v>423</v>
      </c>
      <c r="H258" s="1" t="str">
        <f t="shared" ref="H258:H321" si="7">_xlfn.CONCAT(F258,G258)</f>
        <v>RetailComputer Room/Data Processing</v>
      </c>
      <c r="I258" s="1">
        <v>3438</v>
      </c>
      <c r="J258" s="1">
        <v>0.65</v>
      </c>
      <c r="K258" s="1">
        <v>0.64</v>
      </c>
      <c r="L258" s="1">
        <v>0.4</v>
      </c>
    </row>
    <row r="259" spans="6:12" ht="15" customHeight="1">
      <c r="F259" s="1" t="s">
        <v>398</v>
      </c>
      <c r="G259" s="1" t="s">
        <v>436</v>
      </c>
      <c r="H259" s="1" t="str">
        <f t="shared" si="7"/>
        <v>RetailConference Room</v>
      </c>
      <c r="I259" s="1">
        <v>1201</v>
      </c>
      <c r="J259" s="1">
        <v>0.28000000000000003</v>
      </c>
      <c r="K259" s="1">
        <v>0.3</v>
      </c>
      <c r="L259" s="1">
        <v>0.16</v>
      </c>
    </row>
    <row r="260" spans="6:12" ht="15" customHeight="1">
      <c r="F260" s="1" t="s">
        <v>398</v>
      </c>
      <c r="G260" s="1" t="s">
        <v>442</v>
      </c>
      <c r="H260" s="1" t="str">
        <f t="shared" si="7"/>
        <v>RetailCopy Room</v>
      </c>
      <c r="I260" s="1">
        <v>3438</v>
      </c>
      <c r="J260" s="1">
        <v>0.65</v>
      </c>
      <c r="K260" s="1">
        <v>0.64</v>
      </c>
      <c r="L260" s="1">
        <v>0.4</v>
      </c>
    </row>
    <row r="261" spans="6:12" ht="15" customHeight="1">
      <c r="F261" s="1" t="s">
        <v>398</v>
      </c>
      <c r="G261" s="1" t="s">
        <v>445</v>
      </c>
      <c r="H261" s="1" t="str">
        <f t="shared" si="7"/>
        <v>RetailCorridor/Hallways</v>
      </c>
      <c r="I261" s="1">
        <v>5670</v>
      </c>
      <c r="J261" s="1">
        <v>0.86</v>
      </c>
      <c r="K261" s="1">
        <v>0.86</v>
      </c>
      <c r="L261" s="1">
        <v>0.73</v>
      </c>
    </row>
    <row r="262" spans="6:12" ht="15" customHeight="1">
      <c r="F262" s="1" t="s">
        <v>398</v>
      </c>
      <c r="G262" s="1" t="s">
        <v>448</v>
      </c>
      <c r="H262" s="1" t="str">
        <f t="shared" si="7"/>
        <v>RetailDining Area</v>
      </c>
      <c r="I262" s="1">
        <v>2962</v>
      </c>
      <c r="J262" s="1">
        <v>0.48</v>
      </c>
      <c r="K262" s="1">
        <v>0.53</v>
      </c>
      <c r="L262" s="1">
        <v>0.51</v>
      </c>
    </row>
    <row r="263" spans="6:12" ht="15" customHeight="1">
      <c r="F263" s="1" t="s">
        <v>398</v>
      </c>
      <c r="G263" s="1" t="s">
        <v>450</v>
      </c>
      <c r="H263" s="1" t="str">
        <f t="shared" si="7"/>
        <v>RetailExercise Centers/Gymnasium</v>
      </c>
      <c r="I263" s="1">
        <v>4833</v>
      </c>
      <c r="J263" s="1">
        <v>0.81</v>
      </c>
      <c r="K263" s="1">
        <v>0.82</v>
      </c>
      <c r="L263" s="1">
        <v>0.6</v>
      </c>
    </row>
    <row r="264" spans="6:12" ht="15" customHeight="1">
      <c r="F264" s="1" t="s">
        <v>398</v>
      </c>
      <c r="G264" s="1" t="s">
        <v>451</v>
      </c>
      <c r="H264" s="1" t="str">
        <f t="shared" si="7"/>
        <v>RetailExhibit Display Area/Museum</v>
      </c>
      <c r="I264" s="1">
        <v>3438</v>
      </c>
      <c r="J264" s="1">
        <v>0.65</v>
      </c>
      <c r="K264" s="1">
        <v>0.64</v>
      </c>
      <c r="L264" s="1">
        <v>0.4</v>
      </c>
    </row>
    <row r="265" spans="6:12" ht="15" customHeight="1">
      <c r="F265" s="1" t="s">
        <v>398</v>
      </c>
      <c r="G265" s="1" t="s">
        <v>455</v>
      </c>
      <c r="H265" s="1" t="str">
        <f t="shared" si="7"/>
        <v>RetailKitchen/Break room &amp; Food Prep</v>
      </c>
      <c r="I265" s="1">
        <v>3522</v>
      </c>
      <c r="J265" s="1">
        <v>0.79</v>
      </c>
      <c r="K265" s="1">
        <v>0.74</v>
      </c>
      <c r="L265" s="1">
        <v>0.42</v>
      </c>
    </row>
    <row r="266" spans="6:12" ht="15" customHeight="1">
      <c r="F266" s="1" t="s">
        <v>398</v>
      </c>
      <c r="G266" s="1" t="s">
        <v>458</v>
      </c>
      <c r="H266" s="1" t="str">
        <f t="shared" si="7"/>
        <v>RetailLaundry</v>
      </c>
      <c r="I266" s="1">
        <v>3438</v>
      </c>
      <c r="J266" s="1">
        <v>0.65</v>
      </c>
      <c r="K266" s="1">
        <v>0.64</v>
      </c>
      <c r="L266" s="1">
        <v>0.4</v>
      </c>
    </row>
    <row r="267" spans="6:12" ht="15" customHeight="1">
      <c r="F267" s="1" t="s">
        <v>398</v>
      </c>
      <c r="G267" s="1" t="s">
        <v>460</v>
      </c>
      <c r="H267" s="1" t="str">
        <f t="shared" si="7"/>
        <v>RetailLibrary</v>
      </c>
      <c r="I267" s="1">
        <v>1957</v>
      </c>
      <c r="J267" s="1">
        <v>0.44</v>
      </c>
      <c r="K267" s="1">
        <v>0.46</v>
      </c>
      <c r="L267" s="1">
        <v>0.31</v>
      </c>
    </row>
    <row r="268" spans="6:12" ht="15" customHeight="1">
      <c r="F268" s="1" t="s">
        <v>398</v>
      </c>
      <c r="G268" s="1" t="s">
        <v>462</v>
      </c>
      <c r="H268" s="1" t="str">
        <f t="shared" si="7"/>
        <v>RetailLoading Dock</v>
      </c>
      <c r="I268" s="1">
        <v>7358</v>
      </c>
      <c r="J268" s="1">
        <v>0.97</v>
      </c>
      <c r="K268" s="1">
        <v>0.97</v>
      </c>
      <c r="L268" s="1">
        <v>0.62</v>
      </c>
    </row>
    <row r="269" spans="6:12" ht="15" customHeight="1">
      <c r="F269" s="1" t="s">
        <v>398</v>
      </c>
      <c r="G269" s="1" t="s">
        <v>466</v>
      </c>
      <c r="H269" s="1" t="str">
        <f t="shared" si="7"/>
        <v>RetailLobby (Main Entry and Assembly)</v>
      </c>
      <c r="I269" s="1">
        <v>6417</v>
      </c>
      <c r="J269" s="1">
        <v>0.99</v>
      </c>
      <c r="K269" s="1">
        <v>0.99</v>
      </c>
      <c r="L269" s="1">
        <v>0.63</v>
      </c>
    </row>
    <row r="270" spans="6:12" ht="15" customHeight="1">
      <c r="F270" s="1" t="s">
        <v>398</v>
      </c>
      <c r="G270" s="1" t="s">
        <v>468</v>
      </c>
      <c r="H270" s="1" t="str">
        <f t="shared" si="7"/>
        <v>RetailLobby (Office Reception/Waiting)</v>
      </c>
      <c r="I270" s="1">
        <v>3425</v>
      </c>
      <c r="J270" s="1">
        <v>0.84</v>
      </c>
      <c r="K270" s="1">
        <v>0.87</v>
      </c>
      <c r="L270" s="1">
        <v>0.49</v>
      </c>
    </row>
    <row r="271" spans="6:12" ht="15" customHeight="1">
      <c r="F271" s="1" t="s">
        <v>398</v>
      </c>
      <c r="G271" s="1" t="s">
        <v>470</v>
      </c>
      <c r="H271" s="1" t="str">
        <f t="shared" si="7"/>
        <v>RetailLocker and Dressing Room</v>
      </c>
      <c r="I271" s="1">
        <v>3438</v>
      </c>
      <c r="J271" s="1">
        <v>0.65</v>
      </c>
      <c r="K271" s="1">
        <v>0.64</v>
      </c>
      <c r="L271" s="1">
        <v>0.4</v>
      </c>
    </row>
    <row r="272" spans="6:12" ht="15" customHeight="1">
      <c r="F272" s="1" t="s">
        <v>398</v>
      </c>
      <c r="G272" s="1" t="s">
        <v>473</v>
      </c>
      <c r="H272" s="1" t="str">
        <f t="shared" si="7"/>
        <v>RetailMechanical/Electrical Room</v>
      </c>
      <c r="I272" s="1">
        <v>5026</v>
      </c>
      <c r="J272" s="1">
        <v>0.73</v>
      </c>
      <c r="K272" s="1">
        <v>0.74</v>
      </c>
      <c r="L272" s="1">
        <v>0.46</v>
      </c>
    </row>
    <row r="273" spans="6:12" ht="15" customHeight="1">
      <c r="F273" s="1" t="s">
        <v>398</v>
      </c>
      <c r="G273" s="1" t="s">
        <v>475</v>
      </c>
      <c r="H273" s="1" t="str">
        <f t="shared" si="7"/>
        <v>RetailMedical Offices and Exam rooms</v>
      </c>
      <c r="I273" s="1">
        <v>3438</v>
      </c>
      <c r="J273" s="1">
        <v>0.65</v>
      </c>
      <c r="K273" s="1">
        <v>0.64</v>
      </c>
      <c r="L273" s="1">
        <v>0.4</v>
      </c>
    </row>
    <row r="274" spans="6:12" ht="15" customHeight="1">
      <c r="F274" s="1" t="s">
        <v>398</v>
      </c>
      <c r="G274" s="1" t="s">
        <v>2723</v>
      </c>
      <c r="H274" s="1" t="str">
        <f t="shared" si="7"/>
        <v>RetailNon-Hallway Common Areas[1]</v>
      </c>
      <c r="I274" s="1">
        <v>3438</v>
      </c>
      <c r="J274" s="1">
        <v>0.65</v>
      </c>
      <c r="K274" s="1">
        <v>0.64</v>
      </c>
      <c r="L274" s="1">
        <v>0.4</v>
      </c>
    </row>
    <row r="275" spans="6:12" ht="15" customHeight="1">
      <c r="F275" s="1" t="s">
        <v>398</v>
      </c>
      <c r="G275" s="1" t="s">
        <v>477</v>
      </c>
      <c r="H275" s="1" t="str">
        <f t="shared" si="7"/>
        <v>RetailOffice (Executive/Private)</v>
      </c>
      <c r="I275" s="1">
        <v>1753</v>
      </c>
      <c r="J275" s="1">
        <v>0.42</v>
      </c>
      <c r="K275" s="1">
        <v>0.44</v>
      </c>
      <c r="L275" s="1">
        <v>0.2</v>
      </c>
    </row>
    <row r="276" spans="6:12" ht="15" customHeight="1">
      <c r="F276" s="1" t="s">
        <v>398</v>
      </c>
      <c r="G276" s="1" t="s">
        <v>260</v>
      </c>
      <c r="H276" s="1" t="str">
        <f t="shared" si="7"/>
        <v>RetailOffice (General)</v>
      </c>
      <c r="I276" s="1">
        <v>3175</v>
      </c>
      <c r="J276" s="1">
        <v>0.72</v>
      </c>
      <c r="K276" s="1">
        <v>0.73</v>
      </c>
      <c r="L276" s="1">
        <v>0.4</v>
      </c>
    </row>
    <row r="277" spans="6:12" ht="15" customHeight="1">
      <c r="F277" s="1" t="s">
        <v>398</v>
      </c>
      <c r="G277" s="1" t="s">
        <v>2724</v>
      </c>
      <c r="H277" s="1" t="str">
        <f t="shared" si="7"/>
        <v>RetailOffice (Open Plan)</v>
      </c>
      <c r="I277" s="1">
        <v>3159</v>
      </c>
      <c r="J277" s="1">
        <v>0.81</v>
      </c>
      <c r="K277" s="1">
        <v>0.82</v>
      </c>
      <c r="L277" s="1">
        <v>0.49</v>
      </c>
    </row>
    <row r="278" spans="6:12" ht="15" customHeight="1">
      <c r="F278" s="1" t="s">
        <v>398</v>
      </c>
      <c r="G278" s="1" t="s">
        <v>66</v>
      </c>
      <c r="H278" s="1" t="str">
        <f t="shared" si="7"/>
        <v>RetailOther</v>
      </c>
      <c r="I278" s="1">
        <v>3438</v>
      </c>
      <c r="J278" s="1">
        <v>0.65</v>
      </c>
      <c r="K278" s="1">
        <v>0.64</v>
      </c>
      <c r="L278" s="1">
        <v>0.4</v>
      </c>
    </row>
    <row r="279" spans="6:12" ht="15" customHeight="1">
      <c r="F279" s="1" t="s">
        <v>398</v>
      </c>
      <c r="G279" s="1" t="s">
        <v>496</v>
      </c>
      <c r="H279" s="1" t="str">
        <f t="shared" si="7"/>
        <v>RetailOutside/Outdoor Area</v>
      </c>
      <c r="I279" s="1">
        <v>3604</v>
      </c>
      <c r="J279" s="1">
        <v>0.11</v>
      </c>
      <c r="K279" s="1">
        <v>0.11</v>
      </c>
      <c r="L279" s="1">
        <v>0.57999999999999996</v>
      </c>
    </row>
    <row r="280" spans="6:12" ht="15" customHeight="1">
      <c r="F280" s="1" t="s">
        <v>398</v>
      </c>
      <c r="G280" s="1" t="s">
        <v>492</v>
      </c>
      <c r="H280" s="1" t="str">
        <f t="shared" si="7"/>
        <v>RetailParking Garage</v>
      </c>
      <c r="I280" s="1">
        <v>8678</v>
      </c>
      <c r="J280" s="1">
        <v>0.98</v>
      </c>
      <c r="K280" s="1">
        <v>0.98</v>
      </c>
      <c r="L280" s="1">
        <v>0.99</v>
      </c>
    </row>
    <row r="281" spans="6:12" ht="15" customHeight="1">
      <c r="F281" s="1" t="s">
        <v>398</v>
      </c>
      <c r="G281" s="1" t="s">
        <v>480</v>
      </c>
      <c r="H281" s="1" t="str">
        <f t="shared" si="7"/>
        <v>RetailPatient Rooms</v>
      </c>
      <c r="I281" s="1">
        <v>3438</v>
      </c>
      <c r="J281" s="1">
        <v>0.65</v>
      </c>
      <c r="K281" s="1">
        <v>0.64</v>
      </c>
      <c r="L281" s="1">
        <v>0.4</v>
      </c>
    </row>
    <row r="282" spans="6:12" ht="15" customHeight="1">
      <c r="F282" s="1" t="s">
        <v>398</v>
      </c>
      <c r="G282" s="1" t="s">
        <v>482</v>
      </c>
      <c r="H282" s="1" t="str">
        <f t="shared" si="7"/>
        <v>RetailResidential</v>
      </c>
      <c r="I282" s="1">
        <v>3438</v>
      </c>
      <c r="J282" s="1">
        <v>0.65</v>
      </c>
      <c r="K282" s="1">
        <v>0.64</v>
      </c>
      <c r="L282" s="1">
        <v>0.4</v>
      </c>
    </row>
    <row r="283" spans="6:12" ht="15" customHeight="1">
      <c r="F283" s="1" t="s">
        <v>398</v>
      </c>
      <c r="G283" s="1" t="s">
        <v>483</v>
      </c>
      <c r="H283" s="1" t="str">
        <f t="shared" si="7"/>
        <v>RetailRestrooms</v>
      </c>
      <c r="I283" s="1">
        <v>5816</v>
      </c>
      <c r="J283" s="1">
        <v>0.94</v>
      </c>
      <c r="K283" s="1">
        <v>0.94</v>
      </c>
      <c r="L283" s="1">
        <v>0.7</v>
      </c>
    </row>
    <row r="284" spans="6:12" ht="15" customHeight="1">
      <c r="F284" s="1" t="s">
        <v>398</v>
      </c>
      <c r="G284" s="1" t="s">
        <v>484</v>
      </c>
      <c r="H284" s="1" t="str">
        <f t="shared" si="7"/>
        <v>RetailRetail Sales/Showroom</v>
      </c>
      <c r="I284" s="1">
        <v>5192</v>
      </c>
      <c r="J284" s="1">
        <v>0.98</v>
      </c>
      <c r="K284" s="1">
        <v>0.98</v>
      </c>
      <c r="L284" s="1">
        <v>0.64</v>
      </c>
    </row>
    <row r="285" spans="6:12" ht="15" customHeight="1">
      <c r="F285" s="1" t="s">
        <v>398</v>
      </c>
      <c r="G285" s="1" t="s">
        <v>485</v>
      </c>
      <c r="H285" s="1" t="str">
        <f t="shared" si="7"/>
        <v>RetailSmoking Lounge</v>
      </c>
      <c r="I285" s="1">
        <v>3438</v>
      </c>
      <c r="J285" s="1">
        <v>0.65</v>
      </c>
      <c r="K285" s="1">
        <v>0.64</v>
      </c>
      <c r="L285" s="1">
        <v>0.4</v>
      </c>
    </row>
    <row r="286" spans="6:12" ht="15" customHeight="1">
      <c r="F286" s="1" t="s">
        <v>398</v>
      </c>
      <c r="G286" s="1" t="s">
        <v>2725</v>
      </c>
      <c r="H286" s="1" t="str">
        <f t="shared" si="7"/>
        <v>RetailStorage (Conditioned &amp; Walk-In Refrigerator/Freezer)</v>
      </c>
      <c r="I286" s="1">
        <v>4672</v>
      </c>
      <c r="J286" s="1">
        <v>0.81</v>
      </c>
      <c r="K286" s="1">
        <v>0.81</v>
      </c>
      <c r="L286" s="1">
        <v>0.44</v>
      </c>
    </row>
    <row r="287" spans="6:12" ht="15" customHeight="1">
      <c r="F287" s="1" t="s">
        <v>398</v>
      </c>
      <c r="G287" s="1" t="s">
        <v>486</v>
      </c>
      <c r="H287" s="1" t="str">
        <f t="shared" si="7"/>
        <v>RetailStorage (Conditioned)</v>
      </c>
      <c r="I287" s="1">
        <v>3438</v>
      </c>
      <c r="J287" s="1">
        <v>0.65</v>
      </c>
      <c r="K287" s="1">
        <v>0.64</v>
      </c>
      <c r="L287" s="1">
        <v>0.4</v>
      </c>
    </row>
    <row r="288" spans="6:12" ht="15" customHeight="1">
      <c r="F288" s="1" t="s">
        <v>398</v>
      </c>
      <c r="G288" s="1" t="s">
        <v>488</v>
      </c>
      <c r="H288" s="1" t="str">
        <f t="shared" si="7"/>
        <v>RetailStorage (Refrigerated/Freezer),Walk-in</v>
      </c>
      <c r="I288" s="1">
        <v>3438</v>
      </c>
      <c r="J288" s="1">
        <v>0.65</v>
      </c>
      <c r="K288" s="1">
        <v>0.64</v>
      </c>
      <c r="L288" s="1">
        <v>0.4</v>
      </c>
    </row>
    <row r="289" spans="6:12" ht="15" customHeight="1">
      <c r="F289" s="1" t="s">
        <v>398</v>
      </c>
      <c r="G289" s="1" t="s">
        <v>487</v>
      </c>
      <c r="H289" s="1" t="str">
        <f t="shared" si="7"/>
        <v>RetailStorage (Unconditioned)</v>
      </c>
      <c r="I289" s="1">
        <v>2930</v>
      </c>
      <c r="J289" s="1">
        <v>0.66</v>
      </c>
      <c r="K289" s="1">
        <v>0.64</v>
      </c>
      <c r="L289" s="1">
        <v>0.4</v>
      </c>
    </row>
    <row r="290" spans="6:12" ht="15" customHeight="1">
      <c r="F290" s="1" t="s">
        <v>398</v>
      </c>
      <c r="G290" s="1" t="s">
        <v>2726</v>
      </c>
      <c r="H290" s="1" t="str">
        <f t="shared" si="7"/>
        <v>RetailStorage (Walk-In Refrigerator/Freezer)</v>
      </c>
      <c r="I290" s="1">
        <v>3438</v>
      </c>
      <c r="J290" s="1">
        <v>0.65</v>
      </c>
      <c r="K290" s="1">
        <v>0.64</v>
      </c>
      <c r="L290" s="1">
        <v>0.4</v>
      </c>
    </row>
    <row r="291" spans="6:12" ht="15" customHeight="1">
      <c r="F291" s="1" t="s">
        <v>398</v>
      </c>
      <c r="G291" s="1" t="s">
        <v>2728</v>
      </c>
      <c r="H291" s="1" t="str">
        <f t="shared" si="7"/>
        <v>RetailVacant (Conditioned)</v>
      </c>
      <c r="I291" s="1">
        <v>3438</v>
      </c>
      <c r="J291" s="1">
        <v>0.65</v>
      </c>
      <c r="K291" s="1">
        <v>0.64</v>
      </c>
      <c r="L291" s="1">
        <v>0.4</v>
      </c>
    </row>
    <row r="292" spans="6:12" ht="15" customHeight="1">
      <c r="F292" s="1" t="s">
        <v>420</v>
      </c>
      <c r="G292" s="1" t="s">
        <v>394</v>
      </c>
      <c r="H292" s="1" t="str">
        <f t="shared" si="7"/>
        <v>Warehouse_IndustrialAuditorium/Gym</v>
      </c>
      <c r="I292" s="1">
        <v>3438</v>
      </c>
      <c r="J292" s="1">
        <v>0.65</v>
      </c>
      <c r="K292" s="1">
        <v>0.64</v>
      </c>
      <c r="L292" s="1">
        <v>0.4</v>
      </c>
    </row>
    <row r="293" spans="6:12" ht="15" customHeight="1">
      <c r="F293" s="1" t="s">
        <v>420</v>
      </c>
      <c r="G293" s="1" t="s">
        <v>399</v>
      </c>
      <c r="H293" s="1" t="str">
        <f t="shared" si="7"/>
        <v>Warehouse_IndustrialAuto Repair Workshop</v>
      </c>
      <c r="I293" s="1">
        <v>5482</v>
      </c>
      <c r="J293" s="1">
        <v>0.94</v>
      </c>
      <c r="K293" s="1">
        <v>0.93</v>
      </c>
      <c r="L293" s="1">
        <v>0.49</v>
      </c>
    </row>
    <row r="294" spans="6:12" ht="15" customHeight="1">
      <c r="F294" s="1" t="s">
        <v>420</v>
      </c>
      <c r="G294" s="1" t="s">
        <v>413</v>
      </c>
      <c r="H294" s="1" t="str">
        <f t="shared" si="7"/>
        <v>Warehouse_IndustrialClassroom/Lecture</v>
      </c>
      <c r="I294" s="1">
        <v>1584</v>
      </c>
      <c r="J294" s="1">
        <v>0.24</v>
      </c>
      <c r="K294" s="1">
        <v>0.24</v>
      </c>
      <c r="L294" s="1">
        <v>0.2</v>
      </c>
    </row>
    <row r="295" spans="6:12" ht="15" customHeight="1">
      <c r="F295" s="1" t="s">
        <v>420</v>
      </c>
      <c r="G295" s="1" t="s">
        <v>2720</v>
      </c>
      <c r="H295" s="1" t="str">
        <f t="shared" si="7"/>
        <v>Warehouse_IndustrialComm/Ind Work (General High Bay)</v>
      </c>
      <c r="I295" s="1">
        <v>5103</v>
      </c>
      <c r="J295" s="1">
        <v>0.92</v>
      </c>
      <c r="K295" s="1">
        <v>0.94</v>
      </c>
      <c r="L295" s="1">
        <v>0.86</v>
      </c>
    </row>
    <row r="296" spans="6:12" ht="15" customHeight="1">
      <c r="F296" s="1" t="s">
        <v>420</v>
      </c>
      <c r="G296" s="1" t="s">
        <v>2721</v>
      </c>
      <c r="H296" s="1" t="str">
        <f t="shared" si="7"/>
        <v>Warehouse_IndustrialComm/Ind Work (General Low Bay)</v>
      </c>
      <c r="I296" s="1">
        <v>7110</v>
      </c>
      <c r="J296" s="1">
        <v>0.98</v>
      </c>
      <c r="K296" s="1">
        <v>0.98</v>
      </c>
      <c r="L296" s="1">
        <v>0.78</v>
      </c>
    </row>
    <row r="297" spans="6:12" ht="15" customHeight="1">
      <c r="F297" s="1" t="s">
        <v>420</v>
      </c>
      <c r="G297" s="1" t="s">
        <v>433</v>
      </c>
      <c r="H297" s="1" t="str">
        <f t="shared" si="7"/>
        <v>Warehouse_IndustrialComm/Ind Work (Precision)</v>
      </c>
      <c r="I297" s="1">
        <v>3338</v>
      </c>
      <c r="J297" s="1">
        <v>0.71</v>
      </c>
      <c r="K297" s="1">
        <v>0.69</v>
      </c>
      <c r="L297" s="1">
        <v>0.44</v>
      </c>
    </row>
    <row r="298" spans="6:12" ht="15" customHeight="1">
      <c r="F298" s="1" t="s">
        <v>420</v>
      </c>
      <c r="G298" s="1" t="s">
        <v>2722</v>
      </c>
      <c r="H298" s="1" t="str">
        <f t="shared" si="7"/>
        <v>Warehouse_IndustrialCommon Area Hallways[2]</v>
      </c>
      <c r="I298" s="1">
        <v>3438</v>
      </c>
      <c r="J298" s="1">
        <v>0.65</v>
      </c>
      <c r="K298" s="1">
        <v>0.64</v>
      </c>
      <c r="L298" s="1">
        <v>0.4</v>
      </c>
    </row>
    <row r="299" spans="6:12" ht="15" customHeight="1">
      <c r="F299" s="1" t="s">
        <v>420</v>
      </c>
      <c r="G299" s="1" t="s">
        <v>423</v>
      </c>
      <c r="H299" s="1" t="str">
        <f t="shared" si="7"/>
        <v>Warehouse_IndustrialComputer Room/Data Processing</v>
      </c>
      <c r="I299" s="1">
        <v>3438</v>
      </c>
      <c r="J299" s="1">
        <v>0.65</v>
      </c>
      <c r="K299" s="1">
        <v>0.64</v>
      </c>
      <c r="L299" s="1">
        <v>0.4</v>
      </c>
    </row>
    <row r="300" spans="6:12" ht="15" customHeight="1">
      <c r="F300" s="1" t="s">
        <v>420</v>
      </c>
      <c r="G300" s="1" t="s">
        <v>436</v>
      </c>
      <c r="H300" s="1" t="str">
        <f t="shared" si="7"/>
        <v>Warehouse_IndustrialConference Room</v>
      </c>
      <c r="I300" s="1">
        <v>1201</v>
      </c>
      <c r="J300" s="1">
        <v>0.28000000000000003</v>
      </c>
      <c r="K300" s="1">
        <v>0.3</v>
      </c>
      <c r="L300" s="1">
        <v>0.16</v>
      </c>
    </row>
    <row r="301" spans="6:12" ht="15" customHeight="1">
      <c r="F301" s="1" t="s">
        <v>420</v>
      </c>
      <c r="G301" s="1" t="s">
        <v>442</v>
      </c>
      <c r="H301" s="1" t="str">
        <f t="shared" si="7"/>
        <v>Warehouse_IndustrialCopy Room</v>
      </c>
      <c r="I301" s="1">
        <v>3438</v>
      </c>
      <c r="J301" s="1">
        <v>0.65</v>
      </c>
      <c r="K301" s="1">
        <v>0.64</v>
      </c>
      <c r="L301" s="1">
        <v>0.4</v>
      </c>
    </row>
    <row r="302" spans="6:12" ht="15" customHeight="1">
      <c r="F302" s="1" t="s">
        <v>420</v>
      </c>
      <c r="G302" s="1" t="s">
        <v>445</v>
      </c>
      <c r="H302" s="1" t="str">
        <f t="shared" si="7"/>
        <v>Warehouse_IndustrialCorridor/Hallways</v>
      </c>
      <c r="I302" s="1">
        <v>5670</v>
      </c>
      <c r="J302" s="1">
        <v>0.86</v>
      </c>
      <c r="K302" s="1">
        <v>0.86</v>
      </c>
      <c r="L302" s="1">
        <v>0.73</v>
      </c>
    </row>
    <row r="303" spans="6:12" ht="15" customHeight="1">
      <c r="F303" s="1" t="s">
        <v>420</v>
      </c>
      <c r="G303" s="1" t="s">
        <v>448</v>
      </c>
      <c r="H303" s="1" t="str">
        <f t="shared" si="7"/>
        <v>Warehouse_IndustrialDining Area</v>
      </c>
      <c r="I303" s="1">
        <v>2962</v>
      </c>
      <c r="J303" s="1">
        <v>0.48</v>
      </c>
      <c r="K303" s="1">
        <v>0.53</v>
      </c>
      <c r="L303" s="1">
        <v>0.51</v>
      </c>
    </row>
    <row r="304" spans="6:12" ht="15" customHeight="1">
      <c r="F304" s="1" t="s">
        <v>420</v>
      </c>
      <c r="G304" s="1" t="s">
        <v>450</v>
      </c>
      <c r="H304" s="1" t="str">
        <f t="shared" si="7"/>
        <v>Warehouse_IndustrialExercise Centers/Gymnasium</v>
      </c>
      <c r="I304" s="1">
        <v>4833</v>
      </c>
      <c r="J304" s="1">
        <v>0.81</v>
      </c>
      <c r="K304" s="1">
        <v>0.82</v>
      </c>
      <c r="L304" s="1">
        <v>0.6</v>
      </c>
    </row>
    <row r="305" spans="6:12" ht="15" customHeight="1">
      <c r="F305" s="1" t="s">
        <v>420</v>
      </c>
      <c r="G305" s="1" t="s">
        <v>451</v>
      </c>
      <c r="H305" s="1" t="str">
        <f t="shared" si="7"/>
        <v>Warehouse_IndustrialExhibit Display Area/Museum</v>
      </c>
      <c r="I305" s="1">
        <v>3438</v>
      </c>
      <c r="J305" s="1">
        <v>0.65</v>
      </c>
      <c r="K305" s="1">
        <v>0.64</v>
      </c>
      <c r="L305" s="1">
        <v>0.4</v>
      </c>
    </row>
    <row r="306" spans="6:12" ht="15" customHeight="1">
      <c r="F306" s="1" t="s">
        <v>420</v>
      </c>
      <c r="G306" s="1" t="s">
        <v>455</v>
      </c>
      <c r="H306" s="1" t="str">
        <f t="shared" si="7"/>
        <v>Warehouse_IndustrialKitchen/Break room &amp; Food Prep</v>
      </c>
      <c r="I306" s="1">
        <v>3522</v>
      </c>
      <c r="J306" s="1">
        <v>0.79</v>
      </c>
      <c r="K306" s="1">
        <v>0.74</v>
      </c>
      <c r="L306" s="1">
        <v>0.42</v>
      </c>
    </row>
    <row r="307" spans="6:12" ht="15" customHeight="1">
      <c r="F307" s="1" t="s">
        <v>420</v>
      </c>
      <c r="G307" s="1" t="s">
        <v>458</v>
      </c>
      <c r="H307" s="1" t="str">
        <f t="shared" si="7"/>
        <v>Warehouse_IndustrialLaundry</v>
      </c>
      <c r="I307" s="1">
        <v>3438</v>
      </c>
      <c r="J307" s="1">
        <v>0.65</v>
      </c>
      <c r="K307" s="1">
        <v>0.64</v>
      </c>
      <c r="L307" s="1">
        <v>0.4</v>
      </c>
    </row>
    <row r="308" spans="6:12" ht="15" customHeight="1">
      <c r="F308" s="1" t="s">
        <v>420</v>
      </c>
      <c r="G308" s="1" t="s">
        <v>460</v>
      </c>
      <c r="H308" s="1" t="str">
        <f t="shared" si="7"/>
        <v>Warehouse_IndustrialLibrary</v>
      </c>
      <c r="I308" s="1">
        <v>1957</v>
      </c>
      <c r="J308" s="1">
        <v>0.44</v>
      </c>
      <c r="K308" s="1">
        <v>0.46</v>
      </c>
      <c r="L308" s="1">
        <v>0.31</v>
      </c>
    </row>
    <row r="309" spans="6:12" ht="15" customHeight="1">
      <c r="F309" s="1" t="s">
        <v>420</v>
      </c>
      <c r="G309" s="1" t="s">
        <v>462</v>
      </c>
      <c r="H309" s="1" t="str">
        <f t="shared" si="7"/>
        <v>Warehouse_IndustrialLoading Dock</v>
      </c>
      <c r="I309" s="1">
        <v>7358</v>
      </c>
      <c r="J309" s="1">
        <v>0.97</v>
      </c>
      <c r="K309" s="1">
        <v>0.97</v>
      </c>
      <c r="L309" s="1">
        <v>0.62</v>
      </c>
    </row>
    <row r="310" spans="6:12" ht="15" customHeight="1">
      <c r="F310" s="1" t="s">
        <v>420</v>
      </c>
      <c r="G310" s="1" t="s">
        <v>466</v>
      </c>
      <c r="H310" s="1" t="str">
        <f t="shared" si="7"/>
        <v>Warehouse_IndustrialLobby (Main Entry and Assembly)</v>
      </c>
      <c r="I310" s="1">
        <v>5947</v>
      </c>
      <c r="J310" s="1">
        <v>0.83</v>
      </c>
      <c r="K310" s="1">
        <v>0.82</v>
      </c>
      <c r="L310" s="1">
        <v>0.71</v>
      </c>
    </row>
    <row r="311" spans="6:12" ht="15" customHeight="1">
      <c r="F311" s="1" t="s">
        <v>420</v>
      </c>
      <c r="G311" s="1" t="s">
        <v>468</v>
      </c>
      <c r="H311" s="1" t="str">
        <f t="shared" si="7"/>
        <v>Warehouse_IndustrialLobby (Office Reception/Waiting)</v>
      </c>
      <c r="I311" s="1">
        <v>3425</v>
      </c>
      <c r="J311" s="1">
        <v>0.84</v>
      </c>
      <c r="K311" s="1">
        <v>0.87</v>
      </c>
      <c r="L311" s="1">
        <v>0.49</v>
      </c>
    </row>
    <row r="312" spans="6:12" ht="15" customHeight="1">
      <c r="F312" s="1" t="s">
        <v>420</v>
      </c>
      <c r="G312" s="1" t="s">
        <v>470</v>
      </c>
      <c r="H312" s="1" t="str">
        <f t="shared" si="7"/>
        <v>Warehouse_IndustrialLocker and Dressing Room</v>
      </c>
      <c r="I312" s="1">
        <v>3438</v>
      </c>
      <c r="J312" s="1">
        <v>0.65</v>
      </c>
      <c r="K312" s="1">
        <v>0.64</v>
      </c>
      <c r="L312" s="1">
        <v>0.4</v>
      </c>
    </row>
    <row r="313" spans="6:12" ht="15" customHeight="1">
      <c r="F313" s="1" t="s">
        <v>420</v>
      </c>
      <c r="G313" s="1" t="s">
        <v>473</v>
      </c>
      <c r="H313" s="1" t="str">
        <f t="shared" si="7"/>
        <v>Warehouse_IndustrialMechanical/Electrical Room</v>
      </c>
      <c r="I313" s="1">
        <v>5026</v>
      </c>
      <c r="J313" s="1">
        <v>0.73</v>
      </c>
      <c r="K313" s="1">
        <v>0.74</v>
      </c>
      <c r="L313" s="1">
        <v>0.46</v>
      </c>
    </row>
    <row r="314" spans="6:12" ht="15" customHeight="1">
      <c r="F314" s="1" t="s">
        <v>420</v>
      </c>
      <c r="G314" s="1" t="s">
        <v>475</v>
      </c>
      <c r="H314" s="1" t="str">
        <f t="shared" si="7"/>
        <v>Warehouse_IndustrialMedical Offices and Exam rooms</v>
      </c>
      <c r="I314" s="1">
        <v>3438</v>
      </c>
      <c r="J314" s="1">
        <v>0.65</v>
      </c>
      <c r="K314" s="1">
        <v>0.64</v>
      </c>
      <c r="L314" s="1">
        <v>0.4</v>
      </c>
    </row>
    <row r="315" spans="6:12" ht="15" customHeight="1">
      <c r="F315" s="1" t="s">
        <v>420</v>
      </c>
      <c r="G315" s="1" t="s">
        <v>2723</v>
      </c>
      <c r="H315" s="1" t="str">
        <f t="shared" si="7"/>
        <v>Warehouse_IndustrialNon-Hallway Common Areas[1]</v>
      </c>
      <c r="I315" s="1">
        <v>3438</v>
      </c>
      <c r="J315" s="1">
        <v>0.65</v>
      </c>
      <c r="K315" s="1">
        <v>0.64</v>
      </c>
      <c r="L315" s="1">
        <v>0.4</v>
      </c>
    </row>
    <row r="316" spans="6:12" ht="15" customHeight="1">
      <c r="F316" s="1" t="s">
        <v>420</v>
      </c>
      <c r="G316" s="1" t="s">
        <v>477</v>
      </c>
      <c r="H316" s="1" t="str">
        <f t="shared" si="7"/>
        <v>Warehouse_IndustrialOffice (Executive/Private)</v>
      </c>
      <c r="I316" s="1">
        <v>1753</v>
      </c>
      <c r="J316" s="1">
        <v>0.42</v>
      </c>
      <c r="K316" s="1">
        <v>0.44</v>
      </c>
      <c r="L316" s="1">
        <v>0.2</v>
      </c>
    </row>
    <row r="317" spans="6:12" ht="15" customHeight="1">
      <c r="F317" s="1" t="s">
        <v>420</v>
      </c>
      <c r="G317" s="1" t="s">
        <v>260</v>
      </c>
      <c r="H317" s="1" t="str">
        <f t="shared" si="7"/>
        <v>Warehouse_IndustrialOffice (General)</v>
      </c>
      <c r="I317" s="1">
        <v>2868</v>
      </c>
      <c r="J317" s="1">
        <v>0.74</v>
      </c>
      <c r="K317" s="1">
        <v>0.74</v>
      </c>
      <c r="L317" s="1">
        <v>0.36</v>
      </c>
    </row>
    <row r="318" spans="6:12" ht="15" customHeight="1">
      <c r="F318" s="1" t="s">
        <v>420</v>
      </c>
      <c r="G318" s="1" t="s">
        <v>2724</v>
      </c>
      <c r="H318" s="1" t="str">
        <f t="shared" si="7"/>
        <v>Warehouse_IndustrialOffice (Open Plan)</v>
      </c>
      <c r="I318" s="1">
        <v>3159</v>
      </c>
      <c r="J318" s="1">
        <v>0.81</v>
      </c>
      <c r="K318" s="1">
        <v>0.82</v>
      </c>
      <c r="L318" s="1">
        <v>0.49</v>
      </c>
    </row>
    <row r="319" spans="6:12" ht="15" customHeight="1">
      <c r="F319" s="1" t="s">
        <v>420</v>
      </c>
      <c r="G319" s="1" t="s">
        <v>66</v>
      </c>
      <c r="H319" s="1" t="str">
        <f t="shared" si="7"/>
        <v>Warehouse_IndustrialOther</v>
      </c>
      <c r="I319" s="1">
        <v>3438</v>
      </c>
      <c r="J319" s="1">
        <v>0.65</v>
      </c>
      <c r="K319" s="1">
        <v>0.64</v>
      </c>
      <c r="L319" s="1">
        <v>0.4</v>
      </c>
    </row>
    <row r="320" spans="6:12" ht="15" customHeight="1">
      <c r="F320" s="1" t="s">
        <v>420</v>
      </c>
      <c r="G320" s="1" t="s">
        <v>496</v>
      </c>
      <c r="H320" s="1" t="str">
        <f t="shared" si="7"/>
        <v>Warehouse_IndustrialOutside/Outdoor Area</v>
      </c>
      <c r="I320" s="1">
        <v>3604</v>
      </c>
      <c r="J320" s="1">
        <v>0.11</v>
      </c>
      <c r="K320" s="1">
        <v>0.11</v>
      </c>
      <c r="L320" s="1">
        <v>0.57999999999999996</v>
      </c>
    </row>
    <row r="321" spans="6:12" ht="15" customHeight="1">
      <c r="F321" s="1" t="s">
        <v>420</v>
      </c>
      <c r="G321" s="1" t="s">
        <v>492</v>
      </c>
      <c r="H321" s="1" t="str">
        <f t="shared" si="7"/>
        <v>Warehouse_IndustrialParking Garage</v>
      </c>
      <c r="I321" s="1">
        <v>8678</v>
      </c>
      <c r="J321" s="1">
        <v>0.98</v>
      </c>
      <c r="K321" s="1">
        <v>0.98</v>
      </c>
      <c r="L321" s="1">
        <v>0.99</v>
      </c>
    </row>
    <row r="322" spans="6:12" ht="15" customHeight="1">
      <c r="F322" s="1" t="s">
        <v>420</v>
      </c>
      <c r="G322" s="1" t="s">
        <v>480</v>
      </c>
      <c r="H322" s="1" t="str">
        <f t="shared" ref="H322:H332" si="8">_xlfn.CONCAT(F322,G322)</f>
        <v>Warehouse_IndustrialPatient Rooms</v>
      </c>
      <c r="I322" s="1">
        <v>3438</v>
      </c>
      <c r="J322" s="1">
        <v>0.65</v>
      </c>
      <c r="K322" s="1">
        <v>0.64</v>
      </c>
      <c r="L322" s="1">
        <v>0.4</v>
      </c>
    </row>
    <row r="323" spans="6:12" ht="15" customHeight="1">
      <c r="F323" s="1" t="s">
        <v>420</v>
      </c>
      <c r="G323" s="1" t="s">
        <v>482</v>
      </c>
      <c r="H323" s="1" t="str">
        <f t="shared" si="8"/>
        <v>Warehouse_IndustrialResidential</v>
      </c>
      <c r="I323" s="1">
        <v>3438</v>
      </c>
      <c r="J323" s="1">
        <v>0.65</v>
      </c>
      <c r="K323" s="1">
        <v>0.64</v>
      </c>
      <c r="L323" s="1">
        <v>0.4</v>
      </c>
    </row>
    <row r="324" spans="6:12" ht="15" customHeight="1">
      <c r="F324" s="1" t="s">
        <v>420</v>
      </c>
      <c r="G324" s="1" t="s">
        <v>483</v>
      </c>
      <c r="H324" s="1" t="str">
        <f t="shared" si="8"/>
        <v>Warehouse_IndustrialRestrooms</v>
      </c>
      <c r="I324" s="1">
        <v>4213</v>
      </c>
      <c r="J324" s="1">
        <v>0.53</v>
      </c>
      <c r="K324" s="1">
        <v>0.53</v>
      </c>
      <c r="L324" s="1">
        <v>0.47</v>
      </c>
    </row>
    <row r="325" spans="6:12" ht="15" customHeight="1">
      <c r="F325" s="1" t="s">
        <v>420</v>
      </c>
      <c r="G325" s="1" t="s">
        <v>484</v>
      </c>
      <c r="H325" s="1" t="str">
        <f t="shared" si="8"/>
        <v>Warehouse_IndustrialRetail Sales/Showroom</v>
      </c>
      <c r="I325" s="1">
        <v>6152</v>
      </c>
      <c r="J325" s="1">
        <v>0.97</v>
      </c>
      <c r="K325" s="1">
        <v>0.97</v>
      </c>
      <c r="L325" s="1">
        <v>0.78</v>
      </c>
    </row>
    <row r="326" spans="6:12" ht="15" customHeight="1">
      <c r="F326" s="1" t="s">
        <v>420</v>
      </c>
      <c r="G326" s="1" t="s">
        <v>485</v>
      </c>
      <c r="H326" s="1" t="str">
        <f t="shared" si="8"/>
        <v>Warehouse_IndustrialSmoking Lounge</v>
      </c>
      <c r="I326" s="1">
        <v>3438</v>
      </c>
      <c r="J326" s="1">
        <v>0.65</v>
      </c>
      <c r="K326" s="1">
        <v>0.64</v>
      </c>
      <c r="L326" s="1">
        <v>0.4</v>
      </c>
    </row>
    <row r="327" spans="6:12" ht="15" customHeight="1">
      <c r="F327" s="1" t="s">
        <v>420</v>
      </c>
      <c r="G327" s="1" t="s">
        <v>2725</v>
      </c>
      <c r="H327" s="1" t="str">
        <f t="shared" si="8"/>
        <v>Warehouse_IndustrialStorage (Conditioned &amp; Walk-In Refrigerator/Freezer)</v>
      </c>
      <c r="I327" s="1">
        <v>4530</v>
      </c>
      <c r="J327" s="1">
        <v>0.81</v>
      </c>
      <c r="K327" s="1">
        <v>0.82</v>
      </c>
      <c r="L327" s="1">
        <v>0.4</v>
      </c>
    </row>
    <row r="328" spans="6:12" ht="15" customHeight="1">
      <c r="F328" s="1" t="s">
        <v>420</v>
      </c>
      <c r="G328" s="1" t="s">
        <v>486</v>
      </c>
      <c r="H328" s="1" t="str">
        <f t="shared" si="8"/>
        <v>Warehouse_IndustrialStorage (Conditioned)</v>
      </c>
      <c r="I328" s="1">
        <v>3438</v>
      </c>
      <c r="J328" s="1">
        <v>0.65</v>
      </c>
      <c r="K328" s="1">
        <v>0.64</v>
      </c>
      <c r="L328" s="1">
        <v>0.4</v>
      </c>
    </row>
    <row r="329" spans="6:12" ht="15" customHeight="1">
      <c r="F329" s="1" t="s">
        <v>420</v>
      </c>
      <c r="G329" s="1" t="s">
        <v>488</v>
      </c>
      <c r="H329" s="1" t="str">
        <f t="shared" si="8"/>
        <v>Warehouse_IndustrialStorage (Refrigerated/Freezer),Walk-in</v>
      </c>
      <c r="I329" s="1">
        <v>3338</v>
      </c>
      <c r="J329" s="1">
        <v>0.71</v>
      </c>
      <c r="K329" s="1">
        <v>0.69</v>
      </c>
      <c r="L329" s="1">
        <v>0.44</v>
      </c>
    </row>
    <row r="330" spans="6:12" ht="15" customHeight="1">
      <c r="F330" s="1" t="s">
        <v>420</v>
      </c>
      <c r="G330" s="1" t="s">
        <v>487</v>
      </c>
      <c r="H330" s="1" t="str">
        <f t="shared" si="8"/>
        <v>Warehouse_IndustrialStorage (Unconditioned)</v>
      </c>
      <c r="I330" s="1">
        <v>2930</v>
      </c>
      <c r="J330" s="1">
        <v>0.66</v>
      </c>
      <c r="K330" s="1">
        <v>0.64</v>
      </c>
      <c r="L330" s="1">
        <v>0.4</v>
      </c>
    </row>
    <row r="331" spans="6:12" ht="15" customHeight="1">
      <c r="F331" s="1" t="s">
        <v>420</v>
      </c>
      <c r="G331" s="1" t="s">
        <v>2726</v>
      </c>
      <c r="H331" s="1" t="str">
        <f t="shared" si="8"/>
        <v>Warehouse_IndustrialStorage (Walk-In Refrigerator/Freezer)</v>
      </c>
      <c r="I331" s="1">
        <v>3438</v>
      </c>
      <c r="J331" s="1">
        <v>0.65</v>
      </c>
      <c r="K331" s="1">
        <v>0.64</v>
      </c>
      <c r="L331" s="1">
        <v>0.4</v>
      </c>
    </row>
    <row r="332" spans="6:12" ht="15" customHeight="1">
      <c r="F332" s="1" t="s">
        <v>420</v>
      </c>
      <c r="G332" s="1" t="s">
        <v>2728</v>
      </c>
      <c r="H332" s="1" t="str">
        <f t="shared" si="8"/>
        <v>Warehouse_IndustrialVacant (Conditioned)</v>
      </c>
      <c r="I332" s="1">
        <v>3338</v>
      </c>
      <c r="J332" s="1">
        <v>0.71</v>
      </c>
      <c r="K332" s="1">
        <v>0.69</v>
      </c>
      <c r="L332" s="1">
        <v>0.44</v>
      </c>
    </row>
  </sheetData>
  <sortState xmlns:xlrd2="http://schemas.microsoft.com/office/spreadsheetml/2017/richdata2" ref="F2:L332">
    <sortCondition ref="F2:F332"/>
  </sortState>
  <mergeCells count="3">
    <mergeCell ref="A66:B66"/>
    <mergeCell ref="A111:B111"/>
    <mergeCell ref="AC64:AJ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5CB8"/>
  </sheetPr>
  <dimension ref="A1:AA1006"/>
  <sheetViews>
    <sheetView showGridLines="0" zoomScale="85" zoomScaleNormal="85" workbookViewId="0">
      <pane ySplit="7" topLeftCell="A918" activePane="bottomLeft" state="frozenSplit"/>
      <selection activeCell="F7" sqref="F7"/>
      <selection pane="bottomLeft" activeCell="B919" sqref="B919"/>
    </sheetView>
  </sheetViews>
  <sheetFormatPr defaultColWidth="10.42578125" defaultRowHeight="14.25" zeroHeight="1"/>
  <cols>
    <col min="1" max="1" width="3.5703125" style="33" customWidth="1"/>
    <col min="2" max="2" width="24.140625" style="33" bestFit="1" customWidth="1"/>
    <col min="3" max="4" width="25.85546875" style="33" customWidth="1"/>
    <col min="5" max="5" width="14.42578125" style="33" customWidth="1"/>
    <col min="6" max="6" width="103.5703125" style="33" customWidth="1"/>
    <col min="7" max="12" width="14.42578125" style="33" customWidth="1"/>
    <col min="13" max="13" width="21" style="33" customWidth="1"/>
    <col min="14" max="14" width="10.42578125" style="151" customWidth="1"/>
    <col min="15" max="20" width="10.42578125" style="151" hidden="1" customWidth="1"/>
    <col min="21" max="25" width="10.42578125" style="151" customWidth="1"/>
    <col min="26" max="27" width="10.42578125" style="151"/>
    <col min="28" max="16384" width="10.42578125" style="33"/>
  </cols>
  <sheetData>
    <row r="1" spans="1:27" s="192" customFormat="1" ht="22.5" customHeight="1">
      <c r="B1" s="202"/>
      <c r="C1" s="203"/>
      <c r="D1" s="203"/>
      <c r="E1" s="203"/>
      <c r="F1" s="203"/>
      <c r="G1" s="203"/>
      <c r="H1" s="203"/>
      <c r="I1" s="203"/>
      <c r="J1" s="203"/>
      <c r="K1" s="203"/>
      <c r="L1" s="203"/>
      <c r="M1" s="203"/>
      <c r="O1" s="193"/>
      <c r="P1" s="193"/>
    </row>
    <row r="2" spans="1:27" s="171" customFormat="1" ht="15.95" customHeight="1">
      <c r="A2" s="53"/>
      <c r="B2" s="54" t="s">
        <v>501</v>
      </c>
      <c r="C2" s="55"/>
      <c r="D2" s="55"/>
      <c r="E2" s="55"/>
      <c r="F2" s="55"/>
      <c r="G2" s="55"/>
      <c r="H2" s="55"/>
      <c r="I2" s="55"/>
      <c r="J2" s="55"/>
      <c r="K2" s="55"/>
      <c r="L2" s="55"/>
      <c r="M2" s="55"/>
      <c r="N2" s="194"/>
      <c r="O2" s="194"/>
      <c r="P2" s="194"/>
      <c r="Q2" s="194"/>
      <c r="R2" s="194"/>
      <c r="S2" s="194"/>
      <c r="T2" s="194"/>
      <c r="U2" s="194"/>
      <c r="V2" s="194"/>
      <c r="W2" s="194"/>
      <c r="X2" s="194"/>
      <c r="Y2" s="194"/>
      <c r="Z2" s="195"/>
      <c r="AA2" s="195"/>
    </row>
    <row r="3" spans="1:27" s="151" customFormat="1" ht="9.75" customHeight="1">
      <c r="B3" s="201"/>
      <c r="C3" s="201"/>
      <c r="D3" s="201"/>
      <c r="E3" s="201"/>
      <c r="F3" s="201"/>
      <c r="G3" s="201"/>
      <c r="H3" s="201"/>
      <c r="I3" s="201"/>
      <c r="J3" s="201"/>
      <c r="K3" s="201"/>
      <c r="L3" s="201"/>
      <c r="M3" s="201"/>
      <c r="O3" s="196"/>
      <c r="P3" s="196"/>
    </row>
    <row r="4" spans="1:27" ht="18" customHeight="1">
      <c r="A4" s="151"/>
      <c r="B4" s="371" t="s">
        <v>502</v>
      </c>
      <c r="C4" s="372"/>
      <c r="D4" s="372"/>
      <c r="E4" s="372"/>
      <c r="F4" s="372"/>
      <c r="G4" s="372"/>
      <c r="H4" s="372"/>
      <c r="I4" s="372"/>
      <c r="J4" s="372"/>
      <c r="K4" s="372"/>
      <c r="L4" s="372"/>
      <c r="M4" s="372"/>
      <c r="O4" s="196"/>
      <c r="P4" s="196"/>
    </row>
    <row r="5" spans="1:27" ht="18" customHeight="1">
      <c r="A5" s="151"/>
      <c r="B5" s="373"/>
      <c r="C5" s="374"/>
      <c r="D5" s="374"/>
      <c r="E5" s="374"/>
      <c r="F5" s="374"/>
      <c r="G5" s="374"/>
      <c r="H5" s="374"/>
      <c r="I5" s="374"/>
      <c r="J5" s="374"/>
      <c r="K5" s="374"/>
      <c r="L5" s="374"/>
      <c r="M5" s="374"/>
      <c r="O5" s="196"/>
      <c r="P5" s="196"/>
    </row>
    <row r="6" spans="1:27" s="151" customFormat="1" ht="9.75" customHeight="1">
      <c r="B6" s="375"/>
      <c r="C6" s="375"/>
      <c r="D6" s="375"/>
      <c r="E6" s="375"/>
      <c r="F6" s="201"/>
      <c r="G6" s="201"/>
      <c r="H6" s="201"/>
      <c r="I6" s="201"/>
      <c r="J6" s="201"/>
      <c r="K6" s="201"/>
      <c r="L6" s="201"/>
      <c r="M6" s="201"/>
      <c r="O6" s="196"/>
      <c r="P6" s="196"/>
    </row>
    <row r="7" spans="1:27" ht="36.75" customHeight="1">
      <c r="A7" s="151"/>
      <c r="B7" s="187" t="s">
        <v>503</v>
      </c>
      <c r="C7" s="188" t="s">
        <v>504</v>
      </c>
      <c r="D7" s="188" t="s">
        <v>505</v>
      </c>
      <c r="E7" s="188" t="s">
        <v>506</v>
      </c>
      <c r="F7" s="187" t="s">
        <v>2</v>
      </c>
      <c r="G7" s="189" t="s">
        <v>507</v>
      </c>
      <c r="H7" s="190" t="s">
        <v>508</v>
      </c>
      <c r="I7" s="190" t="s">
        <v>509</v>
      </c>
      <c r="J7" s="190" t="s">
        <v>510</v>
      </c>
      <c r="K7" s="190" t="s">
        <v>511</v>
      </c>
      <c r="L7" s="191" t="s">
        <v>512</v>
      </c>
      <c r="M7" s="191" t="s">
        <v>513</v>
      </c>
      <c r="O7" s="196" t="s">
        <v>514</v>
      </c>
      <c r="P7" s="196" t="s">
        <v>515</v>
      </c>
      <c r="Q7" s="151" t="s">
        <v>516</v>
      </c>
      <c r="R7" s="151" t="s">
        <v>517</v>
      </c>
      <c r="S7" s="151" t="s">
        <v>518</v>
      </c>
      <c r="T7" s="197" t="s">
        <v>504</v>
      </c>
    </row>
    <row r="8" spans="1:27">
      <c r="A8" s="151"/>
      <c r="B8" s="174" t="s">
        <v>519</v>
      </c>
      <c r="C8" s="174" t="s">
        <v>520</v>
      </c>
      <c r="D8" s="174" t="s">
        <v>521</v>
      </c>
      <c r="E8" s="174" t="s">
        <v>522</v>
      </c>
      <c r="F8" s="175" t="s">
        <v>523</v>
      </c>
      <c r="G8" s="176" t="s">
        <v>524</v>
      </c>
      <c r="H8" s="177">
        <v>1</v>
      </c>
      <c r="I8" s="176"/>
      <c r="J8" s="174">
        <v>1</v>
      </c>
      <c r="K8" s="174">
        <v>1.5</v>
      </c>
      <c r="L8" s="174">
        <v>1.5</v>
      </c>
      <c r="M8" s="174" t="s">
        <v>519</v>
      </c>
      <c r="O8" s="198" t="s">
        <v>519</v>
      </c>
      <c r="P8" s="198" t="s">
        <v>525</v>
      </c>
      <c r="Q8" s="198" t="s">
        <v>526</v>
      </c>
      <c r="R8" s="198" t="s">
        <v>527</v>
      </c>
      <c r="S8" s="199" t="s">
        <v>528</v>
      </c>
      <c r="T8" s="198" t="s">
        <v>520</v>
      </c>
    </row>
    <row r="9" spans="1:27">
      <c r="A9" s="151"/>
      <c r="B9" s="174" t="s">
        <v>529</v>
      </c>
      <c r="C9" s="174" t="s">
        <v>520</v>
      </c>
      <c r="D9" s="174" t="s">
        <v>521</v>
      </c>
      <c r="E9" s="174" t="s">
        <v>530</v>
      </c>
      <c r="F9" s="175" t="s">
        <v>531</v>
      </c>
      <c r="G9" s="176" t="s">
        <v>524</v>
      </c>
      <c r="H9" s="177">
        <v>1</v>
      </c>
      <c r="I9" s="176"/>
      <c r="J9" s="174">
        <v>1</v>
      </c>
      <c r="K9" s="174">
        <v>3</v>
      </c>
      <c r="L9" s="174">
        <v>3</v>
      </c>
      <c r="M9" s="174" t="s">
        <v>529</v>
      </c>
      <c r="O9" s="198" t="s">
        <v>529</v>
      </c>
      <c r="P9" s="198" t="s">
        <v>532</v>
      </c>
      <c r="Q9" s="198" t="s">
        <v>533</v>
      </c>
      <c r="R9" s="198" t="s">
        <v>534</v>
      </c>
      <c r="S9" s="199" t="s">
        <v>535</v>
      </c>
      <c r="T9" s="198" t="s">
        <v>536</v>
      </c>
    </row>
    <row r="10" spans="1:27">
      <c r="A10" s="151"/>
      <c r="B10" s="174" t="s">
        <v>537</v>
      </c>
      <c r="C10" s="174" t="s">
        <v>520</v>
      </c>
      <c r="D10" s="174" t="s">
        <v>521</v>
      </c>
      <c r="E10" s="174" t="s">
        <v>538</v>
      </c>
      <c r="F10" s="175" t="s">
        <v>539</v>
      </c>
      <c r="G10" s="176" t="s">
        <v>524</v>
      </c>
      <c r="H10" s="177">
        <v>1</v>
      </c>
      <c r="I10" s="176"/>
      <c r="J10" s="174">
        <v>1</v>
      </c>
      <c r="K10" s="174">
        <v>5</v>
      </c>
      <c r="L10" s="174">
        <v>5</v>
      </c>
      <c r="M10" s="174" t="s">
        <v>537</v>
      </c>
      <c r="O10" s="198" t="s">
        <v>537</v>
      </c>
      <c r="P10" s="198" t="s">
        <v>540</v>
      </c>
      <c r="Q10" s="198" t="s">
        <v>541</v>
      </c>
      <c r="R10" s="198" t="s">
        <v>542</v>
      </c>
      <c r="S10" s="199" t="s">
        <v>543</v>
      </c>
      <c r="T10" s="198" t="s">
        <v>544</v>
      </c>
    </row>
    <row r="11" spans="1:27">
      <c r="A11" s="151"/>
      <c r="B11" s="174" t="s">
        <v>545</v>
      </c>
      <c r="C11" s="174" t="s">
        <v>520</v>
      </c>
      <c r="D11" s="174" t="s">
        <v>521</v>
      </c>
      <c r="E11" s="174" t="s">
        <v>546</v>
      </c>
      <c r="F11" s="175" t="s">
        <v>547</v>
      </c>
      <c r="G11" s="176" t="s">
        <v>524</v>
      </c>
      <c r="H11" s="177">
        <v>1</v>
      </c>
      <c r="I11" s="176"/>
      <c r="J11" s="174">
        <v>1</v>
      </c>
      <c r="K11" s="174">
        <v>8</v>
      </c>
      <c r="L11" s="174">
        <v>8</v>
      </c>
      <c r="M11" s="174" t="s">
        <v>545</v>
      </c>
      <c r="O11" s="198" t="s">
        <v>545</v>
      </c>
      <c r="P11" s="198" t="s">
        <v>548</v>
      </c>
      <c r="Q11" s="198" t="s">
        <v>549</v>
      </c>
      <c r="R11" s="198" t="s">
        <v>550</v>
      </c>
      <c r="S11" s="199" t="s">
        <v>551</v>
      </c>
      <c r="T11" s="198" t="s">
        <v>552</v>
      </c>
    </row>
    <row r="12" spans="1:27">
      <c r="A12" s="151"/>
      <c r="B12" s="174" t="s">
        <v>553</v>
      </c>
      <c r="C12" s="174" t="s">
        <v>520</v>
      </c>
      <c r="D12" s="174" t="s">
        <v>554</v>
      </c>
      <c r="E12" s="174" t="s">
        <v>555</v>
      </c>
      <c r="F12" s="175" t="s">
        <v>556</v>
      </c>
      <c r="G12" s="176" t="s">
        <v>557</v>
      </c>
      <c r="H12" s="177">
        <v>1</v>
      </c>
      <c r="I12" s="176"/>
      <c r="J12" s="174">
        <v>1</v>
      </c>
      <c r="K12" s="174">
        <v>10</v>
      </c>
      <c r="L12" s="174">
        <v>16</v>
      </c>
      <c r="M12" s="174" t="s">
        <v>553</v>
      </c>
      <c r="O12" s="198" t="s">
        <v>553</v>
      </c>
      <c r="P12" s="198" t="s">
        <v>558</v>
      </c>
      <c r="Q12" s="198" t="s">
        <v>559</v>
      </c>
      <c r="R12" s="198" t="s">
        <v>560</v>
      </c>
      <c r="S12" s="199" t="s">
        <v>561</v>
      </c>
      <c r="T12" s="200" t="s">
        <v>562</v>
      </c>
    </row>
    <row r="13" spans="1:27">
      <c r="A13" s="151"/>
      <c r="B13" s="174" t="s">
        <v>563</v>
      </c>
      <c r="C13" s="174" t="s">
        <v>520</v>
      </c>
      <c r="D13" s="174" t="s">
        <v>554</v>
      </c>
      <c r="E13" s="174" t="s">
        <v>555</v>
      </c>
      <c r="F13" s="175" t="s">
        <v>556</v>
      </c>
      <c r="G13" s="176" t="s">
        <v>524</v>
      </c>
      <c r="H13" s="177">
        <v>1</v>
      </c>
      <c r="I13" s="176"/>
      <c r="J13" s="174">
        <v>1</v>
      </c>
      <c r="K13" s="174">
        <v>10</v>
      </c>
      <c r="L13" s="174">
        <v>12</v>
      </c>
      <c r="M13" s="174" t="s">
        <v>563</v>
      </c>
      <c r="O13" s="198" t="s">
        <v>563</v>
      </c>
      <c r="P13" s="198" t="s">
        <v>564</v>
      </c>
      <c r="Q13" s="198" t="s">
        <v>565</v>
      </c>
      <c r="R13" s="198" t="s">
        <v>566</v>
      </c>
      <c r="S13" s="199" t="s">
        <v>567</v>
      </c>
      <c r="T13" s="198" t="s">
        <v>568</v>
      </c>
    </row>
    <row r="14" spans="1:27">
      <c r="A14" s="151"/>
      <c r="B14" s="174" t="s">
        <v>569</v>
      </c>
      <c r="C14" s="174" t="s">
        <v>520</v>
      </c>
      <c r="D14" s="174" t="s">
        <v>554</v>
      </c>
      <c r="E14" s="174" t="s">
        <v>570</v>
      </c>
      <c r="F14" s="175" t="s">
        <v>571</v>
      </c>
      <c r="G14" s="176" t="s">
        <v>557</v>
      </c>
      <c r="H14" s="177">
        <v>1</v>
      </c>
      <c r="I14" s="176"/>
      <c r="J14" s="174">
        <v>1</v>
      </c>
      <c r="K14" s="174">
        <v>11</v>
      </c>
      <c r="L14" s="174">
        <v>13</v>
      </c>
      <c r="M14" s="174" t="s">
        <v>569</v>
      </c>
      <c r="O14" s="198" t="s">
        <v>569</v>
      </c>
      <c r="P14" s="198" t="s">
        <v>572</v>
      </c>
      <c r="Q14" s="198" t="s">
        <v>573</v>
      </c>
      <c r="R14" s="198" t="s">
        <v>574</v>
      </c>
      <c r="S14" s="199" t="s">
        <v>575</v>
      </c>
      <c r="T14" s="198" t="s">
        <v>349</v>
      </c>
    </row>
    <row r="15" spans="1:27">
      <c r="A15" s="151"/>
      <c r="B15" s="174" t="s">
        <v>576</v>
      </c>
      <c r="C15" s="174" t="s">
        <v>520</v>
      </c>
      <c r="D15" s="174" t="s">
        <v>554</v>
      </c>
      <c r="E15" s="174" t="s">
        <v>570</v>
      </c>
      <c r="F15" s="175" t="s">
        <v>577</v>
      </c>
      <c r="G15" s="176" t="s">
        <v>557</v>
      </c>
      <c r="H15" s="177">
        <v>1</v>
      </c>
      <c r="I15" s="176"/>
      <c r="J15" s="174">
        <v>2</v>
      </c>
      <c r="K15" s="174">
        <v>11</v>
      </c>
      <c r="L15" s="174">
        <v>26</v>
      </c>
      <c r="M15" s="174" t="s">
        <v>576</v>
      </c>
      <c r="O15" s="198" t="s">
        <v>576</v>
      </c>
      <c r="P15" s="198" t="s">
        <v>578</v>
      </c>
      <c r="Q15" s="198" t="s">
        <v>579</v>
      </c>
      <c r="R15" s="198" t="s">
        <v>580</v>
      </c>
      <c r="S15" s="199" t="s">
        <v>581</v>
      </c>
      <c r="T15" s="198" t="s">
        <v>582</v>
      </c>
    </row>
    <row r="16" spans="1:27">
      <c r="A16" s="151"/>
      <c r="B16" s="174" t="s">
        <v>583</v>
      </c>
      <c r="C16" s="174" t="s">
        <v>520</v>
      </c>
      <c r="D16" s="174" t="s">
        <v>554</v>
      </c>
      <c r="E16" s="174" t="s">
        <v>584</v>
      </c>
      <c r="F16" s="175" t="s">
        <v>585</v>
      </c>
      <c r="G16" s="176" t="s">
        <v>557</v>
      </c>
      <c r="H16" s="177">
        <v>1</v>
      </c>
      <c r="I16" s="176"/>
      <c r="J16" s="174">
        <v>1</v>
      </c>
      <c r="K16" s="174">
        <v>16</v>
      </c>
      <c r="L16" s="174">
        <v>26</v>
      </c>
      <c r="M16" s="174" t="s">
        <v>583</v>
      </c>
      <c r="O16" s="198" t="s">
        <v>583</v>
      </c>
      <c r="P16" s="198" t="s">
        <v>586</v>
      </c>
      <c r="Q16" s="198" t="s">
        <v>587</v>
      </c>
      <c r="R16" s="198" t="s">
        <v>588</v>
      </c>
      <c r="S16" s="199" t="s">
        <v>589</v>
      </c>
      <c r="T16" s="198" t="s">
        <v>590</v>
      </c>
    </row>
    <row r="17" spans="1:19">
      <c r="A17" s="151"/>
      <c r="B17" s="174" t="s">
        <v>591</v>
      </c>
      <c r="C17" s="174" t="s">
        <v>520</v>
      </c>
      <c r="D17" s="174" t="s">
        <v>554</v>
      </c>
      <c r="E17" s="174" t="s">
        <v>584</v>
      </c>
      <c r="F17" s="175" t="s">
        <v>585</v>
      </c>
      <c r="G17" s="176" t="s">
        <v>524</v>
      </c>
      <c r="H17" s="177">
        <v>1</v>
      </c>
      <c r="I17" s="176"/>
      <c r="J17" s="174">
        <v>1</v>
      </c>
      <c r="K17" s="174">
        <v>16</v>
      </c>
      <c r="L17" s="174">
        <v>18</v>
      </c>
      <c r="M17" s="174" t="s">
        <v>591</v>
      </c>
      <c r="O17" s="198" t="s">
        <v>591</v>
      </c>
      <c r="P17" s="198" t="s">
        <v>592</v>
      </c>
      <c r="Q17" s="198" t="s">
        <v>593</v>
      </c>
      <c r="R17" s="198" t="s">
        <v>594</v>
      </c>
      <c r="S17" s="199" t="s">
        <v>595</v>
      </c>
    </row>
    <row r="18" spans="1:19">
      <c r="A18" s="151"/>
      <c r="B18" s="174" t="s">
        <v>596</v>
      </c>
      <c r="C18" s="174" t="s">
        <v>520</v>
      </c>
      <c r="D18" s="174" t="s">
        <v>554</v>
      </c>
      <c r="E18" s="174" t="s">
        <v>597</v>
      </c>
      <c r="F18" s="175" t="s">
        <v>598</v>
      </c>
      <c r="G18" s="176" t="s">
        <v>524</v>
      </c>
      <c r="H18" s="177">
        <v>1</v>
      </c>
      <c r="I18" s="176"/>
      <c r="J18" s="174">
        <v>3</v>
      </c>
      <c r="K18" s="174">
        <v>18</v>
      </c>
      <c r="L18" s="174">
        <v>60</v>
      </c>
      <c r="M18" s="174" t="s">
        <v>596</v>
      </c>
      <c r="O18" s="198" t="s">
        <v>596</v>
      </c>
      <c r="P18" s="198" t="s">
        <v>599</v>
      </c>
      <c r="Q18" s="198" t="s">
        <v>600</v>
      </c>
      <c r="R18" s="198" t="s">
        <v>601</v>
      </c>
      <c r="S18" s="200" t="s">
        <v>602</v>
      </c>
    </row>
    <row r="19" spans="1:19">
      <c r="A19" s="151"/>
      <c r="B19" s="174" t="s">
        <v>603</v>
      </c>
      <c r="C19" s="174" t="s">
        <v>520</v>
      </c>
      <c r="D19" s="174" t="s">
        <v>554</v>
      </c>
      <c r="E19" s="174" t="s">
        <v>604</v>
      </c>
      <c r="F19" s="175" t="s">
        <v>605</v>
      </c>
      <c r="G19" s="176" t="s">
        <v>557</v>
      </c>
      <c r="H19" s="177">
        <v>1</v>
      </c>
      <c r="I19" s="176"/>
      <c r="J19" s="174">
        <v>1</v>
      </c>
      <c r="K19" s="174">
        <v>21</v>
      </c>
      <c r="L19" s="174">
        <v>26</v>
      </c>
      <c r="M19" s="174" t="s">
        <v>603</v>
      </c>
      <c r="O19" s="198" t="s">
        <v>603</v>
      </c>
      <c r="P19" s="198" t="s">
        <v>606</v>
      </c>
      <c r="Q19" s="198" t="s">
        <v>607</v>
      </c>
      <c r="R19" s="198" t="s">
        <v>608</v>
      </c>
      <c r="S19" s="199" t="s">
        <v>609</v>
      </c>
    </row>
    <row r="20" spans="1:19">
      <c r="A20" s="151"/>
      <c r="B20" s="174" t="s">
        <v>610</v>
      </c>
      <c r="C20" s="174" t="s">
        <v>520</v>
      </c>
      <c r="D20" s="174" t="s">
        <v>554</v>
      </c>
      <c r="E20" s="174" t="s">
        <v>604</v>
      </c>
      <c r="F20" s="175" t="s">
        <v>605</v>
      </c>
      <c r="G20" s="176" t="s">
        <v>524</v>
      </c>
      <c r="H20" s="177">
        <v>1</v>
      </c>
      <c r="I20" s="176"/>
      <c r="J20" s="174">
        <v>1</v>
      </c>
      <c r="K20" s="174">
        <v>21</v>
      </c>
      <c r="L20" s="174">
        <v>22</v>
      </c>
      <c r="M20" s="174" t="s">
        <v>610</v>
      </c>
      <c r="O20" s="198" t="s">
        <v>610</v>
      </c>
      <c r="P20" s="198" t="s">
        <v>611</v>
      </c>
      <c r="Q20" s="198" t="s">
        <v>612</v>
      </c>
      <c r="R20" s="198" t="s">
        <v>613</v>
      </c>
      <c r="S20" s="199" t="s">
        <v>614</v>
      </c>
    </row>
    <row r="21" spans="1:19">
      <c r="A21" s="151"/>
      <c r="B21" s="174" t="s">
        <v>615</v>
      </c>
      <c r="C21" s="174" t="s">
        <v>520</v>
      </c>
      <c r="D21" s="174" t="s">
        <v>554</v>
      </c>
      <c r="E21" s="174" t="s">
        <v>616</v>
      </c>
      <c r="F21" s="175" t="s">
        <v>617</v>
      </c>
      <c r="G21" s="176" t="s">
        <v>557</v>
      </c>
      <c r="H21" s="177">
        <v>1</v>
      </c>
      <c r="I21" s="176"/>
      <c r="J21" s="174">
        <v>1</v>
      </c>
      <c r="K21" s="174">
        <v>23</v>
      </c>
      <c r="L21" s="174">
        <v>29</v>
      </c>
      <c r="M21" s="174" t="s">
        <v>615</v>
      </c>
      <c r="O21" s="198" t="s">
        <v>615</v>
      </c>
      <c r="P21" s="198" t="s">
        <v>618</v>
      </c>
      <c r="Q21" s="198" t="s">
        <v>619</v>
      </c>
      <c r="R21" s="198" t="s">
        <v>620</v>
      </c>
      <c r="S21" s="199" t="s">
        <v>621</v>
      </c>
    </row>
    <row r="22" spans="1:19">
      <c r="A22" s="151"/>
      <c r="B22" s="174" t="s">
        <v>622</v>
      </c>
      <c r="C22" s="174" t="s">
        <v>520</v>
      </c>
      <c r="D22" s="174" t="s">
        <v>554</v>
      </c>
      <c r="E22" s="174" t="s">
        <v>616</v>
      </c>
      <c r="F22" s="175" t="s">
        <v>617</v>
      </c>
      <c r="G22" s="176" t="s">
        <v>524</v>
      </c>
      <c r="H22" s="177">
        <v>1</v>
      </c>
      <c r="I22" s="176"/>
      <c r="J22" s="174">
        <v>1</v>
      </c>
      <c r="K22" s="174">
        <v>23</v>
      </c>
      <c r="L22" s="174">
        <v>25</v>
      </c>
      <c r="M22" s="174" t="s">
        <v>622</v>
      </c>
      <c r="O22" s="198" t="s">
        <v>622</v>
      </c>
      <c r="P22" s="198" t="s">
        <v>623</v>
      </c>
      <c r="Q22" s="198" t="s">
        <v>624</v>
      </c>
      <c r="R22" s="198" t="s">
        <v>625</v>
      </c>
      <c r="S22" s="199" t="s">
        <v>626</v>
      </c>
    </row>
    <row r="23" spans="1:19">
      <c r="A23" s="151"/>
      <c r="B23" s="174" t="s">
        <v>627</v>
      </c>
      <c r="C23" s="174" t="s">
        <v>520</v>
      </c>
      <c r="D23" s="174" t="s">
        <v>554</v>
      </c>
      <c r="E23" s="174" t="s">
        <v>628</v>
      </c>
      <c r="F23" s="175" t="s">
        <v>629</v>
      </c>
      <c r="G23" s="176" t="s">
        <v>524</v>
      </c>
      <c r="H23" s="177">
        <v>1</v>
      </c>
      <c r="I23" s="176"/>
      <c r="J23" s="174">
        <v>3</v>
      </c>
      <c r="K23" s="174">
        <v>26</v>
      </c>
      <c r="L23" s="174">
        <v>82</v>
      </c>
      <c r="M23" s="174" t="s">
        <v>627</v>
      </c>
      <c r="O23" s="198" t="s">
        <v>627</v>
      </c>
      <c r="P23" s="198" t="s">
        <v>630</v>
      </c>
      <c r="Q23" s="198" t="s">
        <v>631</v>
      </c>
      <c r="R23" s="198" t="s">
        <v>632</v>
      </c>
      <c r="S23" s="199" t="s">
        <v>633</v>
      </c>
    </row>
    <row r="24" spans="1:19">
      <c r="A24" s="151"/>
      <c r="B24" s="174" t="s">
        <v>634</v>
      </c>
      <c r="C24" s="174" t="s">
        <v>520</v>
      </c>
      <c r="D24" s="174" t="s">
        <v>554</v>
      </c>
      <c r="E24" s="174" t="s">
        <v>628</v>
      </c>
      <c r="F24" s="175" t="s">
        <v>635</v>
      </c>
      <c r="G24" s="176" t="s">
        <v>524</v>
      </c>
      <c r="H24" s="177">
        <v>1</v>
      </c>
      <c r="I24" s="176"/>
      <c r="J24" s="174">
        <v>4</v>
      </c>
      <c r="K24" s="174">
        <v>26</v>
      </c>
      <c r="L24" s="174">
        <v>108</v>
      </c>
      <c r="M24" s="174" t="s">
        <v>634</v>
      </c>
      <c r="O24" s="198" t="s">
        <v>634</v>
      </c>
      <c r="P24" s="198" t="s">
        <v>636</v>
      </c>
      <c r="Q24" s="198" t="s">
        <v>637</v>
      </c>
      <c r="R24" s="198" t="s">
        <v>638</v>
      </c>
      <c r="S24" s="199" t="s">
        <v>639</v>
      </c>
    </row>
    <row r="25" spans="1:19">
      <c r="A25" s="151"/>
      <c r="B25" s="174" t="s">
        <v>640</v>
      </c>
      <c r="C25" s="174" t="s">
        <v>520</v>
      </c>
      <c r="D25" s="174" t="s">
        <v>554</v>
      </c>
      <c r="E25" s="174" t="s">
        <v>628</v>
      </c>
      <c r="F25" s="175" t="s">
        <v>641</v>
      </c>
      <c r="G25" s="176" t="s">
        <v>524</v>
      </c>
      <c r="H25" s="177">
        <v>1</v>
      </c>
      <c r="I25" s="176"/>
      <c r="J25" s="174">
        <v>6</v>
      </c>
      <c r="K25" s="174">
        <v>26</v>
      </c>
      <c r="L25" s="174">
        <v>162</v>
      </c>
      <c r="M25" s="174" t="s">
        <v>640</v>
      </c>
      <c r="O25" s="198" t="s">
        <v>640</v>
      </c>
      <c r="P25" s="198" t="s">
        <v>642</v>
      </c>
      <c r="Q25" s="198" t="s">
        <v>643</v>
      </c>
      <c r="R25" s="198" t="s">
        <v>644</v>
      </c>
      <c r="S25" s="199" t="s">
        <v>645</v>
      </c>
    </row>
    <row r="26" spans="1:19">
      <c r="A26" s="151"/>
      <c r="B26" s="174" t="s">
        <v>646</v>
      </c>
      <c r="C26" s="174" t="s">
        <v>520</v>
      </c>
      <c r="D26" s="174" t="s">
        <v>554</v>
      </c>
      <c r="E26" s="174" t="s">
        <v>628</v>
      </c>
      <c r="F26" s="175" t="s">
        <v>647</v>
      </c>
      <c r="G26" s="176" t="s">
        <v>524</v>
      </c>
      <c r="H26" s="177">
        <v>1</v>
      </c>
      <c r="I26" s="176"/>
      <c r="J26" s="174">
        <v>8</v>
      </c>
      <c r="K26" s="174">
        <v>26</v>
      </c>
      <c r="L26" s="174">
        <v>216</v>
      </c>
      <c r="M26" s="174" t="s">
        <v>646</v>
      </c>
      <c r="O26" s="198" t="s">
        <v>646</v>
      </c>
      <c r="P26" s="198" t="s">
        <v>648</v>
      </c>
      <c r="Q26" s="198" t="s">
        <v>649</v>
      </c>
      <c r="R26" s="198" t="s">
        <v>650</v>
      </c>
      <c r="S26" s="199" t="s">
        <v>651</v>
      </c>
    </row>
    <row r="27" spans="1:19">
      <c r="A27" s="151"/>
      <c r="B27" s="174" t="s">
        <v>652</v>
      </c>
      <c r="C27" s="174" t="s">
        <v>520</v>
      </c>
      <c r="D27" s="174" t="s">
        <v>554</v>
      </c>
      <c r="E27" s="174" t="s">
        <v>653</v>
      </c>
      <c r="F27" s="175" t="s">
        <v>654</v>
      </c>
      <c r="G27" s="176" t="s">
        <v>557</v>
      </c>
      <c r="H27" s="177">
        <v>1</v>
      </c>
      <c r="I27" s="176"/>
      <c r="J27" s="174">
        <v>1</v>
      </c>
      <c r="K27" s="174">
        <v>28</v>
      </c>
      <c r="L27" s="174">
        <v>35</v>
      </c>
      <c r="M27" s="174" t="s">
        <v>652</v>
      </c>
      <c r="O27" s="198" t="s">
        <v>652</v>
      </c>
      <c r="P27" s="198" t="s">
        <v>655</v>
      </c>
      <c r="Q27" s="198" t="s">
        <v>656</v>
      </c>
      <c r="R27" s="198" t="s">
        <v>657</v>
      </c>
      <c r="S27" s="199" t="s">
        <v>658</v>
      </c>
    </row>
    <row r="28" spans="1:19">
      <c r="A28" s="151"/>
      <c r="B28" s="174" t="s">
        <v>659</v>
      </c>
      <c r="C28" s="174" t="s">
        <v>520</v>
      </c>
      <c r="D28" s="174" t="s">
        <v>554</v>
      </c>
      <c r="E28" s="174" t="s">
        <v>653</v>
      </c>
      <c r="F28" s="175" t="s">
        <v>654</v>
      </c>
      <c r="G28" s="176" t="s">
        <v>524</v>
      </c>
      <c r="H28" s="177">
        <v>1</v>
      </c>
      <c r="I28" s="176"/>
      <c r="J28" s="174">
        <v>1</v>
      </c>
      <c r="K28" s="174">
        <v>28</v>
      </c>
      <c r="L28" s="174">
        <v>28</v>
      </c>
      <c r="M28" s="174" t="s">
        <v>659</v>
      </c>
      <c r="O28" s="198" t="s">
        <v>659</v>
      </c>
      <c r="P28" s="198" t="s">
        <v>660</v>
      </c>
      <c r="Q28" s="198" t="s">
        <v>661</v>
      </c>
      <c r="R28" s="198" t="s">
        <v>662</v>
      </c>
      <c r="S28" s="199" t="s">
        <v>663</v>
      </c>
    </row>
    <row r="29" spans="1:19">
      <c r="A29" s="151"/>
      <c r="B29" s="174" t="s">
        <v>664</v>
      </c>
      <c r="C29" s="174" t="s">
        <v>520</v>
      </c>
      <c r="D29" s="174" t="s">
        <v>554</v>
      </c>
      <c r="E29" s="174" t="s">
        <v>665</v>
      </c>
      <c r="F29" s="175" t="s">
        <v>666</v>
      </c>
      <c r="G29" s="176" t="s">
        <v>524</v>
      </c>
      <c r="H29" s="177">
        <v>1</v>
      </c>
      <c r="I29" s="176"/>
      <c r="J29" s="174">
        <v>3</v>
      </c>
      <c r="K29" s="174">
        <v>32</v>
      </c>
      <c r="L29" s="174">
        <v>114</v>
      </c>
      <c r="M29" s="174" t="s">
        <v>664</v>
      </c>
      <c r="O29" s="198" t="s">
        <v>664</v>
      </c>
      <c r="P29" s="198" t="s">
        <v>667</v>
      </c>
      <c r="Q29" s="198" t="s">
        <v>668</v>
      </c>
      <c r="R29" s="198" t="s">
        <v>669</v>
      </c>
      <c r="S29" s="199" t="s">
        <v>670</v>
      </c>
    </row>
    <row r="30" spans="1:19">
      <c r="A30" s="151"/>
      <c r="B30" s="174" t="s">
        <v>671</v>
      </c>
      <c r="C30" s="174" t="s">
        <v>520</v>
      </c>
      <c r="D30" s="174" t="s">
        <v>554</v>
      </c>
      <c r="E30" s="174" t="s">
        <v>665</v>
      </c>
      <c r="F30" s="175" t="s">
        <v>672</v>
      </c>
      <c r="G30" s="176" t="s">
        <v>524</v>
      </c>
      <c r="H30" s="177">
        <v>1</v>
      </c>
      <c r="I30" s="176"/>
      <c r="J30" s="174">
        <v>4</v>
      </c>
      <c r="K30" s="174">
        <v>32</v>
      </c>
      <c r="L30" s="174">
        <v>152</v>
      </c>
      <c r="M30" s="174" t="s">
        <v>671</v>
      </c>
      <c r="O30" s="198" t="s">
        <v>671</v>
      </c>
      <c r="P30" s="198" t="s">
        <v>673</v>
      </c>
      <c r="Q30" s="198" t="s">
        <v>674</v>
      </c>
      <c r="R30" s="198" t="s">
        <v>675</v>
      </c>
      <c r="S30" s="151" t="str">
        <f>IF(ISBLANK(B919)=TRUE,"Enter Custom Fixture",B919)</f>
        <v>Enter Custom Fixture</v>
      </c>
    </row>
    <row r="31" spans="1:19">
      <c r="A31" s="151"/>
      <c r="B31" s="174" t="s">
        <v>676</v>
      </c>
      <c r="C31" s="174" t="s">
        <v>520</v>
      </c>
      <c r="D31" s="174" t="s">
        <v>554</v>
      </c>
      <c r="E31" s="174" t="s">
        <v>665</v>
      </c>
      <c r="F31" s="175" t="s">
        <v>677</v>
      </c>
      <c r="G31" s="176" t="s">
        <v>524</v>
      </c>
      <c r="H31" s="177">
        <v>1</v>
      </c>
      <c r="I31" s="176"/>
      <c r="J31" s="174">
        <v>6</v>
      </c>
      <c r="K31" s="174">
        <v>32</v>
      </c>
      <c r="L31" s="174">
        <v>228</v>
      </c>
      <c r="M31" s="174" t="s">
        <v>676</v>
      </c>
      <c r="O31" s="198" t="s">
        <v>676</v>
      </c>
      <c r="P31" s="198" t="s">
        <v>678</v>
      </c>
      <c r="Q31" s="198" t="s">
        <v>679</v>
      </c>
      <c r="R31" s="198" t="s">
        <v>680</v>
      </c>
      <c r="S31" s="151" t="str">
        <f t="shared" ref="S31:S87" si="0">IF(ISBLANK(B920)=TRUE,"Enter Custom Fixture",B920)</f>
        <v>Enter Custom Fixture</v>
      </c>
    </row>
    <row r="32" spans="1:19">
      <c r="A32" s="151"/>
      <c r="B32" s="174" t="s">
        <v>681</v>
      </c>
      <c r="C32" s="174" t="s">
        <v>520</v>
      </c>
      <c r="D32" s="174" t="s">
        <v>554</v>
      </c>
      <c r="E32" s="174" t="s">
        <v>665</v>
      </c>
      <c r="F32" s="175" t="s">
        <v>682</v>
      </c>
      <c r="G32" s="176" t="s">
        <v>524</v>
      </c>
      <c r="H32" s="177">
        <v>1</v>
      </c>
      <c r="I32" s="176"/>
      <c r="J32" s="174">
        <v>8</v>
      </c>
      <c r="K32" s="174">
        <v>32</v>
      </c>
      <c r="L32" s="174">
        <v>304</v>
      </c>
      <c r="M32" s="174" t="s">
        <v>681</v>
      </c>
      <c r="O32" s="198" t="s">
        <v>681</v>
      </c>
      <c r="P32" s="198" t="s">
        <v>683</v>
      </c>
      <c r="Q32" s="198" t="s">
        <v>684</v>
      </c>
      <c r="R32" s="198" t="s">
        <v>685</v>
      </c>
      <c r="S32" s="151" t="str">
        <f t="shared" si="0"/>
        <v>Enter Custom Fixture</v>
      </c>
    </row>
    <row r="33" spans="1:19">
      <c r="A33" s="151"/>
      <c r="B33" s="174" t="s">
        <v>686</v>
      </c>
      <c r="C33" s="174" t="s">
        <v>520</v>
      </c>
      <c r="D33" s="174" t="s">
        <v>554</v>
      </c>
      <c r="E33" s="174" t="s">
        <v>687</v>
      </c>
      <c r="F33" s="175" t="s">
        <v>688</v>
      </c>
      <c r="G33" s="176" t="s">
        <v>557</v>
      </c>
      <c r="H33" s="177">
        <v>1</v>
      </c>
      <c r="I33" s="176"/>
      <c r="J33" s="174">
        <v>1</v>
      </c>
      <c r="K33" s="174">
        <v>38</v>
      </c>
      <c r="L33" s="174">
        <v>46</v>
      </c>
      <c r="M33" s="174" t="s">
        <v>686</v>
      </c>
      <c r="O33" s="198" t="s">
        <v>686</v>
      </c>
      <c r="P33" s="198" t="s">
        <v>689</v>
      </c>
      <c r="Q33" s="198" t="s">
        <v>690</v>
      </c>
      <c r="R33" s="198" t="s">
        <v>691</v>
      </c>
      <c r="S33" s="151" t="str">
        <f t="shared" si="0"/>
        <v>Enter Custom Fixture</v>
      </c>
    </row>
    <row r="34" spans="1:19">
      <c r="A34" s="151"/>
      <c r="B34" s="174" t="s">
        <v>692</v>
      </c>
      <c r="C34" s="174" t="s">
        <v>520</v>
      </c>
      <c r="D34" s="174" t="s">
        <v>554</v>
      </c>
      <c r="E34" s="174" t="s">
        <v>687</v>
      </c>
      <c r="F34" s="175" t="s">
        <v>688</v>
      </c>
      <c r="G34" s="176" t="s">
        <v>524</v>
      </c>
      <c r="H34" s="177">
        <v>1</v>
      </c>
      <c r="I34" s="176"/>
      <c r="J34" s="174">
        <v>1</v>
      </c>
      <c r="K34" s="174">
        <v>38</v>
      </c>
      <c r="L34" s="174">
        <v>36</v>
      </c>
      <c r="M34" s="174" t="s">
        <v>692</v>
      </c>
      <c r="O34" s="198" t="s">
        <v>692</v>
      </c>
      <c r="P34" s="198" t="s">
        <v>693</v>
      </c>
      <c r="Q34" s="198" t="s">
        <v>694</v>
      </c>
      <c r="R34" s="198" t="s">
        <v>695</v>
      </c>
      <c r="S34" s="151" t="str">
        <f t="shared" si="0"/>
        <v>Enter Custom Fixture</v>
      </c>
    </row>
    <row r="35" spans="1:19">
      <c r="A35" s="151"/>
      <c r="B35" s="174" t="s">
        <v>696</v>
      </c>
      <c r="C35" s="174" t="s">
        <v>520</v>
      </c>
      <c r="D35" s="174" t="s">
        <v>554</v>
      </c>
      <c r="E35" s="174" t="s">
        <v>697</v>
      </c>
      <c r="F35" s="175" t="s">
        <v>698</v>
      </c>
      <c r="G35" s="176" t="s">
        <v>524</v>
      </c>
      <c r="H35" s="177">
        <v>1</v>
      </c>
      <c r="I35" s="176"/>
      <c r="J35" s="174">
        <v>1</v>
      </c>
      <c r="K35" s="174">
        <v>42</v>
      </c>
      <c r="L35" s="174">
        <v>48</v>
      </c>
      <c r="M35" s="174" t="s">
        <v>696</v>
      </c>
      <c r="O35" s="198" t="s">
        <v>696</v>
      </c>
      <c r="P35" s="198" t="s">
        <v>699</v>
      </c>
      <c r="Q35" s="198" t="s">
        <v>700</v>
      </c>
      <c r="R35" s="198" t="s">
        <v>701</v>
      </c>
      <c r="S35" s="151" t="str">
        <f t="shared" si="0"/>
        <v>Enter Custom Fixture</v>
      </c>
    </row>
    <row r="36" spans="1:19">
      <c r="A36" s="151"/>
      <c r="B36" s="174" t="s">
        <v>702</v>
      </c>
      <c r="C36" s="174" t="s">
        <v>520</v>
      </c>
      <c r="D36" s="174" t="s">
        <v>554</v>
      </c>
      <c r="E36" s="174" t="s">
        <v>697</v>
      </c>
      <c r="F36" s="175" t="s">
        <v>703</v>
      </c>
      <c r="G36" s="176" t="s">
        <v>524</v>
      </c>
      <c r="H36" s="177">
        <v>1</v>
      </c>
      <c r="I36" s="176"/>
      <c r="J36" s="174">
        <v>2</v>
      </c>
      <c r="K36" s="174">
        <v>42</v>
      </c>
      <c r="L36" s="174">
        <v>100</v>
      </c>
      <c r="M36" s="174" t="s">
        <v>702</v>
      </c>
      <c r="O36" s="198" t="s">
        <v>702</v>
      </c>
      <c r="P36" s="198" t="s">
        <v>704</v>
      </c>
      <c r="Q36" s="198" t="s">
        <v>705</v>
      </c>
      <c r="R36" s="198" t="s">
        <v>706</v>
      </c>
      <c r="S36" s="151" t="str">
        <f t="shared" si="0"/>
        <v>Enter Custom Fixture</v>
      </c>
    </row>
    <row r="37" spans="1:19">
      <c r="A37" s="151"/>
      <c r="B37" s="174" t="s">
        <v>707</v>
      </c>
      <c r="C37" s="174" t="s">
        <v>520</v>
      </c>
      <c r="D37" s="174" t="s">
        <v>554</v>
      </c>
      <c r="E37" s="174" t="s">
        <v>697</v>
      </c>
      <c r="F37" s="175" t="s">
        <v>708</v>
      </c>
      <c r="G37" s="176" t="s">
        <v>524</v>
      </c>
      <c r="H37" s="177">
        <v>1</v>
      </c>
      <c r="I37" s="176"/>
      <c r="J37" s="174">
        <v>3</v>
      </c>
      <c r="K37" s="174">
        <v>42</v>
      </c>
      <c r="L37" s="174">
        <v>141</v>
      </c>
      <c r="M37" s="174" t="s">
        <v>707</v>
      </c>
      <c r="O37" s="198" t="s">
        <v>707</v>
      </c>
      <c r="P37" s="198" t="s">
        <v>709</v>
      </c>
      <c r="Q37" s="198" t="s">
        <v>710</v>
      </c>
      <c r="R37" s="198" t="s">
        <v>711</v>
      </c>
      <c r="S37" s="151" t="str">
        <f t="shared" si="0"/>
        <v>Enter Custom Fixture</v>
      </c>
    </row>
    <row r="38" spans="1:19">
      <c r="A38" s="151"/>
      <c r="B38" s="174" t="s">
        <v>712</v>
      </c>
      <c r="C38" s="174" t="s">
        <v>520</v>
      </c>
      <c r="D38" s="174" t="s">
        <v>554</v>
      </c>
      <c r="E38" s="174" t="s">
        <v>697</v>
      </c>
      <c r="F38" s="175" t="s">
        <v>713</v>
      </c>
      <c r="G38" s="176" t="s">
        <v>524</v>
      </c>
      <c r="H38" s="177">
        <v>1</v>
      </c>
      <c r="I38" s="176"/>
      <c r="J38" s="174">
        <v>4</v>
      </c>
      <c r="K38" s="174">
        <v>42</v>
      </c>
      <c r="L38" s="174">
        <v>188</v>
      </c>
      <c r="M38" s="174" t="s">
        <v>712</v>
      </c>
      <c r="O38" s="198" t="s">
        <v>712</v>
      </c>
      <c r="P38" s="198" t="s">
        <v>714</v>
      </c>
      <c r="Q38" s="198" t="s">
        <v>715</v>
      </c>
      <c r="R38" s="198" t="s">
        <v>716</v>
      </c>
      <c r="S38" s="151" t="str">
        <f t="shared" si="0"/>
        <v>Enter Custom Fixture</v>
      </c>
    </row>
    <row r="39" spans="1:19">
      <c r="A39" s="151"/>
      <c r="B39" s="174" t="s">
        <v>717</v>
      </c>
      <c r="C39" s="174" t="s">
        <v>520</v>
      </c>
      <c r="D39" s="174" t="s">
        <v>554</v>
      </c>
      <c r="E39" s="174" t="s">
        <v>697</v>
      </c>
      <c r="F39" s="175" t="s">
        <v>718</v>
      </c>
      <c r="G39" s="176" t="s">
        <v>524</v>
      </c>
      <c r="H39" s="177">
        <v>1</v>
      </c>
      <c r="I39" s="176"/>
      <c r="J39" s="174">
        <v>6</v>
      </c>
      <c r="K39" s="174">
        <v>42</v>
      </c>
      <c r="L39" s="174">
        <v>282</v>
      </c>
      <c r="M39" s="174" t="s">
        <v>717</v>
      </c>
      <c r="O39" s="198" t="s">
        <v>717</v>
      </c>
      <c r="P39" s="198" t="s">
        <v>719</v>
      </c>
      <c r="Q39" s="198" t="s">
        <v>720</v>
      </c>
      <c r="R39" s="198" t="s">
        <v>721</v>
      </c>
      <c r="S39" s="151" t="str">
        <f t="shared" si="0"/>
        <v>Enter Custom Fixture</v>
      </c>
    </row>
    <row r="40" spans="1:19">
      <c r="A40" s="151"/>
      <c r="B40" s="174" t="s">
        <v>722</v>
      </c>
      <c r="C40" s="174" t="s">
        <v>520</v>
      </c>
      <c r="D40" s="174" t="s">
        <v>554</v>
      </c>
      <c r="E40" s="174" t="s">
        <v>697</v>
      </c>
      <c r="F40" s="175" t="s">
        <v>723</v>
      </c>
      <c r="G40" s="176" t="s">
        <v>524</v>
      </c>
      <c r="H40" s="177">
        <v>1</v>
      </c>
      <c r="I40" s="176"/>
      <c r="J40" s="174">
        <v>8</v>
      </c>
      <c r="K40" s="174">
        <v>42</v>
      </c>
      <c r="L40" s="174">
        <v>376</v>
      </c>
      <c r="M40" s="174" t="s">
        <v>722</v>
      </c>
      <c r="O40" s="198" t="s">
        <v>722</v>
      </c>
      <c r="P40" s="198" t="s">
        <v>724</v>
      </c>
      <c r="Q40" s="198" t="s">
        <v>725</v>
      </c>
      <c r="R40" s="198" t="s">
        <v>726</v>
      </c>
      <c r="S40" s="151" t="str">
        <f t="shared" si="0"/>
        <v>Enter Custom Fixture</v>
      </c>
    </row>
    <row r="41" spans="1:19">
      <c r="A41" s="151"/>
      <c r="B41" s="174" t="s">
        <v>727</v>
      </c>
      <c r="C41" s="174" t="s">
        <v>520</v>
      </c>
      <c r="D41" s="174" t="s">
        <v>728</v>
      </c>
      <c r="E41" s="174" t="s">
        <v>729</v>
      </c>
      <c r="F41" s="175" t="s">
        <v>730</v>
      </c>
      <c r="G41" s="176" t="s">
        <v>524</v>
      </c>
      <c r="H41" s="177">
        <v>1</v>
      </c>
      <c r="I41" s="176"/>
      <c r="J41" s="174">
        <v>1</v>
      </c>
      <c r="K41" s="174">
        <v>14</v>
      </c>
      <c r="L41" s="174">
        <v>14</v>
      </c>
      <c r="M41" s="174" t="s">
        <v>727</v>
      </c>
      <c r="O41" s="198" t="s">
        <v>727</v>
      </c>
      <c r="P41" s="198" t="s">
        <v>731</v>
      </c>
      <c r="Q41" s="198" t="s">
        <v>732</v>
      </c>
      <c r="R41" s="198" t="s">
        <v>733</v>
      </c>
      <c r="S41" s="151" t="str">
        <f t="shared" si="0"/>
        <v>Enter Custom Fixture</v>
      </c>
    </row>
    <row r="42" spans="1:19">
      <c r="A42" s="151"/>
      <c r="B42" s="174" t="s">
        <v>734</v>
      </c>
      <c r="C42" s="174" t="s">
        <v>520</v>
      </c>
      <c r="D42" s="174" t="s">
        <v>728</v>
      </c>
      <c r="E42" s="174" t="s">
        <v>735</v>
      </c>
      <c r="F42" s="175" t="s">
        <v>736</v>
      </c>
      <c r="G42" s="176" t="s">
        <v>524</v>
      </c>
      <c r="H42" s="177">
        <v>1</v>
      </c>
      <c r="I42" s="176"/>
      <c r="J42" s="174">
        <v>1</v>
      </c>
      <c r="K42" s="174">
        <v>11</v>
      </c>
      <c r="L42" s="174">
        <v>11</v>
      </c>
      <c r="M42" s="174" t="s">
        <v>734</v>
      </c>
      <c r="O42" s="198" t="s">
        <v>734</v>
      </c>
      <c r="P42" s="198" t="s">
        <v>737</v>
      </c>
      <c r="Q42" s="198" t="s">
        <v>738</v>
      </c>
      <c r="R42" s="198" t="s">
        <v>739</v>
      </c>
      <c r="S42" s="151" t="str">
        <f t="shared" si="0"/>
        <v>Enter Custom Fixture</v>
      </c>
    </row>
    <row r="43" spans="1:19">
      <c r="A43" s="151"/>
      <c r="B43" s="174" t="s">
        <v>740</v>
      </c>
      <c r="C43" s="174" t="s">
        <v>520</v>
      </c>
      <c r="D43" s="174" t="s">
        <v>728</v>
      </c>
      <c r="E43" s="174" t="s">
        <v>741</v>
      </c>
      <c r="F43" s="175" t="s">
        <v>742</v>
      </c>
      <c r="G43" s="176" t="s">
        <v>524</v>
      </c>
      <c r="H43" s="177">
        <v>1</v>
      </c>
      <c r="I43" s="176"/>
      <c r="J43" s="174">
        <v>1</v>
      </c>
      <c r="K43" s="174">
        <v>12</v>
      </c>
      <c r="L43" s="174">
        <v>12</v>
      </c>
      <c r="M43" s="174" t="s">
        <v>740</v>
      </c>
      <c r="O43" s="198" t="s">
        <v>740</v>
      </c>
      <c r="P43" s="198" t="s">
        <v>743</v>
      </c>
      <c r="Q43" s="198" t="s">
        <v>744</v>
      </c>
      <c r="R43" s="198" t="s">
        <v>745</v>
      </c>
      <c r="S43" s="151" t="str">
        <f t="shared" si="0"/>
        <v>Enter Custom Fixture</v>
      </c>
    </row>
    <row r="44" spans="1:19">
      <c r="A44" s="151"/>
      <c r="B44" s="174" t="s">
        <v>746</v>
      </c>
      <c r="C44" s="174" t="s">
        <v>520</v>
      </c>
      <c r="D44" s="174" t="s">
        <v>728</v>
      </c>
      <c r="E44" s="174" t="s">
        <v>747</v>
      </c>
      <c r="F44" s="175" t="s">
        <v>748</v>
      </c>
      <c r="G44" s="176" t="s">
        <v>524</v>
      </c>
      <c r="H44" s="177">
        <v>1</v>
      </c>
      <c r="I44" s="176"/>
      <c r="J44" s="174">
        <v>1</v>
      </c>
      <c r="K44" s="174">
        <v>13</v>
      </c>
      <c r="L44" s="174">
        <v>13</v>
      </c>
      <c r="M44" s="174" t="s">
        <v>746</v>
      </c>
      <c r="O44" s="198" t="s">
        <v>746</v>
      </c>
      <c r="P44" s="198" t="s">
        <v>749</v>
      </c>
      <c r="Q44" s="198" t="s">
        <v>750</v>
      </c>
      <c r="R44" s="198" t="s">
        <v>751</v>
      </c>
      <c r="S44" s="151" t="str">
        <f t="shared" si="0"/>
        <v>Enter Custom Fixture</v>
      </c>
    </row>
    <row r="45" spans="1:19">
      <c r="A45" s="151"/>
      <c r="B45" s="174" t="s">
        <v>752</v>
      </c>
      <c r="C45" s="174" t="s">
        <v>520</v>
      </c>
      <c r="D45" s="174" t="s">
        <v>728</v>
      </c>
      <c r="E45" s="174" t="s">
        <v>753</v>
      </c>
      <c r="F45" s="175" t="s">
        <v>754</v>
      </c>
      <c r="G45" s="176" t="s">
        <v>524</v>
      </c>
      <c r="H45" s="177">
        <v>1</v>
      </c>
      <c r="I45" s="176"/>
      <c r="J45" s="174">
        <v>1</v>
      </c>
      <c r="K45" s="174">
        <v>15</v>
      </c>
      <c r="L45" s="174">
        <v>15</v>
      </c>
      <c r="M45" s="174" t="s">
        <v>752</v>
      </c>
      <c r="O45" s="198" t="s">
        <v>752</v>
      </c>
      <c r="P45" s="198" t="s">
        <v>755</v>
      </c>
      <c r="Q45" s="198" t="s">
        <v>756</v>
      </c>
      <c r="R45" s="198" t="s">
        <v>757</v>
      </c>
      <c r="S45" s="151" t="str">
        <f t="shared" si="0"/>
        <v>Enter Custom Fixture</v>
      </c>
    </row>
    <row r="46" spans="1:19">
      <c r="A46" s="151"/>
      <c r="B46" s="174" t="s">
        <v>758</v>
      </c>
      <c r="C46" s="174" t="s">
        <v>520</v>
      </c>
      <c r="D46" s="174" t="s">
        <v>728</v>
      </c>
      <c r="E46" s="174" t="s">
        <v>759</v>
      </c>
      <c r="F46" s="175" t="s">
        <v>760</v>
      </c>
      <c r="G46" s="176" t="s">
        <v>524</v>
      </c>
      <c r="H46" s="177">
        <v>1</v>
      </c>
      <c r="I46" s="176"/>
      <c r="J46" s="174">
        <v>1</v>
      </c>
      <c r="K46" s="174">
        <v>16</v>
      </c>
      <c r="L46" s="174">
        <v>16</v>
      </c>
      <c r="M46" s="174" t="s">
        <v>758</v>
      </c>
      <c r="O46" s="198" t="s">
        <v>758</v>
      </c>
      <c r="P46" s="151" t="str">
        <f>IF(ISBLANK(B919)=TRUE,"Enter Custom Fixture",B919)</f>
        <v>Enter Custom Fixture</v>
      </c>
      <c r="Q46" s="198" t="s">
        <v>761</v>
      </c>
      <c r="R46" s="198" t="s">
        <v>762</v>
      </c>
      <c r="S46" s="151" t="str">
        <f t="shared" si="0"/>
        <v>Enter Custom Fixture</v>
      </c>
    </row>
    <row r="47" spans="1:19">
      <c r="A47" s="151"/>
      <c r="B47" s="174" t="s">
        <v>763</v>
      </c>
      <c r="C47" s="174" t="s">
        <v>520</v>
      </c>
      <c r="D47" s="174" t="s">
        <v>728</v>
      </c>
      <c r="E47" s="174" t="s">
        <v>764</v>
      </c>
      <c r="F47" s="175" t="s">
        <v>765</v>
      </c>
      <c r="G47" s="176" t="s">
        <v>524</v>
      </c>
      <c r="H47" s="177">
        <v>1</v>
      </c>
      <c r="I47" s="176"/>
      <c r="J47" s="174">
        <v>1</v>
      </c>
      <c r="K47" s="174">
        <v>17</v>
      </c>
      <c r="L47" s="174">
        <v>17</v>
      </c>
      <c r="M47" s="174" t="s">
        <v>763</v>
      </c>
      <c r="O47" s="198" t="s">
        <v>763</v>
      </c>
      <c r="P47" s="151" t="str">
        <f t="shared" ref="P47:P103" si="1">IF(ISBLANK(B920)=TRUE,"Enter Custom Fixture",B920)</f>
        <v>Enter Custom Fixture</v>
      </c>
      <c r="Q47" s="198" t="s">
        <v>766</v>
      </c>
      <c r="R47" s="198" t="s">
        <v>767</v>
      </c>
      <c r="S47" s="151" t="str">
        <f t="shared" si="0"/>
        <v>Enter Custom Fixture</v>
      </c>
    </row>
    <row r="48" spans="1:19">
      <c r="A48" s="151"/>
      <c r="B48" s="174" t="s">
        <v>768</v>
      </c>
      <c r="C48" s="174" t="s">
        <v>520</v>
      </c>
      <c r="D48" s="174" t="s">
        <v>728</v>
      </c>
      <c r="E48" s="174" t="s">
        <v>769</v>
      </c>
      <c r="F48" s="175" t="s">
        <v>770</v>
      </c>
      <c r="G48" s="176" t="s">
        <v>524</v>
      </c>
      <c r="H48" s="177">
        <v>1</v>
      </c>
      <c r="I48" s="176"/>
      <c r="J48" s="174">
        <v>1</v>
      </c>
      <c r="K48" s="174">
        <v>18</v>
      </c>
      <c r="L48" s="174">
        <v>18</v>
      </c>
      <c r="M48" s="174" t="s">
        <v>768</v>
      </c>
      <c r="O48" s="198" t="s">
        <v>768</v>
      </c>
      <c r="P48" s="151" t="str">
        <f t="shared" si="1"/>
        <v>Enter Custom Fixture</v>
      </c>
      <c r="Q48" s="198" t="s">
        <v>771</v>
      </c>
      <c r="R48" s="198" t="s">
        <v>772</v>
      </c>
      <c r="S48" s="151" t="str">
        <f t="shared" si="0"/>
        <v>Enter Custom Fixture</v>
      </c>
    </row>
    <row r="49" spans="1:19">
      <c r="A49" s="151"/>
      <c r="B49" s="174" t="s">
        <v>773</v>
      </c>
      <c r="C49" s="174" t="s">
        <v>520</v>
      </c>
      <c r="D49" s="174" t="s">
        <v>728</v>
      </c>
      <c r="E49" s="174" t="s">
        <v>774</v>
      </c>
      <c r="F49" s="175" t="s">
        <v>775</v>
      </c>
      <c r="G49" s="176" t="s">
        <v>524</v>
      </c>
      <c r="H49" s="177">
        <v>1</v>
      </c>
      <c r="I49" s="176"/>
      <c r="J49" s="174">
        <v>1</v>
      </c>
      <c r="K49" s="174">
        <v>20</v>
      </c>
      <c r="L49" s="174">
        <v>20</v>
      </c>
      <c r="M49" s="174" t="s">
        <v>773</v>
      </c>
      <c r="O49" s="198" t="s">
        <v>773</v>
      </c>
      <c r="P49" s="151" t="str">
        <f t="shared" si="1"/>
        <v>Enter Custom Fixture</v>
      </c>
      <c r="Q49" s="198" t="s">
        <v>776</v>
      </c>
      <c r="R49" s="198" t="s">
        <v>777</v>
      </c>
      <c r="S49" s="151" t="str">
        <f t="shared" si="0"/>
        <v>Enter Custom Fixture</v>
      </c>
    </row>
    <row r="50" spans="1:19">
      <c r="A50" s="151"/>
      <c r="B50" s="174" t="s">
        <v>778</v>
      </c>
      <c r="C50" s="174" t="s">
        <v>520</v>
      </c>
      <c r="D50" s="174" t="s">
        <v>728</v>
      </c>
      <c r="E50" s="174" t="s">
        <v>779</v>
      </c>
      <c r="F50" s="175" t="s">
        <v>780</v>
      </c>
      <c r="G50" s="176" t="s">
        <v>524</v>
      </c>
      <c r="H50" s="177">
        <v>1</v>
      </c>
      <c r="I50" s="176"/>
      <c r="J50" s="174">
        <v>1</v>
      </c>
      <c r="K50" s="174">
        <v>23</v>
      </c>
      <c r="L50" s="174">
        <v>23</v>
      </c>
      <c r="M50" s="174" t="s">
        <v>778</v>
      </c>
      <c r="O50" s="198" t="s">
        <v>778</v>
      </c>
      <c r="P50" s="151" t="str">
        <f t="shared" si="1"/>
        <v>Enter Custom Fixture</v>
      </c>
      <c r="Q50" s="198" t="s">
        <v>781</v>
      </c>
      <c r="R50" s="198" t="s">
        <v>782</v>
      </c>
      <c r="S50" s="151" t="str">
        <f t="shared" si="0"/>
        <v>Enter Custom Fixture</v>
      </c>
    </row>
    <row r="51" spans="1:19">
      <c r="A51" s="151"/>
      <c r="B51" s="174" t="s">
        <v>783</v>
      </c>
      <c r="C51" s="174" t="s">
        <v>520</v>
      </c>
      <c r="D51" s="174" t="s">
        <v>728</v>
      </c>
      <c r="E51" s="174" t="s">
        <v>784</v>
      </c>
      <c r="F51" s="175" t="s">
        <v>785</v>
      </c>
      <c r="G51" s="176" t="s">
        <v>524</v>
      </c>
      <c r="H51" s="177">
        <v>1</v>
      </c>
      <c r="I51" s="176"/>
      <c r="J51" s="174">
        <v>1</v>
      </c>
      <c r="K51" s="174">
        <v>26</v>
      </c>
      <c r="L51" s="174">
        <v>26</v>
      </c>
      <c r="M51" s="174" t="s">
        <v>783</v>
      </c>
      <c r="O51" s="198" t="s">
        <v>783</v>
      </c>
      <c r="P51" s="151" t="str">
        <f t="shared" si="1"/>
        <v>Enter Custom Fixture</v>
      </c>
      <c r="Q51" s="198" t="s">
        <v>786</v>
      </c>
      <c r="R51" s="198" t="s">
        <v>787</v>
      </c>
      <c r="S51" s="151" t="str">
        <f t="shared" si="0"/>
        <v>Enter Custom Fixture</v>
      </c>
    </row>
    <row r="52" spans="1:19">
      <c r="A52" s="151"/>
      <c r="B52" s="174" t="s">
        <v>788</v>
      </c>
      <c r="C52" s="174" t="s">
        <v>520</v>
      </c>
      <c r="D52" s="174" t="s">
        <v>728</v>
      </c>
      <c r="E52" s="174" t="s">
        <v>789</v>
      </c>
      <c r="F52" s="175" t="s">
        <v>790</v>
      </c>
      <c r="G52" s="176" t="s">
        <v>524</v>
      </c>
      <c r="H52" s="177">
        <v>1</v>
      </c>
      <c r="I52" s="176"/>
      <c r="J52" s="174">
        <v>1</v>
      </c>
      <c r="K52" s="174">
        <v>30</v>
      </c>
      <c r="L52" s="174">
        <v>30</v>
      </c>
      <c r="M52" s="174" t="s">
        <v>788</v>
      </c>
      <c r="O52" s="198" t="s">
        <v>788</v>
      </c>
      <c r="P52" s="151" t="str">
        <f t="shared" si="1"/>
        <v>Enter Custom Fixture</v>
      </c>
      <c r="Q52" s="198" t="s">
        <v>791</v>
      </c>
      <c r="R52" s="198" t="s">
        <v>792</v>
      </c>
      <c r="S52" s="151" t="str">
        <f t="shared" si="0"/>
        <v>Enter Custom Fixture</v>
      </c>
    </row>
    <row r="53" spans="1:19">
      <c r="A53" s="151"/>
      <c r="B53" s="174" t="s">
        <v>793</v>
      </c>
      <c r="C53" s="174" t="s">
        <v>520</v>
      </c>
      <c r="D53" s="174" t="s">
        <v>728</v>
      </c>
      <c r="E53" s="174" t="s">
        <v>794</v>
      </c>
      <c r="F53" s="175" t="s">
        <v>795</v>
      </c>
      <c r="G53" s="176" t="s">
        <v>524</v>
      </c>
      <c r="H53" s="177">
        <v>1</v>
      </c>
      <c r="I53" s="176"/>
      <c r="J53" s="174">
        <v>1</v>
      </c>
      <c r="K53" s="174">
        <v>7</v>
      </c>
      <c r="L53" s="174">
        <v>7</v>
      </c>
      <c r="M53" s="174" t="s">
        <v>793</v>
      </c>
      <c r="O53" s="198" t="s">
        <v>793</v>
      </c>
      <c r="P53" s="151" t="str">
        <f t="shared" si="1"/>
        <v>Enter Custom Fixture</v>
      </c>
      <c r="Q53" s="198" t="s">
        <v>796</v>
      </c>
      <c r="R53" s="198" t="s">
        <v>797</v>
      </c>
      <c r="S53" s="151" t="str">
        <f t="shared" si="0"/>
        <v>Enter Custom Fixture</v>
      </c>
    </row>
    <row r="54" spans="1:19">
      <c r="A54" s="151"/>
      <c r="B54" s="174" t="s">
        <v>798</v>
      </c>
      <c r="C54" s="174" t="s">
        <v>520</v>
      </c>
      <c r="D54" s="174" t="s">
        <v>728</v>
      </c>
      <c r="E54" s="174" t="s">
        <v>799</v>
      </c>
      <c r="F54" s="175" t="s">
        <v>800</v>
      </c>
      <c r="G54" s="176" t="s">
        <v>524</v>
      </c>
      <c r="H54" s="177">
        <v>1</v>
      </c>
      <c r="I54" s="176"/>
      <c r="J54" s="174">
        <v>1</v>
      </c>
      <c r="K54" s="174">
        <v>9</v>
      </c>
      <c r="L54" s="174">
        <v>9</v>
      </c>
      <c r="M54" s="174" t="s">
        <v>798</v>
      </c>
      <c r="O54" s="198" t="s">
        <v>798</v>
      </c>
      <c r="P54" s="151" t="str">
        <f t="shared" si="1"/>
        <v>Enter Custom Fixture</v>
      </c>
      <c r="Q54" s="198" t="s">
        <v>801</v>
      </c>
      <c r="R54" s="198" t="s">
        <v>802</v>
      </c>
      <c r="S54" s="151" t="str">
        <f t="shared" si="0"/>
        <v>Enter Custom Fixture</v>
      </c>
    </row>
    <row r="55" spans="1:19">
      <c r="A55" s="151"/>
      <c r="B55" s="174" t="s">
        <v>803</v>
      </c>
      <c r="C55" s="174" t="s">
        <v>520</v>
      </c>
      <c r="D55" s="174" t="s">
        <v>554</v>
      </c>
      <c r="E55" s="174" t="s">
        <v>804</v>
      </c>
      <c r="F55" s="175" t="s">
        <v>805</v>
      </c>
      <c r="G55" s="176" t="s">
        <v>557</v>
      </c>
      <c r="H55" s="177">
        <v>1</v>
      </c>
      <c r="I55" s="176"/>
      <c r="J55" s="174">
        <v>1</v>
      </c>
      <c r="K55" s="174">
        <v>10</v>
      </c>
      <c r="L55" s="174">
        <v>15</v>
      </c>
      <c r="M55" s="174" t="s">
        <v>803</v>
      </c>
      <c r="O55" s="198" t="s">
        <v>803</v>
      </c>
      <c r="P55" s="151" t="str">
        <f t="shared" si="1"/>
        <v>Enter Custom Fixture</v>
      </c>
      <c r="Q55" s="198" t="s">
        <v>806</v>
      </c>
      <c r="R55" s="198" t="s">
        <v>807</v>
      </c>
      <c r="S55" s="151" t="str">
        <f t="shared" si="0"/>
        <v>Enter Custom Fixture</v>
      </c>
    </row>
    <row r="56" spans="1:19">
      <c r="A56" s="151"/>
      <c r="B56" s="174" t="s">
        <v>808</v>
      </c>
      <c r="C56" s="174" t="s">
        <v>520</v>
      </c>
      <c r="D56" s="174" t="s">
        <v>554</v>
      </c>
      <c r="E56" s="174" t="s">
        <v>809</v>
      </c>
      <c r="F56" s="175" t="s">
        <v>810</v>
      </c>
      <c r="G56" s="176" t="s">
        <v>557</v>
      </c>
      <c r="H56" s="177">
        <v>1</v>
      </c>
      <c r="I56" s="176"/>
      <c r="J56" s="174">
        <v>1</v>
      </c>
      <c r="K56" s="174">
        <v>13</v>
      </c>
      <c r="L56" s="174">
        <v>17</v>
      </c>
      <c r="M56" s="174" t="s">
        <v>808</v>
      </c>
      <c r="O56" s="198" t="s">
        <v>808</v>
      </c>
      <c r="P56" s="151" t="str">
        <f t="shared" si="1"/>
        <v>Enter Custom Fixture</v>
      </c>
      <c r="Q56" s="198" t="s">
        <v>811</v>
      </c>
      <c r="R56" s="198" t="s">
        <v>812</v>
      </c>
      <c r="S56" s="151" t="str">
        <f t="shared" si="0"/>
        <v>Enter Custom Fixture</v>
      </c>
    </row>
    <row r="57" spans="1:19">
      <c r="A57" s="151"/>
      <c r="B57" s="174" t="s">
        <v>813</v>
      </c>
      <c r="C57" s="174" t="s">
        <v>520</v>
      </c>
      <c r="D57" s="174" t="s">
        <v>554</v>
      </c>
      <c r="E57" s="174" t="s">
        <v>809</v>
      </c>
      <c r="F57" s="175" t="s">
        <v>814</v>
      </c>
      <c r="G57" s="176" t="s">
        <v>524</v>
      </c>
      <c r="H57" s="177">
        <v>1</v>
      </c>
      <c r="I57" s="176"/>
      <c r="J57" s="174">
        <v>1</v>
      </c>
      <c r="K57" s="174">
        <v>13</v>
      </c>
      <c r="L57" s="174">
        <v>15</v>
      </c>
      <c r="M57" s="174" t="s">
        <v>813</v>
      </c>
      <c r="O57" s="198" t="s">
        <v>813</v>
      </c>
      <c r="P57" s="151" t="str">
        <f t="shared" si="1"/>
        <v>Enter Custom Fixture</v>
      </c>
      <c r="Q57" s="198" t="s">
        <v>815</v>
      </c>
      <c r="R57" s="198" t="s">
        <v>816</v>
      </c>
      <c r="S57" s="151" t="str">
        <f t="shared" si="0"/>
        <v>Enter Custom Fixture</v>
      </c>
    </row>
    <row r="58" spans="1:19">
      <c r="A58" s="151"/>
      <c r="B58" s="174" t="s">
        <v>817</v>
      </c>
      <c r="C58" s="174" t="s">
        <v>520</v>
      </c>
      <c r="D58" s="174" t="s">
        <v>554</v>
      </c>
      <c r="E58" s="174" t="s">
        <v>809</v>
      </c>
      <c r="F58" s="175" t="s">
        <v>818</v>
      </c>
      <c r="G58" s="176" t="s">
        <v>557</v>
      </c>
      <c r="H58" s="177">
        <v>1</v>
      </c>
      <c r="I58" s="176"/>
      <c r="J58" s="174">
        <v>2</v>
      </c>
      <c r="K58" s="174">
        <v>13</v>
      </c>
      <c r="L58" s="174">
        <v>31</v>
      </c>
      <c r="M58" s="174" t="s">
        <v>817</v>
      </c>
      <c r="O58" s="198" t="s">
        <v>817</v>
      </c>
      <c r="P58" s="151" t="str">
        <f t="shared" si="1"/>
        <v>Enter Custom Fixture</v>
      </c>
      <c r="Q58" s="198" t="s">
        <v>819</v>
      </c>
      <c r="R58" s="198" t="s">
        <v>820</v>
      </c>
      <c r="S58" s="151" t="str">
        <f t="shared" si="0"/>
        <v>Enter Custom Fixture</v>
      </c>
    </row>
    <row r="59" spans="1:19">
      <c r="A59" s="151"/>
      <c r="B59" s="174" t="s">
        <v>821</v>
      </c>
      <c r="C59" s="174" t="s">
        <v>520</v>
      </c>
      <c r="D59" s="174" t="s">
        <v>554</v>
      </c>
      <c r="E59" s="174" t="s">
        <v>809</v>
      </c>
      <c r="F59" s="175" t="s">
        <v>822</v>
      </c>
      <c r="G59" s="176" t="s">
        <v>524</v>
      </c>
      <c r="H59" s="177">
        <v>1</v>
      </c>
      <c r="I59" s="176"/>
      <c r="J59" s="174">
        <v>2</v>
      </c>
      <c r="K59" s="174">
        <v>13</v>
      </c>
      <c r="L59" s="174">
        <v>28</v>
      </c>
      <c r="M59" s="174" t="s">
        <v>821</v>
      </c>
      <c r="O59" s="198" t="s">
        <v>821</v>
      </c>
      <c r="P59" s="151" t="str">
        <f t="shared" si="1"/>
        <v>Enter Custom Fixture</v>
      </c>
      <c r="Q59" s="198" t="s">
        <v>823</v>
      </c>
      <c r="R59" s="198" t="s">
        <v>824</v>
      </c>
      <c r="S59" s="151" t="str">
        <f t="shared" si="0"/>
        <v>Enter Custom Fixture</v>
      </c>
    </row>
    <row r="60" spans="1:19">
      <c r="A60" s="151"/>
      <c r="B60" s="174" t="s">
        <v>825</v>
      </c>
      <c r="C60" s="174" t="s">
        <v>520</v>
      </c>
      <c r="D60" s="174" t="s">
        <v>554</v>
      </c>
      <c r="E60" s="174" t="s">
        <v>809</v>
      </c>
      <c r="F60" s="175" t="s">
        <v>826</v>
      </c>
      <c r="G60" s="176" t="s">
        <v>557</v>
      </c>
      <c r="H60" s="177">
        <v>1</v>
      </c>
      <c r="I60" s="176"/>
      <c r="J60" s="174">
        <v>3</v>
      </c>
      <c r="K60" s="174">
        <v>13</v>
      </c>
      <c r="L60" s="174">
        <v>48</v>
      </c>
      <c r="M60" s="174" t="s">
        <v>825</v>
      </c>
      <c r="O60" s="198" t="s">
        <v>825</v>
      </c>
      <c r="P60" s="151" t="str">
        <f t="shared" si="1"/>
        <v>Enter Custom Fixture</v>
      </c>
      <c r="Q60" s="198" t="s">
        <v>827</v>
      </c>
      <c r="R60" s="198" t="s">
        <v>828</v>
      </c>
      <c r="S60" s="151" t="str">
        <f t="shared" si="0"/>
        <v>Enter Custom Fixture</v>
      </c>
    </row>
    <row r="61" spans="1:19">
      <c r="A61" s="151"/>
      <c r="B61" s="174" t="s">
        <v>829</v>
      </c>
      <c r="C61" s="174" t="s">
        <v>520</v>
      </c>
      <c r="D61" s="174" t="s">
        <v>554</v>
      </c>
      <c r="E61" s="174" t="s">
        <v>830</v>
      </c>
      <c r="F61" s="175" t="s">
        <v>831</v>
      </c>
      <c r="G61" s="176" t="s">
        <v>557</v>
      </c>
      <c r="H61" s="177">
        <v>1</v>
      </c>
      <c r="I61" s="176"/>
      <c r="J61" s="174">
        <v>1</v>
      </c>
      <c r="K61" s="174">
        <v>15</v>
      </c>
      <c r="L61" s="174">
        <v>20</v>
      </c>
      <c r="M61" s="174" t="s">
        <v>829</v>
      </c>
      <c r="O61" s="198" t="s">
        <v>829</v>
      </c>
      <c r="P61" s="151" t="str">
        <f t="shared" si="1"/>
        <v>Enter Custom Fixture</v>
      </c>
      <c r="Q61" s="198" t="s">
        <v>832</v>
      </c>
      <c r="R61" s="198" t="s">
        <v>833</v>
      </c>
      <c r="S61" s="151" t="str">
        <f t="shared" si="0"/>
        <v>Enter Custom Fixture</v>
      </c>
    </row>
    <row r="62" spans="1:19">
      <c r="A62" s="151"/>
      <c r="B62" s="174" t="s">
        <v>834</v>
      </c>
      <c r="C62" s="174" t="s">
        <v>520</v>
      </c>
      <c r="D62" s="174" t="s">
        <v>554</v>
      </c>
      <c r="E62" s="174" t="s">
        <v>835</v>
      </c>
      <c r="F62" s="175" t="s">
        <v>836</v>
      </c>
      <c r="G62" s="176" t="s">
        <v>557</v>
      </c>
      <c r="H62" s="177">
        <v>1</v>
      </c>
      <c r="I62" s="176"/>
      <c r="J62" s="174">
        <v>1</v>
      </c>
      <c r="K62" s="174">
        <v>17</v>
      </c>
      <c r="L62" s="174">
        <v>24</v>
      </c>
      <c r="M62" s="174" t="s">
        <v>834</v>
      </c>
      <c r="O62" s="198" t="s">
        <v>834</v>
      </c>
      <c r="P62" s="151" t="str">
        <f t="shared" si="1"/>
        <v>Enter Custom Fixture</v>
      </c>
      <c r="Q62" s="198" t="s">
        <v>837</v>
      </c>
      <c r="R62" s="198" t="s">
        <v>838</v>
      </c>
      <c r="S62" s="151" t="str">
        <f t="shared" si="0"/>
        <v>Enter Custom Fixture</v>
      </c>
    </row>
    <row r="63" spans="1:19">
      <c r="A63" s="151"/>
      <c r="B63" s="174" t="s">
        <v>839</v>
      </c>
      <c r="C63" s="174" t="s">
        <v>520</v>
      </c>
      <c r="D63" s="174" t="s">
        <v>554</v>
      </c>
      <c r="E63" s="174" t="s">
        <v>835</v>
      </c>
      <c r="F63" s="175" t="s">
        <v>840</v>
      </c>
      <c r="G63" s="176" t="s">
        <v>557</v>
      </c>
      <c r="H63" s="177">
        <v>1</v>
      </c>
      <c r="I63" s="176"/>
      <c r="J63" s="174">
        <v>2</v>
      </c>
      <c r="K63" s="174">
        <v>17</v>
      </c>
      <c r="L63" s="174">
        <v>48</v>
      </c>
      <c r="M63" s="174" t="s">
        <v>839</v>
      </c>
      <c r="O63" s="198" t="s">
        <v>839</v>
      </c>
      <c r="P63" s="151" t="str">
        <f t="shared" si="1"/>
        <v>Enter Custom Fixture</v>
      </c>
      <c r="Q63" s="198" t="s">
        <v>841</v>
      </c>
      <c r="R63" s="198" t="s">
        <v>842</v>
      </c>
      <c r="S63" s="151" t="str">
        <f t="shared" si="0"/>
        <v>Enter Custom Fixture</v>
      </c>
    </row>
    <row r="64" spans="1:19">
      <c r="A64" s="151"/>
      <c r="B64" s="174" t="s">
        <v>843</v>
      </c>
      <c r="C64" s="174" t="s">
        <v>520</v>
      </c>
      <c r="D64" s="174" t="s">
        <v>554</v>
      </c>
      <c r="E64" s="174" t="s">
        <v>844</v>
      </c>
      <c r="F64" s="175" t="s">
        <v>845</v>
      </c>
      <c r="G64" s="176" t="s">
        <v>557</v>
      </c>
      <c r="H64" s="177">
        <v>1</v>
      </c>
      <c r="I64" s="176"/>
      <c r="J64" s="174">
        <v>1</v>
      </c>
      <c r="K64" s="174">
        <v>18</v>
      </c>
      <c r="L64" s="174">
        <v>26</v>
      </c>
      <c r="M64" s="174" t="s">
        <v>843</v>
      </c>
      <c r="O64" s="198" t="s">
        <v>843</v>
      </c>
      <c r="P64" s="151" t="str">
        <f t="shared" si="1"/>
        <v>Enter Custom Fixture</v>
      </c>
      <c r="Q64" s="198" t="s">
        <v>846</v>
      </c>
      <c r="R64" s="198" t="s">
        <v>847</v>
      </c>
      <c r="S64" s="151" t="str">
        <f t="shared" si="0"/>
        <v>Enter Custom Fixture</v>
      </c>
    </row>
    <row r="65" spans="1:19">
      <c r="A65" s="151"/>
      <c r="B65" s="174" t="s">
        <v>848</v>
      </c>
      <c r="C65" s="174" t="s">
        <v>520</v>
      </c>
      <c r="D65" s="174" t="s">
        <v>554</v>
      </c>
      <c r="E65" s="174" t="s">
        <v>844</v>
      </c>
      <c r="F65" s="175" t="s">
        <v>849</v>
      </c>
      <c r="G65" s="176" t="s">
        <v>524</v>
      </c>
      <c r="H65" s="177">
        <v>1</v>
      </c>
      <c r="I65" s="176"/>
      <c r="J65" s="174">
        <v>1</v>
      </c>
      <c r="K65" s="174">
        <v>18</v>
      </c>
      <c r="L65" s="174">
        <v>20</v>
      </c>
      <c r="M65" s="174" t="s">
        <v>848</v>
      </c>
      <c r="O65" s="198" t="s">
        <v>848</v>
      </c>
      <c r="P65" s="151" t="str">
        <f t="shared" si="1"/>
        <v>Enter Custom Fixture</v>
      </c>
      <c r="Q65" s="198" t="s">
        <v>850</v>
      </c>
      <c r="R65" s="198" t="s">
        <v>851</v>
      </c>
      <c r="S65" s="151" t="str">
        <f t="shared" si="0"/>
        <v>Enter Custom Fixture</v>
      </c>
    </row>
    <row r="66" spans="1:19">
      <c r="A66" s="151"/>
      <c r="B66" s="174" t="s">
        <v>852</v>
      </c>
      <c r="C66" s="174" t="s">
        <v>520</v>
      </c>
      <c r="D66" s="174" t="s">
        <v>554</v>
      </c>
      <c r="E66" s="174" t="s">
        <v>844</v>
      </c>
      <c r="F66" s="175" t="s">
        <v>853</v>
      </c>
      <c r="G66" s="176" t="s">
        <v>557</v>
      </c>
      <c r="H66" s="177">
        <v>1</v>
      </c>
      <c r="I66" s="176"/>
      <c r="J66" s="174">
        <v>2</v>
      </c>
      <c r="K66" s="174">
        <v>18</v>
      </c>
      <c r="L66" s="174">
        <v>45</v>
      </c>
      <c r="M66" s="174" t="s">
        <v>852</v>
      </c>
      <c r="O66" s="198" t="s">
        <v>852</v>
      </c>
      <c r="P66" s="151" t="str">
        <f t="shared" si="1"/>
        <v>Enter Custom Fixture</v>
      </c>
      <c r="Q66" s="198" t="s">
        <v>854</v>
      </c>
      <c r="R66" s="198" t="s">
        <v>855</v>
      </c>
      <c r="S66" s="151" t="str">
        <f t="shared" si="0"/>
        <v>Enter Custom Fixture</v>
      </c>
    </row>
    <row r="67" spans="1:19">
      <c r="A67" s="151"/>
      <c r="B67" s="174" t="s">
        <v>856</v>
      </c>
      <c r="C67" s="174" t="s">
        <v>520</v>
      </c>
      <c r="D67" s="174" t="s">
        <v>554</v>
      </c>
      <c r="E67" s="174" t="s">
        <v>844</v>
      </c>
      <c r="F67" s="175" t="s">
        <v>857</v>
      </c>
      <c r="G67" s="176" t="s">
        <v>524</v>
      </c>
      <c r="H67" s="177">
        <v>1</v>
      </c>
      <c r="I67" s="176"/>
      <c r="J67" s="174">
        <v>2</v>
      </c>
      <c r="K67" s="174">
        <v>18</v>
      </c>
      <c r="L67" s="174">
        <v>38</v>
      </c>
      <c r="M67" s="174" t="s">
        <v>856</v>
      </c>
      <c r="O67" s="198" t="s">
        <v>856</v>
      </c>
      <c r="P67" s="151" t="str">
        <f t="shared" si="1"/>
        <v>Enter Custom Fixture</v>
      </c>
      <c r="Q67" s="198" t="s">
        <v>858</v>
      </c>
      <c r="R67" s="198" t="s">
        <v>859</v>
      </c>
      <c r="S67" s="151" t="str">
        <f t="shared" si="0"/>
        <v>Enter Custom Fixture</v>
      </c>
    </row>
    <row r="68" spans="1:19">
      <c r="A68" s="151"/>
      <c r="B68" s="174" t="s">
        <v>860</v>
      </c>
      <c r="C68" s="174" t="s">
        <v>520</v>
      </c>
      <c r="D68" s="174" t="s">
        <v>554</v>
      </c>
      <c r="E68" s="174" t="s">
        <v>844</v>
      </c>
      <c r="F68" s="175" t="s">
        <v>861</v>
      </c>
      <c r="G68" s="176" t="s">
        <v>557</v>
      </c>
      <c r="H68" s="177">
        <v>1</v>
      </c>
      <c r="I68" s="176"/>
      <c r="J68" s="178">
        <v>4</v>
      </c>
      <c r="K68" s="174">
        <v>18</v>
      </c>
      <c r="L68" s="174">
        <v>90</v>
      </c>
      <c r="M68" s="174" t="s">
        <v>860</v>
      </c>
      <c r="O68" s="198" t="s">
        <v>860</v>
      </c>
      <c r="P68" s="151" t="str">
        <f t="shared" si="1"/>
        <v>Enter Custom Fixture</v>
      </c>
      <c r="Q68" s="198" t="s">
        <v>862</v>
      </c>
      <c r="R68" s="198" t="s">
        <v>863</v>
      </c>
      <c r="S68" s="151" t="str">
        <f t="shared" si="0"/>
        <v>Enter Custom Fixture</v>
      </c>
    </row>
    <row r="69" spans="1:19">
      <c r="A69" s="151"/>
      <c r="B69" s="174" t="s">
        <v>864</v>
      </c>
      <c r="C69" s="174" t="s">
        <v>520</v>
      </c>
      <c r="D69" s="174" t="s">
        <v>554</v>
      </c>
      <c r="E69" s="174" t="s">
        <v>865</v>
      </c>
      <c r="F69" s="175" t="s">
        <v>866</v>
      </c>
      <c r="G69" s="176" t="s">
        <v>557</v>
      </c>
      <c r="H69" s="177">
        <v>1</v>
      </c>
      <c r="I69" s="176"/>
      <c r="J69" s="174">
        <v>1</v>
      </c>
      <c r="K69" s="174">
        <v>20</v>
      </c>
      <c r="L69" s="174">
        <v>23</v>
      </c>
      <c r="M69" s="174" t="s">
        <v>864</v>
      </c>
      <c r="O69" s="198" t="s">
        <v>864</v>
      </c>
      <c r="P69" s="151" t="str">
        <f t="shared" si="1"/>
        <v>Enter Custom Fixture</v>
      </c>
      <c r="Q69" s="198" t="s">
        <v>867</v>
      </c>
      <c r="R69" s="198" t="s">
        <v>868</v>
      </c>
      <c r="S69" s="151" t="str">
        <f t="shared" si="0"/>
        <v>Enter Custom Fixture</v>
      </c>
    </row>
    <row r="70" spans="1:19">
      <c r="A70" s="151"/>
      <c r="B70" s="174" t="s">
        <v>869</v>
      </c>
      <c r="C70" s="174" t="s">
        <v>520</v>
      </c>
      <c r="D70" s="174" t="s">
        <v>554</v>
      </c>
      <c r="E70" s="174" t="s">
        <v>865</v>
      </c>
      <c r="F70" s="175" t="s">
        <v>870</v>
      </c>
      <c r="G70" s="176" t="s">
        <v>557</v>
      </c>
      <c r="H70" s="177">
        <v>1</v>
      </c>
      <c r="I70" s="176"/>
      <c r="J70" s="174">
        <v>2</v>
      </c>
      <c r="K70" s="174">
        <v>20</v>
      </c>
      <c r="L70" s="174">
        <v>46</v>
      </c>
      <c r="M70" s="174" t="s">
        <v>869</v>
      </c>
      <c r="O70" s="198" t="s">
        <v>869</v>
      </c>
      <c r="P70" s="151" t="str">
        <f t="shared" si="1"/>
        <v>Enter Custom Fixture</v>
      </c>
      <c r="Q70" s="198" t="s">
        <v>871</v>
      </c>
      <c r="R70" s="198" t="s">
        <v>872</v>
      </c>
      <c r="S70" s="151" t="str">
        <f t="shared" si="0"/>
        <v>Enter Custom Fixture</v>
      </c>
    </row>
    <row r="71" spans="1:19">
      <c r="A71" s="151"/>
      <c r="B71" s="174" t="s">
        <v>873</v>
      </c>
      <c r="C71" s="174" t="s">
        <v>520</v>
      </c>
      <c r="D71" s="174" t="s">
        <v>554</v>
      </c>
      <c r="E71" s="174" t="s">
        <v>874</v>
      </c>
      <c r="F71" s="175" t="s">
        <v>875</v>
      </c>
      <c r="G71" s="176" t="s">
        <v>557</v>
      </c>
      <c r="H71" s="177">
        <v>1</v>
      </c>
      <c r="I71" s="176"/>
      <c r="J71" s="174">
        <v>1</v>
      </c>
      <c r="K71" s="174">
        <v>22</v>
      </c>
      <c r="L71" s="174">
        <v>24</v>
      </c>
      <c r="M71" s="174" t="s">
        <v>873</v>
      </c>
      <c r="O71" s="198" t="s">
        <v>873</v>
      </c>
      <c r="P71" s="151" t="str">
        <f t="shared" si="1"/>
        <v>Enter Custom Fixture</v>
      </c>
      <c r="Q71" s="198" t="s">
        <v>876</v>
      </c>
      <c r="R71" s="198" t="s">
        <v>877</v>
      </c>
      <c r="S71" s="151" t="str">
        <f t="shared" si="0"/>
        <v>Enter Custom Fixture</v>
      </c>
    </row>
    <row r="72" spans="1:19">
      <c r="A72" s="151"/>
      <c r="B72" s="174" t="s">
        <v>878</v>
      </c>
      <c r="C72" s="174" t="s">
        <v>520</v>
      </c>
      <c r="D72" s="174" t="s">
        <v>554</v>
      </c>
      <c r="E72" s="174" t="s">
        <v>874</v>
      </c>
      <c r="F72" s="175" t="s">
        <v>879</v>
      </c>
      <c r="G72" s="176" t="s">
        <v>557</v>
      </c>
      <c r="H72" s="177">
        <v>1</v>
      </c>
      <c r="I72" s="176"/>
      <c r="J72" s="174">
        <v>2</v>
      </c>
      <c r="K72" s="174">
        <v>22</v>
      </c>
      <c r="L72" s="174">
        <v>48</v>
      </c>
      <c r="M72" s="174" t="s">
        <v>878</v>
      </c>
      <c r="O72" s="198" t="s">
        <v>878</v>
      </c>
      <c r="P72" s="151" t="str">
        <f t="shared" si="1"/>
        <v>Enter Custom Fixture</v>
      </c>
      <c r="Q72" s="198" t="s">
        <v>880</v>
      </c>
      <c r="R72" s="198" t="s">
        <v>881</v>
      </c>
      <c r="S72" s="151" t="str">
        <f t="shared" si="0"/>
        <v>Enter Custom Fixture</v>
      </c>
    </row>
    <row r="73" spans="1:19">
      <c r="A73" s="151"/>
      <c r="B73" s="174" t="s">
        <v>882</v>
      </c>
      <c r="C73" s="174" t="s">
        <v>520</v>
      </c>
      <c r="D73" s="174" t="s">
        <v>554</v>
      </c>
      <c r="E73" s="174" t="s">
        <v>874</v>
      </c>
      <c r="F73" s="175" t="s">
        <v>883</v>
      </c>
      <c r="G73" s="176" t="s">
        <v>557</v>
      </c>
      <c r="H73" s="177">
        <v>1</v>
      </c>
      <c r="I73" s="176"/>
      <c r="J73" s="174">
        <v>3</v>
      </c>
      <c r="K73" s="174">
        <v>22</v>
      </c>
      <c r="L73" s="174">
        <v>72</v>
      </c>
      <c r="M73" s="174" t="s">
        <v>882</v>
      </c>
      <c r="O73" s="198" t="s">
        <v>882</v>
      </c>
      <c r="P73" s="151" t="str">
        <f t="shared" si="1"/>
        <v>Enter Custom Fixture</v>
      </c>
      <c r="Q73" s="198" t="s">
        <v>884</v>
      </c>
      <c r="R73" s="198" t="s">
        <v>885</v>
      </c>
      <c r="S73" s="151" t="str">
        <f t="shared" si="0"/>
        <v>Enter Custom Fixture</v>
      </c>
    </row>
    <row r="74" spans="1:19">
      <c r="A74" s="151"/>
      <c r="B74" s="174" t="s">
        <v>886</v>
      </c>
      <c r="C74" s="174" t="s">
        <v>520</v>
      </c>
      <c r="D74" s="174" t="s">
        <v>554</v>
      </c>
      <c r="E74" s="174" t="s">
        <v>887</v>
      </c>
      <c r="F74" s="175" t="s">
        <v>888</v>
      </c>
      <c r="G74" s="176" t="s">
        <v>557</v>
      </c>
      <c r="H74" s="177">
        <v>1</v>
      </c>
      <c r="I74" s="176"/>
      <c r="J74" s="174">
        <v>1</v>
      </c>
      <c r="K74" s="174">
        <v>25</v>
      </c>
      <c r="L74" s="174">
        <v>33</v>
      </c>
      <c r="M74" s="174" t="s">
        <v>886</v>
      </c>
      <c r="O74" s="198" t="s">
        <v>886</v>
      </c>
      <c r="P74" s="151" t="str">
        <f t="shared" si="1"/>
        <v>Enter Custom Fixture</v>
      </c>
      <c r="Q74" s="198" t="s">
        <v>889</v>
      </c>
      <c r="R74" s="198" t="s">
        <v>890</v>
      </c>
      <c r="S74" s="151" t="str">
        <f t="shared" si="0"/>
        <v>Enter Custom Fixture</v>
      </c>
    </row>
    <row r="75" spans="1:19">
      <c r="A75" s="151"/>
      <c r="B75" s="174" t="s">
        <v>891</v>
      </c>
      <c r="C75" s="174" t="s">
        <v>520</v>
      </c>
      <c r="D75" s="174" t="s">
        <v>554</v>
      </c>
      <c r="E75" s="174" t="s">
        <v>887</v>
      </c>
      <c r="F75" s="175" t="s">
        <v>892</v>
      </c>
      <c r="G75" s="176" t="s">
        <v>557</v>
      </c>
      <c r="H75" s="177">
        <v>1</v>
      </c>
      <c r="I75" s="176"/>
      <c r="J75" s="174">
        <v>2</v>
      </c>
      <c r="K75" s="174">
        <v>25</v>
      </c>
      <c r="L75" s="174">
        <v>66</v>
      </c>
      <c r="M75" s="174" t="s">
        <v>891</v>
      </c>
      <c r="O75" s="198" t="s">
        <v>891</v>
      </c>
      <c r="P75" s="151" t="str">
        <f t="shared" si="1"/>
        <v>Enter Custom Fixture</v>
      </c>
      <c r="Q75" s="151" t="str">
        <f>IF(ISBLANK(B919)=TRUE,"Enter Custom Fixture",B919)</f>
        <v>Enter Custom Fixture</v>
      </c>
      <c r="R75" s="198" t="s">
        <v>893</v>
      </c>
      <c r="S75" s="151" t="str">
        <f t="shared" si="0"/>
        <v>Enter Custom Fixture</v>
      </c>
    </row>
    <row r="76" spans="1:19">
      <c r="A76" s="151"/>
      <c r="B76" s="174" t="s">
        <v>894</v>
      </c>
      <c r="C76" s="174" t="s">
        <v>520</v>
      </c>
      <c r="D76" s="174" t="s">
        <v>554</v>
      </c>
      <c r="E76" s="174" t="s">
        <v>895</v>
      </c>
      <c r="F76" s="175" t="s">
        <v>896</v>
      </c>
      <c r="G76" s="176" t="s">
        <v>557</v>
      </c>
      <c r="H76" s="177">
        <v>1</v>
      </c>
      <c r="I76" s="176"/>
      <c r="J76" s="174">
        <v>1</v>
      </c>
      <c r="K76" s="174">
        <v>26</v>
      </c>
      <c r="L76" s="174">
        <v>33</v>
      </c>
      <c r="M76" s="174" t="s">
        <v>894</v>
      </c>
      <c r="O76" s="198" t="s">
        <v>894</v>
      </c>
      <c r="P76" s="151" t="str">
        <f t="shared" si="1"/>
        <v>Enter Custom Fixture</v>
      </c>
      <c r="Q76" s="151" t="str">
        <f t="shared" ref="Q76:Q132" si="2">IF(ISBLANK(B920)=TRUE,"Enter Custom Fixture",B920)</f>
        <v>Enter Custom Fixture</v>
      </c>
      <c r="R76" s="198" t="s">
        <v>897</v>
      </c>
      <c r="S76" s="151" t="str">
        <f t="shared" si="0"/>
        <v>Enter Custom Fixture</v>
      </c>
    </row>
    <row r="77" spans="1:19">
      <c r="A77" s="151"/>
      <c r="B77" s="174" t="s">
        <v>898</v>
      </c>
      <c r="C77" s="174" t="s">
        <v>520</v>
      </c>
      <c r="D77" s="174" t="s">
        <v>554</v>
      </c>
      <c r="E77" s="174" t="s">
        <v>895</v>
      </c>
      <c r="F77" s="175" t="s">
        <v>899</v>
      </c>
      <c r="G77" s="176" t="s">
        <v>524</v>
      </c>
      <c r="H77" s="177">
        <v>1</v>
      </c>
      <c r="I77" s="176"/>
      <c r="J77" s="174">
        <v>1</v>
      </c>
      <c r="K77" s="174">
        <v>26</v>
      </c>
      <c r="L77" s="174">
        <v>27</v>
      </c>
      <c r="M77" s="174" t="s">
        <v>898</v>
      </c>
      <c r="O77" s="198" t="s">
        <v>898</v>
      </c>
      <c r="P77" s="151" t="str">
        <f t="shared" si="1"/>
        <v>Enter Custom Fixture</v>
      </c>
      <c r="Q77" s="151" t="str">
        <f t="shared" si="2"/>
        <v>Enter Custom Fixture</v>
      </c>
      <c r="R77" s="198" t="s">
        <v>900</v>
      </c>
      <c r="S77" s="151" t="str">
        <f t="shared" si="0"/>
        <v>Enter Custom Fixture</v>
      </c>
    </row>
    <row r="78" spans="1:19">
      <c r="A78" s="151"/>
      <c r="B78" s="174" t="s">
        <v>901</v>
      </c>
      <c r="C78" s="174" t="s">
        <v>520</v>
      </c>
      <c r="D78" s="174" t="s">
        <v>554</v>
      </c>
      <c r="E78" s="174" t="s">
        <v>895</v>
      </c>
      <c r="F78" s="175" t="s">
        <v>902</v>
      </c>
      <c r="G78" s="176" t="s">
        <v>557</v>
      </c>
      <c r="H78" s="177">
        <v>1</v>
      </c>
      <c r="I78" s="176"/>
      <c r="J78" s="174">
        <v>2</v>
      </c>
      <c r="K78" s="174">
        <v>26</v>
      </c>
      <c r="L78" s="174">
        <v>66</v>
      </c>
      <c r="M78" s="174" t="s">
        <v>901</v>
      </c>
      <c r="O78" s="198" t="s">
        <v>901</v>
      </c>
      <c r="P78" s="151" t="str">
        <f t="shared" si="1"/>
        <v>Enter Custom Fixture</v>
      </c>
      <c r="Q78" s="151" t="str">
        <f t="shared" si="2"/>
        <v>Enter Custom Fixture</v>
      </c>
      <c r="R78" s="198" t="s">
        <v>903</v>
      </c>
      <c r="S78" s="151" t="str">
        <f t="shared" si="0"/>
        <v>Enter Custom Fixture</v>
      </c>
    </row>
    <row r="79" spans="1:19">
      <c r="A79" s="151"/>
      <c r="B79" s="174" t="s">
        <v>904</v>
      </c>
      <c r="C79" s="174" t="s">
        <v>520</v>
      </c>
      <c r="D79" s="174" t="s">
        <v>554</v>
      </c>
      <c r="E79" s="174" t="s">
        <v>895</v>
      </c>
      <c r="F79" s="175" t="s">
        <v>905</v>
      </c>
      <c r="G79" s="176" t="s">
        <v>524</v>
      </c>
      <c r="H79" s="177">
        <v>1</v>
      </c>
      <c r="I79" s="176"/>
      <c r="J79" s="174">
        <v>2</v>
      </c>
      <c r="K79" s="174">
        <v>26</v>
      </c>
      <c r="L79" s="174">
        <v>50</v>
      </c>
      <c r="M79" s="174" t="s">
        <v>904</v>
      </c>
      <c r="O79" s="198" t="s">
        <v>904</v>
      </c>
      <c r="P79" s="151" t="str">
        <f t="shared" si="1"/>
        <v>Enter Custom Fixture</v>
      </c>
      <c r="Q79" s="151" t="str">
        <f t="shared" si="2"/>
        <v>Enter Custom Fixture</v>
      </c>
      <c r="R79" s="198" t="s">
        <v>906</v>
      </c>
      <c r="S79" s="151" t="str">
        <f t="shared" si="0"/>
        <v>Enter Custom Fixture</v>
      </c>
    </row>
    <row r="80" spans="1:19">
      <c r="A80" s="151"/>
      <c r="B80" s="174" t="s">
        <v>907</v>
      </c>
      <c r="C80" s="174" t="s">
        <v>520</v>
      </c>
      <c r="D80" s="174" t="s">
        <v>554</v>
      </c>
      <c r="E80" s="174" t="s">
        <v>895</v>
      </c>
      <c r="F80" s="175" t="s">
        <v>908</v>
      </c>
      <c r="G80" s="176" t="s">
        <v>557</v>
      </c>
      <c r="H80" s="177">
        <v>1</v>
      </c>
      <c r="I80" s="176"/>
      <c r="J80" s="174">
        <v>3</v>
      </c>
      <c r="K80" s="174">
        <v>26</v>
      </c>
      <c r="L80" s="174">
        <v>99</v>
      </c>
      <c r="M80" s="174" t="s">
        <v>907</v>
      </c>
      <c r="O80" s="198" t="s">
        <v>907</v>
      </c>
      <c r="P80" s="151" t="str">
        <f t="shared" si="1"/>
        <v>Enter Custom Fixture</v>
      </c>
      <c r="Q80" s="151" t="str">
        <f t="shared" si="2"/>
        <v>Enter Custom Fixture</v>
      </c>
      <c r="R80" s="198" t="s">
        <v>909</v>
      </c>
      <c r="S80" s="151" t="str">
        <f t="shared" si="0"/>
        <v>Enter Custom Fixture</v>
      </c>
    </row>
    <row r="81" spans="1:19">
      <c r="A81" s="151"/>
      <c r="B81" s="174" t="s">
        <v>910</v>
      </c>
      <c r="C81" s="174" t="s">
        <v>520</v>
      </c>
      <c r="D81" s="174" t="s">
        <v>554</v>
      </c>
      <c r="E81" s="174" t="s">
        <v>895</v>
      </c>
      <c r="F81" s="175" t="s">
        <v>911</v>
      </c>
      <c r="G81" s="176" t="s">
        <v>524</v>
      </c>
      <c r="H81" s="177">
        <v>1</v>
      </c>
      <c r="I81" s="176"/>
      <c r="J81" s="174">
        <v>6</v>
      </c>
      <c r="K81" s="174">
        <v>26</v>
      </c>
      <c r="L81" s="174">
        <v>150</v>
      </c>
      <c r="M81" s="174" t="s">
        <v>910</v>
      </c>
      <c r="O81" s="198" t="s">
        <v>910</v>
      </c>
      <c r="P81" s="151" t="str">
        <f t="shared" si="1"/>
        <v>Enter Custom Fixture</v>
      </c>
      <c r="Q81" s="151" t="str">
        <f t="shared" si="2"/>
        <v>Enter Custom Fixture</v>
      </c>
      <c r="R81" s="198" t="s">
        <v>912</v>
      </c>
      <c r="S81" s="151" t="str">
        <f t="shared" si="0"/>
        <v>Enter Custom Fixture</v>
      </c>
    </row>
    <row r="82" spans="1:19">
      <c r="A82" s="151"/>
      <c r="B82" s="174" t="s">
        <v>913</v>
      </c>
      <c r="C82" s="174" t="s">
        <v>520</v>
      </c>
      <c r="D82" s="174" t="s">
        <v>554</v>
      </c>
      <c r="E82" s="174" t="s">
        <v>914</v>
      </c>
      <c r="F82" s="175" t="s">
        <v>915</v>
      </c>
      <c r="G82" s="176" t="s">
        <v>557</v>
      </c>
      <c r="H82" s="177">
        <v>1</v>
      </c>
      <c r="I82" s="176"/>
      <c r="J82" s="174">
        <v>1</v>
      </c>
      <c r="K82" s="174">
        <v>28</v>
      </c>
      <c r="L82" s="174">
        <v>33</v>
      </c>
      <c r="M82" s="174" t="s">
        <v>913</v>
      </c>
      <c r="O82" s="198" t="s">
        <v>913</v>
      </c>
      <c r="P82" s="151" t="str">
        <f t="shared" si="1"/>
        <v>Enter Custom Fixture</v>
      </c>
      <c r="Q82" s="151" t="str">
        <f t="shared" si="2"/>
        <v>Enter Custom Fixture</v>
      </c>
      <c r="R82" s="198" t="s">
        <v>916</v>
      </c>
      <c r="S82" s="151" t="str">
        <f t="shared" si="0"/>
        <v>Enter Custom Fixture</v>
      </c>
    </row>
    <row r="83" spans="1:19">
      <c r="A83" s="151"/>
      <c r="B83" s="174" t="s">
        <v>917</v>
      </c>
      <c r="C83" s="174" t="s">
        <v>520</v>
      </c>
      <c r="D83" s="174" t="s">
        <v>554</v>
      </c>
      <c r="E83" s="174" t="s">
        <v>918</v>
      </c>
      <c r="F83" s="175" t="s">
        <v>919</v>
      </c>
      <c r="G83" s="176" t="s">
        <v>557</v>
      </c>
      <c r="H83" s="177">
        <v>1</v>
      </c>
      <c r="I83" s="176"/>
      <c r="J83" s="174">
        <v>1</v>
      </c>
      <c r="K83" s="174">
        <v>9</v>
      </c>
      <c r="L83" s="174">
        <v>14</v>
      </c>
      <c r="M83" s="174" t="s">
        <v>917</v>
      </c>
      <c r="O83" s="198" t="s">
        <v>917</v>
      </c>
      <c r="P83" s="151" t="str">
        <f t="shared" si="1"/>
        <v>Enter Custom Fixture</v>
      </c>
      <c r="Q83" s="151" t="str">
        <f t="shared" si="2"/>
        <v>Enter Custom Fixture</v>
      </c>
      <c r="R83" s="198" t="s">
        <v>920</v>
      </c>
      <c r="S83" s="151" t="str">
        <f t="shared" si="0"/>
        <v>Enter Custom Fixture</v>
      </c>
    </row>
    <row r="84" spans="1:19">
      <c r="A84" s="151"/>
      <c r="B84" s="174" t="s">
        <v>921</v>
      </c>
      <c r="C84" s="174" t="s">
        <v>520</v>
      </c>
      <c r="D84" s="174" t="s">
        <v>554</v>
      </c>
      <c r="E84" s="174" t="s">
        <v>918</v>
      </c>
      <c r="F84" s="175" t="s">
        <v>922</v>
      </c>
      <c r="G84" s="176" t="s">
        <v>557</v>
      </c>
      <c r="H84" s="177">
        <v>1</v>
      </c>
      <c r="I84" s="176"/>
      <c r="J84" s="174">
        <v>2</v>
      </c>
      <c r="K84" s="174">
        <v>9</v>
      </c>
      <c r="L84" s="174">
        <v>23</v>
      </c>
      <c r="M84" s="174" t="s">
        <v>921</v>
      </c>
      <c r="O84" s="198" t="s">
        <v>921</v>
      </c>
      <c r="P84" s="151" t="str">
        <f t="shared" si="1"/>
        <v>Enter Custom Fixture</v>
      </c>
      <c r="Q84" s="151" t="str">
        <f t="shared" si="2"/>
        <v>Enter Custom Fixture</v>
      </c>
      <c r="R84" s="198" t="s">
        <v>923</v>
      </c>
      <c r="S84" s="151" t="str">
        <f t="shared" si="0"/>
        <v>Enter Custom Fixture</v>
      </c>
    </row>
    <row r="85" spans="1:19">
      <c r="A85" s="151"/>
      <c r="B85" s="174" t="s">
        <v>924</v>
      </c>
      <c r="C85" s="174" t="s">
        <v>520</v>
      </c>
      <c r="D85" s="174" t="s">
        <v>554</v>
      </c>
      <c r="E85" s="174" t="s">
        <v>925</v>
      </c>
      <c r="F85" s="175" t="s">
        <v>926</v>
      </c>
      <c r="G85" s="176" t="s">
        <v>524</v>
      </c>
      <c r="H85" s="177">
        <v>1</v>
      </c>
      <c r="I85" s="176"/>
      <c r="J85" s="174">
        <v>1</v>
      </c>
      <c r="K85" s="174">
        <v>11</v>
      </c>
      <c r="L85" s="174">
        <v>11</v>
      </c>
      <c r="M85" s="174" t="s">
        <v>924</v>
      </c>
      <c r="O85" s="198" t="s">
        <v>924</v>
      </c>
      <c r="P85" s="151" t="str">
        <f t="shared" si="1"/>
        <v>Enter Custom Fixture</v>
      </c>
      <c r="Q85" s="151" t="str">
        <f t="shared" si="2"/>
        <v>Enter Custom Fixture</v>
      </c>
      <c r="R85" s="198" t="s">
        <v>927</v>
      </c>
      <c r="S85" s="151" t="str">
        <f t="shared" si="0"/>
        <v>Enter Custom Fixture</v>
      </c>
    </row>
    <row r="86" spans="1:19">
      <c r="A86" s="151"/>
      <c r="B86" s="174" t="s">
        <v>928</v>
      </c>
      <c r="C86" s="174" t="s">
        <v>520</v>
      </c>
      <c r="D86" s="174" t="s">
        <v>554</v>
      </c>
      <c r="E86" s="174" t="s">
        <v>929</v>
      </c>
      <c r="F86" s="175" t="s">
        <v>930</v>
      </c>
      <c r="G86" s="176" t="s">
        <v>524</v>
      </c>
      <c r="H86" s="177">
        <v>1</v>
      </c>
      <c r="I86" s="176"/>
      <c r="J86" s="174">
        <v>1</v>
      </c>
      <c r="K86" s="174">
        <v>13</v>
      </c>
      <c r="L86" s="174">
        <v>13</v>
      </c>
      <c r="M86" s="174" t="s">
        <v>928</v>
      </c>
      <c r="O86" s="198" t="s">
        <v>928</v>
      </c>
      <c r="P86" s="151" t="str">
        <f t="shared" si="1"/>
        <v>Enter Custom Fixture</v>
      </c>
      <c r="Q86" s="151" t="str">
        <f t="shared" si="2"/>
        <v>Enter Custom Fixture</v>
      </c>
      <c r="R86" s="198" t="s">
        <v>931</v>
      </c>
      <c r="S86" s="151" t="str">
        <f t="shared" si="0"/>
        <v>Enter Custom Fixture</v>
      </c>
    </row>
    <row r="87" spans="1:19">
      <c r="A87" s="151"/>
      <c r="B87" s="174" t="s">
        <v>932</v>
      </c>
      <c r="C87" s="174" t="s">
        <v>520</v>
      </c>
      <c r="D87" s="174" t="s">
        <v>554</v>
      </c>
      <c r="E87" s="174" t="s">
        <v>933</v>
      </c>
      <c r="F87" s="175" t="s">
        <v>934</v>
      </c>
      <c r="G87" s="176" t="s">
        <v>524</v>
      </c>
      <c r="H87" s="177">
        <v>1</v>
      </c>
      <c r="I87" s="176"/>
      <c r="J87" s="174">
        <v>1</v>
      </c>
      <c r="K87" s="174">
        <v>15</v>
      </c>
      <c r="L87" s="174">
        <v>15</v>
      </c>
      <c r="M87" s="174" t="s">
        <v>932</v>
      </c>
      <c r="O87" s="198" t="s">
        <v>932</v>
      </c>
      <c r="P87" s="151" t="str">
        <f t="shared" si="1"/>
        <v>Enter Custom Fixture</v>
      </c>
      <c r="Q87" s="151" t="str">
        <f t="shared" si="2"/>
        <v>Enter Custom Fixture</v>
      </c>
      <c r="R87" s="198" t="s">
        <v>935</v>
      </c>
      <c r="S87" s="151" t="str">
        <f t="shared" si="0"/>
        <v>Enter Custom Fixture</v>
      </c>
    </row>
    <row r="88" spans="1:19">
      <c r="A88" s="151"/>
      <c r="B88" s="174" t="s">
        <v>936</v>
      </c>
      <c r="C88" s="174" t="s">
        <v>520</v>
      </c>
      <c r="D88" s="174" t="s">
        <v>554</v>
      </c>
      <c r="E88" s="174" t="s">
        <v>937</v>
      </c>
      <c r="F88" s="175" t="s">
        <v>938</v>
      </c>
      <c r="G88" s="176" t="s">
        <v>524</v>
      </c>
      <c r="H88" s="177">
        <v>1</v>
      </c>
      <c r="I88" s="176"/>
      <c r="J88" s="174">
        <v>1</v>
      </c>
      <c r="K88" s="174">
        <v>20</v>
      </c>
      <c r="L88" s="174">
        <v>20</v>
      </c>
      <c r="M88" s="174" t="s">
        <v>936</v>
      </c>
      <c r="O88" s="198" t="s">
        <v>936</v>
      </c>
      <c r="P88" s="151" t="str">
        <f t="shared" si="1"/>
        <v>Enter Custom Fixture</v>
      </c>
      <c r="Q88" s="151" t="str">
        <f t="shared" si="2"/>
        <v>Enter Custom Fixture</v>
      </c>
      <c r="R88" s="198" t="s">
        <v>939</v>
      </c>
    </row>
    <row r="89" spans="1:19">
      <c r="A89" s="151"/>
      <c r="B89" s="174" t="s">
        <v>940</v>
      </c>
      <c r="C89" s="174" t="s">
        <v>520</v>
      </c>
      <c r="D89" s="174" t="s">
        <v>554</v>
      </c>
      <c r="E89" s="174" t="s">
        <v>941</v>
      </c>
      <c r="F89" s="175" t="s">
        <v>942</v>
      </c>
      <c r="G89" s="176" t="s">
        <v>524</v>
      </c>
      <c r="H89" s="177">
        <v>1</v>
      </c>
      <c r="I89" s="176"/>
      <c r="J89" s="174">
        <v>1</v>
      </c>
      <c r="K89" s="174">
        <v>23</v>
      </c>
      <c r="L89" s="174">
        <v>23</v>
      </c>
      <c r="M89" s="174" t="s">
        <v>940</v>
      </c>
      <c r="O89" s="198" t="s">
        <v>940</v>
      </c>
      <c r="P89" s="151" t="str">
        <f t="shared" si="1"/>
        <v>Enter Custom Fixture</v>
      </c>
      <c r="Q89" s="151" t="str">
        <f t="shared" si="2"/>
        <v>Enter Custom Fixture</v>
      </c>
      <c r="R89" s="198" t="s">
        <v>943</v>
      </c>
    </row>
    <row r="90" spans="1:19">
      <c r="A90" s="151"/>
      <c r="B90" s="174" t="s">
        <v>944</v>
      </c>
      <c r="C90" s="174" t="s">
        <v>520</v>
      </c>
      <c r="D90" s="174" t="s">
        <v>554</v>
      </c>
      <c r="E90" s="174" t="s">
        <v>945</v>
      </c>
      <c r="F90" s="175" t="s">
        <v>946</v>
      </c>
      <c r="G90" s="176" t="s">
        <v>524</v>
      </c>
      <c r="H90" s="177">
        <v>1</v>
      </c>
      <c r="I90" s="176"/>
      <c r="J90" s="174">
        <v>1</v>
      </c>
      <c r="K90" s="174">
        <v>26</v>
      </c>
      <c r="L90" s="174">
        <v>26</v>
      </c>
      <c r="M90" s="174" t="s">
        <v>944</v>
      </c>
      <c r="O90" s="198" t="s">
        <v>944</v>
      </c>
      <c r="P90" s="151" t="str">
        <f t="shared" si="1"/>
        <v>Enter Custom Fixture</v>
      </c>
      <c r="Q90" s="151" t="str">
        <f t="shared" si="2"/>
        <v>Enter Custom Fixture</v>
      </c>
      <c r="R90" s="198" t="s">
        <v>947</v>
      </c>
    </row>
    <row r="91" spans="1:19">
      <c r="A91" s="151"/>
      <c r="B91" s="174" t="s">
        <v>948</v>
      </c>
      <c r="C91" s="174" t="s">
        <v>520</v>
      </c>
      <c r="D91" s="174" t="s">
        <v>554</v>
      </c>
      <c r="E91" s="174" t="s">
        <v>949</v>
      </c>
      <c r="F91" s="175" t="s">
        <v>950</v>
      </c>
      <c r="G91" s="176" t="s">
        <v>524</v>
      </c>
      <c r="H91" s="177">
        <v>1</v>
      </c>
      <c r="I91" s="176"/>
      <c r="J91" s="174">
        <v>1</v>
      </c>
      <c r="K91" s="174">
        <v>27</v>
      </c>
      <c r="L91" s="174">
        <v>27</v>
      </c>
      <c r="M91" s="174" t="s">
        <v>948</v>
      </c>
      <c r="O91" s="198" t="s">
        <v>948</v>
      </c>
      <c r="P91" s="151" t="str">
        <f t="shared" si="1"/>
        <v>Enter Custom Fixture</v>
      </c>
      <c r="Q91" s="151" t="str">
        <f t="shared" si="2"/>
        <v>Enter Custom Fixture</v>
      </c>
      <c r="R91" s="198" t="s">
        <v>951</v>
      </c>
    </row>
    <row r="92" spans="1:19">
      <c r="A92" s="151"/>
      <c r="B92" s="174" t="s">
        <v>952</v>
      </c>
      <c r="C92" s="174" t="s">
        <v>520</v>
      </c>
      <c r="D92" s="174" t="s">
        <v>554</v>
      </c>
      <c r="E92" s="174" t="s">
        <v>953</v>
      </c>
      <c r="F92" s="175" t="s">
        <v>954</v>
      </c>
      <c r="G92" s="176" t="s">
        <v>524</v>
      </c>
      <c r="H92" s="177">
        <v>1</v>
      </c>
      <c r="I92" s="176"/>
      <c r="J92" s="174">
        <v>1</v>
      </c>
      <c r="K92" s="174">
        <v>7</v>
      </c>
      <c r="L92" s="174">
        <v>7</v>
      </c>
      <c r="M92" s="174" t="s">
        <v>952</v>
      </c>
      <c r="O92" s="198" t="s">
        <v>952</v>
      </c>
      <c r="P92" s="151" t="str">
        <f t="shared" si="1"/>
        <v>Enter Custom Fixture</v>
      </c>
      <c r="Q92" s="151" t="str">
        <f t="shared" si="2"/>
        <v>Enter Custom Fixture</v>
      </c>
      <c r="R92" s="198" t="s">
        <v>955</v>
      </c>
    </row>
    <row r="93" spans="1:19">
      <c r="A93" s="151"/>
      <c r="B93" s="174" t="s">
        <v>956</v>
      </c>
      <c r="C93" s="174" t="s">
        <v>520</v>
      </c>
      <c r="D93" s="174" t="s">
        <v>554</v>
      </c>
      <c r="E93" s="174" t="s">
        <v>957</v>
      </c>
      <c r="F93" s="175" t="s">
        <v>958</v>
      </c>
      <c r="G93" s="176" t="s">
        <v>524</v>
      </c>
      <c r="H93" s="177">
        <v>1</v>
      </c>
      <c r="I93" s="176"/>
      <c r="J93" s="174">
        <v>1</v>
      </c>
      <c r="K93" s="174">
        <v>9</v>
      </c>
      <c r="L93" s="174">
        <v>9</v>
      </c>
      <c r="M93" s="174" t="s">
        <v>956</v>
      </c>
      <c r="O93" s="198" t="s">
        <v>956</v>
      </c>
      <c r="P93" s="151" t="str">
        <f t="shared" si="1"/>
        <v>Enter Custom Fixture</v>
      </c>
      <c r="Q93" s="151" t="str">
        <f t="shared" si="2"/>
        <v>Enter Custom Fixture</v>
      </c>
      <c r="R93" s="198" t="s">
        <v>959</v>
      </c>
    </row>
    <row r="94" spans="1:19">
      <c r="A94" s="151"/>
      <c r="B94" s="174" t="s">
        <v>960</v>
      </c>
      <c r="C94" s="174" t="s">
        <v>520</v>
      </c>
      <c r="D94" s="174" t="s">
        <v>554</v>
      </c>
      <c r="E94" s="174" t="s">
        <v>961</v>
      </c>
      <c r="F94" s="175" t="s">
        <v>962</v>
      </c>
      <c r="G94" s="176" t="s">
        <v>557</v>
      </c>
      <c r="H94" s="177">
        <v>1</v>
      </c>
      <c r="I94" s="176"/>
      <c r="J94" s="174">
        <v>1</v>
      </c>
      <c r="K94" s="174">
        <v>5</v>
      </c>
      <c r="L94" s="174">
        <v>9</v>
      </c>
      <c r="M94" s="174" t="s">
        <v>963</v>
      </c>
      <c r="O94" s="198" t="s">
        <v>960</v>
      </c>
      <c r="P94" s="151" t="str">
        <f t="shared" si="1"/>
        <v>Enter Custom Fixture</v>
      </c>
      <c r="Q94" s="151" t="str">
        <f t="shared" si="2"/>
        <v>Enter Custom Fixture</v>
      </c>
      <c r="R94" s="198" t="s">
        <v>964</v>
      </c>
    </row>
    <row r="95" spans="1:19">
      <c r="A95" s="151"/>
      <c r="B95" s="174" t="s">
        <v>965</v>
      </c>
      <c r="C95" s="174" t="s">
        <v>520</v>
      </c>
      <c r="D95" s="174" t="s">
        <v>554</v>
      </c>
      <c r="E95" s="174" t="s">
        <v>966</v>
      </c>
      <c r="F95" s="175" t="s">
        <v>967</v>
      </c>
      <c r="G95" s="176" t="s">
        <v>557</v>
      </c>
      <c r="H95" s="177">
        <v>1</v>
      </c>
      <c r="I95" s="176"/>
      <c r="J95" s="174">
        <v>1</v>
      </c>
      <c r="K95" s="174">
        <v>13</v>
      </c>
      <c r="L95" s="174">
        <v>17</v>
      </c>
      <c r="M95" s="174" t="s">
        <v>965</v>
      </c>
      <c r="O95" s="198" t="s">
        <v>965</v>
      </c>
      <c r="P95" s="151" t="str">
        <f t="shared" si="1"/>
        <v>Enter Custom Fixture</v>
      </c>
      <c r="Q95" s="151" t="str">
        <f t="shared" si="2"/>
        <v>Enter Custom Fixture</v>
      </c>
      <c r="R95" s="198" t="s">
        <v>968</v>
      </c>
    </row>
    <row r="96" spans="1:19">
      <c r="A96" s="151"/>
      <c r="B96" s="174" t="s">
        <v>969</v>
      </c>
      <c r="C96" s="174" t="s">
        <v>520</v>
      </c>
      <c r="D96" s="174" t="s">
        <v>554</v>
      </c>
      <c r="E96" s="174" t="s">
        <v>966</v>
      </c>
      <c r="F96" s="175" t="s">
        <v>970</v>
      </c>
      <c r="G96" s="176" t="s">
        <v>557</v>
      </c>
      <c r="H96" s="177">
        <v>1</v>
      </c>
      <c r="I96" s="176"/>
      <c r="J96" s="174">
        <v>2</v>
      </c>
      <c r="K96" s="174">
        <v>13</v>
      </c>
      <c r="L96" s="174">
        <v>31</v>
      </c>
      <c r="M96" s="174" t="s">
        <v>969</v>
      </c>
      <c r="O96" s="198" t="s">
        <v>969</v>
      </c>
      <c r="P96" s="151" t="str">
        <f t="shared" si="1"/>
        <v>Enter Custom Fixture</v>
      </c>
      <c r="Q96" s="151" t="str">
        <f t="shared" si="2"/>
        <v>Enter Custom Fixture</v>
      </c>
      <c r="R96" s="198" t="s">
        <v>971</v>
      </c>
    </row>
    <row r="97" spans="1:18">
      <c r="A97" s="151"/>
      <c r="B97" s="174" t="s">
        <v>972</v>
      </c>
      <c r="C97" s="174" t="s">
        <v>520</v>
      </c>
      <c r="D97" s="174" t="s">
        <v>554</v>
      </c>
      <c r="E97" s="174" t="s">
        <v>966</v>
      </c>
      <c r="F97" s="175" t="s">
        <v>973</v>
      </c>
      <c r="G97" s="176" t="s">
        <v>557</v>
      </c>
      <c r="H97" s="177">
        <v>1</v>
      </c>
      <c r="I97" s="176"/>
      <c r="J97" s="174">
        <v>3</v>
      </c>
      <c r="K97" s="174">
        <v>13</v>
      </c>
      <c r="L97" s="174">
        <v>48</v>
      </c>
      <c r="M97" s="174" t="s">
        <v>972</v>
      </c>
      <c r="O97" s="198" t="s">
        <v>972</v>
      </c>
      <c r="P97" s="151" t="str">
        <f t="shared" si="1"/>
        <v>Enter Custom Fixture</v>
      </c>
      <c r="Q97" s="151" t="str">
        <f t="shared" si="2"/>
        <v>Enter Custom Fixture</v>
      </c>
      <c r="R97" s="198" t="s">
        <v>974</v>
      </c>
    </row>
    <row r="98" spans="1:18">
      <c r="A98" s="151"/>
      <c r="B98" s="174" t="s">
        <v>975</v>
      </c>
      <c r="C98" s="174" t="s">
        <v>520</v>
      </c>
      <c r="D98" s="174" t="s">
        <v>554</v>
      </c>
      <c r="E98" s="174" t="s">
        <v>976</v>
      </c>
      <c r="F98" s="175" t="s">
        <v>977</v>
      </c>
      <c r="G98" s="176" t="s">
        <v>557</v>
      </c>
      <c r="H98" s="177">
        <v>1</v>
      </c>
      <c r="I98" s="176"/>
      <c r="J98" s="174">
        <v>1</v>
      </c>
      <c r="K98" s="174">
        <v>18</v>
      </c>
      <c r="L98" s="174">
        <v>24</v>
      </c>
      <c r="M98" s="174" t="s">
        <v>975</v>
      </c>
      <c r="O98" s="198" t="s">
        <v>975</v>
      </c>
      <c r="P98" s="151" t="str">
        <f t="shared" si="1"/>
        <v>Enter Custom Fixture</v>
      </c>
      <c r="Q98" s="151" t="str">
        <f t="shared" si="2"/>
        <v>Enter Custom Fixture</v>
      </c>
      <c r="R98" s="198" t="s">
        <v>978</v>
      </c>
    </row>
    <row r="99" spans="1:18">
      <c r="A99" s="151"/>
      <c r="B99" s="174" t="s">
        <v>979</v>
      </c>
      <c r="C99" s="174" t="s">
        <v>520</v>
      </c>
      <c r="D99" s="174" t="s">
        <v>554</v>
      </c>
      <c r="E99" s="174" t="s">
        <v>980</v>
      </c>
      <c r="F99" s="175" t="s">
        <v>981</v>
      </c>
      <c r="G99" s="176" t="s">
        <v>557</v>
      </c>
      <c r="H99" s="177">
        <v>1</v>
      </c>
      <c r="I99" s="176"/>
      <c r="J99" s="174">
        <v>1</v>
      </c>
      <c r="K99" s="174">
        <v>22</v>
      </c>
      <c r="L99" s="174">
        <v>27</v>
      </c>
      <c r="M99" s="174" t="s">
        <v>979</v>
      </c>
      <c r="O99" s="198" t="s">
        <v>979</v>
      </c>
      <c r="P99" s="151" t="str">
        <f t="shared" si="1"/>
        <v>Enter Custom Fixture</v>
      </c>
      <c r="Q99" s="151" t="str">
        <f t="shared" si="2"/>
        <v>Enter Custom Fixture</v>
      </c>
      <c r="R99" s="198" t="s">
        <v>982</v>
      </c>
    </row>
    <row r="100" spans="1:18">
      <c r="A100" s="151"/>
      <c r="B100" s="174" t="s">
        <v>983</v>
      </c>
      <c r="C100" s="174" t="s">
        <v>520</v>
      </c>
      <c r="D100" s="174" t="s">
        <v>554</v>
      </c>
      <c r="E100" s="174" t="s">
        <v>980</v>
      </c>
      <c r="F100" s="175" t="s">
        <v>984</v>
      </c>
      <c r="G100" s="176" t="s">
        <v>557</v>
      </c>
      <c r="H100" s="177">
        <v>1</v>
      </c>
      <c r="I100" s="176"/>
      <c r="J100" s="174">
        <v>2</v>
      </c>
      <c r="K100" s="174">
        <v>22</v>
      </c>
      <c r="L100" s="174">
        <v>54</v>
      </c>
      <c r="M100" s="174" t="s">
        <v>983</v>
      </c>
      <c r="O100" s="198" t="s">
        <v>983</v>
      </c>
      <c r="P100" s="151" t="str">
        <f t="shared" si="1"/>
        <v>Enter Custom Fixture</v>
      </c>
      <c r="Q100" s="151" t="str">
        <f t="shared" si="2"/>
        <v>Enter Custom Fixture</v>
      </c>
      <c r="R100" s="198" t="s">
        <v>985</v>
      </c>
    </row>
    <row r="101" spans="1:18">
      <c r="A101" s="151"/>
      <c r="B101" s="174" t="s">
        <v>986</v>
      </c>
      <c r="C101" s="174" t="s">
        <v>520</v>
      </c>
      <c r="D101" s="174" t="s">
        <v>554</v>
      </c>
      <c r="E101" s="174" t="s">
        <v>980</v>
      </c>
      <c r="F101" s="175" t="s">
        <v>987</v>
      </c>
      <c r="G101" s="176" t="s">
        <v>557</v>
      </c>
      <c r="H101" s="177">
        <v>1</v>
      </c>
      <c r="I101" s="176"/>
      <c r="J101" s="174">
        <v>4</v>
      </c>
      <c r="K101" s="174">
        <v>22</v>
      </c>
      <c r="L101" s="174">
        <v>108</v>
      </c>
      <c r="M101" s="174" t="s">
        <v>986</v>
      </c>
      <c r="O101" s="198" t="s">
        <v>986</v>
      </c>
      <c r="P101" s="151" t="str">
        <f t="shared" si="1"/>
        <v>Enter Custom Fixture</v>
      </c>
      <c r="Q101" s="151" t="str">
        <f t="shared" si="2"/>
        <v>Enter Custom Fixture</v>
      </c>
      <c r="R101" s="198" t="s">
        <v>988</v>
      </c>
    </row>
    <row r="102" spans="1:18">
      <c r="A102" s="151"/>
      <c r="B102" s="174" t="s">
        <v>989</v>
      </c>
      <c r="C102" s="174" t="s">
        <v>520</v>
      </c>
      <c r="D102" s="174" t="s">
        <v>554</v>
      </c>
      <c r="E102" s="174" t="s">
        <v>990</v>
      </c>
      <c r="F102" s="175" t="s">
        <v>991</v>
      </c>
      <c r="G102" s="176" t="s">
        <v>557</v>
      </c>
      <c r="H102" s="177">
        <v>1</v>
      </c>
      <c r="I102" s="176"/>
      <c r="J102" s="174">
        <v>1</v>
      </c>
      <c r="K102" s="174">
        <v>24</v>
      </c>
      <c r="L102" s="174">
        <v>32</v>
      </c>
      <c r="M102" s="174" t="s">
        <v>989</v>
      </c>
      <c r="O102" s="198" t="s">
        <v>989</v>
      </c>
      <c r="P102" s="151" t="str">
        <f t="shared" si="1"/>
        <v>Enter Custom Fixture</v>
      </c>
      <c r="Q102" s="151" t="str">
        <f t="shared" si="2"/>
        <v>Enter Custom Fixture</v>
      </c>
      <c r="R102" s="198" t="s">
        <v>992</v>
      </c>
    </row>
    <row r="103" spans="1:18">
      <c r="A103" s="151"/>
      <c r="B103" s="174" t="s">
        <v>993</v>
      </c>
      <c r="C103" s="174" t="s">
        <v>520</v>
      </c>
      <c r="D103" s="174" t="s">
        <v>554</v>
      </c>
      <c r="E103" s="174" t="s">
        <v>994</v>
      </c>
      <c r="F103" s="175" t="s">
        <v>995</v>
      </c>
      <c r="G103" s="176" t="s">
        <v>557</v>
      </c>
      <c r="H103" s="177">
        <v>1</v>
      </c>
      <c r="I103" s="176"/>
      <c r="J103" s="174">
        <v>1</v>
      </c>
      <c r="K103" s="174">
        <v>28</v>
      </c>
      <c r="L103" s="174">
        <v>33</v>
      </c>
      <c r="M103" s="174" t="s">
        <v>993</v>
      </c>
      <c r="O103" s="198" t="s">
        <v>993</v>
      </c>
      <c r="P103" s="151" t="str">
        <f t="shared" si="1"/>
        <v>Enter Custom Fixture</v>
      </c>
      <c r="Q103" s="151" t="str">
        <f t="shared" si="2"/>
        <v>Enter Custom Fixture</v>
      </c>
      <c r="R103" s="198" t="s">
        <v>996</v>
      </c>
    </row>
    <row r="104" spans="1:18">
      <c r="A104" s="151"/>
      <c r="B104" s="174" t="s">
        <v>997</v>
      </c>
      <c r="C104" s="174" t="s">
        <v>520</v>
      </c>
      <c r="D104" s="174" t="s">
        <v>554</v>
      </c>
      <c r="E104" s="174" t="s">
        <v>994</v>
      </c>
      <c r="F104" s="175" t="s">
        <v>998</v>
      </c>
      <c r="G104" s="176" t="s">
        <v>557</v>
      </c>
      <c r="H104" s="177">
        <v>1</v>
      </c>
      <c r="I104" s="176"/>
      <c r="J104" s="174">
        <v>2</v>
      </c>
      <c r="K104" s="174">
        <v>28</v>
      </c>
      <c r="L104" s="174">
        <v>66</v>
      </c>
      <c r="M104" s="174" t="s">
        <v>997</v>
      </c>
      <c r="O104" s="198" t="s">
        <v>997</v>
      </c>
      <c r="Q104" s="151" t="str">
        <f t="shared" si="2"/>
        <v>Enter Custom Fixture</v>
      </c>
      <c r="R104" s="198" t="s">
        <v>999</v>
      </c>
    </row>
    <row r="105" spans="1:18">
      <c r="A105" s="151"/>
      <c r="B105" s="174" t="s">
        <v>1000</v>
      </c>
      <c r="C105" s="174" t="s">
        <v>520</v>
      </c>
      <c r="D105" s="174" t="s">
        <v>554</v>
      </c>
      <c r="E105" s="174" t="s">
        <v>1001</v>
      </c>
      <c r="F105" s="175" t="s">
        <v>1002</v>
      </c>
      <c r="G105" s="176" t="s">
        <v>524</v>
      </c>
      <c r="H105" s="177">
        <v>1</v>
      </c>
      <c r="I105" s="176"/>
      <c r="J105" s="174">
        <v>1</v>
      </c>
      <c r="K105" s="174">
        <v>32</v>
      </c>
      <c r="L105" s="174">
        <v>34</v>
      </c>
      <c r="M105" s="174" t="s">
        <v>1000</v>
      </c>
      <c r="O105" s="198" t="s">
        <v>1000</v>
      </c>
      <c r="Q105" s="151" t="str">
        <f t="shared" si="2"/>
        <v>Enter Custom Fixture</v>
      </c>
      <c r="R105" s="198" t="s">
        <v>1003</v>
      </c>
    </row>
    <row r="106" spans="1:18">
      <c r="A106" s="151"/>
      <c r="B106" s="174" t="s">
        <v>1004</v>
      </c>
      <c r="C106" s="174" t="s">
        <v>520</v>
      </c>
      <c r="D106" s="174" t="s">
        <v>554</v>
      </c>
      <c r="E106" s="174" t="s">
        <v>1001</v>
      </c>
      <c r="F106" s="175" t="s">
        <v>1005</v>
      </c>
      <c r="G106" s="176" t="s">
        <v>524</v>
      </c>
      <c r="H106" s="177">
        <v>1</v>
      </c>
      <c r="I106" s="176"/>
      <c r="J106" s="174">
        <v>2</v>
      </c>
      <c r="K106" s="174">
        <v>32</v>
      </c>
      <c r="L106" s="174">
        <v>62</v>
      </c>
      <c r="M106" s="174" t="s">
        <v>1004</v>
      </c>
      <c r="O106" s="198" t="s">
        <v>1004</v>
      </c>
      <c r="Q106" s="151" t="str">
        <f t="shared" si="2"/>
        <v>Enter Custom Fixture</v>
      </c>
      <c r="R106" s="198" t="s">
        <v>1006</v>
      </c>
    </row>
    <row r="107" spans="1:18">
      <c r="A107" s="151"/>
      <c r="B107" s="174" t="s">
        <v>1007</v>
      </c>
      <c r="C107" s="174" t="s">
        <v>520</v>
      </c>
      <c r="D107" s="174" t="s">
        <v>554</v>
      </c>
      <c r="E107" s="174" t="s">
        <v>1001</v>
      </c>
      <c r="F107" s="175" t="s">
        <v>1008</v>
      </c>
      <c r="G107" s="176" t="s">
        <v>524</v>
      </c>
      <c r="H107" s="177">
        <v>1</v>
      </c>
      <c r="I107" s="176"/>
      <c r="J107" s="174">
        <v>6</v>
      </c>
      <c r="K107" s="174">
        <v>32</v>
      </c>
      <c r="L107" s="174">
        <v>186</v>
      </c>
      <c r="M107" s="174" t="s">
        <v>1007</v>
      </c>
      <c r="O107" s="198" t="s">
        <v>1007</v>
      </c>
      <c r="Q107" s="151" t="str">
        <f t="shared" si="2"/>
        <v>Enter Custom Fixture</v>
      </c>
      <c r="R107" s="198" t="s">
        <v>1009</v>
      </c>
    </row>
    <row r="108" spans="1:18">
      <c r="A108" s="151"/>
      <c r="B108" s="174" t="s">
        <v>1010</v>
      </c>
      <c r="C108" s="174" t="s">
        <v>520</v>
      </c>
      <c r="D108" s="174" t="s">
        <v>554</v>
      </c>
      <c r="E108" s="174" t="s">
        <v>1011</v>
      </c>
      <c r="F108" s="175" t="s">
        <v>1012</v>
      </c>
      <c r="G108" s="176" t="s">
        <v>557</v>
      </c>
      <c r="H108" s="177">
        <v>1</v>
      </c>
      <c r="I108" s="176"/>
      <c r="J108" s="174">
        <v>1</v>
      </c>
      <c r="K108" s="174">
        <v>36</v>
      </c>
      <c r="L108" s="174">
        <v>51</v>
      </c>
      <c r="M108" s="174" t="s">
        <v>1010</v>
      </c>
      <c r="O108" s="198" t="s">
        <v>1010</v>
      </c>
      <c r="Q108" s="151" t="str">
        <f t="shared" si="2"/>
        <v>Enter Custom Fixture</v>
      </c>
      <c r="R108" s="198" t="s">
        <v>1013</v>
      </c>
    </row>
    <row r="109" spans="1:18">
      <c r="A109" s="151"/>
      <c r="B109" s="174" t="s">
        <v>1014</v>
      </c>
      <c r="C109" s="174" t="s">
        <v>520</v>
      </c>
      <c r="D109" s="174" t="s">
        <v>554</v>
      </c>
      <c r="E109" s="174" t="s">
        <v>1011</v>
      </c>
      <c r="F109" s="175" t="s">
        <v>1015</v>
      </c>
      <c r="G109" s="176" t="s">
        <v>524</v>
      </c>
      <c r="H109" s="177">
        <v>1</v>
      </c>
      <c r="I109" s="176"/>
      <c r="J109" s="174">
        <v>4</v>
      </c>
      <c r="K109" s="174">
        <v>36</v>
      </c>
      <c r="L109" s="174">
        <v>148</v>
      </c>
      <c r="M109" s="174" t="s">
        <v>1014</v>
      </c>
      <c r="O109" s="198" t="s">
        <v>1014</v>
      </c>
      <c r="Q109" s="151" t="str">
        <f t="shared" si="2"/>
        <v>Enter Custom Fixture</v>
      </c>
      <c r="R109" s="198" t="s">
        <v>1016</v>
      </c>
    </row>
    <row r="110" spans="1:18">
      <c r="A110" s="151"/>
      <c r="B110" s="174" t="s">
        <v>1017</v>
      </c>
      <c r="C110" s="174" t="s">
        <v>520</v>
      </c>
      <c r="D110" s="174" t="s">
        <v>554</v>
      </c>
      <c r="E110" s="174" t="s">
        <v>1011</v>
      </c>
      <c r="F110" s="175" t="s">
        <v>1018</v>
      </c>
      <c r="G110" s="176" t="s">
        <v>524</v>
      </c>
      <c r="H110" s="177">
        <v>1</v>
      </c>
      <c r="I110" s="176"/>
      <c r="J110" s="174">
        <v>6</v>
      </c>
      <c r="K110" s="174">
        <v>36</v>
      </c>
      <c r="L110" s="174">
        <v>212</v>
      </c>
      <c r="M110" s="174" t="s">
        <v>1017</v>
      </c>
      <c r="O110" s="198" t="s">
        <v>1017</v>
      </c>
      <c r="Q110" s="151" t="str">
        <f t="shared" si="2"/>
        <v>Enter Custom Fixture</v>
      </c>
      <c r="R110" s="198" t="s">
        <v>1019</v>
      </c>
    </row>
    <row r="111" spans="1:18">
      <c r="A111" s="151"/>
      <c r="B111" s="174" t="s">
        <v>1020</v>
      </c>
      <c r="C111" s="174" t="s">
        <v>520</v>
      </c>
      <c r="D111" s="174" t="s">
        <v>554</v>
      </c>
      <c r="E111" s="174" t="s">
        <v>1011</v>
      </c>
      <c r="F111" s="175" t="s">
        <v>1021</v>
      </c>
      <c r="G111" s="176" t="s">
        <v>524</v>
      </c>
      <c r="H111" s="177">
        <v>1</v>
      </c>
      <c r="I111" s="176"/>
      <c r="J111" s="174">
        <v>6</v>
      </c>
      <c r="K111" s="174">
        <v>36</v>
      </c>
      <c r="L111" s="174">
        <v>198</v>
      </c>
      <c r="M111" s="174" t="s">
        <v>1020</v>
      </c>
      <c r="O111" s="198" t="s">
        <v>1020</v>
      </c>
      <c r="Q111" s="151" t="str">
        <f t="shared" si="2"/>
        <v>Enter Custom Fixture</v>
      </c>
      <c r="R111" s="198" t="s">
        <v>1022</v>
      </c>
    </row>
    <row r="112" spans="1:18">
      <c r="A112" s="151"/>
      <c r="B112" s="174" t="s">
        <v>1023</v>
      </c>
      <c r="C112" s="174" t="s">
        <v>520</v>
      </c>
      <c r="D112" s="174" t="s">
        <v>554</v>
      </c>
      <c r="E112" s="174" t="s">
        <v>1011</v>
      </c>
      <c r="F112" s="175" t="s">
        <v>1024</v>
      </c>
      <c r="G112" s="176" t="s">
        <v>524</v>
      </c>
      <c r="H112" s="177">
        <v>1</v>
      </c>
      <c r="I112" s="176"/>
      <c r="J112" s="174">
        <v>6</v>
      </c>
      <c r="K112" s="174">
        <v>36</v>
      </c>
      <c r="L112" s="174">
        <v>210</v>
      </c>
      <c r="M112" s="174" t="s">
        <v>1025</v>
      </c>
      <c r="O112" s="198" t="s">
        <v>1023</v>
      </c>
      <c r="Q112" s="151" t="str">
        <f t="shared" si="2"/>
        <v>Enter Custom Fixture</v>
      </c>
      <c r="R112" s="198" t="s">
        <v>1026</v>
      </c>
    </row>
    <row r="113" spans="1:18">
      <c r="A113" s="151"/>
      <c r="B113" s="174" t="s">
        <v>1027</v>
      </c>
      <c r="C113" s="174" t="s">
        <v>520</v>
      </c>
      <c r="D113" s="174" t="s">
        <v>554</v>
      </c>
      <c r="E113" s="174" t="s">
        <v>1011</v>
      </c>
      <c r="F113" s="175" t="s">
        <v>1028</v>
      </c>
      <c r="G113" s="176" t="s">
        <v>524</v>
      </c>
      <c r="H113" s="177">
        <v>1</v>
      </c>
      <c r="I113" s="176"/>
      <c r="J113" s="174">
        <v>8</v>
      </c>
      <c r="K113" s="174">
        <v>36</v>
      </c>
      <c r="L113" s="174">
        <v>296</v>
      </c>
      <c r="M113" s="174" t="s">
        <v>1027</v>
      </c>
      <c r="O113" s="198" t="s">
        <v>1027</v>
      </c>
      <c r="Q113" s="151" t="str">
        <f t="shared" si="2"/>
        <v>Enter Custom Fixture</v>
      </c>
      <c r="R113" s="198" t="s">
        <v>1029</v>
      </c>
    </row>
    <row r="114" spans="1:18">
      <c r="A114" s="151"/>
      <c r="B114" s="174" t="s">
        <v>1030</v>
      </c>
      <c r="C114" s="174" t="s">
        <v>520</v>
      </c>
      <c r="D114" s="174" t="s">
        <v>554</v>
      </c>
      <c r="E114" s="174" t="s">
        <v>1011</v>
      </c>
      <c r="F114" s="175" t="s">
        <v>1031</v>
      </c>
      <c r="G114" s="176" t="s">
        <v>524</v>
      </c>
      <c r="H114" s="177">
        <v>1</v>
      </c>
      <c r="I114" s="176"/>
      <c r="J114" s="174">
        <v>8</v>
      </c>
      <c r="K114" s="174">
        <v>36</v>
      </c>
      <c r="L114" s="174">
        <v>270</v>
      </c>
      <c r="M114" s="174" t="s">
        <v>1030</v>
      </c>
      <c r="O114" s="198" t="s">
        <v>1030</v>
      </c>
      <c r="Q114" s="151" t="str">
        <f t="shared" si="2"/>
        <v>Enter Custom Fixture</v>
      </c>
      <c r="R114" s="198" t="s">
        <v>1032</v>
      </c>
    </row>
    <row r="115" spans="1:18">
      <c r="A115" s="151"/>
      <c r="B115" s="174" t="s">
        <v>1033</v>
      </c>
      <c r="C115" s="174" t="s">
        <v>520</v>
      </c>
      <c r="D115" s="174" t="s">
        <v>554</v>
      </c>
      <c r="E115" s="174" t="s">
        <v>1011</v>
      </c>
      <c r="F115" s="175" t="s">
        <v>1034</v>
      </c>
      <c r="G115" s="176" t="s">
        <v>524</v>
      </c>
      <c r="H115" s="177">
        <v>1</v>
      </c>
      <c r="I115" s="176"/>
      <c r="J115" s="174">
        <v>8</v>
      </c>
      <c r="K115" s="174">
        <v>36</v>
      </c>
      <c r="L115" s="174">
        <v>286</v>
      </c>
      <c r="M115" s="174" t="s">
        <v>1035</v>
      </c>
      <c r="O115" s="198" t="s">
        <v>1033</v>
      </c>
      <c r="Q115" s="151" t="str">
        <f t="shared" si="2"/>
        <v>Enter Custom Fixture</v>
      </c>
      <c r="R115" s="198" t="s">
        <v>1036</v>
      </c>
    </row>
    <row r="116" spans="1:18">
      <c r="A116" s="151"/>
      <c r="B116" s="174" t="s">
        <v>1037</v>
      </c>
      <c r="C116" s="174" t="s">
        <v>520</v>
      </c>
      <c r="D116" s="174" t="s">
        <v>554</v>
      </c>
      <c r="E116" s="174" t="s">
        <v>1011</v>
      </c>
      <c r="F116" s="175" t="s">
        <v>1038</v>
      </c>
      <c r="G116" s="176" t="s">
        <v>524</v>
      </c>
      <c r="H116" s="177">
        <v>1</v>
      </c>
      <c r="I116" s="176"/>
      <c r="J116" s="174">
        <v>9</v>
      </c>
      <c r="K116" s="174">
        <v>36</v>
      </c>
      <c r="L116" s="174">
        <v>318</v>
      </c>
      <c r="M116" s="174" t="s">
        <v>1037</v>
      </c>
      <c r="O116" s="198" t="s">
        <v>1037</v>
      </c>
      <c r="Q116" s="151" t="str">
        <f t="shared" si="2"/>
        <v>Enter Custom Fixture</v>
      </c>
      <c r="R116" s="198" t="s">
        <v>1039</v>
      </c>
    </row>
    <row r="117" spans="1:18">
      <c r="A117" s="151"/>
      <c r="B117" s="174" t="s">
        <v>1040</v>
      </c>
      <c r="C117" s="174" t="s">
        <v>520</v>
      </c>
      <c r="D117" s="174" t="s">
        <v>554</v>
      </c>
      <c r="E117" s="174" t="s">
        <v>1041</v>
      </c>
      <c r="F117" s="175" t="s">
        <v>1042</v>
      </c>
      <c r="G117" s="176" t="s">
        <v>557</v>
      </c>
      <c r="H117" s="177">
        <v>1</v>
      </c>
      <c r="I117" s="176"/>
      <c r="J117" s="174">
        <v>1</v>
      </c>
      <c r="K117" s="174">
        <v>40</v>
      </c>
      <c r="L117" s="174">
        <v>46</v>
      </c>
      <c r="M117" s="174" t="s">
        <v>1040</v>
      </c>
      <c r="O117" s="198" t="s">
        <v>1040</v>
      </c>
      <c r="Q117" s="151" t="str">
        <f t="shared" si="2"/>
        <v>Enter Custom Fixture</v>
      </c>
      <c r="R117" s="198" t="s">
        <v>1043</v>
      </c>
    </row>
    <row r="118" spans="1:18">
      <c r="A118" s="151"/>
      <c r="B118" s="174" t="s">
        <v>1044</v>
      </c>
      <c r="C118" s="174" t="s">
        <v>520</v>
      </c>
      <c r="D118" s="174" t="s">
        <v>554</v>
      </c>
      <c r="E118" s="174" t="s">
        <v>1041</v>
      </c>
      <c r="F118" s="175" t="s">
        <v>1045</v>
      </c>
      <c r="G118" s="176" t="s">
        <v>524</v>
      </c>
      <c r="H118" s="177">
        <v>1</v>
      </c>
      <c r="I118" s="176"/>
      <c r="J118" s="174">
        <v>12</v>
      </c>
      <c r="K118" s="174">
        <v>40</v>
      </c>
      <c r="L118" s="174">
        <v>408</v>
      </c>
      <c r="M118" s="174" t="s">
        <v>1044</v>
      </c>
      <c r="O118" s="198" t="s">
        <v>1044</v>
      </c>
      <c r="Q118" s="151" t="str">
        <f t="shared" si="2"/>
        <v>Enter Custom Fixture</v>
      </c>
      <c r="R118" s="198" t="s">
        <v>1046</v>
      </c>
    </row>
    <row r="119" spans="1:18">
      <c r="A119" s="151"/>
      <c r="B119" s="174" t="s">
        <v>1047</v>
      </c>
      <c r="C119" s="174" t="s">
        <v>520</v>
      </c>
      <c r="D119" s="174" t="s">
        <v>554</v>
      </c>
      <c r="E119" s="174" t="s">
        <v>1041</v>
      </c>
      <c r="F119" s="175" t="s">
        <v>1048</v>
      </c>
      <c r="G119" s="176" t="s">
        <v>524</v>
      </c>
      <c r="H119" s="177">
        <v>1</v>
      </c>
      <c r="I119" s="176"/>
      <c r="J119" s="174">
        <v>1</v>
      </c>
      <c r="K119" s="174">
        <v>40</v>
      </c>
      <c r="L119" s="174">
        <v>46</v>
      </c>
      <c r="M119" s="174" t="s">
        <v>1047</v>
      </c>
      <c r="O119" s="198" t="s">
        <v>1047</v>
      </c>
      <c r="Q119" s="151" t="str">
        <f t="shared" si="2"/>
        <v>Enter Custom Fixture</v>
      </c>
      <c r="R119" s="198" t="s">
        <v>1049</v>
      </c>
    </row>
    <row r="120" spans="1:18">
      <c r="A120" s="151"/>
      <c r="B120" s="174" t="s">
        <v>1050</v>
      </c>
      <c r="C120" s="174" t="s">
        <v>520</v>
      </c>
      <c r="D120" s="174" t="s">
        <v>554</v>
      </c>
      <c r="E120" s="174" t="s">
        <v>1041</v>
      </c>
      <c r="F120" s="175" t="s">
        <v>1051</v>
      </c>
      <c r="G120" s="176" t="s">
        <v>524</v>
      </c>
      <c r="H120" s="177">
        <v>1</v>
      </c>
      <c r="I120" s="176"/>
      <c r="J120" s="174">
        <v>1</v>
      </c>
      <c r="K120" s="174">
        <v>40</v>
      </c>
      <c r="L120" s="174">
        <v>43</v>
      </c>
      <c r="M120" s="174" t="s">
        <v>1050</v>
      </c>
      <c r="O120" s="198" t="s">
        <v>1050</v>
      </c>
      <c r="Q120" s="151" t="str">
        <f t="shared" si="2"/>
        <v>Enter Custom Fixture</v>
      </c>
      <c r="R120" s="198" t="s">
        <v>1052</v>
      </c>
    </row>
    <row r="121" spans="1:18">
      <c r="A121" s="151"/>
      <c r="B121" s="174" t="s">
        <v>1053</v>
      </c>
      <c r="C121" s="174" t="s">
        <v>520</v>
      </c>
      <c r="D121" s="174" t="s">
        <v>554</v>
      </c>
      <c r="E121" s="174" t="s">
        <v>1041</v>
      </c>
      <c r="F121" s="175" t="s">
        <v>1054</v>
      </c>
      <c r="G121" s="176" t="s">
        <v>557</v>
      </c>
      <c r="H121" s="177">
        <v>1</v>
      </c>
      <c r="I121" s="176"/>
      <c r="J121" s="174">
        <v>2</v>
      </c>
      <c r="K121" s="174">
        <v>40</v>
      </c>
      <c r="L121" s="174">
        <v>85</v>
      </c>
      <c r="M121" s="174" t="s">
        <v>1053</v>
      </c>
      <c r="O121" s="198" t="s">
        <v>1053</v>
      </c>
      <c r="Q121" s="151" t="str">
        <f t="shared" si="2"/>
        <v>Enter Custom Fixture</v>
      </c>
      <c r="R121" s="198" t="s">
        <v>1055</v>
      </c>
    </row>
    <row r="122" spans="1:18">
      <c r="A122" s="151"/>
      <c r="B122" s="174" t="s">
        <v>1056</v>
      </c>
      <c r="C122" s="174" t="s">
        <v>520</v>
      </c>
      <c r="D122" s="174" t="s">
        <v>554</v>
      </c>
      <c r="E122" s="174" t="s">
        <v>1041</v>
      </c>
      <c r="F122" s="175" t="s">
        <v>1057</v>
      </c>
      <c r="G122" s="176" t="s">
        <v>524</v>
      </c>
      <c r="H122" s="177">
        <v>1</v>
      </c>
      <c r="I122" s="176"/>
      <c r="J122" s="174">
        <v>2</v>
      </c>
      <c r="K122" s="174">
        <v>40</v>
      </c>
      <c r="L122" s="174">
        <v>72</v>
      </c>
      <c r="M122" s="174" t="s">
        <v>1056</v>
      </c>
      <c r="O122" s="198" t="s">
        <v>1056</v>
      </c>
      <c r="Q122" s="151" t="str">
        <f t="shared" si="2"/>
        <v>Enter Custom Fixture</v>
      </c>
      <c r="R122" s="198" t="s">
        <v>1058</v>
      </c>
    </row>
    <row r="123" spans="1:18">
      <c r="A123" s="151"/>
      <c r="B123" s="174" t="s">
        <v>1059</v>
      </c>
      <c r="C123" s="174" t="s">
        <v>520</v>
      </c>
      <c r="D123" s="174" t="s">
        <v>554</v>
      </c>
      <c r="E123" s="174" t="s">
        <v>1041</v>
      </c>
      <c r="F123" s="175" t="s">
        <v>1060</v>
      </c>
      <c r="G123" s="176" t="s">
        <v>524</v>
      </c>
      <c r="H123" s="177">
        <v>1</v>
      </c>
      <c r="I123" s="176"/>
      <c r="J123" s="174">
        <v>2</v>
      </c>
      <c r="K123" s="174">
        <v>40</v>
      </c>
      <c r="L123" s="174">
        <v>72</v>
      </c>
      <c r="M123" s="174" t="s">
        <v>1059</v>
      </c>
      <c r="O123" s="198" t="s">
        <v>1059</v>
      </c>
      <c r="Q123" s="151" t="str">
        <f t="shared" si="2"/>
        <v>Enter Custom Fixture</v>
      </c>
      <c r="R123" s="198" t="s">
        <v>1061</v>
      </c>
    </row>
    <row r="124" spans="1:18">
      <c r="A124" s="151"/>
      <c r="B124" s="174" t="s">
        <v>1062</v>
      </c>
      <c r="C124" s="174" t="s">
        <v>520</v>
      </c>
      <c r="D124" s="174" t="s">
        <v>554</v>
      </c>
      <c r="E124" s="174" t="s">
        <v>1041</v>
      </c>
      <c r="F124" s="175" t="s">
        <v>1063</v>
      </c>
      <c r="G124" s="176" t="s">
        <v>557</v>
      </c>
      <c r="H124" s="177">
        <v>1</v>
      </c>
      <c r="I124" s="176"/>
      <c r="J124" s="174">
        <v>3</v>
      </c>
      <c r="K124" s="174">
        <v>40</v>
      </c>
      <c r="L124" s="174">
        <v>133</v>
      </c>
      <c r="M124" s="174" t="s">
        <v>1062</v>
      </c>
      <c r="O124" s="198" t="s">
        <v>1062</v>
      </c>
      <c r="Q124" s="151" t="str">
        <f t="shared" si="2"/>
        <v>Enter Custom Fixture</v>
      </c>
      <c r="R124" s="198" t="s">
        <v>1064</v>
      </c>
    </row>
    <row r="125" spans="1:18">
      <c r="A125" s="151"/>
      <c r="B125" s="174" t="s">
        <v>1065</v>
      </c>
      <c r="C125" s="174" t="s">
        <v>520</v>
      </c>
      <c r="D125" s="174" t="s">
        <v>554</v>
      </c>
      <c r="E125" s="174" t="s">
        <v>1041</v>
      </c>
      <c r="F125" s="175" t="s">
        <v>1066</v>
      </c>
      <c r="G125" s="176" t="s">
        <v>524</v>
      </c>
      <c r="H125" s="177">
        <v>1</v>
      </c>
      <c r="I125" s="176"/>
      <c r="J125" s="174">
        <v>3</v>
      </c>
      <c r="K125" s="174">
        <v>40</v>
      </c>
      <c r="L125" s="174">
        <v>102</v>
      </c>
      <c r="M125" s="174" t="s">
        <v>1065</v>
      </c>
      <c r="O125" s="198" t="s">
        <v>1065</v>
      </c>
      <c r="Q125" s="151" t="str">
        <f t="shared" si="2"/>
        <v>Enter Custom Fixture</v>
      </c>
      <c r="R125" s="198" t="s">
        <v>1067</v>
      </c>
    </row>
    <row r="126" spans="1:18">
      <c r="A126" s="151"/>
      <c r="B126" s="174" t="s">
        <v>1068</v>
      </c>
      <c r="C126" s="174" t="s">
        <v>520</v>
      </c>
      <c r="D126" s="174" t="s">
        <v>554</v>
      </c>
      <c r="E126" s="174" t="s">
        <v>1041</v>
      </c>
      <c r="F126" s="175" t="s">
        <v>1069</v>
      </c>
      <c r="G126" s="176" t="s">
        <v>524</v>
      </c>
      <c r="H126" s="177">
        <v>1</v>
      </c>
      <c r="I126" s="176"/>
      <c r="J126" s="174">
        <v>3</v>
      </c>
      <c r="K126" s="174">
        <v>40</v>
      </c>
      <c r="L126" s="174">
        <v>105</v>
      </c>
      <c r="M126" s="174" t="s">
        <v>1068</v>
      </c>
      <c r="O126" s="198" t="s">
        <v>1068</v>
      </c>
      <c r="Q126" s="151" t="str">
        <f t="shared" si="2"/>
        <v>Enter Custom Fixture</v>
      </c>
      <c r="R126" s="198" t="s">
        <v>1070</v>
      </c>
    </row>
    <row r="127" spans="1:18">
      <c r="A127" s="151"/>
      <c r="B127" s="174" t="s">
        <v>1071</v>
      </c>
      <c r="C127" s="174" t="s">
        <v>520</v>
      </c>
      <c r="D127" s="174" t="s">
        <v>554</v>
      </c>
      <c r="E127" s="174" t="s">
        <v>1041</v>
      </c>
      <c r="F127" s="175" t="s">
        <v>1072</v>
      </c>
      <c r="G127" s="176" t="s">
        <v>524</v>
      </c>
      <c r="H127" s="177">
        <v>1</v>
      </c>
      <c r="I127" s="176"/>
      <c r="J127" s="174">
        <v>4</v>
      </c>
      <c r="K127" s="174">
        <v>40</v>
      </c>
      <c r="L127" s="174">
        <v>144</v>
      </c>
      <c r="M127" s="174" t="s">
        <v>1071</v>
      </c>
      <c r="O127" s="198" t="s">
        <v>1071</v>
      </c>
      <c r="Q127" s="151" t="str">
        <f t="shared" si="2"/>
        <v>Enter Custom Fixture</v>
      </c>
      <c r="R127" s="198" t="s">
        <v>1073</v>
      </c>
    </row>
    <row r="128" spans="1:18">
      <c r="A128" s="151"/>
      <c r="B128" s="174" t="s">
        <v>1074</v>
      </c>
      <c r="C128" s="174" t="s">
        <v>520</v>
      </c>
      <c r="D128" s="174" t="s">
        <v>554</v>
      </c>
      <c r="E128" s="174" t="s">
        <v>1041</v>
      </c>
      <c r="F128" s="175" t="s">
        <v>1075</v>
      </c>
      <c r="G128" s="176" t="s">
        <v>524</v>
      </c>
      <c r="H128" s="177">
        <v>1</v>
      </c>
      <c r="I128" s="176"/>
      <c r="J128" s="174">
        <v>5</v>
      </c>
      <c r="K128" s="174">
        <v>40</v>
      </c>
      <c r="L128" s="174">
        <v>190</v>
      </c>
      <c r="M128" s="174" t="s">
        <v>1074</v>
      </c>
      <c r="O128" s="198" t="s">
        <v>1074</v>
      </c>
      <c r="Q128" s="151" t="str">
        <f t="shared" si="2"/>
        <v>Enter Custom Fixture</v>
      </c>
      <c r="R128" s="198" t="s">
        <v>1076</v>
      </c>
    </row>
    <row r="129" spans="1:18">
      <c r="A129" s="151"/>
      <c r="B129" s="174" t="s">
        <v>1077</v>
      </c>
      <c r="C129" s="174" t="s">
        <v>520</v>
      </c>
      <c r="D129" s="174" t="s">
        <v>554</v>
      </c>
      <c r="E129" s="174" t="s">
        <v>1041</v>
      </c>
      <c r="F129" s="175" t="s">
        <v>1078</v>
      </c>
      <c r="G129" s="176" t="s">
        <v>524</v>
      </c>
      <c r="H129" s="177">
        <v>1</v>
      </c>
      <c r="I129" s="176"/>
      <c r="J129" s="174">
        <v>6</v>
      </c>
      <c r="K129" s="174">
        <v>40</v>
      </c>
      <c r="L129" s="174">
        <v>204</v>
      </c>
      <c r="M129" s="174" t="s">
        <v>1077</v>
      </c>
      <c r="O129" s="198" t="s">
        <v>1077</v>
      </c>
      <c r="Q129" s="151" t="str">
        <f t="shared" si="2"/>
        <v>Enter Custom Fixture</v>
      </c>
      <c r="R129" s="151" t="str">
        <f>IF(ISBLANK(B919)=TRUE,"Enter Custom Fixture",B919)</f>
        <v>Enter Custom Fixture</v>
      </c>
    </row>
    <row r="130" spans="1:18">
      <c r="A130" s="151"/>
      <c r="B130" s="174" t="s">
        <v>1079</v>
      </c>
      <c r="C130" s="174" t="s">
        <v>520</v>
      </c>
      <c r="D130" s="174" t="s">
        <v>554</v>
      </c>
      <c r="E130" s="174" t="s">
        <v>1041</v>
      </c>
      <c r="F130" s="175" t="s">
        <v>1080</v>
      </c>
      <c r="G130" s="176" t="s">
        <v>524</v>
      </c>
      <c r="H130" s="177">
        <v>1</v>
      </c>
      <c r="I130" s="176"/>
      <c r="J130" s="174">
        <v>6</v>
      </c>
      <c r="K130" s="174">
        <v>40</v>
      </c>
      <c r="L130" s="174">
        <v>220</v>
      </c>
      <c r="M130" s="174" t="s">
        <v>1079</v>
      </c>
      <c r="O130" s="198" t="s">
        <v>1079</v>
      </c>
      <c r="Q130" s="151" t="str">
        <f t="shared" si="2"/>
        <v>Enter Custom Fixture</v>
      </c>
      <c r="R130" s="151" t="str">
        <f t="shared" ref="R130:R186" si="3">IF(ISBLANK(B920)=TRUE,"Enter Custom Fixture",B920)</f>
        <v>Enter Custom Fixture</v>
      </c>
    </row>
    <row r="131" spans="1:18">
      <c r="A131" s="151"/>
      <c r="B131" s="174" t="s">
        <v>1081</v>
      </c>
      <c r="C131" s="174" t="s">
        <v>520</v>
      </c>
      <c r="D131" s="174" t="s">
        <v>554</v>
      </c>
      <c r="E131" s="174" t="s">
        <v>1041</v>
      </c>
      <c r="F131" s="175" t="s">
        <v>1082</v>
      </c>
      <c r="G131" s="176" t="s">
        <v>524</v>
      </c>
      <c r="H131" s="177">
        <v>1</v>
      </c>
      <c r="I131" s="176"/>
      <c r="J131" s="174">
        <v>6</v>
      </c>
      <c r="K131" s="174">
        <v>40</v>
      </c>
      <c r="L131" s="174">
        <v>233</v>
      </c>
      <c r="M131" s="174" t="s">
        <v>1083</v>
      </c>
      <c r="O131" s="198" t="s">
        <v>1081</v>
      </c>
      <c r="Q131" s="151" t="str">
        <f t="shared" si="2"/>
        <v>Enter Custom Fixture</v>
      </c>
      <c r="R131" s="151" t="str">
        <f t="shared" si="3"/>
        <v>Enter Custom Fixture</v>
      </c>
    </row>
    <row r="132" spans="1:18">
      <c r="A132" s="151"/>
      <c r="B132" s="174" t="s">
        <v>1084</v>
      </c>
      <c r="C132" s="174" t="s">
        <v>520</v>
      </c>
      <c r="D132" s="174" t="s">
        <v>554</v>
      </c>
      <c r="E132" s="174" t="s">
        <v>1041</v>
      </c>
      <c r="F132" s="175" t="s">
        <v>1085</v>
      </c>
      <c r="G132" s="176" t="s">
        <v>524</v>
      </c>
      <c r="H132" s="177">
        <v>1</v>
      </c>
      <c r="I132" s="176"/>
      <c r="J132" s="174">
        <v>8</v>
      </c>
      <c r="K132" s="174">
        <v>40</v>
      </c>
      <c r="L132" s="174">
        <v>288</v>
      </c>
      <c r="M132" s="174" t="s">
        <v>1084</v>
      </c>
      <c r="O132" s="198" t="s">
        <v>1084</v>
      </c>
      <c r="Q132" s="151" t="str">
        <f t="shared" si="2"/>
        <v>Enter Custom Fixture</v>
      </c>
      <c r="R132" s="151" t="str">
        <f t="shared" si="3"/>
        <v>Enter Custom Fixture</v>
      </c>
    </row>
    <row r="133" spans="1:18">
      <c r="A133" s="151"/>
      <c r="B133" s="174" t="s">
        <v>1086</v>
      </c>
      <c r="C133" s="174" t="s">
        <v>520</v>
      </c>
      <c r="D133" s="174" t="s">
        <v>554</v>
      </c>
      <c r="E133" s="174" t="s">
        <v>1041</v>
      </c>
      <c r="F133" s="175" t="s">
        <v>1087</v>
      </c>
      <c r="G133" s="176" t="s">
        <v>524</v>
      </c>
      <c r="H133" s="177">
        <v>1</v>
      </c>
      <c r="I133" s="176"/>
      <c r="J133" s="174">
        <v>8</v>
      </c>
      <c r="K133" s="174">
        <v>40</v>
      </c>
      <c r="L133" s="174">
        <v>300</v>
      </c>
      <c r="M133" s="174" t="s">
        <v>1086</v>
      </c>
      <c r="O133" s="198" t="s">
        <v>1086</v>
      </c>
      <c r="R133" s="151" t="str">
        <f t="shared" si="3"/>
        <v>Enter Custom Fixture</v>
      </c>
    </row>
    <row r="134" spans="1:18">
      <c r="A134" s="151"/>
      <c r="B134" s="174" t="s">
        <v>1088</v>
      </c>
      <c r="C134" s="174" t="s">
        <v>520</v>
      </c>
      <c r="D134" s="174" t="s">
        <v>554</v>
      </c>
      <c r="E134" s="174" t="s">
        <v>1041</v>
      </c>
      <c r="F134" s="175" t="s">
        <v>1089</v>
      </c>
      <c r="G134" s="176" t="s">
        <v>524</v>
      </c>
      <c r="H134" s="177">
        <v>1</v>
      </c>
      <c r="I134" s="176"/>
      <c r="J134" s="174">
        <v>8</v>
      </c>
      <c r="K134" s="174">
        <v>40</v>
      </c>
      <c r="L134" s="174">
        <v>340</v>
      </c>
      <c r="M134" s="174" t="s">
        <v>1090</v>
      </c>
      <c r="O134" s="198" t="s">
        <v>1088</v>
      </c>
      <c r="R134" s="151" t="str">
        <f t="shared" si="3"/>
        <v>Enter Custom Fixture</v>
      </c>
    </row>
    <row r="135" spans="1:18">
      <c r="A135" s="151"/>
      <c r="B135" s="174" t="s">
        <v>1091</v>
      </c>
      <c r="C135" s="174" t="s">
        <v>520</v>
      </c>
      <c r="D135" s="174" t="s">
        <v>554</v>
      </c>
      <c r="E135" s="174" t="s">
        <v>1041</v>
      </c>
      <c r="F135" s="175" t="s">
        <v>1092</v>
      </c>
      <c r="G135" s="176" t="s">
        <v>524</v>
      </c>
      <c r="H135" s="177">
        <v>1</v>
      </c>
      <c r="I135" s="176"/>
      <c r="J135" s="174">
        <v>9</v>
      </c>
      <c r="K135" s="174">
        <v>40</v>
      </c>
      <c r="L135" s="174">
        <v>306</v>
      </c>
      <c r="M135" s="174" t="s">
        <v>1091</v>
      </c>
      <c r="O135" s="198" t="s">
        <v>1091</v>
      </c>
      <c r="R135" s="151" t="str">
        <f t="shared" si="3"/>
        <v>Enter Custom Fixture</v>
      </c>
    </row>
    <row r="136" spans="1:18">
      <c r="A136" s="151"/>
      <c r="B136" s="174" t="s">
        <v>1093</v>
      </c>
      <c r="C136" s="174" t="s">
        <v>520</v>
      </c>
      <c r="D136" s="174" t="s">
        <v>554</v>
      </c>
      <c r="E136" s="174" t="s">
        <v>961</v>
      </c>
      <c r="F136" s="175" t="s">
        <v>1094</v>
      </c>
      <c r="G136" s="176" t="s">
        <v>557</v>
      </c>
      <c r="H136" s="177">
        <v>1</v>
      </c>
      <c r="I136" s="176"/>
      <c r="J136" s="174">
        <v>2</v>
      </c>
      <c r="K136" s="174">
        <v>5</v>
      </c>
      <c r="L136" s="174">
        <v>18</v>
      </c>
      <c r="M136" s="174" t="s">
        <v>1093</v>
      </c>
      <c r="O136" s="198" t="s">
        <v>1093</v>
      </c>
      <c r="R136" s="151" t="str">
        <f t="shared" si="3"/>
        <v>Enter Custom Fixture</v>
      </c>
    </row>
    <row r="137" spans="1:18">
      <c r="A137" s="151"/>
      <c r="B137" s="174" t="s">
        <v>1095</v>
      </c>
      <c r="C137" s="174" t="s">
        <v>520</v>
      </c>
      <c r="D137" s="174" t="s">
        <v>554</v>
      </c>
      <c r="E137" s="174" t="s">
        <v>1096</v>
      </c>
      <c r="F137" s="175" t="s">
        <v>1097</v>
      </c>
      <c r="G137" s="176" t="s">
        <v>524</v>
      </c>
      <c r="H137" s="177">
        <v>1</v>
      </c>
      <c r="I137" s="176"/>
      <c r="J137" s="174">
        <v>12</v>
      </c>
      <c r="K137" s="174">
        <v>50</v>
      </c>
      <c r="L137" s="174">
        <v>648</v>
      </c>
      <c r="M137" s="174" t="s">
        <v>1095</v>
      </c>
      <c r="O137" s="198" t="s">
        <v>1095</v>
      </c>
      <c r="R137" s="151" t="str">
        <f t="shared" si="3"/>
        <v>Enter Custom Fixture</v>
      </c>
    </row>
    <row r="138" spans="1:18">
      <c r="A138" s="151"/>
      <c r="B138" s="174" t="s">
        <v>1098</v>
      </c>
      <c r="C138" s="174" t="s">
        <v>520</v>
      </c>
      <c r="D138" s="174" t="s">
        <v>554</v>
      </c>
      <c r="E138" s="174" t="s">
        <v>1096</v>
      </c>
      <c r="F138" s="175" t="s">
        <v>1099</v>
      </c>
      <c r="G138" s="176" t="s">
        <v>524</v>
      </c>
      <c r="H138" s="177">
        <v>1</v>
      </c>
      <c r="I138" s="176"/>
      <c r="J138" s="174">
        <v>1</v>
      </c>
      <c r="K138" s="174">
        <v>50</v>
      </c>
      <c r="L138" s="174">
        <v>54</v>
      </c>
      <c r="M138" s="174" t="s">
        <v>1098</v>
      </c>
      <c r="O138" s="198" t="s">
        <v>1098</v>
      </c>
      <c r="R138" s="151" t="str">
        <f t="shared" si="3"/>
        <v>Enter Custom Fixture</v>
      </c>
    </row>
    <row r="139" spans="1:18">
      <c r="A139" s="151"/>
      <c r="B139" s="174" t="s">
        <v>1100</v>
      </c>
      <c r="C139" s="174" t="s">
        <v>520</v>
      </c>
      <c r="D139" s="174" t="s">
        <v>554</v>
      </c>
      <c r="E139" s="174" t="s">
        <v>1096</v>
      </c>
      <c r="F139" s="175" t="s">
        <v>1101</v>
      </c>
      <c r="G139" s="176" t="s">
        <v>524</v>
      </c>
      <c r="H139" s="177">
        <v>1</v>
      </c>
      <c r="I139" s="176"/>
      <c r="J139" s="174">
        <v>2</v>
      </c>
      <c r="K139" s="174">
        <v>50</v>
      </c>
      <c r="L139" s="174">
        <v>108</v>
      </c>
      <c r="M139" s="174" t="s">
        <v>1100</v>
      </c>
      <c r="O139" s="198" t="s">
        <v>1100</v>
      </c>
      <c r="R139" s="151" t="str">
        <f t="shared" si="3"/>
        <v>Enter Custom Fixture</v>
      </c>
    </row>
    <row r="140" spans="1:18">
      <c r="A140" s="151"/>
      <c r="B140" s="174" t="s">
        <v>1102</v>
      </c>
      <c r="C140" s="174" t="s">
        <v>520</v>
      </c>
      <c r="D140" s="174" t="s">
        <v>554</v>
      </c>
      <c r="E140" s="174" t="s">
        <v>1096</v>
      </c>
      <c r="F140" s="175" t="s">
        <v>1103</v>
      </c>
      <c r="G140" s="176" t="s">
        <v>524</v>
      </c>
      <c r="H140" s="177">
        <v>1</v>
      </c>
      <c r="I140" s="176"/>
      <c r="J140" s="174">
        <v>3</v>
      </c>
      <c r="K140" s="174">
        <v>50</v>
      </c>
      <c r="L140" s="174">
        <v>162</v>
      </c>
      <c r="M140" s="174" t="s">
        <v>1102</v>
      </c>
      <c r="O140" s="198" t="s">
        <v>1102</v>
      </c>
      <c r="R140" s="151" t="str">
        <f t="shared" si="3"/>
        <v>Enter Custom Fixture</v>
      </c>
    </row>
    <row r="141" spans="1:18">
      <c r="A141" s="151"/>
      <c r="B141" s="174" t="s">
        <v>1104</v>
      </c>
      <c r="C141" s="174" t="s">
        <v>520</v>
      </c>
      <c r="D141" s="174" t="s">
        <v>554</v>
      </c>
      <c r="E141" s="174" t="s">
        <v>1096</v>
      </c>
      <c r="F141" s="175" t="s">
        <v>1105</v>
      </c>
      <c r="G141" s="176" t="s">
        <v>524</v>
      </c>
      <c r="H141" s="177">
        <v>1</v>
      </c>
      <c r="I141" s="176"/>
      <c r="J141" s="174">
        <v>4</v>
      </c>
      <c r="K141" s="174">
        <v>50</v>
      </c>
      <c r="L141" s="174">
        <v>216</v>
      </c>
      <c r="M141" s="174" t="s">
        <v>1104</v>
      </c>
      <c r="O141" s="198" t="s">
        <v>1104</v>
      </c>
      <c r="R141" s="151" t="str">
        <f t="shared" si="3"/>
        <v>Enter Custom Fixture</v>
      </c>
    </row>
    <row r="142" spans="1:18">
      <c r="A142" s="151"/>
      <c r="B142" s="174" t="s">
        <v>1106</v>
      </c>
      <c r="C142" s="174" t="s">
        <v>520</v>
      </c>
      <c r="D142" s="174" t="s">
        <v>554</v>
      </c>
      <c r="E142" s="174" t="s">
        <v>1096</v>
      </c>
      <c r="F142" s="175" t="s">
        <v>1107</v>
      </c>
      <c r="G142" s="176" t="s">
        <v>524</v>
      </c>
      <c r="H142" s="177">
        <v>1</v>
      </c>
      <c r="I142" s="176"/>
      <c r="J142" s="174">
        <v>5</v>
      </c>
      <c r="K142" s="174">
        <v>50</v>
      </c>
      <c r="L142" s="174">
        <v>270</v>
      </c>
      <c r="M142" s="174" t="s">
        <v>1106</v>
      </c>
      <c r="O142" s="198" t="s">
        <v>1106</v>
      </c>
      <c r="R142" s="151" t="str">
        <f t="shared" si="3"/>
        <v>Enter Custom Fixture</v>
      </c>
    </row>
    <row r="143" spans="1:18">
      <c r="A143" s="151"/>
      <c r="B143" s="174" t="s">
        <v>1108</v>
      </c>
      <c r="C143" s="174" t="s">
        <v>520</v>
      </c>
      <c r="D143" s="174" t="s">
        <v>554</v>
      </c>
      <c r="E143" s="174" t="s">
        <v>1096</v>
      </c>
      <c r="F143" s="175" t="s">
        <v>1109</v>
      </c>
      <c r="G143" s="176" t="s">
        <v>524</v>
      </c>
      <c r="H143" s="177">
        <v>1</v>
      </c>
      <c r="I143" s="176"/>
      <c r="J143" s="174">
        <v>6</v>
      </c>
      <c r="K143" s="174">
        <v>50</v>
      </c>
      <c r="L143" s="174">
        <v>324</v>
      </c>
      <c r="M143" s="174" t="s">
        <v>1108</v>
      </c>
      <c r="O143" s="198" t="s">
        <v>1108</v>
      </c>
      <c r="R143" s="151" t="str">
        <f t="shared" si="3"/>
        <v>Enter Custom Fixture</v>
      </c>
    </row>
    <row r="144" spans="1:18">
      <c r="A144" s="151"/>
      <c r="B144" s="174" t="s">
        <v>1110</v>
      </c>
      <c r="C144" s="174" t="s">
        <v>520</v>
      </c>
      <c r="D144" s="174" t="s">
        <v>554</v>
      </c>
      <c r="E144" s="174" t="s">
        <v>1096</v>
      </c>
      <c r="F144" s="175" t="s">
        <v>1111</v>
      </c>
      <c r="G144" s="176" t="s">
        <v>524</v>
      </c>
      <c r="H144" s="177">
        <v>1</v>
      </c>
      <c r="I144" s="176"/>
      <c r="J144" s="174">
        <v>8</v>
      </c>
      <c r="K144" s="174">
        <v>50</v>
      </c>
      <c r="L144" s="174">
        <v>432</v>
      </c>
      <c r="M144" s="174" t="s">
        <v>1110</v>
      </c>
      <c r="O144" s="198" t="s">
        <v>1110</v>
      </c>
      <c r="R144" s="151" t="str">
        <f t="shared" si="3"/>
        <v>Enter Custom Fixture</v>
      </c>
    </row>
    <row r="145" spans="1:18">
      <c r="A145" s="151"/>
      <c r="B145" s="174" t="s">
        <v>1112</v>
      </c>
      <c r="C145" s="174" t="s">
        <v>520</v>
      </c>
      <c r="D145" s="174" t="s">
        <v>554</v>
      </c>
      <c r="E145" s="174" t="s">
        <v>1096</v>
      </c>
      <c r="F145" s="175" t="s">
        <v>1113</v>
      </c>
      <c r="G145" s="176" t="s">
        <v>524</v>
      </c>
      <c r="H145" s="177">
        <v>1</v>
      </c>
      <c r="I145" s="176"/>
      <c r="J145" s="174">
        <v>9</v>
      </c>
      <c r="K145" s="174">
        <v>50</v>
      </c>
      <c r="L145" s="174">
        <v>486</v>
      </c>
      <c r="M145" s="174" t="s">
        <v>1112</v>
      </c>
      <c r="O145" s="198" t="s">
        <v>1112</v>
      </c>
      <c r="R145" s="151" t="str">
        <f t="shared" si="3"/>
        <v>Enter Custom Fixture</v>
      </c>
    </row>
    <row r="146" spans="1:18">
      <c r="A146" s="151"/>
      <c r="B146" s="174" t="s">
        <v>1114</v>
      </c>
      <c r="C146" s="174" t="s">
        <v>520</v>
      </c>
      <c r="D146" s="174" t="s">
        <v>554</v>
      </c>
      <c r="E146" s="174" t="s">
        <v>1115</v>
      </c>
      <c r="F146" s="175" t="s">
        <v>1116</v>
      </c>
      <c r="G146" s="176" t="s">
        <v>524</v>
      </c>
      <c r="H146" s="177">
        <v>1</v>
      </c>
      <c r="I146" s="176"/>
      <c r="J146" s="174">
        <v>12</v>
      </c>
      <c r="K146" s="174">
        <v>55</v>
      </c>
      <c r="L146" s="174">
        <v>672</v>
      </c>
      <c r="M146" s="174" t="s">
        <v>1114</v>
      </c>
      <c r="O146" s="198" t="s">
        <v>1114</v>
      </c>
      <c r="R146" s="151" t="str">
        <f t="shared" si="3"/>
        <v>Enter Custom Fixture</v>
      </c>
    </row>
    <row r="147" spans="1:18">
      <c r="A147" s="151"/>
      <c r="B147" s="174" t="s">
        <v>1117</v>
      </c>
      <c r="C147" s="174" t="s">
        <v>520</v>
      </c>
      <c r="D147" s="174" t="s">
        <v>554</v>
      </c>
      <c r="E147" s="174" t="s">
        <v>1115</v>
      </c>
      <c r="F147" s="175" t="s">
        <v>1118</v>
      </c>
      <c r="G147" s="176" t="s">
        <v>524</v>
      </c>
      <c r="H147" s="177">
        <v>1</v>
      </c>
      <c r="I147" s="176"/>
      <c r="J147" s="174">
        <v>1</v>
      </c>
      <c r="K147" s="174">
        <v>55</v>
      </c>
      <c r="L147" s="174">
        <v>56</v>
      </c>
      <c r="M147" s="174" t="s">
        <v>1117</v>
      </c>
      <c r="O147" s="198" t="s">
        <v>1117</v>
      </c>
      <c r="R147" s="151" t="str">
        <f t="shared" si="3"/>
        <v>Enter Custom Fixture</v>
      </c>
    </row>
    <row r="148" spans="1:18">
      <c r="A148" s="151"/>
      <c r="B148" s="174" t="s">
        <v>1119</v>
      </c>
      <c r="C148" s="174" t="s">
        <v>520</v>
      </c>
      <c r="D148" s="174" t="s">
        <v>554</v>
      </c>
      <c r="E148" s="174" t="s">
        <v>1115</v>
      </c>
      <c r="F148" s="175" t="s">
        <v>1120</v>
      </c>
      <c r="G148" s="176" t="s">
        <v>524</v>
      </c>
      <c r="H148" s="177">
        <v>1</v>
      </c>
      <c r="I148" s="176"/>
      <c r="J148" s="174">
        <v>2</v>
      </c>
      <c r="K148" s="174">
        <v>55</v>
      </c>
      <c r="L148" s="174">
        <v>112</v>
      </c>
      <c r="M148" s="174" t="s">
        <v>1119</v>
      </c>
      <c r="O148" s="198" t="s">
        <v>1119</v>
      </c>
      <c r="R148" s="151" t="str">
        <f t="shared" si="3"/>
        <v>Enter Custom Fixture</v>
      </c>
    </row>
    <row r="149" spans="1:18">
      <c r="A149" s="151"/>
      <c r="B149" s="174" t="s">
        <v>1121</v>
      </c>
      <c r="C149" s="174" t="s">
        <v>520</v>
      </c>
      <c r="D149" s="174" t="s">
        <v>554</v>
      </c>
      <c r="E149" s="174" t="s">
        <v>1115</v>
      </c>
      <c r="F149" s="175" t="s">
        <v>1122</v>
      </c>
      <c r="G149" s="176" t="s">
        <v>524</v>
      </c>
      <c r="H149" s="177">
        <v>1</v>
      </c>
      <c r="I149" s="176"/>
      <c r="J149" s="174">
        <v>3</v>
      </c>
      <c r="K149" s="174">
        <v>55</v>
      </c>
      <c r="L149" s="174">
        <v>168</v>
      </c>
      <c r="M149" s="174" t="s">
        <v>1121</v>
      </c>
      <c r="O149" s="198" t="s">
        <v>1121</v>
      </c>
      <c r="R149" s="151" t="str">
        <f t="shared" si="3"/>
        <v>Enter Custom Fixture</v>
      </c>
    </row>
    <row r="150" spans="1:18">
      <c r="A150" s="151"/>
      <c r="B150" s="174" t="s">
        <v>1123</v>
      </c>
      <c r="C150" s="174" t="s">
        <v>520</v>
      </c>
      <c r="D150" s="174" t="s">
        <v>554</v>
      </c>
      <c r="E150" s="174" t="s">
        <v>1115</v>
      </c>
      <c r="F150" s="175" t="s">
        <v>1124</v>
      </c>
      <c r="G150" s="176" t="s">
        <v>524</v>
      </c>
      <c r="H150" s="177">
        <v>1</v>
      </c>
      <c r="I150" s="176"/>
      <c r="J150" s="174">
        <v>4</v>
      </c>
      <c r="K150" s="174">
        <v>55</v>
      </c>
      <c r="L150" s="174">
        <v>224</v>
      </c>
      <c r="M150" s="174" t="s">
        <v>1123</v>
      </c>
      <c r="O150" s="198" t="s">
        <v>1123</v>
      </c>
      <c r="R150" s="151" t="str">
        <f t="shared" si="3"/>
        <v>Enter Custom Fixture</v>
      </c>
    </row>
    <row r="151" spans="1:18">
      <c r="A151" s="151"/>
      <c r="B151" s="174" t="s">
        <v>1125</v>
      </c>
      <c r="C151" s="174" t="s">
        <v>520</v>
      </c>
      <c r="D151" s="174" t="s">
        <v>554</v>
      </c>
      <c r="E151" s="174" t="s">
        <v>1115</v>
      </c>
      <c r="F151" s="175" t="s">
        <v>1126</v>
      </c>
      <c r="G151" s="176" t="s">
        <v>524</v>
      </c>
      <c r="H151" s="177">
        <v>1</v>
      </c>
      <c r="I151" s="176"/>
      <c r="J151" s="174">
        <v>5</v>
      </c>
      <c r="K151" s="174">
        <v>55</v>
      </c>
      <c r="L151" s="174">
        <v>280</v>
      </c>
      <c r="M151" s="174" t="s">
        <v>1125</v>
      </c>
      <c r="O151" s="198" t="s">
        <v>1125</v>
      </c>
      <c r="R151" s="151" t="str">
        <f t="shared" si="3"/>
        <v>Enter Custom Fixture</v>
      </c>
    </row>
    <row r="152" spans="1:18">
      <c r="A152" s="151"/>
      <c r="B152" s="174" t="s">
        <v>1127</v>
      </c>
      <c r="C152" s="174" t="s">
        <v>520</v>
      </c>
      <c r="D152" s="174" t="s">
        <v>554</v>
      </c>
      <c r="E152" s="174" t="s">
        <v>1115</v>
      </c>
      <c r="F152" s="175" t="s">
        <v>1128</v>
      </c>
      <c r="G152" s="176" t="s">
        <v>524</v>
      </c>
      <c r="H152" s="177">
        <v>1</v>
      </c>
      <c r="I152" s="176"/>
      <c r="J152" s="174">
        <v>6</v>
      </c>
      <c r="K152" s="174">
        <v>55</v>
      </c>
      <c r="L152" s="174">
        <v>336</v>
      </c>
      <c r="M152" s="174" t="s">
        <v>1127</v>
      </c>
      <c r="O152" s="198" t="s">
        <v>1127</v>
      </c>
      <c r="R152" s="151" t="str">
        <f t="shared" si="3"/>
        <v>Enter Custom Fixture</v>
      </c>
    </row>
    <row r="153" spans="1:18">
      <c r="A153" s="151"/>
      <c r="B153" s="174" t="s">
        <v>1129</v>
      </c>
      <c r="C153" s="174" t="s">
        <v>520</v>
      </c>
      <c r="D153" s="174" t="s">
        <v>554</v>
      </c>
      <c r="E153" s="174" t="s">
        <v>1115</v>
      </c>
      <c r="F153" s="175" t="s">
        <v>1130</v>
      </c>
      <c r="G153" s="176" t="s">
        <v>524</v>
      </c>
      <c r="H153" s="177">
        <v>1</v>
      </c>
      <c r="I153" s="176"/>
      <c r="J153" s="174">
        <v>6</v>
      </c>
      <c r="K153" s="174">
        <v>55</v>
      </c>
      <c r="L153" s="174">
        <v>352</v>
      </c>
      <c r="M153" s="174" t="s">
        <v>1129</v>
      </c>
      <c r="O153" s="198" t="s">
        <v>1129</v>
      </c>
      <c r="R153" s="151" t="str">
        <f t="shared" si="3"/>
        <v>Enter Custom Fixture</v>
      </c>
    </row>
    <row r="154" spans="1:18">
      <c r="A154" s="151"/>
      <c r="B154" s="174" t="s">
        <v>1131</v>
      </c>
      <c r="C154" s="174" t="s">
        <v>520</v>
      </c>
      <c r="D154" s="174" t="s">
        <v>554</v>
      </c>
      <c r="E154" s="174" t="s">
        <v>1115</v>
      </c>
      <c r="F154" s="175" t="s">
        <v>1132</v>
      </c>
      <c r="G154" s="176" t="s">
        <v>524</v>
      </c>
      <c r="H154" s="177">
        <v>1</v>
      </c>
      <c r="I154" s="176"/>
      <c r="J154" s="174">
        <v>6</v>
      </c>
      <c r="K154" s="174">
        <v>55</v>
      </c>
      <c r="L154" s="174">
        <v>373</v>
      </c>
      <c r="M154" s="174" t="s">
        <v>1133</v>
      </c>
      <c r="O154" s="198" t="s">
        <v>1131</v>
      </c>
      <c r="R154" s="151" t="str">
        <f t="shared" si="3"/>
        <v>Enter Custom Fixture</v>
      </c>
    </row>
    <row r="155" spans="1:18">
      <c r="A155" s="151"/>
      <c r="B155" s="174" t="s">
        <v>1134</v>
      </c>
      <c r="C155" s="174" t="s">
        <v>520</v>
      </c>
      <c r="D155" s="174" t="s">
        <v>554</v>
      </c>
      <c r="E155" s="174" t="s">
        <v>1115</v>
      </c>
      <c r="F155" s="175" t="s">
        <v>1135</v>
      </c>
      <c r="G155" s="176" t="s">
        <v>524</v>
      </c>
      <c r="H155" s="177">
        <v>1</v>
      </c>
      <c r="I155" s="176"/>
      <c r="J155" s="174">
        <v>8</v>
      </c>
      <c r="K155" s="174">
        <v>55</v>
      </c>
      <c r="L155" s="174">
        <v>448</v>
      </c>
      <c r="M155" s="174" t="s">
        <v>1134</v>
      </c>
      <c r="O155" s="198" t="s">
        <v>1134</v>
      </c>
      <c r="R155" s="151" t="str">
        <f t="shared" si="3"/>
        <v>Enter Custom Fixture</v>
      </c>
    </row>
    <row r="156" spans="1:18">
      <c r="A156" s="151"/>
      <c r="B156" s="174" t="s">
        <v>1136</v>
      </c>
      <c r="C156" s="174" t="s">
        <v>520</v>
      </c>
      <c r="D156" s="174" t="s">
        <v>554</v>
      </c>
      <c r="E156" s="174" t="s">
        <v>1115</v>
      </c>
      <c r="F156" s="175" t="s">
        <v>1137</v>
      </c>
      <c r="G156" s="176" t="s">
        <v>524</v>
      </c>
      <c r="H156" s="177">
        <v>1</v>
      </c>
      <c r="I156" s="176"/>
      <c r="J156" s="174">
        <v>8</v>
      </c>
      <c r="K156" s="174">
        <v>55</v>
      </c>
      <c r="L156" s="174">
        <v>468</v>
      </c>
      <c r="M156" s="174" t="s">
        <v>1136</v>
      </c>
      <c r="O156" s="198" t="s">
        <v>1136</v>
      </c>
      <c r="R156" s="151" t="str">
        <f t="shared" si="3"/>
        <v>Enter Custom Fixture</v>
      </c>
    </row>
    <row r="157" spans="1:18">
      <c r="A157" s="151"/>
      <c r="B157" s="174" t="s">
        <v>1138</v>
      </c>
      <c r="C157" s="174" t="s">
        <v>520</v>
      </c>
      <c r="D157" s="174" t="s">
        <v>554</v>
      </c>
      <c r="E157" s="174" t="s">
        <v>1115</v>
      </c>
      <c r="F157" s="175" t="s">
        <v>1139</v>
      </c>
      <c r="G157" s="176" t="s">
        <v>524</v>
      </c>
      <c r="H157" s="177">
        <v>1</v>
      </c>
      <c r="I157" s="176"/>
      <c r="J157" s="174">
        <v>8</v>
      </c>
      <c r="K157" s="174">
        <v>55</v>
      </c>
      <c r="L157" s="174">
        <v>496</v>
      </c>
      <c r="M157" s="174" t="s">
        <v>1140</v>
      </c>
      <c r="O157" s="198" t="s">
        <v>1138</v>
      </c>
      <c r="R157" s="151" t="str">
        <f t="shared" si="3"/>
        <v>Enter Custom Fixture</v>
      </c>
    </row>
    <row r="158" spans="1:18">
      <c r="A158" s="151"/>
      <c r="B158" s="174" t="s">
        <v>1141</v>
      </c>
      <c r="C158" s="174" t="s">
        <v>520</v>
      </c>
      <c r="D158" s="174" t="s">
        <v>554</v>
      </c>
      <c r="E158" s="174" t="s">
        <v>1115</v>
      </c>
      <c r="F158" s="175" t="s">
        <v>1142</v>
      </c>
      <c r="G158" s="176" t="s">
        <v>524</v>
      </c>
      <c r="H158" s="177">
        <v>1</v>
      </c>
      <c r="I158" s="176"/>
      <c r="J158" s="174">
        <v>9</v>
      </c>
      <c r="K158" s="174">
        <v>55</v>
      </c>
      <c r="L158" s="174">
        <v>504</v>
      </c>
      <c r="M158" s="174" t="s">
        <v>1141</v>
      </c>
      <c r="O158" s="198" t="s">
        <v>1141</v>
      </c>
      <c r="R158" s="151" t="str">
        <f t="shared" si="3"/>
        <v>Enter Custom Fixture</v>
      </c>
    </row>
    <row r="159" spans="1:18">
      <c r="A159" s="151"/>
      <c r="B159" s="174" t="s">
        <v>1143</v>
      </c>
      <c r="C159" s="174" t="s">
        <v>520</v>
      </c>
      <c r="D159" s="174" t="s">
        <v>554</v>
      </c>
      <c r="E159" s="174" t="s">
        <v>1144</v>
      </c>
      <c r="F159" s="175" t="s">
        <v>1145</v>
      </c>
      <c r="G159" s="176" t="s">
        <v>557</v>
      </c>
      <c r="H159" s="177">
        <v>1</v>
      </c>
      <c r="I159" s="176"/>
      <c r="J159" s="174">
        <v>1</v>
      </c>
      <c r="K159" s="174">
        <v>7</v>
      </c>
      <c r="L159" s="174">
        <v>10</v>
      </c>
      <c r="M159" s="174" t="s">
        <v>1143</v>
      </c>
      <c r="O159" s="198" t="s">
        <v>1143</v>
      </c>
      <c r="R159" s="151" t="str">
        <f t="shared" si="3"/>
        <v>Enter Custom Fixture</v>
      </c>
    </row>
    <row r="160" spans="1:18">
      <c r="A160" s="151"/>
      <c r="B160" s="174" t="s">
        <v>1146</v>
      </c>
      <c r="C160" s="174" t="s">
        <v>520</v>
      </c>
      <c r="D160" s="174" t="s">
        <v>554</v>
      </c>
      <c r="E160" s="174" t="s">
        <v>1144</v>
      </c>
      <c r="F160" s="175" t="s">
        <v>1147</v>
      </c>
      <c r="G160" s="176" t="s">
        <v>557</v>
      </c>
      <c r="H160" s="177">
        <v>1</v>
      </c>
      <c r="I160" s="176"/>
      <c r="J160" s="174">
        <v>2</v>
      </c>
      <c r="K160" s="174">
        <v>7</v>
      </c>
      <c r="L160" s="174">
        <v>21</v>
      </c>
      <c r="M160" s="174" t="s">
        <v>1146</v>
      </c>
      <c r="O160" s="198" t="s">
        <v>1146</v>
      </c>
      <c r="R160" s="151" t="str">
        <f t="shared" si="3"/>
        <v>Enter Custom Fixture</v>
      </c>
    </row>
    <row r="161" spans="1:18">
      <c r="A161" s="151"/>
      <c r="B161" s="174" t="s">
        <v>1148</v>
      </c>
      <c r="C161" s="174" t="s">
        <v>520</v>
      </c>
      <c r="D161" s="174" t="s">
        <v>554</v>
      </c>
      <c r="E161" s="174" t="s">
        <v>1149</v>
      </c>
      <c r="F161" s="175" t="s">
        <v>1150</v>
      </c>
      <c r="G161" s="176" t="s">
        <v>557</v>
      </c>
      <c r="H161" s="177">
        <v>1</v>
      </c>
      <c r="I161" s="176"/>
      <c r="J161" s="174">
        <v>1</v>
      </c>
      <c r="K161" s="174">
        <v>9</v>
      </c>
      <c r="L161" s="174">
        <v>11</v>
      </c>
      <c r="M161" s="174" t="s">
        <v>1148</v>
      </c>
      <c r="O161" s="198" t="s">
        <v>1148</v>
      </c>
      <c r="R161" s="151" t="str">
        <f t="shared" si="3"/>
        <v>Enter Custom Fixture</v>
      </c>
    </row>
    <row r="162" spans="1:18">
      <c r="A162" s="151"/>
      <c r="B162" s="174" t="s">
        <v>1151</v>
      </c>
      <c r="C162" s="174" t="s">
        <v>520</v>
      </c>
      <c r="D162" s="174" t="s">
        <v>554</v>
      </c>
      <c r="E162" s="174" t="s">
        <v>1149</v>
      </c>
      <c r="F162" s="175" t="s">
        <v>1152</v>
      </c>
      <c r="G162" s="176" t="s">
        <v>557</v>
      </c>
      <c r="H162" s="177">
        <v>1</v>
      </c>
      <c r="I162" s="176"/>
      <c r="J162" s="174">
        <v>2</v>
      </c>
      <c r="K162" s="174">
        <v>9</v>
      </c>
      <c r="L162" s="174">
        <v>23</v>
      </c>
      <c r="M162" s="174" t="s">
        <v>1151</v>
      </c>
      <c r="O162" s="198" t="s">
        <v>1151</v>
      </c>
      <c r="R162" s="151" t="str">
        <f t="shared" si="3"/>
        <v>Enter Custom Fixture</v>
      </c>
    </row>
    <row r="163" spans="1:18">
      <c r="A163" s="151"/>
      <c r="B163" s="174" t="s">
        <v>1153</v>
      </c>
      <c r="C163" s="174" t="s">
        <v>520</v>
      </c>
      <c r="D163" s="174" t="s">
        <v>554</v>
      </c>
      <c r="E163" s="174" t="s">
        <v>1149</v>
      </c>
      <c r="F163" s="175" t="s">
        <v>1154</v>
      </c>
      <c r="G163" s="176" t="s">
        <v>557</v>
      </c>
      <c r="H163" s="177">
        <v>1</v>
      </c>
      <c r="I163" s="176"/>
      <c r="J163" s="174">
        <v>3</v>
      </c>
      <c r="K163" s="174">
        <v>9</v>
      </c>
      <c r="L163" s="174">
        <v>34</v>
      </c>
      <c r="M163" s="174" t="s">
        <v>1153</v>
      </c>
      <c r="O163" s="198" t="s">
        <v>1153</v>
      </c>
      <c r="R163" s="151" t="str">
        <f t="shared" si="3"/>
        <v>Enter Custom Fixture</v>
      </c>
    </row>
    <row r="164" spans="1:18">
      <c r="A164" s="151"/>
      <c r="B164" s="174" t="s">
        <v>1155</v>
      </c>
      <c r="C164" s="174" t="s">
        <v>568</v>
      </c>
      <c r="D164" s="174" t="s">
        <v>568</v>
      </c>
      <c r="E164" s="174" t="s">
        <v>1156</v>
      </c>
      <c r="F164" s="175" t="s">
        <v>1157</v>
      </c>
      <c r="G164" s="176" t="s">
        <v>557</v>
      </c>
      <c r="H164" s="176">
        <v>1</v>
      </c>
      <c r="I164" s="176">
        <v>12</v>
      </c>
      <c r="J164" s="174">
        <v>1</v>
      </c>
      <c r="K164" s="174">
        <v>32</v>
      </c>
      <c r="L164" s="174">
        <v>31</v>
      </c>
      <c r="M164" s="174" t="s">
        <v>1155</v>
      </c>
      <c r="O164" s="151" t="str">
        <f>IF(ISBLANK(B919)=TRUE,"Enter Custom Fixture",B919)</f>
        <v>Enter Custom Fixture</v>
      </c>
      <c r="R164" s="151" t="str">
        <f t="shared" si="3"/>
        <v>Enter Custom Fixture</v>
      </c>
    </row>
    <row r="165" spans="1:18">
      <c r="A165" s="151"/>
      <c r="B165" s="174" t="s">
        <v>1158</v>
      </c>
      <c r="C165" s="174" t="s">
        <v>568</v>
      </c>
      <c r="D165" s="174" t="s">
        <v>568</v>
      </c>
      <c r="E165" s="174" t="s">
        <v>1156</v>
      </c>
      <c r="F165" s="175" t="s">
        <v>1159</v>
      </c>
      <c r="G165" s="176" t="s">
        <v>557</v>
      </c>
      <c r="H165" s="176">
        <v>1</v>
      </c>
      <c r="I165" s="176">
        <v>12</v>
      </c>
      <c r="J165" s="174">
        <v>2</v>
      </c>
      <c r="K165" s="174">
        <v>32</v>
      </c>
      <c r="L165" s="174">
        <v>62</v>
      </c>
      <c r="M165" s="174" t="s">
        <v>1158</v>
      </c>
      <c r="O165" s="151" t="str">
        <f t="shared" ref="O165:O221" si="4">IF(ISBLANK(B920)=TRUE,"Enter Custom Fixture",B920)</f>
        <v>Enter Custom Fixture</v>
      </c>
      <c r="R165" s="151" t="str">
        <f t="shared" si="3"/>
        <v>Enter Custom Fixture</v>
      </c>
    </row>
    <row r="166" spans="1:18">
      <c r="A166" s="151"/>
      <c r="B166" s="174" t="s">
        <v>1160</v>
      </c>
      <c r="C166" s="174" t="s">
        <v>568</v>
      </c>
      <c r="D166" s="174" t="s">
        <v>568</v>
      </c>
      <c r="E166" s="174" t="s">
        <v>1161</v>
      </c>
      <c r="F166" s="175" t="s">
        <v>1162</v>
      </c>
      <c r="G166" s="176" t="s">
        <v>557</v>
      </c>
      <c r="H166" s="176">
        <v>1</v>
      </c>
      <c r="I166" s="176">
        <v>16</v>
      </c>
      <c r="J166" s="174">
        <v>1</v>
      </c>
      <c r="K166" s="174">
        <v>40</v>
      </c>
      <c r="L166" s="174">
        <v>35</v>
      </c>
      <c r="M166" s="174" t="s">
        <v>1160</v>
      </c>
      <c r="O166" s="151" t="str">
        <f t="shared" si="4"/>
        <v>Enter Custom Fixture</v>
      </c>
      <c r="R166" s="151" t="str">
        <f t="shared" si="3"/>
        <v>Enter Custom Fixture</v>
      </c>
    </row>
    <row r="167" spans="1:18">
      <c r="A167" s="151"/>
      <c r="B167" s="174" t="s">
        <v>1163</v>
      </c>
      <c r="C167" s="174" t="s">
        <v>568</v>
      </c>
      <c r="D167" s="174" t="s">
        <v>568</v>
      </c>
      <c r="E167" s="174" t="s">
        <v>1164</v>
      </c>
      <c r="F167" s="175" t="s">
        <v>1165</v>
      </c>
      <c r="G167" s="176" t="s">
        <v>557</v>
      </c>
      <c r="H167" s="176">
        <v>1</v>
      </c>
      <c r="I167" s="176"/>
      <c r="J167" s="174">
        <v>1</v>
      </c>
      <c r="K167" s="174">
        <v>20</v>
      </c>
      <c r="L167" s="174">
        <v>20</v>
      </c>
      <c r="M167" s="174" t="s">
        <v>1163</v>
      </c>
      <c r="O167" s="151" t="str">
        <f t="shared" si="4"/>
        <v>Enter Custom Fixture</v>
      </c>
      <c r="R167" s="151" t="str">
        <f t="shared" si="3"/>
        <v>Enter Custom Fixture</v>
      </c>
    </row>
    <row r="168" spans="1:18">
      <c r="A168" s="151"/>
      <c r="B168" s="174" t="s">
        <v>1166</v>
      </c>
      <c r="C168" s="174" t="s">
        <v>568</v>
      </c>
      <c r="D168" s="174" t="s">
        <v>568</v>
      </c>
      <c r="E168" s="174" t="s">
        <v>1167</v>
      </c>
      <c r="F168" s="175" t="s">
        <v>1168</v>
      </c>
      <c r="G168" s="176" t="s">
        <v>557</v>
      </c>
      <c r="H168" s="176">
        <v>1</v>
      </c>
      <c r="I168" s="176"/>
      <c r="J168" s="174">
        <v>1</v>
      </c>
      <c r="K168" s="174">
        <v>22</v>
      </c>
      <c r="L168" s="174">
        <v>20</v>
      </c>
      <c r="M168" s="174" t="s">
        <v>1166</v>
      </c>
      <c r="O168" s="151" t="str">
        <f t="shared" si="4"/>
        <v>Enter Custom Fixture</v>
      </c>
      <c r="R168" s="151" t="str">
        <f t="shared" si="3"/>
        <v>Enter Custom Fixture</v>
      </c>
    </row>
    <row r="169" spans="1:18">
      <c r="A169" s="151"/>
      <c r="B169" s="174" t="s">
        <v>1169</v>
      </c>
      <c r="C169" s="174" t="s">
        <v>568</v>
      </c>
      <c r="D169" s="174" t="s">
        <v>568</v>
      </c>
      <c r="E169" s="174" t="s">
        <v>1170</v>
      </c>
      <c r="F169" s="175" t="s">
        <v>1171</v>
      </c>
      <c r="G169" s="176" t="s">
        <v>557</v>
      </c>
      <c r="H169" s="176">
        <v>1</v>
      </c>
      <c r="I169" s="176"/>
      <c r="J169" s="174">
        <v>1</v>
      </c>
      <c r="K169" s="174" t="s">
        <v>1172</v>
      </c>
      <c r="L169" s="174">
        <v>58</v>
      </c>
      <c r="M169" s="174" t="s">
        <v>1169</v>
      </c>
      <c r="O169" s="151" t="str">
        <f t="shared" si="4"/>
        <v>Enter Custom Fixture</v>
      </c>
      <c r="R169" s="151" t="str">
        <f t="shared" si="3"/>
        <v>Enter Custom Fixture</v>
      </c>
    </row>
    <row r="170" spans="1:18">
      <c r="A170" s="151"/>
      <c r="B170" s="174" t="s">
        <v>1173</v>
      </c>
      <c r="C170" s="174" t="s">
        <v>568</v>
      </c>
      <c r="D170" s="174" t="s">
        <v>568</v>
      </c>
      <c r="E170" s="174" t="s">
        <v>1156</v>
      </c>
      <c r="F170" s="175" t="s">
        <v>1174</v>
      </c>
      <c r="G170" s="176" t="s">
        <v>557</v>
      </c>
      <c r="H170" s="176">
        <v>1</v>
      </c>
      <c r="I170" s="176"/>
      <c r="J170" s="174">
        <v>1</v>
      </c>
      <c r="K170" s="174">
        <v>32</v>
      </c>
      <c r="L170" s="174">
        <v>40</v>
      </c>
      <c r="M170" s="174" t="s">
        <v>1173</v>
      </c>
      <c r="O170" s="151" t="str">
        <f t="shared" si="4"/>
        <v>Enter Custom Fixture</v>
      </c>
      <c r="R170" s="151" t="str">
        <f t="shared" si="3"/>
        <v>Enter Custom Fixture</v>
      </c>
    </row>
    <row r="171" spans="1:18">
      <c r="A171" s="151"/>
      <c r="B171" s="174" t="s">
        <v>1175</v>
      </c>
      <c r="C171" s="174" t="s">
        <v>568</v>
      </c>
      <c r="D171" s="174" t="s">
        <v>568</v>
      </c>
      <c r="E171" s="174" t="s">
        <v>1176</v>
      </c>
      <c r="F171" s="175" t="s">
        <v>1177</v>
      </c>
      <c r="G171" s="176" t="s">
        <v>557</v>
      </c>
      <c r="H171" s="176">
        <v>1</v>
      </c>
      <c r="I171" s="176"/>
      <c r="J171" s="174">
        <v>1</v>
      </c>
      <c r="K171" s="174" t="s">
        <v>1178</v>
      </c>
      <c r="L171" s="174">
        <v>80</v>
      </c>
      <c r="M171" s="174" t="s">
        <v>1175</v>
      </c>
      <c r="O171" s="151" t="str">
        <f t="shared" si="4"/>
        <v>Enter Custom Fixture</v>
      </c>
      <c r="R171" s="151" t="str">
        <f t="shared" si="3"/>
        <v>Enter Custom Fixture</v>
      </c>
    </row>
    <row r="172" spans="1:18">
      <c r="A172" s="151"/>
      <c r="B172" s="174" t="s">
        <v>1179</v>
      </c>
      <c r="C172" s="174" t="s">
        <v>568</v>
      </c>
      <c r="D172" s="174" t="s">
        <v>568</v>
      </c>
      <c r="E172" s="174" t="s">
        <v>1161</v>
      </c>
      <c r="F172" s="175" t="s">
        <v>1174</v>
      </c>
      <c r="G172" s="176" t="s">
        <v>557</v>
      </c>
      <c r="H172" s="176">
        <v>1</v>
      </c>
      <c r="I172" s="176"/>
      <c r="J172" s="174">
        <v>1</v>
      </c>
      <c r="K172" s="174">
        <v>32</v>
      </c>
      <c r="L172" s="174">
        <v>42</v>
      </c>
      <c r="M172" s="174" t="s">
        <v>1179</v>
      </c>
      <c r="O172" s="151" t="str">
        <f t="shared" si="4"/>
        <v>Enter Custom Fixture</v>
      </c>
      <c r="R172" s="151" t="str">
        <f t="shared" si="3"/>
        <v>Enter Custom Fixture</v>
      </c>
    </row>
    <row r="173" spans="1:18">
      <c r="A173" s="151"/>
      <c r="B173" s="174" t="s">
        <v>1180</v>
      </c>
      <c r="C173" s="174" t="s">
        <v>568</v>
      </c>
      <c r="D173" s="174" t="s">
        <v>568</v>
      </c>
      <c r="E173" s="174" t="s">
        <v>1181</v>
      </c>
      <c r="F173" s="175" t="s">
        <v>1182</v>
      </c>
      <c r="G173" s="176" t="s">
        <v>557</v>
      </c>
      <c r="H173" s="176">
        <v>1</v>
      </c>
      <c r="I173" s="176"/>
      <c r="J173" s="174">
        <v>1</v>
      </c>
      <c r="K173" s="174">
        <v>44</v>
      </c>
      <c r="L173" s="174">
        <v>46</v>
      </c>
      <c r="M173" s="174" t="s">
        <v>1180</v>
      </c>
      <c r="O173" s="151" t="str">
        <f t="shared" si="4"/>
        <v>Enter Custom Fixture</v>
      </c>
      <c r="R173" s="151" t="str">
        <f t="shared" si="3"/>
        <v>Enter Custom Fixture</v>
      </c>
    </row>
    <row r="174" spans="1:18">
      <c r="A174" s="151"/>
      <c r="B174" s="174" t="s">
        <v>1183</v>
      </c>
      <c r="C174" s="174" t="s">
        <v>568</v>
      </c>
      <c r="D174" s="174" t="s">
        <v>568</v>
      </c>
      <c r="E174" s="174" t="s">
        <v>1164</v>
      </c>
      <c r="F174" s="175" t="s">
        <v>1184</v>
      </c>
      <c r="G174" s="176" t="s">
        <v>557</v>
      </c>
      <c r="H174" s="176">
        <v>1</v>
      </c>
      <c r="I174" s="176">
        <v>6</v>
      </c>
      <c r="J174" s="174">
        <v>1</v>
      </c>
      <c r="K174" s="174">
        <v>20</v>
      </c>
      <c r="L174" s="174">
        <v>25</v>
      </c>
      <c r="M174" s="174" t="s">
        <v>1183</v>
      </c>
      <c r="O174" s="151" t="str">
        <f t="shared" si="4"/>
        <v>Enter Custom Fixture</v>
      </c>
      <c r="R174" s="151" t="str">
        <f t="shared" si="3"/>
        <v>Enter Custom Fixture</v>
      </c>
    </row>
    <row r="175" spans="1:18">
      <c r="A175" s="151"/>
      <c r="B175" s="174" t="s">
        <v>1185</v>
      </c>
      <c r="C175" s="174" t="s">
        <v>568</v>
      </c>
      <c r="D175" s="174" t="s">
        <v>568</v>
      </c>
      <c r="E175" s="174" t="s">
        <v>1167</v>
      </c>
      <c r="F175" s="175" t="s">
        <v>1186</v>
      </c>
      <c r="G175" s="176" t="s">
        <v>557</v>
      </c>
      <c r="H175" s="176">
        <v>1</v>
      </c>
      <c r="I175" s="176">
        <v>8</v>
      </c>
      <c r="J175" s="174">
        <v>1</v>
      </c>
      <c r="K175" s="174">
        <v>22</v>
      </c>
      <c r="L175" s="174">
        <v>26</v>
      </c>
      <c r="M175" s="174" t="s">
        <v>1185</v>
      </c>
      <c r="O175" s="151" t="str">
        <f t="shared" si="4"/>
        <v>Enter Custom Fixture</v>
      </c>
      <c r="R175" s="151" t="str">
        <f t="shared" si="3"/>
        <v>Enter Custom Fixture</v>
      </c>
    </row>
    <row r="176" spans="1:18">
      <c r="A176" s="151"/>
      <c r="B176" s="174" t="s">
        <v>1187</v>
      </c>
      <c r="C176" s="174" t="s">
        <v>568</v>
      </c>
      <c r="D176" s="174" t="s">
        <v>568</v>
      </c>
      <c r="E176" s="174" t="s">
        <v>1167</v>
      </c>
      <c r="F176" s="175" t="s">
        <v>1188</v>
      </c>
      <c r="G176" s="176" t="s">
        <v>557</v>
      </c>
      <c r="H176" s="176">
        <v>1</v>
      </c>
      <c r="I176" s="176">
        <v>8</v>
      </c>
      <c r="J176" s="174">
        <v>2</v>
      </c>
      <c r="K176" s="174">
        <v>22</v>
      </c>
      <c r="L176" s="174">
        <v>52</v>
      </c>
      <c r="M176" s="174" t="s">
        <v>1187</v>
      </c>
      <c r="O176" s="151" t="str">
        <f t="shared" si="4"/>
        <v>Enter Custom Fixture</v>
      </c>
      <c r="R176" s="151" t="str">
        <f t="shared" si="3"/>
        <v>Enter Custom Fixture</v>
      </c>
    </row>
    <row r="177" spans="1:18">
      <c r="A177" s="151"/>
      <c r="B177" s="174" t="s">
        <v>1189</v>
      </c>
      <c r="C177" s="174" t="s">
        <v>1190</v>
      </c>
      <c r="D177" s="174" t="s">
        <v>1190</v>
      </c>
      <c r="E177" s="174" t="s">
        <v>269</v>
      </c>
      <c r="F177" s="175" t="s">
        <v>1191</v>
      </c>
      <c r="G177" s="176" t="s">
        <v>1192</v>
      </c>
      <c r="H177" s="176">
        <v>1</v>
      </c>
      <c r="I177" s="176"/>
      <c r="J177" s="174">
        <v>0</v>
      </c>
      <c r="K177" s="174">
        <v>0</v>
      </c>
      <c r="L177" s="174">
        <v>4</v>
      </c>
      <c r="M177" s="174" t="s">
        <v>1189</v>
      </c>
      <c r="O177" s="151" t="str">
        <f t="shared" si="4"/>
        <v>Enter Custom Fixture</v>
      </c>
      <c r="R177" s="151" t="str">
        <f t="shared" si="3"/>
        <v>Enter Custom Fixture</v>
      </c>
    </row>
    <row r="178" spans="1:18">
      <c r="A178" s="151"/>
      <c r="B178" s="174" t="s">
        <v>1193</v>
      </c>
      <c r="C178" s="174" t="s">
        <v>1190</v>
      </c>
      <c r="D178" s="174" t="s">
        <v>1190</v>
      </c>
      <c r="E178" s="174" t="s">
        <v>269</v>
      </c>
      <c r="F178" s="175" t="s">
        <v>1194</v>
      </c>
      <c r="G178" s="176" t="s">
        <v>1192</v>
      </c>
      <c r="H178" s="176">
        <v>1</v>
      </c>
      <c r="I178" s="176"/>
      <c r="J178" s="174">
        <v>0</v>
      </c>
      <c r="K178" s="174">
        <v>0</v>
      </c>
      <c r="L178" s="174">
        <v>8</v>
      </c>
      <c r="M178" s="174" t="s">
        <v>1193</v>
      </c>
      <c r="O178" s="151" t="str">
        <f t="shared" si="4"/>
        <v>Enter Custom Fixture</v>
      </c>
      <c r="R178" s="151" t="str">
        <f t="shared" si="3"/>
        <v>Enter Custom Fixture</v>
      </c>
    </row>
    <row r="179" spans="1:18">
      <c r="A179" s="151"/>
      <c r="B179" s="174" t="s">
        <v>525</v>
      </c>
      <c r="C179" s="174" t="s">
        <v>536</v>
      </c>
      <c r="D179" s="174" t="s">
        <v>536</v>
      </c>
      <c r="E179" s="174" t="s">
        <v>961</v>
      </c>
      <c r="F179" s="175" t="s">
        <v>1195</v>
      </c>
      <c r="G179" s="176" t="s">
        <v>557</v>
      </c>
      <c r="H179" s="176">
        <v>1</v>
      </c>
      <c r="I179" s="176"/>
      <c r="J179" s="174">
        <v>1</v>
      </c>
      <c r="K179" s="174">
        <v>5</v>
      </c>
      <c r="L179" s="174">
        <v>9</v>
      </c>
      <c r="M179" s="174" t="s">
        <v>525</v>
      </c>
      <c r="O179" s="151" t="str">
        <f t="shared" si="4"/>
        <v>Enter Custom Fixture</v>
      </c>
      <c r="R179" s="151" t="str">
        <f t="shared" si="3"/>
        <v>Enter Custom Fixture</v>
      </c>
    </row>
    <row r="180" spans="1:18">
      <c r="A180" s="151"/>
      <c r="B180" s="174" t="s">
        <v>532</v>
      </c>
      <c r="C180" s="174" t="s">
        <v>536</v>
      </c>
      <c r="D180" s="174" t="s">
        <v>536</v>
      </c>
      <c r="E180" s="174" t="s">
        <v>961</v>
      </c>
      <c r="F180" s="175" t="s">
        <v>1196</v>
      </c>
      <c r="G180" s="176" t="s">
        <v>557</v>
      </c>
      <c r="H180" s="176">
        <v>1</v>
      </c>
      <c r="I180" s="176"/>
      <c r="J180" s="174">
        <v>2</v>
      </c>
      <c r="K180" s="174">
        <v>5</v>
      </c>
      <c r="L180" s="174">
        <v>20</v>
      </c>
      <c r="M180" s="174" t="s">
        <v>532</v>
      </c>
      <c r="O180" s="151" t="str">
        <f t="shared" si="4"/>
        <v>Enter Custom Fixture</v>
      </c>
      <c r="R180" s="151" t="str">
        <f t="shared" si="3"/>
        <v>Enter Custom Fixture</v>
      </c>
    </row>
    <row r="181" spans="1:18">
      <c r="A181" s="151"/>
      <c r="B181" s="174" t="s">
        <v>540</v>
      </c>
      <c r="C181" s="174" t="s">
        <v>536</v>
      </c>
      <c r="D181" s="174" t="s">
        <v>536</v>
      </c>
      <c r="E181" s="174" t="s">
        <v>1144</v>
      </c>
      <c r="F181" s="175" t="s">
        <v>1197</v>
      </c>
      <c r="G181" s="176" t="s">
        <v>557</v>
      </c>
      <c r="H181" s="176">
        <v>1</v>
      </c>
      <c r="I181" s="176"/>
      <c r="J181" s="174">
        <v>1</v>
      </c>
      <c r="K181" s="174">
        <v>7</v>
      </c>
      <c r="L181" s="174">
        <v>10</v>
      </c>
      <c r="M181" s="174" t="s">
        <v>540</v>
      </c>
      <c r="O181" s="151" t="str">
        <f t="shared" si="4"/>
        <v>Enter Custom Fixture</v>
      </c>
      <c r="R181" s="151" t="str">
        <f t="shared" si="3"/>
        <v>Enter Custom Fixture</v>
      </c>
    </row>
    <row r="182" spans="1:18">
      <c r="A182" s="151"/>
      <c r="B182" s="174" t="s">
        <v>548</v>
      </c>
      <c r="C182" s="174" t="s">
        <v>536</v>
      </c>
      <c r="D182" s="174" t="s">
        <v>536</v>
      </c>
      <c r="E182" s="174" t="s">
        <v>1144</v>
      </c>
      <c r="F182" s="175" t="s">
        <v>1198</v>
      </c>
      <c r="G182" s="176" t="s">
        <v>557</v>
      </c>
      <c r="H182" s="176">
        <v>1</v>
      </c>
      <c r="I182" s="176"/>
      <c r="J182" s="174">
        <v>2</v>
      </c>
      <c r="K182" s="174">
        <v>7</v>
      </c>
      <c r="L182" s="174">
        <v>21</v>
      </c>
      <c r="M182" s="174" t="s">
        <v>548</v>
      </c>
      <c r="O182" s="151" t="str">
        <f t="shared" si="4"/>
        <v>Enter Custom Fixture</v>
      </c>
      <c r="R182" s="151" t="str">
        <f t="shared" si="3"/>
        <v>Enter Custom Fixture</v>
      </c>
    </row>
    <row r="183" spans="1:18">
      <c r="A183" s="151"/>
      <c r="B183" s="174" t="s">
        <v>558</v>
      </c>
      <c r="C183" s="174" t="s">
        <v>536</v>
      </c>
      <c r="D183" s="174" t="s">
        <v>536</v>
      </c>
      <c r="E183" s="174" t="s">
        <v>1199</v>
      </c>
      <c r="F183" s="175" t="s">
        <v>1200</v>
      </c>
      <c r="G183" s="176" t="s">
        <v>557</v>
      </c>
      <c r="H183" s="176">
        <v>1</v>
      </c>
      <c r="I183" s="176"/>
      <c r="J183" s="174">
        <v>1</v>
      </c>
      <c r="K183" s="174">
        <v>8</v>
      </c>
      <c r="L183" s="174">
        <v>12</v>
      </c>
      <c r="M183" s="174" t="s">
        <v>558</v>
      </c>
      <c r="O183" s="151" t="str">
        <f t="shared" si="4"/>
        <v>Enter Custom Fixture</v>
      </c>
      <c r="R183" s="151" t="str">
        <f t="shared" si="3"/>
        <v>Enter Custom Fixture</v>
      </c>
    </row>
    <row r="184" spans="1:18">
      <c r="A184" s="151"/>
      <c r="B184" s="174" t="s">
        <v>564</v>
      </c>
      <c r="C184" s="174" t="s">
        <v>536</v>
      </c>
      <c r="D184" s="174" t="s">
        <v>536</v>
      </c>
      <c r="E184" s="174" t="s">
        <v>1199</v>
      </c>
      <c r="F184" s="175" t="s">
        <v>1201</v>
      </c>
      <c r="G184" s="176" t="s">
        <v>557</v>
      </c>
      <c r="H184" s="176">
        <v>1</v>
      </c>
      <c r="I184" s="176"/>
      <c r="J184" s="174">
        <v>2</v>
      </c>
      <c r="K184" s="174">
        <v>8</v>
      </c>
      <c r="L184" s="174">
        <v>24</v>
      </c>
      <c r="M184" s="174" t="s">
        <v>564</v>
      </c>
      <c r="O184" s="151" t="str">
        <f t="shared" si="4"/>
        <v>Enter Custom Fixture</v>
      </c>
      <c r="R184" s="151" t="str">
        <f t="shared" si="3"/>
        <v>Enter Custom Fixture</v>
      </c>
    </row>
    <row r="185" spans="1:18">
      <c r="A185" s="151"/>
      <c r="B185" s="174" t="s">
        <v>572</v>
      </c>
      <c r="C185" s="174" t="s">
        <v>536</v>
      </c>
      <c r="D185" s="174" t="s">
        <v>536</v>
      </c>
      <c r="E185" s="174" t="s">
        <v>1149</v>
      </c>
      <c r="F185" s="175" t="s">
        <v>1202</v>
      </c>
      <c r="G185" s="176" t="s">
        <v>557</v>
      </c>
      <c r="H185" s="176">
        <v>1</v>
      </c>
      <c r="I185" s="176"/>
      <c r="J185" s="174">
        <v>1</v>
      </c>
      <c r="K185" s="174">
        <v>9</v>
      </c>
      <c r="L185" s="174">
        <v>12</v>
      </c>
      <c r="M185" s="174" t="s">
        <v>572</v>
      </c>
      <c r="O185" s="151" t="str">
        <f t="shared" si="4"/>
        <v>Enter Custom Fixture</v>
      </c>
      <c r="R185" s="151" t="str">
        <f t="shared" si="3"/>
        <v>Enter Custom Fixture</v>
      </c>
    </row>
    <row r="186" spans="1:18">
      <c r="A186" s="151"/>
      <c r="B186" s="174" t="s">
        <v>578</v>
      </c>
      <c r="C186" s="174" t="s">
        <v>536</v>
      </c>
      <c r="D186" s="174" t="s">
        <v>536</v>
      </c>
      <c r="E186" s="174" t="s">
        <v>1149</v>
      </c>
      <c r="F186" s="175" t="s">
        <v>1203</v>
      </c>
      <c r="G186" s="176" t="s">
        <v>557</v>
      </c>
      <c r="H186" s="176">
        <v>1</v>
      </c>
      <c r="I186" s="176"/>
      <c r="J186" s="174">
        <v>2</v>
      </c>
      <c r="K186" s="174">
        <v>9</v>
      </c>
      <c r="L186" s="174">
        <v>20</v>
      </c>
      <c r="M186" s="174" t="s">
        <v>578</v>
      </c>
      <c r="O186" s="151" t="str">
        <f t="shared" si="4"/>
        <v>Enter Custom Fixture</v>
      </c>
      <c r="R186" s="151" t="str">
        <f t="shared" si="3"/>
        <v>Enter Custom Fixture</v>
      </c>
    </row>
    <row r="187" spans="1:18">
      <c r="A187" s="151"/>
      <c r="B187" s="174" t="s">
        <v>586</v>
      </c>
      <c r="C187" s="174" t="s">
        <v>536</v>
      </c>
      <c r="D187" s="174" t="s">
        <v>536</v>
      </c>
      <c r="E187" s="174" t="s">
        <v>1204</v>
      </c>
      <c r="F187" s="175" t="s">
        <v>1205</v>
      </c>
      <c r="G187" s="176"/>
      <c r="H187" s="176"/>
      <c r="I187" s="176"/>
      <c r="J187" s="174">
        <v>2</v>
      </c>
      <c r="K187" s="174">
        <v>10</v>
      </c>
      <c r="L187" s="174">
        <v>20</v>
      </c>
      <c r="M187" s="174" t="s">
        <v>586</v>
      </c>
      <c r="O187" s="151" t="str">
        <f t="shared" si="4"/>
        <v>Enter Custom Fixture</v>
      </c>
    </row>
    <row r="188" spans="1:18">
      <c r="A188" s="151"/>
      <c r="B188" s="174" t="s">
        <v>592</v>
      </c>
      <c r="C188" s="174" t="s">
        <v>536</v>
      </c>
      <c r="D188" s="174" t="s">
        <v>536</v>
      </c>
      <c r="E188" s="174" t="s">
        <v>1206</v>
      </c>
      <c r="F188" s="175" t="s">
        <v>1207</v>
      </c>
      <c r="G188" s="176"/>
      <c r="H188" s="176"/>
      <c r="I188" s="176"/>
      <c r="J188" s="174">
        <v>1</v>
      </c>
      <c r="K188" s="174">
        <v>15</v>
      </c>
      <c r="L188" s="174">
        <v>15</v>
      </c>
      <c r="M188" s="174" t="s">
        <v>592</v>
      </c>
      <c r="O188" s="151" t="str">
        <f t="shared" si="4"/>
        <v>Enter Custom Fixture</v>
      </c>
    </row>
    <row r="189" spans="1:18">
      <c r="A189" s="151"/>
      <c r="B189" s="174" t="s">
        <v>599</v>
      </c>
      <c r="C189" s="174" t="s">
        <v>536</v>
      </c>
      <c r="D189" s="174" t="s">
        <v>536</v>
      </c>
      <c r="E189" s="174" t="s">
        <v>1206</v>
      </c>
      <c r="F189" s="175" t="s">
        <v>1208</v>
      </c>
      <c r="G189" s="176"/>
      <c r="H189" s="176"/>
      <c r="I189" s="176"/>
      <c r="J189" s="174">
        <v>2</v>
      </c>
      <c r="K189" s="174">
        <v>15</v>
      </c>
      <c r="L189" s="174">
        <v>30</v>
      </c>
      <c r="M189" s="174" t="s">
        <v>599</v>
      </c>
      <c r="O189" s="151" t="str">
        <f t="shared" si="4"/>
        <v>Enter Custom Fixture</v>
      </c>
    </row>
    <row r="190" spans="1:18">
      <c r="A190" s="151"/>
      <c r="B190" s="174" t="s">
        <v>606</v>
      </c>
      <c r="C190" s="174" t="s">
        <v>536</v>
      </c>
      <c r="D190" s="174" t="s">
        <v>536</v>
      </c>
      <c r="E190" s="174" t="s">
        <v>1209</v>
      </c>
      <c r="F190" s="175" t="s">
        <v>1210</v>
      </c>
      <c r="G190" s="176"/>
      <c r="H190" s="176"/>
      <c r="I190" s="176"/>
      <c r="J190" s="174">
        <v>1</v>
      </c>
      <c r="K190" s="174">
        <v>20</v>
      </c>
      <c r="L190" s="174">
        <v>20</v>
      </c>
      <c r="M190" s="174" t="s">
        <v>606</v>
      </c>
      <c r="O190" s="151" t="str">
        <f t="shared" si="4"/>
        <v>Enter Custom Fixture</v>
      </c>
    </row>
    <row r="191" spans="1:18">
      <c r="A191" s="151"/>
      <c r="B191" s="174" t="s">
        <v>611</v>
      </c>
      <c r="C191" s="174" t="s">
        <v>536</v>
      </c>
      <c r="D191" s="174" t="s">
        <v>536</v>
      </c>
      <c r="E191" s="174" t="s">
        <v>1209</v>
      </c>
      <c r="F191" s="175" t="s">
        <v>1211</v>
      </c>
      <c r="G191" s="176"/>
      <c r="H191" s="176"/>
      <c r="I191" s="176"/>
      <c r="J191" s="174">
        <v>2</v>
      </c>
      <c r="K191" s="174">
        <v>20</v>
      </c>
      <c r="L191" s="174">
        <v>40</v>
      </c>
      <c r="M191" s="174" t="s">
        <v>611</v>
      </c>
      <c r="O191" s="151" t="str">
        <f t="shared" si="4"/>
        <v>Enter Custom Fixture</v>
      </c>
    </row>
    <row r="192" spans="1:18">
      <c r="A192" s="151"/>
      <c r="B192" s="174" t="s">
        <v>618</v>
      </c>
      <c r="C192" s="174" t="s">
        <v>536</v>
      </c>
      <c r="D192" s="174" t="s">
        <v>536</v>
      </c>
      <c r="E192" s="174" t="s">
        <v>1212</v>
      </c>
      <c r="F192" s="175" t="s">
        <v>1213</v>
      </c>
      <c r="G192" s="176"/>
      <c r="H192" s="176"/>
      <c r="I192" s="176"/>
      <c r="J192" s="174">
        <v>1</v>
      </c>
      <c r="K192" s="174">
        <v>25</v>
      </c>
      <c r="L192" s="174">
        <v>25</v>
      </c>
      <c r="M192" s="174" t="s">
        <v>618</v>
      </c>
      <c r="O192" s="151" t="str">
        <f t="shared" si="4"/>
        <v>Enter Custom Fixture</v>
      </c>
    </row>
    <row r="193" spans="1:15">
      <c r="A193" s="151"/>
      <c r="B193" s="174" t="s">
        <v>623</v>
      </c>
      <c r="C193" s="174" t="s">
        <v>536</v>
      </c>
      <c r="D193" s="174" t="s">
        <v>536</v>
      </c>
      <c r="E193" s="174" t="s">
        <v>1212</v>
      </c>
      <c r="F193" s="175" t="s">
        <v>1214</v>
      </c>
      <c r="G193" s="176"/>
      <c r="H193" s="176"/>
      <c r="I193" s="176"/>
      <c r="J193" s="174">
        <v>2</v>
      </c>
      <c r="K193" s="174">
        <v>25</v>
      </c>
      <c r="L193" s="174">
        <v>50</v>
      </c>
      <c r="M193" s="174" t="s">
        <v>623</v>
      </c>
      <c r="O193" s="151" t="str">
        <f t="shared" si="4"/>
        <v>Enter Custom Fixture</v>
      </c>
    </row>
    <row r="194" spans="1:15">
      <c r="A194" s="151"/>
      <c r="B194" s="174" t="s">
        <v>630</v>
      </c>
      <c r="C194" s="174" t="s">
        <v>536</v>
      </c>
      <c r="D194" s="174" t="s">
        <v>536</v>
      </c>
      <c r="E194" s="174" t="s">
        <v>1215</v>
      </c>
      <c r="F194" s="175" t="s">
        <v>1216</v>
      </c>
      <c r="G194" s="176"/>
      <c r="H194" s="176"/>
      <c r="I194" s="176"/>
      <c r="J194" s="174">
        <v>1</v>
      </c>
      <c r="K194" s="174">
        <v>34</v>
      </c>
      <c r="L194" s="174">
        <v>34</v>
      </c>
      <c r="M194" s="174" t="s">
        <v>630</v>
      </c>
      <c r="O194" s="151" t="str">
        <f t="shared" si="4"/>
        <v>Enter Custom Fixture</v>
      </c>
    </row>
    <row r="195" spans="1:15">
      <c r="A195" s="151"/>
      <c r="B195" s="174" t="s">
        <v>636</v>
      </c>
      <c r="C195" s="174" t="s">
        <v>536</v>
      </c>
      <c r="D195" s="174" t="s">
        <v>536</v>
      </c>
      <c r="E195" s="174" t="s">
        <v>1215</v>
      </c>
      <c r="F195" s="175" t="s">
        <v>1217</v>
      </c>
      <c r="G195" s="176"/>
      <c r="H195" s="176"/>
      <c r="I195" s="176"/>
      <c r="J195" s="174">
        <v>2</v>
      </c>
      <c r="K195" s="174">
        <v>34</v>
      </c>
      <c r="L195" s="174">
        <v>68</v>
      </c>
      <c r="M195" s="174" t="s">
        <v>636</v>
      </c>
      <c r="O195" s="151" t="str">
        <f t="shared" si="4"/>
        <v>Enter Custom Fixture</v>
      </c>
    </row>
    <row r="196" spans="1:15">
      <c r="A196" s="151"/>
      <c r="B196" s="174" t="s">
        <v>642</v>
      </c>
      <c r="C196" s="174" t="s">
        <v>536</v>
      </c>
      <c r="D196" s="174" t="s">
        <v>536</v>
      </c>
      <c r="E196" s="174" t="s">
        <v>1218</v>
      </c>
      <c r="F196" s="175" t="s">
        <v>1219</v>
      </c>
      <c r="G196" s="176"/>
      <c r="H196" s="176"/>
      <c r="I196" s="176"/>
      <c r="J196" s="174">
        <v>1</v>
      </c>
      <c r="K196" s="174">
        <v>40</v>
      </c>
      <c r="L196" s="174">
        <v>40</v>
      </c>
      <c r="M196" s="174" t="s">
        <v>642</v>
      </c>
      <c r="O196" s="151" t="str">
        <f t="shared" si="4"/>
        <v>Enter Custom Fixture</v>
      </c>
    </row>
    <row r="197" spans="1:15">
      <c r="A197" s="151"/>
      <c r="B197" s="174" t="s">
        <v>648</v>
      </c>
      <c r="C197" s="174" t="s">
        <v>536</v>
      </c>
      <c r="D197" s="174" t="s">
        <v>536</v>
      </c>
      <c r="E197" s="174" t="s">
        <v>1218</v>
      </c>
      <c r="F197" s="175" t="s">
        <v>1220</v>
      </c>
      <c r="G197" s="176"/>
      <c r="H197" s="176"/>
      <c r="I197" s="176"/>
      <c r="J197" s="174">
        <v>2</v>
      </c>
      <c r="K197" s="174">
        <v>40</v>
      </c>
      <c r="L197" s="174">
        <v>80</v>
      </c>
      <c r="M197" s="174" t="s">
        <v>648</v>
      </c>
      <c r="O197" s="151" t="str">
        <f t="shared" si="4"/>
        <v>Enter Custom Fixture</v>
      </c>
    </row>
    <row r="198" spans="1:15">
      <c r="A198" s="151"/>
      <c r="B198" s="174" t="s">
        <v>655</v>
      </c>
      <c r="C198" s="174" t="s">
        <v>536</v>
      </c>
      <c r="D198" s="174" t="s">
        <v>536</v>
      </c>
      <c r="E198" s="174" t="s">
        <v>1221</v>
      </c>
      <c r="F198" s="175" t="s">
        <v>1222</v>
      </c>
      <c r="G198" s="176"/>
      <c r="H198" s="176"/>
      <c r="I198" s="176"/>
      <c r="J198" s="174">
        <v>1</v>
      </c>
      <c r="K198" s="174">
        <v>5</v>
      </c>
      <c r="L198" s="174">
        <v>5</v>
      </c>
      <c r="M198" s="174" t="s">
        <v>655</v>
      </c>
      <c r="O198" s="151" t="str">
        <f t="shared" si="4"/>
        <v>Enter Custom Fixture</v>
      </c>
    </row>
    <row r="199" spans="1:15">
      <c r="A199" s="151"/>
      <c r="B199" s="174" t="s">
        <v>660</v>
      </c>
      <c r="C199" s="174" t="s">
        <v>536</v>
      </c>
      <c r="D199" s="174" t="s">
        <v>536</v>
      </c>
      <c r="E199" s="174" t="s">
        <v>1221</v>
      </c>
      <c r="F199" s="175" t="s">
        <v>1223</v>
      </c>
      <c r="G199" s="176"/>
      <c r="H199" s="176"/>
      <c r="I199" s="176"/>
      <c r="J199" s="174">
        <v>2</v>
      </c>
      <c r="K199" s="174">
        <v>5</v>
      </c>
      <c r="L199" s="174">
        <v>10</v>
      </c>
      <c r="M199" s="174" t="s">
        <v>660</v>
      </c>
      <c r="O199" s="151" t="str">
        <f t="shared" si="4"/>
        <v>Enter Custom Fixture</v>
      </c>
    </row>
    <row r="200" spans="1:15">
      <c r="A200" s="151"/>
      <c r="B200" s="174" t="s">
        <v>667</v>
      </c>
      <c r="C200" s="174" t="s">
        <v>536</v>
      </c>
      <c r="D200" s="174" t="s">
        <v>536</v>
      </c>
      <c r="E200" s="174" t="s">
        <v>1224</v>
      </c>
      <c r="F200" s="175" t="s">
        <v>1225</v>
      </c>
      <c r="G200" s="176"/>
      <c r="H200" s="176"/>
      <c r="I200" s="176"/>
      <c r="J200" s="174">
        <v>2</v>
      </c>
      <c r="K200" s="174">
        <v>50</v>
      </c>
      <c r="L200" s="174">
        <v>100</v>
      </c>
      <c r="M200" s="174" t="s">
        <v>667</v>
      </c>
      <c r="O200" s="151" t="str">
        <f t="shared" si="4"/>
        <v>Enter Custom Fixture</v>
      </c>
    </row>
    <row r="201" spans="1:15">
      <c r="A201" s="151"/>
      <c r="B201" s="174" t="s">
        <v>673</v>
      </c>
      <c r="C201" s="174" t="s">
        <v>536</v>
      </c>
      <c r="D201" s="174" t="s">
        <v>536</v>
      </c>
      <c r="E201" s="174" t="s">
        <v>1226</v>
      </c>
      <c r="F201" s="175" t="s">
        <v>1227</v>
      </c>
      <c r="G201" s="176"/>
      <c r="H201" s="176"/>
      <c r="I201" s="176"/>
      <c r="J201" s="174">
        <v>1</v>
      </c>
      <c r="K201" s="174">
        <v>7.5</v>
      </c>
      <c r="L201" s="174">
        <v>8</v>
      </c>
      <c r="M201" s="174" t="s">
        <v>673</v>
      </c>
      <c r="O201" s="151" t="str">
        <f t="shared" si="4"/>
        <v>Enter Custom Fixture</v>
      </c>
    </row>
    <row r="202" spans="1:15">
      <c r="A202" s="151"/>
      <c r="B202" s="174" t="s">
        <v>678</v>
      </c>
      <c r="C202" s="174" t="s">
        <v>536</v>
      </c>
      <c r="D202" s="174" t="s">
        <v>536</v>
      </c>
      <c r="E202" s="174" t="s">
        <v>1226</v>
      </c>
      <c r="F202" s="175" t="s">
        <v>1228</v>
      </c>
      <c r="G202" s="176"/>
      <c r="H202" s="176"/>
      <c r="I202" s="176"/>
      <c r="J202" s="174">
        <v>2</v>
      </c>
      <c r="K202" s="174">
        <v>7.5</v>
      </c>
      <c r="L202" s="174">
        <v>15</v>
      </c>
      <c r="M202" s="174" t="s">
        <v>678</v>
      </c>
      <c r="O202" s="151" t="str">
        <f t="shared" si="4"/>
        <v>Enter Custom Fixture</v>
      </c>
    </row>
    <row r="203" spans="1:15">
      <c r="A203" s="151"/>
      <c r="B203" s="174" t="s">
        <v>683</v>
      </c>
      <c r="C203" s="174" t="s">
        <v>536</v>
      </c>
      <c r="D203" s="174" t="s">
        <v>536</v>
      </c>
      <c r="E203" s="174" t="s">
        <v>1229</v>
      </c>
      <c r="F203" s="175" t="s">
        <v>1230</v>
      </c>
      <c r="G203" s="176"/>
      <c r="H203" s="176"/>
      <c r="I203" s="176"/>
      <c r="J203" s="174">
        <v>1</v>
      </c>
      <c r="K203" s="174">
        <v>0.5</v>
      </c>
      <c r="L203" s="174">
        <v>0.5</v>
      </c>
      <c r="M203" s="174" t="s">
        <v>683</v>
      </c>
      <c r="O203" s="151" t="str">
        <f t="shared" si="4"/>
        <v>Enter Custom Fixture</v>
      </c>
    </row>
    <row r="204" spans="1:15">
      <c r="A204" s="151"/>
      <c r="B204" s="174" t="s">
        <v>689</v>
      </c>
      <c r="C204" s="174" t="s">
        <v>536</v>
      </c>
      <c r="D204" s="174" t="s">
        <v>536</v>
      </c>
      <c r="E204" s="174" t="s">
        <v>1229</v>
      </c>
      <c r="F204" s="175" t="s">
        <v>1231</v>
      </c>
      <c r="G204" s="176"/>
      <c r="H204" s="176"/>
      <c r="I204" s="176"/>
      <c r="J204" s="174">
        <v>2</v>
      </c>
      <c r="K204" s="174">
        <v>0.5</v>
      </c>
      <c r="L204" s="174">
        <v>1</v>
      </c>
      <c r="M204" s="174" t="s">
        <v>689</v>
      </c>
      <c r="O204" s="151" t="str">
        <f t="shared" si="4"/>
        <v>Enter Custom Fixture</v>
      </c>
    </row>
    <row r="205" spans="1:15">
      <c r="A205" s="151"/>
      <c r="B205" s="174" t="s">
        <v>693</v>
      </c>
      <c r="C205" s="174" t="s">
        <v>536</v>
      </c>
      <c r="D205" s="174" t="s">
        <v>536</v>
      </c>
      <c r="E205" s="174" t="s">
        <v>1232</v>
      </c>
      <c r="F205" s="175" t="s">
        <v>1233</v>
      </c>
      <c r="G205" s="176"/>
      <c r="H205" s="176"/>
      <c r="I205" s="176"/>
      <c r="J205" s="174">
        <v>1</v>
      </c>
      <c r="K205" s="174">
        <v>1.5</v>
      </c>
      <c r="L205" s="174">
        <v>1.5</v>
      </c>
      <c r="M205" s="174" t="s">
        <v>693</v>
      </c>
      <c r="O205" s="151" t="str">
        <f t="shared" si="4"/>
        <v>Enter Custom Fixture</v>
      </c>
    </row>
    <row r="206" spans="1:15">
      <c r="A206" s="151"/>
      <c r="B206" s="174" t="s">
        <v>699</v>
      </c>
      <c r="C206" s="174" t="s">
        <v>536</v>
      </c>
      <c r="D206" s="174" t="s">
        <v>536</v>
      </c>
      <c r="E206" s="174" t="s">
        <v>1232</v>
      </c>
      <c r="F206" s="175" t="s">
        <v>1234</v>
      </c>
      <c r="G206" s="176"/>
      <c r="H206" s="176"/>
      <c r="I206" s="176"/>
      <c r="J206" s="174">
        <v>2</v>
      </c>
      <c r="K206" s="174">
        <v>1.5</v>
      </c>
      <c r="L206" s="174">
        <v>3</v>
      </c>
      <c r="M206" s="174" t="s">
        <v>699</v>
      </c>
      <c r="O206" s="151" t="str">
        <f t="shared" si="4"/>
        <v>Enter Custom Fixture</v>
      </c>
    </row>
    <row r="207" spans="1:15">
      <c r="A207" s="151"/>
      <c r="B207" s="174" t="s">
        <v>704</v>
      </c>
      <c r="C207" s="174" t="s">
        <v>536</v>
      </c>
      <c r="D207" s="174" t="s">
        <v>536</v>
      </c>
      <c r="E207" s="174" t="s">
        <v>1235</v>
      </c>
      <c r="F207" s="175" t="s">
        <v>1236</v>
      </c>
      <c r="G207" s="176"/>
      <c r="H207" s="176"/>
      <c r="I207" s="176"/>
      <c r="J207" s="174">
        <v>1</v>
      </c>
      <c r="K207" s="174">
        <v>10.5</v>
      </c>
      <c r="L207" s="174">
        <v>10.5</v>
      </c>
      <c r="M207" s="174" t="s">
        <v>704</v>
      </c>
      <c r="O207" s="151" t="str">
        <f t="shared" si="4"/>
        <v>Enter Custom Fixture</v>
      </c>
    </row>
    <row r="208" spans="1:15">
      <c r="A208" s="151"/>
      <c r="B208" s="174" t="s">
        <v>709</v>
      </c>
      <c r="C208" s="174" t="s">
        <v>536</v>
      </c>
      <c r="D208" s="174" t="s">
        <v>536</v>
      </c>
      <c r="E208" s="174" t="s">
        <v>1235</v>
      </c>
      <c r="F208" s="175" t="s">
        <v>1237</v>
      </c>
      <c r="G208" s="176"/>
      <c r="H208" s="176"/>
      <c r="I208" s="176"/>
      <c r="J208" s="174">
        <v>2</v>
      </c>
      <c r="K208" s="174">
        <v>10.5</v>
      </c>
      <c r="L208" s="174">
        <v>21</v>
      </c>
      <c r="M208" s="174" t="s">
        <v>709</v>
      </c>
      <c r="O208" s="151" t="str">
        <f t="shared" si="4"/>
        <v>Enter Custom Fixture</v>
      </c>
    </row>
    <row r="209" spans="1:15">
      <c r="A209" s="151"/>
      <c r="B209" s="174" t="s">
        <v>714</v>
      </c>
      <c r="C209" s="174" t="s">
        <v>536</v>
      </c>
      <c r="D209" s="174" t="s">
        <v>536</v>
      </c>
      <c r="E209" s="174" t="s">
        <v>1238</v>
      </c>
      <c r="F209" s="175" t="s">
        <v>1239</v>
      </c>
      <c r="G209" s="176"/>
      <c r="H209" s="176"/>
      <c r="I209" s="176"/>
      <c r="J209" s="174">
        <v>1</v>
      </c>
      <c r="K209" s="174">
        <v>2</v>
      </c>
      <c r="L209" s="174">
        <v>2</v>
      </c>
      <c r="M209" s="174" t="s">
        <v>714</v>
      </c>
      <c r="O209" s="151" t="str">
        <f t="shared" si="4"/>
        <v>Enter Custom Fixture</v>
      </c>
    </row>
    <row r="210" spans="1:15">
      <c r="A210" s="151"/>
      <c r="B210" s="174" t="s">
        <v>719</v>
      </c>
      <c r="C210" s="174" t="s">
        <v>536</v>
      </c>
      <c r="D210" s="174" t="s">
        <v>536</v>
      </c>
      <c r="E210" s="174" t="s">
        <v>1238</v>
      </c>
      <c r="F210" s="175" t="s">
        <v>1240</v>
      </c>
      <c r="G210" s="176"/>
      <c r="H210" s="176"/>
      <c r="I210" s="176"/>
      <c r="J210" s="174">
        <v>2</v>
      </c>
      <c r="K210" s="174">
        <v>2</v>
      </c>
      <c r="L210" s="174">
        <v>4</v>
      </c>
      <c r="M210" s="174" t="s">
        <v>719</v>
      </c>
      <c r="O210" s="151" t="str">
        <f t="shared" si="4"/>
        <v>Enter Custom Fixture</v>
      </c>
    </row>
    <row r="211" spans="1:15">
      <c r="A211" s="151"/>
      <c r="B211" s="174" t="s">
        <v>724</v>
      </c>
      <c r="C211" s="174" t="s">
        <v>536</v>
      </c>
      <c r="D211" s="174" t="s">
        <v>536</v>
      </c>
      <c r="E211" s="174" t="s">
        <v>1241</v>
      </c>
      <c r="F211" s="175" t="s">
        <v>1242</v>
      </c>
      <c r="G211" s="176"/>
      <c r="H211" s="176"/>
      <c r="I211" s="176"/>
      <c r="J211" s="174">
        <v>1</v>
      </c>
      <c r="K211" s="174">
        <v>3</v>
      </c>
      <c r="L211" s="174">
        <v>3</v>
      </c>
      <c r="M211" s="174" t="s">
        <v>724</v>
      </c>
      <c r="O211" s="151" t="str">
        <f t="shared" si="4"/>
        <v>Enter Custom Fixture</v>
      </c>
    </row>
    <row r="212" spans="1:15">
      <c r="A212" s="151"/>
      <c r="B212" s="174" t="s">
        <v>731</v>
      </c>
      <c r="C212" s="174" t="s">
        <v>536</v>
      </c>
      <c r="D212" s="174" t="s">
        <v>536</v>
      </c>
      <c r="E212" s="174" t="s">
        <v>1241</v>
      </c>
      <c r="F212" s="175" t="s">
        <v>1243</v>
      </c>
      <c r="G212" s="176"/>
      <c r="H212" s="176"/>
      <c r="I212" s="176"/>
      <c r="J212" s="174">
        <v>2</v>
      </c>
      <c r="K212" s="174">
        <v>3</v>
      </c>
      <c r="L212" s="174">
        <v>6</v>
      </c>
      <c r="M212" s="174" t="s">
        <v>731</v>
      </c>
      <c r="O212" s="151" t="str">
        <f t="shared" si="4"/>
        <v>Enter Custom Fixture</v>
      </c>
    </row>
    <row r="213" spans="1:15">
      <c r="A213" s="151"/>
      <c r="B213" s="174" t="s">
        <v>737</v>
      </c>
      <c r="C213" s="174" t="s">
        <v>536</v>
      </c>
      <c r="D213" s="174" t="s">
        <v>536</v>
      </c>
      <c r="E213" s="174" t="s">
        <v>1244</v>
      </c>
      <c r="F213" s="175" t="s">
        <v>1245</v>
      </c>
      <c r="G213" s="176"/>
      <c r="H213" s="176"/>
      <c r="I213" s="176"/>
      <c r="J213" s="174">
        <v>1</v>
      </c>
      <c r="K213" s="174">
        <v>5</v>
      </c>
      <c r="L213" s="174">
        <v>5</v>
      </c>
      <c r="M213" s="174" t="s">
        <v>737</v>
      </c>
      <c r="O213" s="151" t="str">
        <f t="shared" si="4"/>
        <v>Enter Custom Fixture</v>
      </c>
    </row>
    <row r="214" spans="1:15">
      <c r="A214" s="151"/>
      <c r="B214" s="174" t="s">
        <v>743</v>
      </c>
      <c r="C214" s="174" t="s">
        <v>536</v>
      </c>
      <c r="D214" s="174" t="s">
        <v>536</v>
      </c>
      <c r="E214" s="174" t="s">
        <v>1244</v>
      </c>
      <c r="F214" s="175" t="s">
        <v>1246</v>
      </c>
      <c r="G214" s="176"/>
      <c r="H214" s="176"/>
      <c r="I214" s="176"/>
      <c r="J214" s="174">
        <v>2</v>
      </c>
      <c r="K214" s="174">
        <v>5</v>
      </c>
      <c r="L214" s="174">
        <v>10</v>
      </c>
      <c r="M214" s="174" t="s">
        <v>743</v>
      </c>
      <c r="O214" s="151" t="str">
        <f t="shared" si="4"/>
        <v>Enter Custom Fixture</v>
      </c>
    </row>
    <row r="215" spans="1:15">
      <c r="A215" s="151"/>
      <c r="B215" s="174" t="s">
        <v>749</v>
      </c>
      <c r="C215" s="174" t="s">
        <v>536</v>
      </c>
      <c r="D215" s="174" t="s">
        <v>536</v>
      </c>
      <c r="E215" s="174" t="s">
        <v>1247</v>
      </c>
      <c r="F215" s="175" t="s">
        <v>1248</v>
      </c>
      <c r="G215" s="176"/>
      <c r="H215" s="176"/>
      <c r="I215" s="176"/>
      <c r="J215" s="174">
        <v>1</v>
      </c>
      <c r="K215" s="174">
        <v>8</v>
      </c>
      <c r="L215" s="174">
        <v>8</v>
      </c>
      <c r="M215" s="174" t="s">
        <v>749</v>
      </c>
      <c r="O215" s="151" t="str">
        <f t="shared" si="4"/>
        <v>Enter Custom Fixture</v>
      </c>
    </row>
    <row r="216" spans="1:15">
      <c r="A216" s="151"/>
      <c r="B216" s="174" t="s">
        <v>755</v>
      </c>
      <c r="C216" s="174" t="s">
        <v>536</v>
      </c>
      <c r="D216" s="174" t="s">
        <v>536</v>
      </c>
      <c r="E216" s="174" t="s">
        <v>1247</v>
      </c>
      <c r="F216" s="175" t="s">
        <v>1249</v>
      </c>
      <c r="G216" s="176"/>
      <c r="H216" s="176"/>
      <c r="I216" s="176"/>
      <c r="J216" s="174">
        <v>2</v>
      </c>
      <c r="K216" s="174">
        <v>8</v>
      </c>
      <c r="L216" s="174">
        <v>16</v>
      </c>
      <c r="M216" s="174" t="s">
        <v>755</v>
      </c>
      <c r="O216" s="151" t="str">
        <f t="shared" si="4"/>
        <v>Enter Custom Fixture</v>
      </c>
    </row>
    <row r="217" spans="1:15">
      <c r="A217" s="151"/>
      <c r="B217" s="174" t="s">
        <v>526</v>
      </c>
      <c r="C217" s="174" t="s">
        <v>544</v>
      </c>
      <c r="D217" s="174" t="s">
        <v>1250</v>
      </c>
      <c r="E217" s="174" t="s">
        <v>1251</v>
      </c>
      <c r="F217" s="175" t="s">
        <v>1252</v>
      </c>
      <c r="G217" s="176" t="s">
        <v>1253</v>
      </c>
      <c r="H217" s="176">
        <v>1</v>
      </c>
      <c r="I217" s="176"/>
      <c r="J217" s="174">
        <v>1</v>
      </c>
      <c r="K217" s="174">
        <v>100</v>
      </c>
      <c r="L217" s="174">
        <v>138</v>
      </c>
      <c r="M217" s="174" t="s">
        <v>526</v>
      </c>
      <c r="O217" s="151" t="str">
        <f t="shared" si="4"/>
        <v>Enter Custom Fixture</v>
      </c>
    </row>
    <row r="218" spans="1:15">
      <c r="A218" s="151"/>
      <c r="B218" s="174" t="s">
        <v>533</v>
      </c>
      <c r="C218" s="174" t="s">
        <v>544</v>
      </c>
      <c r="D218" s="174" t="s">
        <v>1250</v>
      </c>
      <c r="E218" s="174" t="s">
        <v>1254</v>
      </c>
      <c r="F218" s="175" t="s">
        <v>1255</v>
      </c>
      <c r="G218" s="176" t="s">
        <v>1253</v>
      </c>
      <c r="H218" s="176">
        <v>1</v>
      </c>
      <c r="I218" s="176"/>
      <c r="J218" s="174">
        <v>1</v>
      </c>
      <c r="K218" s="174">
        <v>1000</v>
      </c>
      <c r="L218" s="174">
        <v>1100</v>
      </c>
      <c r="M218" s="174" t="s">
        <v>533</v>
      </c>
      <c r="O218" s="151" t="str">
        <f t="shared" si="4"/>
        <v>Enter Custom Fixture</v>
      </c>
    </row>
    <row r="219" spans="1:15">
      <c r="A219" s="151"/>
      <c r="B219" s="174" t="s">
        <v>541</v>
      </c>
      <c r="C219" s="174" t="s">
        <v>544</v>
      </c>
      <c r="D219" s="174" t="s">
        <v>1250</v>
      </c>
      <c r="E219" s="174" t="s">
        <v>1256</v>
      </c>
      <c r="F219" s="175" t="s">
        <v>1257</v>
      </c>
      <c r="G219" s="176" t="s">
        <v>1253</v>
      </c>
      <c r="H219" s="176">
        <v>1</v>
      </c>
      <c r="I219" s="176"/>
      <c r="J219" s="174">
        <v>1</v>
      </c>
      <c r="K219" s="174">
        <v>150</v>
      </c>
      <c r="L219" s="174">
        <v>188</v>
      </c>
      <c r="M219" s="174" t="s">
        <v>541</v>
      </c>
      <c r="O219" s="151" t="str">
        <f t="shared" si="4"/>
        <v>Enter Custom Fixture</v>
      </c>
    </row>
    <row r="220" spans="1:15">
      <c r="A220" s="151"/>
      <c r="B220" s="174" t="s">
        <v>549</v>
      </c>
      <c r="C220" s="174" t="s">
        <v>544</v>
      </c>
      <c r="D220" s="174" t="s">
        <v>1250</v>
      </c>
      <c r="E220" s="174" t="s">
        <v>1258</v>
      </c>
      <c r="F220" s="175" t="s">
        <v>1259</v>
      </c>
      <c r="G220" s="176" t="s">
        <v>1253</v>
      </c>
      <c r="H220" s="176">
        <v>1</v>
      </c>
      <c r="I220" s="176"/>
      <c r="J220" s="174">
        <v>1</v>
      </c>
      <c r="K220" s="174">
        <v>200</v>
      </c>
      <c r="L220" s="174">
        <v>250</v>
      </c>
      <c r="M220" s="174" t="s">
        <v>549</v>
      </c>
      <c r="O220" s="151" t="str">
        <f t="shared" si="4"/>
        <v>Enter Custom Fixture</v>
      </c>
    </row>
    <row r="221" spans="1:15">
      <c r="A221" s="151"/>
      <c r="B221" s="174" t="s">
        <v>559</v>
      </c>
      <c r="C221" s="174" t="s">
        <v>544</v>
      </c>
      <c r="D221" s="174" t="s">
        <v>1250</v>
      </c>
      <c r="E221" s="174" t="s">
        <v>1260</v>
      </c>
      <c r="F221" s="175" t="s">
        <v>1261</v>
      </c>
      <c r="G221" s="176" t="s">
        <v>1253</v>
      </c>
      <c r="H221" s="176">
        <v>1</v>
      </c>
      <c r="I221" s="176"/>
      <c r="J221" s="174">
        <v>1</v>
      </c>
      <c r="K221" s="174">
        <v>225</v>
      </c>
      <c r="L221" s="174">
        <v>275</v>
      </c>
      <c r="M221" s="174" t="s">
        <v>559</v>
      </c>
      <c r="O221" s="151" t="str">
        <f t="shared" si="4"/>
        <v>Enter Custom Fixture</v>
      </c>
    </row>
    <row r="222" spans="1:15">
      <c r="A222" s="151"/>
      <c r="B222" s="174" t="s">
        <v>565</v>
      </c>
      <c r="C222" s="174" t="s">
        <v>544</v>
      </c>
      <c r="D222" s="174" t="s">
        <v>1250</v>
      </c>
      <c r="E222" s="174" t="s">
        <v>1262</v>
      </c>
      <c r="F222" s="175" t="s">
        <v>1263</v>
      </c>
      <c r="G222" s="176" t="s">
        <v>1253</v>
      </c>
      <c r="H222" s="176">
        <v>1</v>
      </c>
      <c r="I222" s="176"/>
      <c r="J222" s="174">
        <v>1</v>
      </c>
      <c r="K222" s="174">
        <v>250</v>
      </c>
      <c r="L222" s="174">
        <v>295</v>
      </c>
      <c r="M222" s="174" t="s">
        <v>565</v>
      </c>
    </row>
    <row r="223" spans="1:15">
      <c r="A223" s="151"/>
      <c r="B223" s="174" t="s">
        <v>573</v>
      </c>
      <c r="C223" s="174" t="s">
        <v>544</v>
      </c>
      <c r="D223" s="174" t="s">
        <v>1250</v>
      </c>
      <c r="E223" s="174" t="s">
        <v>1264</v>
      </c>
      <c r="F223" s="175" t="s">
        <v>1265</v>
      </c>
      <c r="G223" s="176" t="s">
        <v>1253</v>
      </c>
      <c r="H223" s="176">
        <v>1</v>
      </c>
      <c r="I223" s="176"/>
      <c r="J223" s="174">
        <v>1</v>
      </c>
      <c r="K223" s="174">
        <v>310</v>
      </c>
      <c r="L223" s="174">
        <v>365</v>
      </c>
      <c r="M223" s="174" t="s">
        <v>573</v>
      </c>
    </row>
    <row r="224" spans="1:15">
      <c r="A224" s="151"/>
      <c r="B224" s="174" t="s">
        <v>579</v>
      </c>
      <c r="C224" s="174" t="s">
        <v>544</v>
      </c>
      <c r="D224" s="174" t="s">
        <v>1250</v>
      </c>
      <c r="E224" s="174" t="s">
        <v>1266</v>
      </c>
      <c r="F224" s="175" t="s">
        <v>1267</v>
      </c>
      <c r="G224" s="176" t="s">
        <v>1253</v>
      </c>
      <c r="H224" s="176">
        <v>1</v>
      </c>
      <c r="I224" s="176"/>
      <c r="J224" s="174">
        <v>1</v>
      </c>
      <c r="K224" s="174">
        <v>35</v>
      </c>
      <c r="L224" s="174">
        <v>46</v>
      </c>
      <c r="M224" s="174" t="s">
        <v>579</v>
      </c>
    </row>
    <row r="225" spans="1:13">
      <c r="A225" s="151"/>
      <c r="B225" s="174" t="s">
        <v>587</v>
      </c>
      <c r="C225" s="174" t="s">
        <v>544</v>
      </c>
      <c r="D225" s="174" t="s">
        <v>1250</v>
      </c>
      <c r="E225" s="174" t="s">
        <v>1268</v>
      </c>
      <c r="F225" s="175" t="s">
        <v>1269</v>
      </c>
      <c r="G225" s="176" t="s">
        <v>1253</v>
      </c>
      <c r="H225" s="176">
        <v>1</v>
      </c>
      <c r="I225" s="176"/>
      <c r="J225" s="174">
        <v>1</v>
      </c>
      <c r="K225" s="174">
        <v>360</v>
      </c>
      <c r="L225" s="174">
        <v>414</v>
      </c>
      <c r="M225" s="174" t="s">
        <v>587</v>
      </c>
    </row>
    <row r="226" spans="1:13">
      <c r="A226" s="151"/>
      <c r="B226" s="174" t="s">
        <v>593</v>
      </c>
      <c r="C226" s="174" t="s">
        <v>544</v>
      </c>
      <c r="D226" s="174" t="s">
        <v>1250</v>
      </c>
      <c r="E226" s="174" t="s">
        <v>1270</v>
      </c>
      <c r="F226" s="175" t="s">
        <v>1271</v>
      </c>
      <c r="G226" s="176" t="s">
        <v>1253</v>
      </c>
      <c r="H226" s="176">
        <v>1</v>
      </c>
      <c r="I226" s="176"/>
      <c r="J226" s="174">
        <v>1</v>
      </c>
      <c r="K226" s="174">
        <v>400</v>
      </c>
      <c r="L226" s="174">
        <v>465</v>
      </c>
      <c r="M226" s="174" t="s">
        <v>593</v>
      </c>
    </row>
    <row r="227" spans="1:13">
      <c r="A227" s="151"/>
      <c r="B227" s="174" t="s">
        <v>600</v>
      </c>
      <c r="C227" s="174" t="s">
        <v>544</v>
      </c>
      <c r="D227" s="174" t="s">
        <v>1250</v>
      </c>
      <c r="E227" s="174" t="s">
        <v>1272</v>
      </c>
      <c r="F227" s="175" t="s">
        <v>1273</v>
      </c>
      <c r="G227" s="176" t="s">
        <v>1253</v>
      </c>
      <c r="H227" s="176">
        <v>1</v>
      </c>
      <c r="I227" s="176"/>
      <c r="J227" s="174">
        <v>1</v>
      </c>
      <c r="K227" s="174">
        <v>50</v>
      </c>
      <c r="L227" s="174">
        <v>66</v>
      </c>
      <c r="M227" s="174" t="s">
        <v>600</v>
      </c>
    </row>
    <row r="228" spans="1:13">
      <c r="A228" s="151"/>
      <c r="B228" s="174" t="s">
        <v>607</v>
      </c>
      <c r="C228" s="174" t="s">
        <v>544</v>
      </c>
      <c r="D228" s="174" t="s">
        <v>1250</v>
      </c>
      <c r="E228" s="174" t="s">
        <v>1274</v>
      </c>
      <c r="F228" s="175" t="s">
        <v>1275</v>
      </c>
      <c r="G228" s="176" t="s">
        <v>1253</v>
      </c>
      <c r="H228" s="176">
        <v>1</v>
      </c>
      <c r="I228" s="176"/>
      <c r="J228" s="174">
        <v>1</v>
      </c>
      <c r="K228" s="174">
        <v>600</v>
      </c>
      <c r="L228" s="174">
        <v>675</v>
      </c>
      <c r="M228" s="174" t="s">
        <v>607</v>
      </c>
    </row>
    <row r="229" spans="1:13">
      <c r="A229" s="151"/>
      <c r="B229" s="174" t="s">
        <v>612</v>
      </c>
      <c r="C229" s="174" t="s">
        <v>544</v>
      </c>
      <c r="D229" s="174" t="s">
        <v>1250</v>
      </c>
      <c r="E229" s="174" t="s">
        <v>1276</v>
      </c>
      <c r="F229" s="175" t="s">
        <v>1277</v>
      </c>
      <c r="G229" s="176" t="s">
        <v>1253</v>
      </c>
      <c r="H229" s="176">
        <v>1</v>
      </c>
      <c r="I229" s="176"/>
      <c r="J229" s="174">
        <v>1</v>
      </c>
      <c r="K229" s="174">
        <v>70</v>
      </c>
      <c r="L229" s="174">
        <v>95</v>
      </c>
      <c r="M229" s="174" t="s">
        <v>612</v>
      </c>
    </row>
    <row r="230" spans="1:13">
      <c r="A230" s="151"/>
      <c r="B230" s="174" t="s">
        <v>619</v>
      </c>
      <c r="C230" s="174" t="s">
        <v>544</v>
      </c>
      <c r="D230" s="174" t="s">
        <v>1250</v>
      </c>
      <c r="E230" s="174" t="s">
        <v>1278</v>
      </c>
      <c r="F230" s="175" t="s">
        <v>1279</v>
      </c>
      <c r="G230" s="176" t="s">
        <v>1253</v>
      </c>
      <c r="H230" s="176">
        <v>1</v>
      </c>
      <c r="I230" s="176"/>
      <c r="J230" s="174">
        <v>1</v>
      </c>
      <c r="K230" s="174">
        <v>750</v>
      </c>
      <c r="L230" s="174">
        <v>835</v>
      </c>
      <c r="M230" s="174" t="s">
        <v>619</v>
      </c>
    </row>
    <row r="231" spans="1:13">
      <c r="A231" s="151"/>
      <c r="B231" s="174" t="s">
        <v>624</v>
      </c>
      <c r="C231" s="174" t="s">
        <v>544</v>
      </c>
      <c r="D231" s="174" t="s">
        <v>1280</v>
      </c>
      <c r="E231" s="174" t="s">
        <v>1281</v>
      </c>
      <c r="F231" s="175" t="s">
        <v>1282</v>
      </c>
      <c r="G231" s="176" t="s">
        <v>1253</v>
      </c>
      <c r="H231" s="176">
        <v>1</v>
      </c>
      <c r="I231" s="176"/>
      <c r="J231" s="174">
        <v>1</v>
      </c>
      <c r="K231" s="174">
        <v>100</v>
      </c>
      <c r="L231" s="174">
        <v>128</v>
      </c>
      <c r="M231" s="174" t="s">
        <v>624</v>
      </c>
    </row>
    <row r="232" spans="1:13">
      <c r="A232" s="151"/>
      <c r="B232" s="174" t="s">
        <v>631</v>
      </c>
      <c r="C232" s="174" t="s">
        <v>544</v>
      </c>
      <c r="D232" s="174" t="s">
        <v>1280</v>
      </c>
      <c r="E232" s="174" t="s">
        <v>1283</v>
      </c>
      <c r="F232" s="175" t="s">
        <v>1284</v>
      </c>
      <c r="G232" s="176" t="s">
        <v>1253</v>
      </c>
      <c r="H232" s="176">
        <v>1</v>
      </c>
      <c r="I232" s="176"/>
      <c r="J232" s="174">
        <v>1</v>
      </c>
      <c r="K232" s="174">
        <v>1000</v>
      </c>
      <c r="L232" s="174">
        <v>1080</v>
      </c>
      <c r="M232" s="174" t="s">
        <v>631</v>
      </c>
    </row>
    <row r="233" spans="1:13">
      <c r="A233" s="151"/>
      <c r="B233" s="174" t="s">
        <v>637</v>
      </c>
      <c r="C233" s="174" t="s">
        <v>544</v>
      </c>
      <c r="D233" s="174" t="s">
        <v>1280</v>
      </c>
      <c r="E233" s="174" t="s">
        <v>1285</v>
      </c>
      <c r="F233" s="175" t="s">
        <v>1286</v>
      </c>
      <c r="G233" s="176" t="s">
        <v>1253</v>
      </c>
      <c r="H233" s="176">
        <v>1</v>
      </c>
      <c r="I233" s="176"/>
      <c r="J233" s="174">
        <v>1</v>
      </c>
      <c r="K233" s="174">
        <v>150</v>
      </c>
      <c r="L233" s="174">
        <v>190</v>
      </c>
      <c r="M233" s="174" t="s">
        <v>637</v>
      </c>
    </row>
    <row r="234" spans="1:13">
      <c r="A234" s="151"/>
      <c r="B234" s="174" t="s">
        <v>643</v>
      </c>
      <c r="C234" s="174" t="s">
        <v>544</v>
      </c>
      <c r="D234" s="174" t="s">
        <v>1280</v>
      </c>
      <c r="E234" s="174" t="s">
        <v>1287</v>
      </c>
      <c r="F234" s="175" t="s">
        <v>1288</v>
      </c>
      <c r="G234" s="176" t="s">
        <v>1253</v>
      </c>
      <c r="H234" s="176">
        <v>1</v>
      </c>
      <c r="I234" s="176"/>
      <c r="J234" s="174">
        <v>1</v>
      </c>
      <c r="K234" s="174">
        <v>1500</v>
      </c>
      <c r="L234" s="174">
        <v>1610</v>
      </c>
      <c r="M234" s="174" t="s">
        <v>643</v>
      </c>
    </row>
    <row r="235" spans="1:13">
      <c r="A235" s="151"/>
      <c r="B235" s="174" t="s">
        <v>649</v>
      </c>
      <c r="C235" s="174" t="s">
        <v>544</v>
      </c>
      <c r="D235" s="174" t="s">
        <v>1280</v>
      </c>
      <c r="E235" s="174" t="s">
        <v>1289</v>
      </c>
      <c r="F235" s="175" t="s">
        <v>1290</v>
      </c>
      <c r="G235" s="176" t="s">
        <v>1253</v>
      </c>
      <c r="H235" s="176">
        <v>1</v>
      </c>
      <c r="I235" s="176"/>
      <c r="J235" s="174">
        <v>1</v>
      </c>
      <c r="K235" s="174">
        <v>175</v>
      </c>
      <c r="L235" s="174">
        <v>215</v>
      </c>
      <c r="M235" s="174" t="s">
        <v>649</v>
      </c>
    </row>
    <row r="236" spans="1:13">
      <c r="A236" s="151"/>
      <c r="B236" s="174" t="s">
        <v>656</v>
      </c>
      <c r="C236" s="174" t="s">
        <v>544</v>
      </c>
      <c r="D236" s="174" t="s">
        <v>1280</v>
      </c>
      <c r="E236" s="174" t="s">
        <v>1291</v>
      </c>
      <c r="F236" s="175" t="s">
        <v>1292</v>
      </c>
      <c r="G236" s="176" t="s">
        <v>1253</v>
      </c>
      <c r="H236" s="176">
        <v>1</v>
      </c>
      <c r="I236" s="176"/>
      <c r="J236" s="174">
        <v>1</v>
      </c>
      <c r="K236" s="174">
        <v>1800</v>
      </c>
      <c r="L236" s="174">
        <v>1875</v>
      </c>
      <c r="M236" s="174" t="s">
        <v>656</v>
      </c>
    </row>
    <row r="237" spans="1:13">
      <c r="A237" s="151"/>
      <c r="B237" s="174" t="s">
        <v>661</v>
      </c>
      <c r="C237" s="174" t="s">
        <v>544</v>
      </c>
      <c r="D237" s="174" t="s">
        <v>1280</v>
      </c>
      <c r="E237" s="174" t="s">
        <v>1293</v>
      </c>
      <c r="F237" s="175" t="s">
        <v>1294</v>
      </c>
      <c r="G237" s="176" t="s">
        <v>1253</v>
      </c>
      <c r="H237" s="176">
        <v>1</v>
      </c>
      <c r="I237" s="176"/>
      <c r="J237" s="174">
        <v>1</v>
      </c>
      <c r="K237" s="174">
        <v>200</v>
      </c>
      <c r="L237" s="174">
        <v>232</v>
      </c>
      <c r="M237" s="174" t="s">
        <v>661</v>
      </c>
    </row>
    <row r="238" spans="1:13">
      <c r="A238" s="151"/>
      <c r="B238" s="174" t="s">
        <v>668</v>
      </c>
      <c r="C238" s="174" t="s">
        <v>544</v>
      </c>
      <c r="D238" s="174" t="s">
        <v>1280</v>
      </c>
      <c r="E238" s="174" t="s">
        <v>1295</v>
      </c>
      <c r="F238" s="175" t="s">
        <v>1296</v>
      </c>
      <c r="G238" s="176" t="s">
        <v>1253</v>
      </c>
      <c r="H238" s="176">
        <v>1</v>
      </c>
      <c r="I238" s="176"/>
      <c r="J238" s="174">
        <v>1</v>
      </c>
      <c r="K238" s="174">
        <v>250</v>
      </c>
      <c r="L238" s="174">
        <v>295</v>
      </c>
      <c r="M238" s="174" t="s">
        <v>668</v>
      </c>
    </row>
    <row r="239" spans="1:13">
      <c r="A239" s="151"/>
      <c r="B239" s="174" t="s">
        <v>674</v>
      </c>
      <c r="C239" s="174" t="s">
        <v>544</v>
      </c>
      <c r="D239" s="174" t="s">
        <v>1280</v>
      </c>
      <c r="E239" s="174" t="s">
        <v>1297</v>
      </c>
      <c r="F239" s="175" t="s">
        <v>1298</v>
      </c>
      <c r="G239" s="176" t="s">
        <v>1253</v>
      </c>
      <c r="H239" s="176">
        <v>1</v>
      </c>
      <c r="I239" s="176"/>
      <c r="J239" s="174">
        <v>1</v>
      </c>
      <c r="K239" s="174">
        <v>300</v>
      </c>
      <c r="L239" s="174">
        <v>342</v>
      </c>
      <c r="M239" s="174" t="s">
        <v>674</v>
      </c>
    </row>
    <row r="240" spans="1:13">
      <c r="A240" s="151"/>
      <c r="B240" s="174" t="s">
        <v>679</v>
      </c>
      <c r="C240" s="174" t="s">
        <v>544</v>
      </c>
      <c r="D240" s="174" t="s">
        <v>1280</v>
      </c>
      <c r="E240" s="174" t="s">
        <v>1299</v>
      </c>
      <c r="F240" s="175" t="s">
        <v>1300</v>
      </c>
      <c r="G240" s="176" t="s">
        <v>1253</v>
      </c>
      <c r="H240" s="176">
        <v>1</v>
      </c>
      <c r="I240" s="176"/>
      <c r="J240" s="174">
        <v>1</v>
      </c>
      <c r="K240" s="174">
        <v>32</v>
      </c>
      <c r="L240" s="174">
        <v>43</v>
      </c>
      <c r="M240" s="174" t="s">
        <v>679</v>
      </c>
    </row>
    <row r="241" spans="1:13">
      <c r="A241" s="151"/>
      <c r="B241" s="174" t="s">
        <v>684</v>
      </c>
      <c r="C241" s="174" t="s">
        <v>544</v>
      </c>
      <c r="D241" s="174" t="s">
        <v>1280</v>
      </c>
      <c r="E241" s="174" t="s">
        <v>1301</v>
      </c>
      <c r="F241" s="175" t="s">
        <v>1302</v>
      </c>
      <c r="G241" s="176" t="s">
        <v>1253</v>
      </c>
      <c r="H241" s="176">
        <v>1</v>
      </c>
      <c r="I241" s="176"/>
      <c r="J241" s="174">
        <v>1</v>
      </c>
      <c r="K241" s="174">
        <v>320</v>
      </c>
      <c r="L241" s="174">
        <v>365</v>
      </c>
      <c r="M241" s="174" t="s">
        <v>684</v>
      </c>
    </row>
    <row r="242" spans="1:13">
      <c r="A242" s="151"/>
      <c r="B242" s="174" t="s">
        <v>690</v>
      </c>
      <c r="C242" s="174" t="s">
        <v>544</v>
      </c>
      <c r="D242" s="174" t="s">
        <v>1280</v>
      </c>
      <c r="E242" s="174" t="s">
        <v>1303</v>
      </c>
      <c r="F242" s="175" t="s">
        <v>1304</v>
      </c>
      <c r="G242" s="176" t="s">
        <v>1253</v>
      </c>
      <c r="H242" s="176">
        <v>1</v>
      </c>
      <c r="I242" s="176"/>
      <c r="J242" s="174">
        <v>1</v>
      </c>
      <c r="K242" s="174">
        <v>35</v>
      </c>
      <c r="L242" s="174">
        <v>44</v>
      </c>
      <c r="M242" s="174" t="s">
        <v>690</v>
      </c>
    </row>
    <row r="243" spans="1:13">
      <c r="A243" s="151"/>
      <c r="B243" s="174" t="s">
        <v>694</v>
      </c>
      <c r="C243" s="174" t="s">
        <v>544</v>
      </c>
      <c r="D243" s="174" t="s">
        <v>1280</v>
      </c>
      <c r="E243" s="174" t="s">
        <v>1305</v>
      </c>
      <c r="F243" s="175" t="s">
        <v>1306</v>
      </c>
      <c r="G243" s="176" t="s">
        <v>1253</v>
      </c>
      <c r="H243" s="176">
        <v>1</v>
      </c>
      <c r="I243" s="176"/>
      <c r="J243" s="174">
        <v>1</v>
      </c>
      <c r="K243" s="174">
        <v>350</v>
      </c>
      <c r="L243" s="174">
        <v>400</v>
      </c>
      <c r="M243" s="174" t="s">
        <v>694</v>
      </c>
    </row>
    <row r="244" spans="1:13">
      <c r="A244" s="151"/>
      <c r="B244" s="174" t="s">
        <v>700</v>
      </c>
      <c r="C244" s="174" t="s">
        <v>544</v>
      </c>
      <c r="D244" s="174" t="s">
        <v>1280</v>
      </c>
      <c r="E244" s="174" t="s">
        <v>1307</v>
      </c>
      <c r="F244" s="175" t="s">
        <v>1308</v>
      </c>
      <c r="G244" s="176" t="s">
        <v>1253</v>
      </c>
      <c r="H244" s="176">
        <v>1</v>
      </c>
      <c r="I244" s="176"/>
      <c r="J244" s="174">
        <v>1</v>
      </c>
      <c r="K244" s="174">
        <v>360</v>
      </c>
      <c r="L244" s="174">
        <v>430</v>
      </c>
      <c r="M244" s="174" t="s">
        <v>700</v>
      </c>
    </row>
    <row r="245" spans="1:13">
      <c r="A245" s="151"/>
      <c r="B245" s="174" t="s">
        <v>705</v>
      </c>
      <c r="C245" s="174" t="s">
        <v>544</v>
      </c>
      <c r="D245" s="174" t="s">
        <v>1280</v>
      </c>
      <c r="E245" s="174" t="s">
        <v>1309</v>
      </c>
      <c r="F245" s="175" t="s">
        <v>1310</v>
      </c>
      <c r="G245" s="176" t="s">
        <v>1253</v>
      </c>
      <c r="H245" s="176">
        <v>1</v>
      </c>
      <c r="I245" s="176"/>
      <c r="J245" s="174">
        <v>1</v>
      </c>
      <c r="K245" s="174">
        <v>400</v>
      </c>
      <c r="L245" s="174">
        <v>458</v>
      </c>
      <c r="M245" s="174" t="s">
        <v>705</v>
      </c>
    </row>
    <row r="246" spans="1:13">
      <c r="A246" s="151"/>
      <c r="B246" s="174" t="s">
        <v>710</v>
      </c>
      <c r="C246" s="174" t="s">
        <v>544</v>
      </c>
      <c r="D246" s="174" t="s">
        <v>1280</v>
      </c>
      <c r="E246" s="174" t="s">
        <v>1309</v>
      </c>
      <c r="F246" s="175" t="s">
        <v>1311</v>
      </c>
      <c r="G246" s="176" t="s">
        <v>1253</v>
      </c>
      <c r="H246" s="176">
        <v>1</v>
      </c>
      <c r="I246" s="176"/>
      <c r="J246" s="174">
        <v>2</v>
      </c>
      <c r="K246" s="174">
        <v>400</v>
      </c>
      <c r="L246" s="174">
        <v>916</v>
      </c>
      <c r="M246" s="174" t="s">
        <v>710</v>
      </c>
    </row>
    <row r="247" spans="1:13">
      <c r="A247" s="151"/>
      <c r="B247" s="174" t="s">
        <v>715</v>
      </c>
      <c r="C247" s="174" t="s">
        <v>544</v>
      </c>
      <c r="D247" s="174" t="s">
        <v>1280</v>
      </c>
      <c r="E247" s="174" t="s">
        <v>1312</v>
      </c>
      <c r="F247" s="175" t="s">
        <v>1313</v>
      </c>
      <c r="G247" s="176" t="s">
        <v>1253</v>
      </c>
      <c r="H247" s="176">
        <v>1</v>
      </c>
      <c r="I247" s="176"/>
      <c r="J247" s="174">
        <v>1</v>
      </c>
      <c r="K247" s="174">
        <v>450</v>
      </c>
      <c r="L247" s="174">
        <v>508</v>
      </c>
      <c r="M247" s="174" t="s">
        <v>715</v>
      </c>
    </row>
    <row r="248" spans="1:13">
      <c r="A248" s="151"/>
      <c r="B248" s="174" t="s">
        <v>720</v>
      </c>
      <c r="C248" s="174" t="s">
        <v>544</v>
      </c>
      <c r="D248" s="174" t="s">
        <v>1280</v>
      </c>
      <c r="E248" s="174" t="s">
        <v>1314</v>
      </c>
      <c r="F248" s="175" t="s">
        <v>1315</v>
      </c>
      <c r="G248" s="176" t="s">
        <v>1253</v>
      </c>
      <c r="H248" s="176">
        <v>1</v>
      </c>
      <c r="I248" s="176"/>
      <c r="J248" s="174">
        <v>1</v>
      </c>
      <c r="K248" s="174">
        <v>50</v>
      </c>
      <c r="L248" s="174">
        <v>72</v>
      </c>
      <c r="M248" s="174" t="s">
        <v>720</v>
      </c>
    </row>
    <row r="249" spans="1:13">
      <c r="A249" s="151"/>
      <c r="B249" s="174" t="s">
        <v>725</v>
      </c>
      <c r="C249" s="174" t="s">
        <v>544</v>
      </c>
      <c r="D249" s="174" t="s">
        <v>1280</v>
      </c>
      <c r="E249" s="174" t="s">
        <v>1316</v>
      </c>
      <c r="F249" s="175" t="s">
        <v>1317</v>
      </c>
      <c r="G249" s="176" t="s">
        <v>1253</v>
      </c>
      <c r="H249" s="176">
        <v>1</v>
      </c>
      <c r="I249" s="176"/>
      <c r="J249" s="174">
        <v>1</v>
      </c>
      <c r="K249" s="174">
        <v>70</v>
      </c>
      <c r="L249" s="174">
        <v>95</v>
      </c>
      <c r="M249" s="174" t="s">
        <v>725</v>
      </c>
    </row>
    <row r="250" spans="1:13">
      <c r="A250" s="151"/>
      <c r="B250" s="174" t="s">
        <v>732</v>
      </c>
      <c r="C250" s="174" t="s">
        <v>544</v>
      </c>
      <c r="D250" s="174" t="s">
        <v>1280</v>
      </c>
      <c r="E250" s="174" t="s">
        <v>1318</v>
      </c>
      <c r="F250" s="175" t="s">
        <v>1319</v>
      </c>
      <c r="G250" s="176" t="s">
        <v>1253</v>
      </c>
      <c r="H250" s="176">
        <v>1</v>
      </c>
      <c r="I250" s="176"/>
      <c r="J250" s="174">
        <v>1</v>
      </c>
      <c r="K250" s="174">
        <v>750</v>
      </c>
      <c r="L250" s="174">
        <v>850</v>
      </c>
      <c r="M250" s="174" t="s">
        <v>732</v>
      </c>
    </row>
    <row r="251" spans="1:13">
      <c r="A251" s="151"/>
      <c r="B251" s="174" t="s">
        <v>738</v>
      </c>
      <c r="C251" s="174" t="s">
        <v>544</v>
      </c>
      <c r="D251" s="174" t="s">
        <v>1320</v>
      </c>
      <c r="E251" s="174" t="s">
        <v>1321</v>
      </c>
      <c r="F251" s="175" t="s">
        <v>1322</v>
      </c>
      <c r="G251" s="176" t="s">
        <v>1323</v>
      </c>
      <c r="H251" s="176">
        <v>1</v>
      </c>
      <c r="I251" s="176"/>
      <c r="J251" s="174">
        <v>1</v>
      </c>
      <c r="K251" s="174">
        <v>100</v>
      </c>
      <c r="L251" s="174">
        <v>118</v>
      </c>
      <c r="M251" s="174" t="s">
        <v>738</v>
      </c>
    </row>
    <row r="252" spans="1:13">
      <c r="A252" s="151"/>
      <c r="B252" s="174" t="s">
        <v>744</v>
      </c>
      <c r="C252" s="174" t="s">
        <v>544</v>
      </c>
      <c r="D252" s="174" t="s">
        <v>1320</v>
      </c>
      <c r="E252" s="174" t="s">
        <v>1324</v>
      </c>
      <c r="F252" s="175" t="s">
        <v>1325</v>
      </c>
      <c r="G252" s="176" t="s">
        <v>1323</v>
      </c>
      <c r="H252" s="176">
        <v>1</v>
      </c>
      <c r="I252" s="176"/>
      <c r="J252" s="174">
        <v>1</v>
      </c>
      <c r="K252" s="174">
        <v>150</v>
      </c>
      <c r="L252" s="174">
        <v>170</v>
      </c>
      <c r="M252" s="174" t="s">
        <v>744</v>
      </c>
    </row>
    <row r="253" spans="1:13">
      <c r="A253" s="151"/>
      <c r="B253" s="174" t="s">
        <v>750</v>
      </c>
      <c r="C253" s="174" t="s">
        <v>544</v>
      </c>
      <c r="D253" s="174" t="s">
        <v>1320</v>
      </c>
      <c r="E253" s="174" t="s">
        <v>1326</v>
      </c>
      <c r="F253" s="175" t="s">
        <v>1327</v>
      </c>
      <c r="G253" s="176" t="s">
        <v>1323</v>
      </c>
      <c r="H253" s="176">
        <v>1</v>
      </c>
      <c r="I253" s="176"/>
      <c r="J253" s="174">
        <v>1</v>
      </c>
      <c r="K253" s="174">
        <v>175</v>
      </c>
      <c r="L253" s="174">
        <v>194</v>
      </c>
      <c r="M253" s="174" t="s">
        <v>750</v>
      </c>
    </row>
    <row r="254" spans="1:13">
      <c r="A254" s="151"/>
      <c r="B254" s="174" t="s">
        <v>756</v>
      </c>
      <c r="C254" s="174" t="s">
        <v>544</v>
      </c>
      <c r="D254" s="174" t="s">
        <v>1320</v>
      </c>
      <c r="E254" s="174" t="s">
        <v>1328</v>
      </c>
      <c r="F254" s="175" t="s">
        <v>1329</v>
      </c>
      <c r="G254" s="176" t="s">
        <v>1323</v>
      </c>
      <c r="H254" s="176">
        <v>1</v>
      </c>
      <c r="I254" s="176"/>
      <c r="J254" s="174">
        <v>1</v>
      </c>
      <c r="K254" s="174">
        <v>200</v>
      </c>
      <c r="L254" s="174">
        <v>219</v>
      </c>
      <c r="M254" s="174" t="s">
        <v>756</v>
      </c>
    </row>
    <row r="255" spans="1:13">
      <c r="A255" s="151"/>
      <c r="B255" s="174" t="s">
        <v>761</v>
      </c>
      <c r="C255" s="174" t="s">
        <v>544</v>
      </c>
      <c r="D255" s="174" t="s">
        <v>1320</v>
      </c>
      <c r="E255" s="174" t="s">
        <v>1330</v>
      </c>
      <c r="F255" s="175" t="s">
        <v>1331</v>
      </c>
      <c r="G255" s="176" t="s">
        <v>1323</v>
      </c>
      <c r="H255" s="176">
        <v>1</v>
      </c>
      <c r="I255" s="176"/>
      <c r="J255" s="174">
        <v>1</v>
      </c>
      <c r="K255" s="174">
        <v>250</v>
      </c>
      <c r="L255" s="174">
        <v>275</v>
      </c>
      <c r="M255" s="174" t="s">
        <v>761</v>
      </c>
    </row>
    <row r="256" spans="1:13">
      <c r="A256" s="151"/>
      <c r="B256" s="174" t="s">
        <v>766</v>
      </c>
      <c r="C256" s="174" t="s">
        <v>544</v>
      </c>
      <c r="D256" s="174" t="s">
        <v>1320</v>
      </c>
      <c r="E256" s="174" t="s">
        <v>1332</v>
      </c>
      <c r="F256" s="175" t="s">
        <v>1333</v>
      </c>
      <c r="G256" s="176" t="s">
        <v>1323</v>
      </c>
      <c r="H256" s="176">
        <v>1</v>
      </c>
      <c r="I256" s="176"/>
      <c r="J256" s="174">
        <v>1</v>
      </c>
      <c r="K256" s="174">
        <v>300</v>
      </c>
      <c r="L256" s="174">
        <v>324</v>
      </c>
      <c r="M256" s="174" t="s">
        <v>766</v>
      </c>
    </row>
    <row r="257" spans="1:13">
      <c r="A257" s="151"/>
      <c r="B257" s="174" t="s">
        <v>771</v>
      </c>
      <c r="C257" s="174" t="s">
        <v>544</v>
      </c>
      <c r="D257" s="174" t="s">
        <v>1320</v>
      </c>
      <c r="E257" s="174" t="s">
        <v>1334</v>
      </c>
      <c r="F257" s="175" t="s">
        <v>1335</v>
      </c>
      <c r="G257" s="176" t="s">
        <v>1323</v>
      </c>
      <c r="H257" s="176">
        <v>1</v>
      </c>
      <c r="I257" s="176"/>
      <c r="J257" s="174">
        <v>1</v>
      </c>
      <c r="K257" s="174">
        <v>320</v>
      </c>
      <c r="L257" s="174">
        <v>349</v>
      </c>
      <c r="M257" s="174" t="s">
        <v>771</v>
      </c>
    </row>
    <row r="258" spans="1:13">
      <c r="A258" s="151"/>
      <c r="B258" s="174" t="s">
        <v>776</v>
      </c>
      <c r="C258" s="174" t="s">
        <v>544</v>
      </c>
      <c r="D258" s="174" t="s">
        <v>1320</v>
      </c>
      <c r="E258" s="174" t="s">
        <v>1336</v>
      </c>
      <c r="F258" s="175" t="s">
        <v>1337</v>
      </c>
      <c r="G258" s="176" t="s">
        <v>1323</v>
      </c>
      <c r="H258" s="176">
        <v>1</v>
      </c>
      <c r="I258" s="176"/>
      <c r="J258" s="174">
        <v>1</v>
      </c>
      <c r="K258" s="174">
        <v>350</v>
      </c>
      <c r="L258" s="174">
        <v>380</v>
      </c>
      <c r="M258" s="174" t="s">
        <v>776</v>
      </c>
    </row>
    <row r="259" spans="1:13">
      <c r="A259" s="151"/>
      <c r="B259" s="174" t="s">
        <v>781</v>
      </c>
      <c r="C259" s="174" t="s">
        <v>544</v>
      </c>
      <c r="D259" s="174" t="s">
        <v>1320</v>
      </c>
      <c r="E259" s="174" t="s">
        <v>1338</v>
      </c>
      <c r="F259" s="175" t="s">
        <v>1339</v>
      </c>
      <c r="G259" s="176" t="s">
        <v>1323</v>
      </c>
      <c r="H259" s="176">
        <v>1</v>
      </c>
      <c r="I259" s="176"/>
      <c r="J259" s="174">
        <v>1</v>
      </c>
      <c r="K259" s="174">
        <v>400</v>
      </c>
      <c r="L259" s="174">
        <v>435</v>
      </c>
      <c r="M259" s="174" t="s">
        <v>781</v>
      </c>
    </row>
    <row r="260" spans="1:13">
      <c r="A260" s="151"/>
      <c r="B260" s="174" t="s">
        <v>786</v>
      </c>
      <c r="C260" s="174" t="s">
        <v>544</v>
      </c>
      <c r="D260" s="174" t="s">
        <v>1320</v>
      </c>
      <c r="E260" s="174" t="s">
        <v>1340</v>
      </c>
      <c r="F260" s="175" t="s">
        <v>1341</v>
      </c>
      <c r="G260" s="176" t="s">
        <v>1323</v>
      </c>
      <c r="H260" s="176">
        <v>1</v>
      </c>
      <c r="I260" s="176"/>
      <c r="J260" s="174">
        <v>1</v>
      </c>
      <c r="K260" s="174">
        <v>450</v>
      </c>
      <c r="L260" s="174">
        <v>485</v>
      </c>
      <c r="M260" s="174" t="s">
        <v>786</v>
      </c>
    </row>
    <row r="261" spans="1:13">
      <c r="A261" s="151"/>
      <c r="B261" s="174" t="s">
        <v>791</v>
      </c>
      <c r="C261" s="174" t="s">
        <v>544</v>
      </c>
      <c r="D261" s="174" t="s">
        <v>1320</v>
      </c>
      <c r="E261" s="174" t="s">
        <v>1342</v>
      </c>
      <c r="F261" s="175" t="s">
        <v>1343</v>
      </c>
      <c r="G261" s="176" t="s">
        <v>1323</v>
      </c>
      <c r="H261" s="176">
        <v>1</v>
      </c>
      <c r="I261" s="176"/>
      <c r="J261" s="174">
        <v>1</v>
      </c>
      <c r="K261" s="174">
        <v>750</v>
      </c>
      <c r="L261" s="174">
        <v>805</v>
      </c>
      <c r="M261" s="174" t="s">
        <v>791</v>
      </c>
    </row>
    <row r="262" spans="1:13">
      <c r="A262" s="151"/>
      <c r="B262" s="174" t="s">
        <v>796</v>
      </c>
      <c r="C262" s="174" t="s">
        <v>544</v>
      </c>
      <c r="D262" s="174" t="s">
        <v>1320</v>
      </c>
      <c r="E262" s="174" t="s">
        <v>1321</v>
      </c>
      <c r="F262" s="175" t="s">
        <v>1344</v>
      </c>
      <c r="G262" s="176" t="s">
        <v>1345</v>
      </c>
      <c r="H262" s="176">
        <v>1</v>
      </c>
      <c r="I262" s="176"/>
      <c r="J262" s="174">
        <v>1</v>
      </c>
      <c r="K262" s="174">
        <v>100</v>
      </c>
      <c r="L262" s="174">
        <v>128</v>
      </c>
      <c r="M262" s="174" t="s">
        <v>796</v>
      </c>
    </row>
    <row r="263" spans="1:13">
      <c r="A263" s="151"/>
      <c r="B263" s="174" t="s">
        <v>801</v>
      </c>
      <c r="C263" s="174" t="s">
        <v>544</v>
      </c>
      <c r="D263" s="174" t="s">
        <v>1320</v>
      </c>
      <c r="E263" s="174" t="s">
        <v>1346</v>
      </c>
      <c r="F263" s="175" t="s">
        <v>1347</v>
      </c>
      <c r="G263" s="176" t="s">
        <v>1345</v>
      </c>
      <c r="H263" s="176">
        <v>1</v>
      </c>
      <c r="I263" s="176"/>
      <c r="J263" s="174">
        <v>1</v>
      </c>
      <c r="K263" s="174">
        <v>1000</v>
      </c>
      <c r="L263" s="174">
        <v>1080</v>
      </c>
      <c r="M263" s="174" t="s">
        <v>801</v>
      </c>
    </row>
    <row r="264" spans="1:13">
      <c r="A264" s="151"/>
      <c r="B264" s="174" t="s">
        <v>806</v>
      </c>
      <c r="C264" s="174" t="s">
        <v>544</v>
      </c>
      <c r="D264" s="174" t="s">
        <v>1320</v>
      </c>
      <c r="E264" s="174" t="s">
        <v>1324</v>
      </c>
      <c r="F264" s="175" t="s">
        <v>1348</v>
      </c>
      <c r="G264" s="176" t="s">
        <v>1345</v>
      </c>
      <c r="H264" s="176">
        <v>1</v>
      </c>
      <c r="I264" s="176"/>
      <c r="J264" s="174">
        <v>1</v>
      </c>
      <c r="K264" s="174">
        <v>150</v>
      </c>
      <c r="L264" s="174">
        <v>190</v>
      </c>
      <c r="M264" s="174" t="s">
        <v>806</v>
      </c>
    </row>
    <row r="265" spans="1:13">
      <c r="A265" s="151"/>
      <c r="B265" s="174" t="s">
        <v>811</v>
      </c>
      <c r="C265" s="174" t="s">
        <v>544</v>
      </c>
      <c r="D265" s="174" t="s">
        <v>1320</v>
      </c>
      <c r="E265" s="174" t="s">
        <v>1326</v>
      </c>
      <c r="F265" s="175" t="s">
        <v>1349</v>
      </c>
      <c r="G265" s="176" t="s">
        <v>1345</v>
      </c>
      <c r="H265" s="176">
        <v>1</v>
      </c>
      <c r="I265" s="176"/>
      <c r="J265" s="174">
        <v>1</v>
      </c>
      <c r="K265" s="174">
        <v>175</v>
      </c>
      <c r="L265" s="174">
        <v>208</v>
      </c>
      <c r="M265" s="174" t="s">
        <v>811</v>
      </c>
    </row>
    <row r="266" spans="1:13">
      <c r="A266" s="151"/>
      <c r="B266" s="174" t="s">
        <v>815</v>
      </c>
      <c r="C266" s="174" t="s">
        <v>544</v>
      </c>
      <c r="D266" s="174" t="s">
        <v>1320</v>
      </c>
      <c r="E266" s="174" t="s">
        <v>1328</v>
      </c>
      <c r="F266" s="175" t="s">
        <v>1350</v>
      </c>
      <c r="G266" s="176" t="s">
        <v>1345</v>
      </c>
      <c r="H266" s="176">
        <v>1</v>
      </c>
      <c r="I266" s="176"/>
      <c r="J266" s="174">
        <v>1</v>
      </c>
      <c r="K266" s="174">
        <v>200</v>
      </c>
      <c r="L266" s="174">
        <v>232</v>
      </c>
      <c r="M266" s="174" t="s">
        <v>815</v>
      </c>
    </row>
    <row r="267" spans="1:13">
      <c r="A267" s="151"/>
      <c r="B267" s="174" t="s">
        <v>819</v>
      </c>
      <c r="C267" s="174" t="s">
        <v>544</v>
      </c>
      <c r="D267" s="174" t="s">
        <v>1320</v>
      </c>
      <c r="E267" s="174" t="s">
        <v>1330</v>
      </c>
      <c r="F267" s="175" t="s">
        <v>1351</v>
      </c>
      <c r="G267" s="176" t="s">
        <v>1345</v>
      </c>
      <c r="H267" s="176">
        <v>1</v>
      </c>
      <c r="I267" s="176"/>
      <c r="J267" s="174">
        <v>1</v>
      </c>
      <c r="K267" s="174">
        <v>250</v>
      </c>
      <c r="L267" s="174">
        <v>288</v>
      </c>
      <c r="M267" s="174" t="s">
        <v>819</v>
      </c>
    </row>
    <row r="268" spans="1:13">
      <c r="A268" s="151"/>
      <c r="B268" s="174" t="s">
        <v>823</v>
      </c>
      <c r="C268" s="174" t="s">
        <v>544</v>
      </c>
      <c r="D268" s="174" t="s">
        <v>1320</v>
      </c>
      <c r="E268" s="174" t="s">
        <v>1332</v>
      </c>
      <c r="F268" s="175" t="s">
        <v>1352</v>
      </c>
      <c r="G268" s="176" t="s">
        <v>1345</v>
      </c>
      <c r="H268" s="176">
        <v>1</v>
      </c>
      <c r="I268" s="176"/>
      <c r="J268" s="174">
        <v>1</v>
      </c>
      <c r="K268" s="174">
        <v>300</v>
      </c>
      <c r="L268" s="174">
        <v>342</v>
      </c>
      <c r="M268" s="174" t="s">
        <v>823</v>
      </c>
    </row>
    <row r="269" spans="1:13">
      <c r="A269" s="151"/>
      <c r="B269" s="174" t="s">
        <v>827</v>
      </c>
      <c r="C269" s="174" t="s">
        <v>544</v>
      </c>
      <c r="D269" s="174" t="s">
        <v>1320</v>
      </c>
      <c r="E269" s="174" t="s">
        <v>1334</v>
      </c>
      <c r="F269" s="175" t="s">
        <v>1353</v>
      </c>
      <c r="G269" s="176" t="s">
        <v>1345</v>
      </c>
      <c r="H269" s="176">
        <v>1</v>
      </c>
      <c r="I269" s="176"/>
      <c r="J269" s="174">
        <v>1</v>
      </c>
      <c r="K269" s="174">
        <v>320</v>
      </c>
      <c r="L269" s="174">
        <v>368</v>
      </c>
      <c r="M269" s="174" t="s">
        <v>827</v>
      </c>
    </row>
    <row r="270" spans="1:13">
      <c r="A270" s="151"/>
      <c r="B270" s="174" t="s">
        <v>832</v>
      </c>
      <c r="C270" s="174" t="s">
        <v>544</v>
      </c>
      <c r="D270" s="174" t="s">
        <v>1320</v>
      </c>
      <c r="E270" s="174" t="s">
        <v>1336</v>
      </c>
      <c r="F270" s="175" t="s">
        <v>1354</v>
      </c>
      <c r="G270" s="176" t="s">
        <v>1345</v>
      </c>
      <c r="H270" s="176">
        <v>1</v>
      </c>
      <c r="I270" s="176"/>
      <c r="J270" s="174">
        <v>1</v>
      </c>
      <c r="K270" s="174">
        <v>350</v>
      </c>
      <c r="L270" s="174">
        <v>400</v>
      </c>
      <c r="M270" s="174" t="s">
        <v>832</v>
      </c>
    </row>
    <row r="271" spans="1:13">
      <c r="A271" s="151"/>
      <c r="B271" s="174" t="s">
        <v>837</v>
      </c>
      <c r="C271" s="174" t="s">
        <v>544</v>
      </c>
      <c r="D271" s="174" t="s">
        <v>1320</v>
      </c>
      <c r="E271" s="174" t="s">
        <v>1338</v>
      </c>
      <c r="F271" s="175" t="s">
        <v>1355</v>
      </c>
      <c r="G271" s="176" t="s">
        <v>1345</v>
      </c>
      <c r="H271" s="176">
        <v>1</v>
      </c>
      <c r="I271" s="176"/>
      <c r="J271" s="174">
        <v>1</v>
      </c>
      <c r="K271" s="174">
        <v>400</v>
      </c>
      <c r="L271" s="174">
        <v>450</v>
      </c>
      <c r="M271" s="174" t="s">
        <v>837</v>
      </c>
    </row>
    <row r="272" spans="1:13">
      <c r="A272" s="151"/>
      <c r="B272" s="174" t="s">
        <v>841</v>
      </c>
      <c r="C272" s="174" t="s">
        <v>544</v>
      </c>
      <c r="D272" s="174" t="s">
        <v>1320</v>
      </c>
      <c r="E272" s="174" t="s">
        <v>1340</v>
      </c>
      <c r="F272" s="175" t="s">
        <v>1356</v>
      </c>
      <c r="G272" s="176" t="s">
        <v>1345</v>
      </c>
      <c r="H272" s="176">
        <v>1</v>
      </c>
      <c r="I272" s="176"/>
      <c r="J272" s="174">
        <v>1</v>
      </c>
      <c r="K272" s="174">
        <v>450</v>
      </c>
      <c r="L272" s="174">
        <v>506</v>
      </c>
      <c r="M272" s="174" t="s">
        <v>841</v>
      </c>
    </row>
    <row r="273" spans="1:13">
      <c r="A273" s="151"/>
      <c r="B273" s="174" t="s">
        <v>846</v>
      </c>
      <c r="C273" s="174" t="s">
        <v>544</v>
      </c>
      <c r="D273" s="174" t="s">
        <v>1320</v>
      </c>
      <c r="E273" s="174" t="s">
        <v>1342</v>
      </c>
      <c r="F273" s="175" t="s">
        <v>1357</v>
      </c>
      <c r="G273" s="176" t="s">
        <v>1345</v>
      </c>
      <c r="H273" s="176">
        <v>1</v>
      </c>
      <c r="I273" s="176"/>
      <c r="J273" s="174">
        <v>1</v>
      </c>
      <c r="K273" s="174">
        <v>750</v>
      </c>
      <c r="L273" s="174">
        <v>815</v>
      </c>
      <c r="M273" s="174" t="s">
        <v>846</v>
      </c>
    </row>
    <row r="274" spans="1:13">
      <c r="A274" s="151"/>
      <c r="B274" s="174" t="s">
        <v>850</v>
      </c>
      <c r="C274" s="174" t="s">
        <v>544</v>
      </c>
      <c r="D274" s="174" t="s">
        <v>1358</v>
      </c>
      <c r="E274" s="174" t="s">
        <v>1359</v>
      </c>
      <c r="F274" s="175" t="s">
        <v>1360</v>
      </c>
      <c r="G274" s="176" t="s">
        <v>1253</v>
      </c>
      <c r="H274" s="176">
        <v>1</v>
      </c>
      <c r="I274" s="176"/>
      <c r="J274" s="174">
        <v>1</v>
      </c>
      <c r="K274" s="174">
        <v>100</v>
      </c>
      <c r="L274" s="174">
        <v>125</v>
      </c>
      <c r="M274" s="174" t="s">
        <v>850</v>
      </c>
    </row>
    <row r="275" spans="1:13">
      <c r="A275" s="151"/>
      <c r="B275" s="174" t="s">
        <v>854</v>
      </c>
      <c r="C275" s="174" t="s">
        <v>544</v>
      </c>
      <c r="D275" s="174" t="s">
        <v>1358</v>
      </c>
      <c r="E275" s="174" t="s">
        <v>1361</v>
      </c>
      <c r="F275" s="175" t="s">
        <v>1362</v>
      </c>
      <c r="G275" s="176" t="s">
        <v>1253</v>
      </c>
      <c r="H275" s="176">
        <v>1</v>
      </c>
      <c r="I275" s="176"/>
      <c r="J275" s="174">
        <v>1</v>
      </c>
      <c r="K275" s="174">
        <v>1000</v>
      </c>
      <c r="L275" s="174">
        <v>1075</v>
      </c>
      <c r="M275" s="174" t="s">
        <v>854</v>
      </c>
    </row>
    <row r="276" spans="1:13">
      <c r="A276" s="151"/>
      <c r="B276" s="174" t="s">
        <v>858</v>
      </c>
      <c r="C276" s="174" t="s">
        <v>544</v>
      </c>
      <c r="D276" s="174" t="s">
        <v>1358</v>
      </c>
      <c r="E276" s="174" t="s">
        <v>1363</v>
      </c>
      <c r="F276" s="175" t="s">
        <v>1364</v>
      </c>
      <c r="G276" s="176" t="s">
        <v>1253</v>
      </c>
      <c r="H276" s="176">
        <v>1</v>
      </c>
      <c r="I276" s="176"/>
      <c r="J276" s="174">
        <v>1</v>
      </c>
      <c r="K276" s="174">
        <v>175</v>
      </c>
      <c r="L276" s="174">
        <v>205</v>
      </c>
      <c r="M276" s="174" t="s">
        <v>858</v>
      </c>
    </row>
    <row r="277" spans="1:13">
      <c r="A277" s="151"/>
      <c r="B277" s="174" t="s">
        <v>862</v>
      </c>
      <c r="C277" s="174" t="s">
        <v>544</v>
      </c>
      <c r="D277" s="174" t="s">
        <v>1358</v>
      </c>
      <c r="E277" s="174" t="s">
        <v>1365</v>
      </c>
      <c r="F277" s="175" t="s">
        <v>1366</v>
      </c>
      <c r="G277" s="176" t="s">
        <v>1253</v>
      </c>
      <c r="H277" s="176">
        <v>1</v>
      </c>
      <c r="I277" s="176"/>
      <c r="J277" s="174">
        <v>1</v>
      </c>
      <c r="K277" s="174">
        <v>250</v>
      </c>
      <c r="L277" s="174">
        <v>290</v>
      </c>
      <c r="M277" s="174" t="s">
        <v>862</v>
      </c>
    </row>
    <row r="278" spans="1:13">
      <c r="A278" s="151"/>
      <c r="B278" s="174" t="s">
        <v>867</v>
      </c>
      <c r="C278" s="174" t="s">
        <v>544</v>
      </c>
      <c r="D278" s="174" t="s">
        <v>1358</v>
      </c>
      <c r="E278" s="174" t="s">
        <v>1367</v>
      </c>
      <c r="F278" s="175" t="s">
        <v>1368</v>
      </c>
      <c r="G278" s="176" t="s">
        <v>1253</v>
      </c>
      <c r="H278" s="176">
        <v>1</v>
      </c>
      <c r="I278" s="176"/>
      <c r="J278" s="174">
        <v>1</v>
      </c>
      <c r="K278" s="174">
        <v>40</v>
      </c>
      <c r="L278" s="174">
        <v>50</v>
      </c>
      <c r="M278" s="174" t="s">
        <v>867</v>
      </c>
    </row>
    <row r="279" spans="1:13">
      <c r="A279" s="151"/>
      <c r="B279" s="174" t="s">
        <v>871</v>
      </c>
      <c r="C279" s="174" t="s">
        <v>544</v>
      </c>
      <c r="D279" s="174" t="s">
        <v>1358</v>
      </c>
      <c r="E279" s="174" t="s">
        <v>1369</v>
      </c>
      <c r="F279" s="175" t="s">
        <v>1370</v>
      </c>
      <c r="G279" s="176" t="s">
        <v>1253</v>
      </c>
      <c r="H279" s="176">
        <v>1</v>
      </c>
      <c r="I279" s="176"/>
      <c r="J279" s="174">
        <v>1</v>
      </c>
      <c r="K279" s="174">
        <v>400</v>
      </c>
      <c r="L279" s="174">
        <v>455</v>
      </c>
      <c r="M279" s="174" t="s">
        <v>871</v>
      </c>
    </row>
    <row r="280" spans="1:13">
      <c r="A280" s="151"/>
      <c r="B280" s="174" t="s">
        <v>876</v>
      </c>
      <c r="C280" s="174" t="s">
        <v>544</v>
      </c>
      <c r="D280" s="174" t="s">
        <v>1358</v>
      </c>
      <c r="E280" s="174" t="s">
        <v>1369</v>
      </c>
      <c r="F280" s="175" t="s">
        <v>1371</v>
      </c>
      <c r="G280" s="176" t="s">
        <v>1253</v>
      </c>
      <c r="H280" s="176">
        <v>1</v>
      </c>
      <c r="I280" s="176"/>
      <c r="J280" s="174">
        <v>2</v>
      </c>
      <c r="K280" s="174">
        <v>400</v>
      </c>
      <c r="L280" s="174">
        <v>910</v>
      </c>
      <c r="M280" s="174" t="s">
        <v>876</v>
      </c>
    </row>
    <row r="281" spans="1:13">
      <c r="A281" s="151"/>
      <c r="B281" s="174" t="s">
        <v>880</v>
      </c>
      <c r="C281" s="174" t="s">
        <v>544</v>
      </c>
      <c r="D281" s="174" t="s">
        <v>1358</v>
      </c>
      <c r="E281" s="174" t="s">
        <v>1372</v>
      </c>
      <c r="F281" s="175" t="s">
        <v>1373</v>
      </c>
      <c r="G281" s="176" t="s">
        <v>1253</v>
      </c>
      <c r="H281" s="176">
        <v>1</v>
      </c>
      <c r="I281" s="176"/>
      <c r="J281" s="174">
        <v>1</v>
      </c>
      <c r="K281" s="174">
        <v>50</v>
      </c>
      <c r="L281" s="174">
        <v>74</v>
      </c>
      <c r="M281" s="174" t="s">
        <v>880</v>
      </c>
    </row>
    <row r="282" spans="1:13">
      <c r="A282" s="151"/>
      <c r="B282" s="174" t="s">
        <v>884</v>
      </c>
      <c r="C282" s="174" t="s">
        <v>544</v>
      </c>
      <c r="D282" s="174" t="s">
        <v>1358</v>
      </c>
      <c r="E282" s="174" t="s">
        <v>1374</v>
      </c>
      <c r="F282" s="175" t="s">
        <v>1375</v>
      </c>
      <c r="G282" s="176" t="s">
        <v>1253</v>
      </c>
      <c r="H282" s="176">
        <v>1</v>
      </c>
      <c r="I282" s="176"/>
      <c r="J282" s="174">
        <v>1</v>
      </c>
      <c r="K282" s="174">
        <v>700</v>
      </c>
      <c r="L282" s="174">
        <v>780</v>
      </c>
      <c r="M282" s="174" t="s">
        <v>884</v>
      </c>
    </row>
    <row r="283" spans="1:13">
      <c r="A283" s="151"/>
      <c r="B283" s="174" t="s">
        <v>889</v>
      </c>
      <c r="C283" s="174" t="s">
        <v>544</v>
      </c>
      <c r="D283" s="174" t="s">
        <v>1358</v>
      </c>
      <c r="E283" s="174" t="s">
        <v>1376</v>
      </c>
      <c r="F283" s="175" t="s">
        <v>1377</v>
      </c>
      <c r="G283" s="176" t="s">
        <v>1253</v>
      </c>
      <c r="H283" s="176">
        <v>1</v>
      </c>
      <c r="I283" s="176"/>
      <c r="J283" s="174">
        <v>1</v>
      </c>
      <c r="K283" s="174">
        <v>75</v>
      </c>
      <c r="L283" s="174">
        <v>93</v>
      </c>
      <c r="M283" s="174" t="s">
        <v>889</v>
      </c>
    </row>
    <row r="284" spans="1:13">
      <c r="A284" s="151"/>
      <c r="B284" s="174" t="s">
        <v>527</v>
      </c>
      <c r="C284" s="174" t="s">
        <v>552</v>
      </c>
      <c r="D284" s="174" t="s">
        <v>1378</v>
      </c>
      <c r="E284" s="174" t="s">
        <v>1379</v>
      </c>
      <c r="F284" s="175" t="s">
        <v>1380</v>
      </c>
      <c r="G284" s="176"/>
      <c r="H284" s="176"/>
      <c r="I284" s="176"/>
      <c r="J284" s="174">
        <v>1</v>
      </c>
      <c r="K284" s="174">
        <v>100</v>
      </c>
      <c r="L284" s="174">
        <v>100</v>
      </c>
      <c r="M284" s="174" t="s">
        <v>527</v>
      </c>
    </row>
    <row r="285" spans="1:13">
      <c r="A285" s="151"/>
      <c r="B285" s="174" t="s">
        <v>534</v>
      </c>
      <c r="C285" s="174" t="s">
        <v>552</v>
      </c>
      <c r="D285" s="174" t="s">
        <v>1378</v>
      </c>
      <c r="E285" s="174" t="s">
        <v>1381</v>
      </c>
      <c r="F285" s="175" t="s">
        <v>1382</v>
      </c>
      <c r="G285" s="176"/>
      <c r="H285" s="176"/>
      <c r="I285" s="176"/>
      <c r="J285" s="174">
        <v>1</v>
      </c>
      <c r="K285" s="174">
        <v>1000</v>
      </c>
      <c r="L285" s="174">
        <v>1000</v>
      </c>
      <c r="M285" s="174" t="s">
        <v>534</v>
      </c>
    </row>
    <row r="286" spans="1:13">
      <c r="A286" s="151"/>
      <c r="B286" s="174" t="s">
        <v>542</v>
      </c>
      <c r="C286" s="174" t="s">
        <v>552</v>
      </c>
      <c r="D286" s="174" t="s">
        <v>1378</v>
      </c>
      <c r="E286" s="174" t="s">
        <v>1383</v>
      </c>
      <c r="F286" s="175" t="s">
        <v>1384</v>
      </c>
      <c r="G286" s="176"/>
      <c r="H286" s="176"/>
      <c r="I286" s="176"/>
      <c r="J286" s="174">
        <v>1</v>
      </c>
      <c r="K286" s="174">
        <v>1200</v>
      </c>
      <c r="L286" s="174">
        <v>1200</v>
      </c>
      <c r="M286" s="174" t="s">
        <v>542</v>
      </c>
    </row>
    <row r="287" spans="1:13">
      <c r="A287" s="151"/>
      <c r="B287" s="174" t="s">
        <v>550</v>
      </c>
      <c r="C287" s="174" t="s">
        <v>552</v>
      </c>
      <c r="D287" s="174" t="s">
        <v>1378</v>
      </c>
      <c r="E287" s="174" t="s">
        <v>1385</v>
      </c>
      <c r="F287" s="175" t="s">
        <v>1386</v>
      </c>
      <c r="G287" s="176"/>
      <c r="H287" s="176"/>
      <c r="I287" s="176"/>
      <c r="J287" s="174">
        <v>1</v>
      </c>
      <c r="K287" s="174">
        <v>150</v>
      </c>
      <c r="L287" s="174">
        <v>150</v>
      </c>
      <c r="M287" s="174" t="s">
        <v>550</v>
      </c>
    </row>
    <row r="288" spans="1:13">
      <c r="A288" s="151"/>
      <c r="B288" s="174" t="s">
        <v>560</v>
      </c>
      <c r="C288" s="174" t="s">
        <v>552</v>
      </c>
      <c r="D288" s="174" t="s">
        <v>1378</v>
      </c>
      <c r="E288" s="174" t="s">
        <v>1385</v>
      </c>
      <c r="F288" s="175" t="s">
        <v>1387</v>
      </c>
      <c r="G288" s="176"/>
      <c r="H288" s="176"/>
      <c r="I288" s="176"/>
      <c r="J288" s="174">
        <v>2</v>
      </c>
      <c r="K288" s="174">
        <v>150</v>
      </c>
      <c r="L288" s="174">
        <v>300</v>
      </c>
      <c r="M288" s="174" t="s">
        <v>560</v>
      </c>
    </row>
    <row r="289" spans="1:13">
      <c r="A289" s="151"/>
      <c r="B289" s="174" t="s">
        <v>566</v>
      </c>
      <c r="C289" s="174" t="s">
        <v>552</v>
      </c>
      <c r="D289" s="174" t="s">
        <v>1378</v>
      </c>
      <c r="E289" s="174" t="s">
        <v>1388</v>
      </c>
      <c r="F289" s="175" t="s">
        <v>1389</v>
      </c>
      <c r="G289" s="176"/>
      <c r="H289" s="176"/>
      <c r="I289" s="176"/>
      <c r="J289" s="174">
        <v>1</v>
      </c>
      <c r="K289" s="174">
        <v>1500</v>
      </c>
      <c r="L289" s="174">
        <v>1500</v>
      </c>
      <c r="M289" s="174" t="s">
        <v>566</v>
      </c>
    </row>
    <row r="290" spans="1:13">
      <c r="A290" s="151"/>
      <c r="B290" s="174" t="s">
        <v>574</v>
      </c>
      <c r="C290" s="174" t="s">
        <v>552</v>
      </c>
      <c r="D290" s="174" t="s">
        <v>1378</v>
      </c>
      <c r="E290" s="174" t="s">
        <v>1390</v>
      </c>
      <c r="F290" s="175" t="s">
        <v>1391</v>
      </c>
      <c r="G290" s="176"/>
      <c r="H290" s="176"/>
      <c r="I290" s="176"/>
      <c r="J290" s="174">
        <v>1</v>
      </c>
      <c r="K290" s="174">
        <v>200</v>
      </c>
      <c r="L290" s="174">
        <v>200</v>
      </c>
      <c r="M290" s="174" t="s">
        <v>574</v>
      </c>
    </row>
    <row r="291" spans="1:13">
      <c r="A291" s="151"/>
      <c r="B291" s="174" t="s">
        <v>580</v>
      </c>
      <c r="C291" s="174" t="s">
        <v>552</v>
      </c>
      <c r="D291" s="174" t="s">
        <v>1378</v>
      </c>
      <c r="E291" s="174" t="s">
        <v>1392</v>
      </c>
      <c r="F291" s="175" t="s">
        <v>1393</v>
      </c>
      <c r="G291" s="176"/>
      <c r="H291" s="176"/>
      <c r="I291" s="176"/>
      <c r="J291" s="174">
        <v>1</v>
      </c>
      <c r="K291" s="174">
        <v>250</v>
      </c>
      <c r="L291" s="174">
        <v>250</v>
      </c>
      <c r="M291" s="174" t="s">
        <v>580</v>
      </c>
    </row>
    <row r="292" spans="1:13">
      <c r="A292" s="151"/>
      <c r="B292" s="174" t="s">
        <v>588</v>
      </c>
      <c r="C292" s="174" t="s">
        <v>552</v>
      </c>
      <c r="D292" s="174" t="s">
        <v>1378</v>
      </c>
      <c r="E292" s="174" t="s">
        <v>1394</v>
      </c>
      <c r="F292" s="175" t="s">
        <v>1395</v>
      </c>
      <c r="G292" s="176"/>
      <c r="H292" s="176"/>
      <c r="I292" s="176"/>
      <c r="J292" s="174">
        <v>1</v>
      </c>
      <c r="K292" s="174">
        <v>300</v>
      </c>
      <c r="L292" s="174">
        <v>300</v>
      </c>
      <c r="M292" s="174" t="s">
        <v>588</v>
      </c>
    </row>
    <row r="293" spans="1:13">
      <c r="A293" s="151"/>
      <c r="B293" s="174" t="s">
        <v>594</v>
      </c>
      <c r="C293" s="174" t="s">
        <v>552</v>
      </c>
      <c r="D293" s="174" t="s">
        <v>1378</v>
      </c>
      <c r="E293" s="174" t="s">
        <v>1396</v>
      </c>
      <c r="F293" s="175" t="s">
        <v>1397</v>
      </c>
      <c r="G293" s="176"/>
      <c r="H293" s="176"/>
      <c r="I293" s="176"/>
      <c r="J293" s="174">
        <v>1</v>
      </c>
      <c r="K293" s="174">
        <v>35</v>
      </c>
      <c r="L293" s="174">
        <v>35</v>
      </c>
      <c r="M293" s="174" t="s">
        <v>594</v>
      </c>
    </row>
    <row r="294" spans="1:13">
      <c r="A294" s="151"/>
      <c r="B294" s="174" t="s">
        <v>601</v>
      </c>
      <c r="C294" s="174" t="s">
        <v>552</v>
      </c>
      <c r="D294" s="174" t="s">
        <v>1378</v>
      </c>
      <c r="E294" s="174" t="s">
        <v>1398</v>
      </c>
      <c r="F294" s="175" t="s">
        <v>1399</v>
      </c>
      <c r="G294" s="176"/>
      <c r="H294" s="176"/>
      <c r="I294" s="176"/>
      <c r="J294" s="174">
        <v>1</v>
      </c>
      <c r="K294" s="174">
        <v>350</v>
      </c>
      <c r="L294" s="174">
        <v>350</v>
      </c>
      <c r="M294" s="174" t="s">
        <v>601</v>
      </c>
    </row>
    <row r="295" spans="1:13">
      <c r="A295" s="151"/>
      <c r="B295" s="174" t="s">
        <v>608</v>
      </c>
      <c r="C295" s="174" t="s">
        <v>552</v>
      </c>
      <c r="D295" s="174" t="s">
        <v>1378</v>
      </c>
      <c r="E295" s="174" t="s">
        <v>1400</v>
      </c>
      <c r="F295" s="175" t="s">
        <v>1401</v>
      </c>
      <c r="G295" s="176"/>
      <c r="H295" s="176"/>
      <c r="I295" s="176"/>
      <c r="J295" s="174">
        <v>1</v>
      </c>
      <c r="K295" s="174">
        <v>40</v>
      </c>
      <c r="L295" s="174">
        <v>40</v>
      </c>
      <c r="M295" s="174" t="s">
        <v>608</v>
      </c>
    </row>
    <row r="296" spans="1:13">
      <c r="A296" s="151"/>
      <c r="B296" s="174" t="s">
        <v>613</v>
      </c>
      <c r="C296" s="174" t="s">
        <v>552</v>
      </c>
      <c r="D296" s="174" t="s">
        <v>1378</v>
      </c>
      <c r="E296" s="174" t="s">
        <v>1402</v>
      </c>
      <c r="F296" s="175" t="s">
        <v>1403</v>
      </c>
      <c r="G296" s="176"/>
      <c r="H296" s="176"/>
      <c r="I296" s="176"/>
      <c r="J296" s="174">
        <v>1</v>
      </c>
      <c r="K296" s="174">
        <v>400</v>
      </c>
      <c r="L296" s="174">
        <v>400</v>
      </c>
      <c r="M296" s="174" t="s">
        <v>613</v>
      </c>
    </row>
    <row r="297" spans="1:13">
      <c r="A297" s="151"/>
      <c r="B297" s="174" t="s">
        <v>620</v>
      </c>
      <c r="C297" s="174" t="s">
        <v>552</v>
      </c>
      <c r="D297" s="174" t="s">
        <v>1378</v>
      </c>
      <c r="E297" s="174" t="s">
        <v>1404</v>
      </c>
      <c r="F297" s="175" t="s">
        <v>1405</v>
      </c>
      <c r="G297" s="176"/>
      <c r="H297" s="176"/>
      <c r="I297" s="176"/>
      <c r="J297" s="174">
        <v>1</v>
      </c>
      <c r="K297" s="174">
        <v>42</v>
      </c>
      <c r="L297" s="174">
        <v>42</v>
      </c>
      <c r="M297" s="174" t="s">
        <v>620</v>
      </c>
    </row>
    <row r="298" spans="1:13">
      <c r="A298" s="151"/>
      <c r="B298" s="174" t="s">
        <v>625</v>
      </c>
      <c r="C298" s="174" t="s">
        <v>552</v>
      </c>
      <c r="D298" s="174" t="s">
        <v>1378</v>
      </c>
      <c r="E298" s="174" t="s">
        <v>1406</v>
      </c>
      <c r="F298" s="175" t="s">
        <v>1407</v>
      </c>
      <c r="G298" s="176"/>
      <c r="H298" s="176"/>
      <c r="I298" s="176"/>
      <c r="J298" s="174">
        <v>1</v>
      </c>
      <c r="K298" s="174">
        <v>425</v>
      </c>
      <c r="L298" s="174">
        <v>425</v>
      </c>
      <c r="M298" s="174" t="s">
        <v>625</v>
      </c>
    </row>
    <row r="299" spans="1:13">
      <c r="A299" s="151"/>
      <c r="B299" s="174" t="s">
        <v>632</v>
      </c>
      <c r="C299" s="174" t="s">
        <v>552</v>
      </c>
      <c r="D299" s="174" t="s">
        <v>1378</v>
      </c>
      <c r="E299" s="174" t="s">
        <v>1408</v>
      </c>
      <c r="F299" s="175" t="s">
        <v>1409</v>
      </c>
      <c r="G299" s="176"/>
      <c r="H299" s="176"/>
      <c r="I299" s="176"/>
      <c r="J299" s="174">
        <v>1</v>
      </c>
      <c r="K299" s="174">
        <v>45</v>
      </c>
      <c r="L299" s="174">
        <v>45</v>
      </c>
      <c r="M299" s="174" t="s">
        <v>632</v>
      </c>
    </row>
    <row r="300" spans="1:13">
      <c r="A300" s="151"/>
      <c r="B300" s="174" t="s">
        <v>638</v>
      </c>
      <c r="C300" s="174" t="s">
        <v>552</v>
      </c>
      <c r="D300" s="174" t="s">
        <v>1378</v>
      </c>
      <c r="E300" s="174" t="s">
        <v>1408</v>
      </c>
      <c r="F300" s="175" t="s">
        <v>1410</v>
      </c>
      <c r="G300" s="176"/>
      <c r="H300" s="176"/>
      <c r="I300" s="176"/>
      <c r="J300" s="174">
        <v>2</v>
      </c>
      <c r="K300" s="174">
        <v>45</v>
      </c>
      <c r="L300" s="174">
        <v>90</v>
      </c>
      <c r="M300" s="174" t="s">
        <v>638</v>
      </c>
    </row>
    <row r="301" spans="1:13">
      <c r="A301" s="151"/>
      <c r="B301" s="174" t="s">
        <v>644</v>
      </c>
      <c r="C301" s="174" t="s">
        <v>552</v>
      </c>
      <c r="D301" s="174" t="s">
        <v>1378</v>
      </c>
      <c r="E301" s="174" t="s">
        <v>1411</v>
      </c>
      <c r="F301" s="175" t="s">
        <v>1412</v>
      </c>
      <c r="G301" s="176"/>
      <c r="H301" s="176"/>
      <c r="I301" s="176"/>
      <c r="J301" s="174">
        <v>1</v>
      </c>
      <c r="K301" s="174">
        <v>50</v>
      </c>
      <c r="L301" s="174">
        <v>50</v>
      </c>
      <c r="M301" s="174" t="s">
        <v>644</v>
      </c>
    </row>
    <row r="302" spans="1:13">
      <c r="A302" s="151"/>
      <c r="B302" s="174" t="s">
        <v>650</v>
      </c>
      <c r="C302" s="174" t="s">
        <v>552</v>
      </c>
      <c r="D302" s="174" t="s">
        <v>1378</v>
      </c>
      <c r="E302" s="174" t="s">
        <v>1411</v>
      </c>
      <c r="F302" s="175" t="s">
        <v>1413</v>
      </c>
      <c r="G302" s="176"/>
      <c r="H302" s="176"/>
      <c r="I302" s="176"/>
      <c r="J302" s="174">
        <v>2</v>
      </c>
      <c r="K302" s="174">
        <v>50</v>
      </c>
      <c r="L302" s="174">
        <v>100</v>
      </c>
      <c r="M302" s="174" t="s">
        <v>650</v>
      </c>
    </row>
    <row r="303" spans="1:13">
      <c r="A303" s="151"/>
      <c r="B303" s="174" t="s">
        <v>657</v>
      </c>
      <c r="C303" s="174" t="s">
        <v>552</v>
      </c>
      <c r="D303" s="174" t="s">
        <v>1378</v>
      </c>
      <c r="E303" s="174" t="s">
        <v>1414</v>
      </c>
      <c r="F303" s="175" t="s">
        <v>1415</v>
      </c>
      <c r="G303" s="176"/>
      <c r="H303" s="176"/>
      <c r="I303" s="176"/>
      <c r="J303" s="174">
        <v>1</v>
      </c>
      <c r="K303" s="174">
        <v>500</v>
      </c>
      <c r="L303" s="174">
        <v>500</v>
      </c>
      <c r="M303" s="174" t="s">
        <v>657</v>
      </c>
    </row>
    <row r="304" spans="1:13">
      <c r="A304" s="151"/>
      <c r="B304" s="174" t="s">
        <v>662</v>
      </c>
      <c r="C304" s="174" t="s">
        <v>552</v>
      </c>
      <c r="D304" s="174" t="s">
        <v>1378</v>
      </c>
      <c r="E304" s="174" t="s">
        <v>1416</v>
      </c>
      <c r="F304" s="175" t="s">
        <v>1417</v>
      </c>
      <c r="G304" s="176"/>
      <c r="H304" s="176"/>
      <c r="I304" s="176"/>
      <c r="J304" s="174">
        <v>1</v>
      </c>
      <c r="K304" s="174">
        <v>52</v>
      </c>
      <c r="L304" s="174">
        <v>52</v>
      </c>
      <c r="M304" s="174" t="s">
        <v>662</v>
      </c>
    </row>
    <row r="305" spans="1:13">
      <c r="A305" s="151"/>
      <c r="B305" s="174" t="s">
        <v>669</v>
      </c>
      <c r="C305" s="174" t="s">
        <v>552</v>
      </c>
      <c r="D305" s="174" t="s">
        <v>1378</v>
      </c>
      <c r="E305" s="174" t="s">
        <v>1418</v>
      </c>
      <c r="F305" s="175" t="s">
        <v>1419</v>
      </c>
      <c r="G305" s="176"/>
      <c r="H305" s="176"/>
      <c r="I305" s="176"/>
      <c r="J305" s="174">
        <v>1</v>
      </c>
      <c r="K305" s="174">
        <v>55</v>
      </c>
      <c r="L305" s="174">
        <v>55</v>
      </c>
      <c r="M305" s="174" t="s">
        <v>669</v>
      </c>
    </row>
    <row r="306" spans="1:13">
      <c r="A306" s="151"/>
      <c r="B306" s="174" t="s">
        <v>675</v>
      </c>
      <c r="C306" s="174" t="s">
        <v>552</v>
      </c>
      <c r="D306" s="174" t="s">
        <v>1378</v>
      </c>
      <c r="E306" s="174" t="s">
        <v>1418</v>
      </c>
      <c r="F306" s="175" t="s">
        <v>1420</v>
      </c>
      <c r="G306" s="176"/>
      <c r="H306" s="176"/>
      <c r="I306" s="176"/>
      <c r="J306" s="174">
        <v>2</v>
      </c>
      <c r="K306" s="174">
        <v>55</v>
      </c>
      <c r="L306" s="174">
        <v>110</v>
      </c>
      <c r="M306" s="174" t="s">
        <v>675</v>
      </c>
    </row>
    <row r="307" spans="1:13">
      <c r="A307" s="151"/>
      <c r="B307" s="174" t="s">
        <v>680</v>
      </c>
      <c r="C307" s="174" t="s">
        <v>552</v>
      </c>
      <c r="D307" s="174" t="s">
        <v>1378</v>
      </c>
      <c r="E307" s="174" t="s">
        <v>1421</v>
      </c>
      <c r="F307" s="175" t="s">
        <v>1422</v>
      </c>
      <c r="G307" s="176"/>
      <c r="H307" s="176"/>
      <c r="I307" s="176"/>
      <c r="J307" s="174">
        <v>1</v>
      </c>
      <c r="K307" s="174">
        <v>60</v>
      </c>
      <c r="L307" s="174">
        <v>60</v>
      </c>
      <c r="M307" s="174" t="s">
        <v>680</v>
      </c>
    </row>
    <row r="308" spans="1:13">
      <c r="A308" s="151"/>
      <c r="B308" s="174" t="s">
        <v>685</v>
      </c>
      <c r="C308" s="174" t="s">
        <v>552</v>
      </c>
      <c r="D308" s="174" t="s">
        <v>1378</v>
      </c>
      <c r="E308" s="174" t="s">
        <v>1423</v>
      </c>
      <c r="F308" s="175" t="s">
        <v>1424</v>
      </c>
      <c r="G308" s="176"/>
      <c r="H308" s="176"/>
      <c r="I308" s="176"/>
      <c r="J308" s="174">
        <v>1</v>
      </c>
      <c r="K308" s="174">
        <v>72</v>
      </c>
      <c r="L308" s="174">
        <v>72</v>
      </c>
      <c r="M308" s="174" t="s">
        <v>685</v>
      </c>
    </row>
    <row r="309" spans="1:13">
      <c r="A309" s="151"/>
      <c r="B309" s="174" t="s">
        <v>691</v>
      </c>
      <c r="C309" s="174" t="s">
        <v>552</v>
      </c>
      <c r="D309" s="174" t="s">
        <v>1378</v>
      </c>
      <c r="E309" s="174" t="s">
        <v>1425</v>
      </c>
      <c r="F309" s="175" t="s">
        <v>1426</v>
      </c>
      <c r="G309" s="176"/>
      <c r="H309" s="176"/>
      <c r="I309" s="176"/>
      <c r="J309" s="174">
        <v>1</v>
      </c>
      <c r="K309" s="174">
        <v>75</v>
      </c>
      <c r="L309" s="174">
        <v>75</v>
      </c>
      <c r="M309" s="174" t="s">
        <v>691</v>
      </c>
    </row>
    <row r="310" spans="1:13">
      <c r="A310" s="151"/>
      <c r="B310" s="174" t="s">
        <v>695</v>
      </c>
      <c r="C310" s="174" t="s">
        <v>552</v>
      </c>
      <c r="D310" s="174" t="s">
        <v>1378</v>
      </c>
      <c r="E310" s="174" t="s">
        <v>1425</v>
      </c>
      <c r="F310" s="175" t="s">
        <v>1427</v>
      </c>
      <c r="G310" s="176"/>
      <c r="H310" s="176"/>
      <c r="I310" s="176"/>
      <c r="J310" s="174">
        <v>2</v>
      </c>
      <c r="K310" s="174">
        <v>75</v>
      </c>
      <c r="L310" s="174">
        <v>150</v>
      </c>
      <c r="M310" s="174" t="s">
        <v>695</v>
      </c>
    </row>
    <row r="311" spans="1:13">
      <c r="A311" s="151"/>
      <c r="B311" s="174" t="s">
        <v>701</v>
      </c>
      <c r="C311" s="174" t="s">
        <v>552</v>
      </c>
      <c r="D311" s="174" t="s">
        <v>1378</v>
      </c>
      <c r="E311" s="174" t="s">
        <v>1428</v>
      </c>
      <c r="F311" s="175" t="s">
        <v>1429</v>
      </c>
      <c r="G311" s="176"/>
      <c r="H311" s="176"/>
      <c r="I311" s="176"/>
      <c r="J311" s="174">
        <v>1</v>
      </c>
      <c r="K311" s="174">
        <v>750</v>
      </c>
      <c r="L311" s="174">
        <v>750</v>
      </c>
      <c r="M311" s="174" t="s">
        <v>701</v>
      </c>
    </row>
    <row r="312" spans="1:13">
      <c r="A312" s="151"/>
      <c r="B312" s="174" t="s">
        <v>706</v>
      </c>
      <c r="C312" s="174" t="s">
        <v>552</v>
      </c>
      <c r="D312" s="174" t="s">
        <v>1378</v>
      </c>
      <c r="E312" s="174" t="s">
        <v>1430</v>
      </c>
      <c r="F312" s="175" t="s">
        <v>1431</v>
      </c>
      <c r="G312" s="176"/>
      <c r="H312" s="176"/>
      <c r="I312" s="176"/>
      <c r="J312" s="174">
        <v>1</v>
      </c>
      <c r="K312" s="174">
        <v>90</v>
      </c>
      <c r="L312" s="174">
        <v>90</v>
      </c>
      <c r="M312" s="174" t="s">
        <v>706</v>
      </c>
    </row>
    <row r="313" spans="1:13">
      <c r="A313" s="151"/>
      <c r="B313" s="174" t="s">
        <v>711</v>
      </c>
      <c r="C313" s="174" t="s">
        <v>552</v>
      </c>
      <c r="D313" s="174" t="s">
        <v>1378</v>
      </c>
      <c r="E313" s="174" t="s">
        <v>1430</v>
      </c>
      <c r="F313" s="175" t="s">
        <v>1432</v>
      </c>
      <c r="G313" s="176"/>
      <c r="H313" s="176"/>
      <c r="I313" s="176"/>
      <c r="J313" s="174">
        <v>2</v>
      </c>
      <c r="K313" s="174">
        <v>90</v>
      </c>
      <c r="L313" s="174">
        <v>180</v>
      </c>
      <c r="M313" s="174" t="s">
        <v>711</v>
      </c>
    </row>
    <row r="314" spans="1:13">
      <c r="A314" s="151"/>
      <c r="B314" s="174" t="s">
        <v>716</v>
      </c>
      <c r="C314" s="174" t="s">
        <v>552</v>
      </c>
      <c r="D314" s="174" t="s">
        <v>1378</v>
      </c>
      <c r="E314" s="174" t="s">
        <v>1433</v>
      </c>
      <c r="F314" s="175" t="s">
        <v>1434</v>
      </c>
      <c r="G314" s="176"/>
      <c r="H314" s="176"/>
      <c r="I314" s="176"/>
      <c r="J314" s="174">
        <v>1</v>
      </c>
      <c r="K314" s="174">
        <v>900</v>
      </c>
      <c r="L314" s="174">
        <v>900</v>
      </c>
      <c r="M314" s="174" t="s">
        <v>716</v>
      </c>
    </row>
    <row r="315" spans="1:13">
      <c r="A315" s="151"/>
      <c r="B315" s="174" t="s">
        <v>721</v>
      </c>
      <c r="C315" s="174" t="s">
        <v>552</v>
      </c>
      <c r="D315" s="174" t="s">
        <v>1378</v>
      </c>
      <c r="E315" s="174" t="s">
        <v>1435</v>
      </c>
      <c r="F315" s="175" t="s">
        <v>1436</v>
      </c>
      <c r="G315" s="176"/>
      <c r="H315" s="176"/>
      <c r="I315" s="176"/>
      <c r="J315" s="174">
        <v>1</v>
      </c>
      <c r="K315" s="174">
        <v>20</v>
      </c>
      <c r="L315" s="174">
        <v>30</v>
      </c>
      <c r="M315" s="174" t="s">
        <v>721</v>
      </c>
    </row>
    <row r="316" spans="1:13">
      <c r="A316" s="151"/>
      <c r="B316" s="174" t="s">
        <v>726</v>
      </c>
      <c r="C316" s="174" t="s">
        <v>552</v>
      </c>
      <c r="D316" s="174" t="s">
        <v>1378</v>
      </c>
      <c r="E316" s="174" t="s">
        <v>1437</v>
      </c>
      <c r="F316" s="175" t="s">
        <v>1438</v>
      </c>
      <c r="G316" s="176"/>
      <c r="H316" s="176"/>
      <c r="I316" s="176"/>
      <c r="J316" s="174">
        <v>1</v>
      </c>
      <c r="K316" s="174">
        <v>25</v>
      </c>
      <c r="L316" s="174">
        <v>35</v>
      </c>
      <c r="M316" s="174" t="s">
        <v>726</v>
      </c>
    </row>
    <row r="317" spans="1:13">
      <c r="A317" s="151"/>
      <c r="B317" s="174" t="s">
        <v>733</v>
      </c>
      <c r="C317" s="174" t="s">
        <v>552</v>
      </c>
      <c r="D317" s="174" t="s">
        <v>1378</v>
      </c>
      <c r="E317" s="174" t="s">
        <v>1439</v>
      </c>
      <c r="F317" s="175" t="s">
        <v>1440</v>
      </c>
      <c r="G317" s="176"/>
      <c r="H317" s="176"/>
      <c r="I317" s="176"/>
      <c r="J317" s="174">
        <v>1</v>
      </c>
      <c r="K317" s="174">
        <v>35</v>
      </c>
      <c r="L317" s="174">
        <v>45</v>
      </c>
      <c r="M317" s="174" t="s">
        <v>733</v>
      </c>
    </row>
    <row r="318" spans="1:13">
      <c r="A318" s="151"/>
      <c r="B318" s="174" t="s">
        <v>739</v>
      </c>
      <c r="C318" s="174" t="s">
        <v>552</v>
      </c>
      <c r="D318" s="174" t="s">
        <v>1378</v>
      </c>
      <c r="E318" s="174" t="s">
        <v>1441</v>
      </c>
      <c r="F318" s="175" t="s">
        <v>1442</v>
      </c>
      <c r="G318" s="176"/>
      <c r="H318" s="176"/>
      <c r="I318" s="176"/>
      <c r="J318" s="174">
        <v>1</v>
      </c>
      <c r="K318" s="174">
        <v>42</v>
      </c>
      <c r="L318" s="174">
        <v>52</v>
      </c>
      <c r="M318" s="174" t="s">
        <v>739</v>
      </c>
    </row>
    <row r="319" spans="1:13">
      <c r="A319" s="151"/>
      <c r="B319" s="174" t="s">
        <v>745</v>
      </c>
      <c r="C319" s="174" t="s">
        <v>552</v>
      </c>
      <c r="D319" s="174" t="s">
        <v>1378</v>
      </c>
      <c r="E319" s="174" t="s">
        <v>1443</v>
      </c>
      <c r="F319" s="175" t="s">
        <v>1444</v>
      </c>
      <c r="G319" s="176"/>
      <c r="H319" s="176"/>
      <c r="I319" s="176"/>
      <c r="J319" s="174">
        <v>1</v>
      </c>
      <c r="K319" s="174">
        <v>50</v>
      </c>
      <c r="L319" s="174">
        <v>60</v>
      </c>
      <c r="M319" s="174" t="s">
        <v>745</v>
      </c>
    </row>
    <row r="320" spans="1:13">
      <c r="A320" s="151"/>
      <c r="B320" s="174" t="s">
        <v>751</v>
      </c>
      <c r="C320" s="174" t="s">
        <v>552</v>
      </c>
      <c r="D320" s="174" t="s">
        <v>1378</v>
      </c>
      <c r="E320" s="174" t="s">
        <v>1445</v>
      </c>
      <c r="F320" s="175" t="s">
        <v>1446</v>
      </c>
      <c r="G320" s="176"/>
      <c r="H320" s="176"/>
      <c r="I320" s="176"/>
      <c r="J320" s="174">
        <v>1</v>
      </c>
      <c r="K320" s="174">
        <v>65</v>
      </c>
      <c r="L320" s="174">
        <v>75</v>
      </c>
      <c r="M320" s="174" t="s">
        <v>751</v>
      </c>
    </row>
    <row r="321" spans="1:13">
      <c r="A321" s="151"/>
      <c r="B321" s="174" t="s">
        <v>757</v>
      </c>
      <c r="C321" s="174" t="s">
        <v>552</v>
      </c>
      <c r="D321" s="174" t="s">
        <v>1378</v>
      </c>
      <c r="E321" s="174" t="s">
        <v>1447</v>
      </c>
      <c r="F321" s="175" t="s">
        <v>1448</v>
      </c>
      <c r="G321" s="176"/>
      <c r="H321" s="176"/>
      <c r="I321" s="176"/>
      <c r="J321" s="174">
        <v>1</v>
      </c>
      <c r="K321" s="174">
        <v>75</v>
      </c>
      <c r="L321" s="174">
        <v>85</v>
      </c>
      <c r="M321" s="174" t="s">
        <v>757</v>
      </c>
    </row>
    <row r="322" spans="1:13">
      <c r="A322" s="151"/>
      <c r="B322" s="174" t="s">
        <v>762</v>
      </c>
      <c r="C322" s="174" t="s">
        <v>552</v>
      </c>
      <c r="D322" s="174" t="s">
        <v>1449</v>
      </c>
      <c r="E322" s="174" t="s">
        <v>1450</v>
      </c>
      <c r="F322" s="175" t="s">
        <v>1451</v>
      </c>
      <c r="G322" s="176"/>
      <c r="H322" s="176"/>
      <c r="I322" s="176"/>
      <c r="J322" s="174">
        <v>1</v>
      </c>
      <c r="K322" s="174">
        <v>100</v>
      </c>
      <c r="L322" s="174">
        <v>100</v>
      </c>
      <c r="M322" s="174" t="s">
        <v>762</v>
      </c>
    </row>
    <row r="323" spans="1:13">
      <c r="A323" s="151"/>
      <c r="B323" s="174" t="s">
        <v>767</v>
      </c>
      <c r="C323" s="174" t="s">
        <v>552</v>
      </c>
      <c r="D323" s="174" t="s">
        <v>1449</v>
      </c>
      <c r="E323" s="174" t="s">
        <v>1450</v>
      </c>
      <c r="F323" s="175" t="s">
        <v>1452</v>
      </c>
      <c r="G323" s="176"/>
      <c r="H323" s="176"/>
      <c r="I323" s="176"/>
      <c r="J323" s="174">
        <v>2</v>
      </c>
      <c r="K323" s="174">
        <v>100</v>
      </c>
      <c r="L323" s="174">
        <v>200</v>
      </c>
      <c r="M323" s="174" t="s">
        <v>767</v>
      </c>
    </row>
    <row r="324" spans="1:13">
      <c r="A324" s="151"/>
      <c r="B324" s="174" t="s">
        <v>772</v>
      </c>
      <c r="C324" s="174" t="s">
        <v>552</v>
      </c>
      <c r="D324" s="174" t="s">
        <v>1449</v>
      </c>
      <c r="E324" s="174" t="s">
        <v>1450</v>
      </c>
      <c r="F324" s="175" t="s">
        <v>1453</v>
      </c>
      <c r="G324" s="176"/>
      <c r="H324" s="176"/>
      <c r="I324" s="176"/>
      <c r="J324" s="174">
        <v>3</v>
      </c>
      <c r="K324" s="174">
        <v>100</v>
      </c>
      <c r="L324" s="174">
        <v>300</v>
      </c>
      <c r="M324" s="174" t="s">
        <v>772</v>
      </c>
    </row>
    <row r="325" spans="1:13">
      <c r="A325" s="151"/>
      <c r="B325" s="174" t="s">
        <v>777</v>
      </c>
      <c r="C325" s="174" t="s">
        <v>552</v>
      </c>
      <c r="D325" s="174" t="s">
        <v>1449</v>
      </c>
      <c r="E325" s="174" t="s">
        <v>1450</v>
      </c>
      <c r="F325" s="175" t="s">
        <v>1454</v>
      </c>
      <c r="G325" s="176"/>
      <c r="H325" s="176"/>
      <c r="I325" s="176"/>
      <c r="J325" s="174">
        <v>4</v>
      </c>
      <c r="K325" s="174">
        <v>100</v>
      </c>
      <c r="L325" s="174">
        <v>400</v>
      </c>
      <c r="M325" s="174" t="s">
        <v>777</v>
      </c>
    </row>
    <row r="326" spans="1:13">
      <c r="A326" s="151"/>
      <c r="B326" s="174" t="s">
        <v>782</v>
      </c>
      <c r="C326" s="174" t="s">
        <v>552</v>
      </c>
      <c r="D326" s="174" t="s">
        <v>1449</v>
      </c>
      <c r="E326" s="174" t="s">
        <v>1450</v>
      </c>
      <c r="F326" s="175" t="s">
        <v>1455</v>
      </c>
      <c r="G326" s="176"/>
      <c r="H326" s="176"/>
      <c r="I326" s="176"/>
      <c r="J326" s="174">
        <v>5</v>
      </c>
      <c r="K326" s="174">
        <v>100</v>
      </c>
      <c r="L326" s="174">
        <v>500</v>
      </c>
      <c r="M326" s="174" t="s">
        <v>782</v>
      </c>
    </row>
    <row r="327" spans="1:13">
      <c r="A327" s="151"/>
      <c r="B327" s="174" t="s">
        <v>787</v>
      </c>
      <c r="C327" s="174" t="s">
        <v>552</v>
      </c>
      <c r="D327" s="174" t="s">
        <v>1449</v>
      </c>
      <c r="E327" s="174" t="s">
        <v>1456</v>
      </c>
      <c r="F327" s="175" t="s">
        <v>1457</v>
      </c>
      <c r="G327" s="176"/>
      <c r="H327" s="176"/>
      <c r="I327" s="176"/>
      <c r="J327" s="174">
        <v>1</v>
      </c>
      <c r="K327" s="174">
        <v>1000</v>
      </c>
      <c r="L327" s="174">
        <v>1000</v>
      </c>
      <c r="M327" s="174" t="s">
        <v>787</v>
      </c>
    </row>
    <row r="328" spans="1:13">
      <c r="A328" s="151"/>
      <c r="B328" s="174" t="s">
        <v>792</v>
      </c>
      <c r="C328" s="174" t="s">
        <v>552</v>
      </c>
      <c r="D328" s="174" t="s">
        <v>1449</v>
      </c>
      <c r="E328" s="174" t="s">
        <v>1458</v>
      </c>
      <c r="F328" s="175" t="s">
        <v>1459</v>
      </c>
      <c r="G328" s="176"/>
      <c r="H328" s="176"/>
      <c r="I328" s="176"/>
      <c r="J328" s="174">
        <v>1</v>
      </c>
      <c r="K328" s="174">
        <v>90</v>
      </c>
      <c r="L328" s="174">
        <v>90</v>
      </c>
      <c r="M328" s="174" t="s">
        <v>792</v>
      </c>
    </row>
    <row r="329" spans="1:13">
      <c r="A329" s="151"/>
      <c r="B329" s="174" t="s">
        <v>797</v>
      </c>
      <c r="C329" s="174" t="s">
        <v>552</v>
      </c>
      <c r="D329" s="174" t="s">
        <v>1449</v>
      </c>
      <c r="E329" s="174" t="s">
        <v>1460</v>
      </c>
      <c r="F329" s="175" t="s">
        <v>1461</v>
      </c>
      <c r="G329" s="176"/>
      <c r="H329" s="176"/>
      <c r="I329" s="176"/>
      <c r="J329" s="174">
        <v>1</v>
      </c>
      <c r="K329" s="174">
        <v>90</v>
      </c>
      <c r="L329" s="174">
        <v>90</v>
      </c>
      <c r="M329" s="174" t="s">
        <v>797</v>
      </c>
    </row>
    <row r="330" spans="1:13">
      <c r="A330" s="151"/>
      <c r="B330" s="174" t="s">
        <v>802</v>
      </c>
      <c r="C330" s="174" t="s">
        <v>552</v>
      </c>
      <c r="D330" s="174" t="s">
        <v>1449</v>
      </c>
      <c r="E330" s="174" t="s">
        <v>1462</v>
      </c>
      <c r="F330" s="175" t="s">
        <v>1463</v>
      </c>
      <c r="G330" s="176"/>
      <c r="H330" s="176"/>
      <c r="I330" s="176"/>
      <c r="J330" s="174">
        <v>1</v>
      </c>
      <c r="K330" s="174">
        <v>120</v>
      </c>
      <c r="L330" s="174">
        <v>120</v>
      </c>
      <c r="M330" s="174" t="s">
        <v>802</v>
      </c>
    </row>
    <row r="331" spans="1:13">
      <c r="A331" s="151"/>
      <c r="B331" s="174" t="s">
        <v>807</v>
      </c>
      <c r="C331" s="174" t="s">
        <v>552</v>
      </c>
      <c r="D331" s="174" t="s">
        <v>1449</v>
      </c>
      <c r="E331" s="174" t="s">
        <v>1462</v>
      </c>
      <c r="F331" s="175" t="s">
        <v>1464</v>
      </c>
      <c r="G331" s="176"/>
      <c r="H331" s="176"/>
      <c r="I331" s="176"/>
      <c r="J331" s="174">
        <v>2</v>
      </c>
      <c r="K331" s="174">
        <v>120</v>
      </c>
      <c r="L331" s="174">
        <v>240</v>
      </c>
      <c r="M331" s="174" t="s">
        <v>807</v>
      </c>
    </row>
    <row r="332" spans="1:13">
      <c r="A332" s="151"/>
      <c r="B332" s="174" t="s">
        <v>812</v>
      </c>
      <c r="C332" s="174" t="s">
        <v>552</v>
      </c>
      <c r="D332" s="174" t="s">
        <v>1449</v>
      </c>
      <c r="E332" s="174" t="s">
        <v>1465</v>
      </c>
      <c r="F332" s="175" t="s">
        <v>1466</v>
      </c>
      <c r="G332" s="176"/>
      <c r="H332" s="176"/>
      <c r="I332" s="176"/>
      <c r="J332" s="174">
        <v>1</v>
      </c>
      <c r="K332" s="174">
        <v>125</v>
      </c>
      <c r="L332" s="174">
        <v>125</v>
      </c>
      <c r="M332" s="174" t="s">
        <v>812</v>
      </c>
    </row>
    <row r="333" spans="1:13">
      <c r="A333" s="151"/>
      <c r="B333" s="174" t="s">
        <v>816</v>
      </c>
      <c r="C333" s="174" t="s">
        <v>552</v>
      </c>
      <c r="D333" s="174" t="s">
        <v>1449</v>
      </c>
      <c r="E333" s="174" t="s">
        <v>1467</v>
      </c>
      <c r="F333" s="175" t="s">
        <v>1468</v>
      </c>
      <c r="G333" s="176"/>
      <c r="H333" s="176"/>
      <c r="I333" s="176"/>
      <c r="J333" s="174">
        <v>1</v>
      </c>
      <c r="K333" s="174">
        <v>135</v>
      </c>
      <c r="L333" s="174">
        <v>135</v>
      </c>
      <c r="M333" s="174" t="s">
        <v>816</v>
      </c>
    </row>
    <row r="334" spans="1:13">
      <c r="A334" s="151"/>
      <c r="B334" s="174" t="s">
        <v>820</v>
      </c>
      <c r="C334" s="174" t="s">
        <v>552</v>
      </c>
      <c r="D334" s="174" t="s">
        <v>1449</v>
      </c>
      <c r="E334" s="174" t="s">
        <v>1467</v>
      </c>
      <c r="F334" s="175" t="s">
        <v>1469</v>
      </c>
      <c r="G334" s="176"/>
      <c r="H334" s="176"/>
      <c r="I334" s="176"/>
      <c r="J334" s="174">
        <v>2</v>
      </c>
      <c r="K334" s="174">
        <v>135</v>
      </c>
      <c r="L334" s="174">
        <v>270</v>
      </c>
      <c r="M334" s="174" t="s">
        <v>820</v>
      </c>
    </row>
    <row r="335" spans="1:13">
      <c r="A335" s="151"/>
      <c r="B335" s="174" t="s">
        <v>824</v>
      </c>
      <c r="C335" s="174" t="s">
        <v>552</v>
      </c>
      <c r="D335" s="174" t="s">
        <v>1449</v>
      </c>
      <c r="E335" s="174" t="s">
        <v>1206</v>
      </c>
      <c r="F335" s="175" t="s">
        <v>1470</v>
      </c>
      <c r="G335" s="176"/>
      <c r="H335" s="176"/>
      <c r="I335" s="176"/>
      <c r="J335" s="174">
        <v>1</v>
      </c>
      <c r="K335" s="174">
        <v>15</v>
      </c>
      <c r="L335" s="174">
        <v>15</v>
      </c>
      <c r="M335" s="174" t="s">
        <v>824</v>
      </c>
    </row>
    <row r="336" spans="1:13">
      <c r="A336" s="151"/>
      <c r="B336" s="174" t="s">
        <v>828</v>
      </c>
      <c r="C336" s="174" t="s">
        <v>552</v>
      </c>
      <c r="D336" s="174" t="s">
        <v>1449</v>
      </c>
      <c r="E336" s="174" t="s">
        <v>1206</v>
      </c>
      <c r="F336" s="175" t="s">
        <v>1471</v>
      </c>
      <c r="G336" s="176"/>
      <c r="H336" s="176"/>
      <c r="I336" s="176"/>
      <c r="J336" s="174">
        <v>2</v>
      </c>
      <c r="K336" s="174">
        <v>15</v>
      </c>
      <c r="L336" s="174">
        <v>30</v>
      </c>
      <c r="M336" s="174" t="s">
        <v>828</v>
      </c>
    </row>
    <row r="337" spans="1:13">
      <c r="A337" s="151"/>
      <c r="B337" s="174" t="s">
        <v>833</v>
      </c>
      <c r="C337" s="174" t="s">
        <v>552</v>
      </c>
      <c r="D337" s="174" t="s">
        <v>1449</v>
      </c>
      <c r="E337" s="174" t="s">
        <v>1472</v>
      </c>
      <c r="F337" s="175" t="s">
        <v>1473</v>
      </c>
      <c r="G337" s="176"/>
      <c r="H337" s="176"/>
      <c r="I337" s="176"/>
      <c r="J337" s="174">
        <v>1</v>
      </c>
      <c r="K337" s="174">
        <v>150</v>
      </c>
      <c r="L337" s="174">
        <v>150</v>
      </c>
      <c r="M337" s="174" t="s">
        <v>833</v>
      </c>
    </row>
    <row r="338" spans="1:13">
      <c r="A338" s="151"/>
      <c r="B338" s="174" t="s">
        <v>838</v>
      </c>
      <c r="C338" s="174" t="s">
        <v>552</v>
      </c>
      <c r="D338" s="174" t="s">
        <v>1449</v>
      </c>
      <c r="E338" s="174" t="s">
        <v>1472</v>
      </c>
      <c r="F338" s="175" t="s">
        <v>1474</v>
      </c>
      <c r="G338" s="176"/>
      <c r="H338" s="176"/>
      <c r="I338" s="176"/>
      <c r="J338" s="174">
        <v>2</v>
      </c>
      <c r="K338" s="174">
        <v>150</v>
      </c>
      <c r="L338" s="174">
        <v>300</v>
      </c>
      <c r="M338" s="174" t="s">
        <v>838</v>
      </c>
    </row>
    <row r="339" spans="1:13">
      <c r="A339" s="151"/>
      <c r="B339" s="174" t="s">
        <v>842</v>
      </c>
      <c r="C339" s="174" t="s">
        <v>552</v>
      </c>
      <c r="D339" s="174" t="s">
        <v>1449</v>
      </c>
      <c r="E339" s="174" t="s">
        <v>1475</v>
      </c>
      <c r="F339" s="175" t="s">
        <v>1476</v>
      </c>
      <c r="G339" s="176"/>
      <c r="H339" s="176"/>
      <c r="I339" s="176"/>
      <c r="J339" s="174">
        <v>1</v>
      </c>
      <c r="K339" s="174">
        <v>1500</v>
      </c>
      <c r="L339" s="174">
        <v>1500</v>
      </c>
      <c r="M339" s="174" t="s">
        <v>842</v>
      </c>
    </row>
    <row r="340" spans="1:13">
      <c r="A340" s="151"/>
      <c r="B340" s="174" t="s">
        <v>847</v>
      </c>
      <c r="C340" s="174" t="s">
        <v>552</v>
      </c>
      <c r="D340" s="174" t="s">
        <v>1449</v>
      </c>
      <c r="E340" s="174" t="s">
        <v>1477</v>
      </c>
      <c r="F340" s="175" t="s">
        <v>1478</v>
      </c>
      <c r="G340" s="176"/>
      <c r="H340" s="176"/>
      <c r="I340" s="176"/>
      <c r="J340" s="174">
        <v>1</v>
      </c>
      <c r="K340" s="174">
        <v>135</v>
      </c>
      <c r="L340" s="174">
        <v>135</v>
      </c>
      <c r="M340" s="174" t="s">
        <v>847</v>
      </c>
    </row>
    <row r="341" spans="1:13">
      <c r="A341" s="151"/>
      <c r="B341" s="174" t="s">
        <v>851</v>
      </c>
      <c r="C341" s="174" t="s">
        <v>552</v>
      </c>
      <c r="D341" s="174" t="s">
        <v>1449</v>
      </c>
      <c r="E341" s="174" t="s">
        <v>1479</v>
      </c>
      <c r="F341" s="175" t="s">
        <v>1480</v>
      </c>
      <c r="G341" s="176"/>
      <c r="H341" s="176"/>
      <c r="I341" s="176"/>
      <c r="J341" s="174">
        <v>1</v>
      </c>
      <c r="K341" s="174">
        <v>135</v>
      </c>
      <c r="L341" s="174">
        <v>135</v>
      </c>
      <c r="M341" s="174" t="s">
        <v>851</v>
      </c>
    </row>
    <row r="342" spans="1:13">
      <c r="A342" s="151"/>
      <c r="B342" s="174" t="s">
        <v>855</v>
      </c>
      <c r="C342" s="174" t="s">
        <v>552</v>
      </c>
      <c r="D342" s="174" t="s">
        <v>1449</v>
      </c>
      <c r="E342" s="174" t="s">
        <v>1481</v>
      </c>
      <c r="F342" s="175" t="s">
        <v>1482</v>
      </c>
      <c r="G342" s="176"/>
      <c r="H342" s="176"/>
      <c r="I342" s="176"/>
      <c r="J342" s="174">
        <v>1</v>
      </c>
      <c r="K342" s="174">
        <v>170</v>
      </c>
      <c r="L342" s="174">
        <v>170</v>
      </c>
      <c r="M342" s="174" t="s">
        <v>855</v>
      </c>
    </row>
    <row r="343" spans="1:13">
      <c r="A343" s="151"/>
      <c r="B343" s="174" t="s">
        <v>859</v>
      </c>
      <c r="C343" s="174" t="s">
        <v>552</v>
      </c>
      <c r="D343" s="174" t="s">
        <v>1449</v>
      </c>
      <c r="E343" s="174" t="s">
        <v>1209</v>
      </c>
      <c r="F343" s="175" t="s">
        <v>1483</v>
      </c>
      <c r="G343" s="176"/>
      <c r="H343" s="176"/>
      <c r="I343" s="176"/>
      <c r="J343" s="174">
        <v>1</v>
      </c>
      <c r="K343" s="174">
        <v>20</v>
      </c>
      <c r="L343" s="174">
        <v>20</v>
      </c>
      <c r="M343" s="174" t="s">
        <v>859</v>
      </c>
    </row>
    <row r="344" spans="1:13">
      <c r="A344" s="151"/>
      <c r="B344" s="174" t="s">
        <v>863</v>
      </c>
      <c r="C344" s="174" t="s">
        <v>552</v>
      </c>
      <c r="D344" s="174" t="s">
        <v>1449</v>
      </c>
      <c r="E344" s="174" t="s">
        <v>1209</v>
      </c>
      <c r="F344" s="175" t="s">
        <v>1484</v>
      </c>
      <c r="G344" s="176"/>
      <c r="H344" s="176"/>
      <c r="I344" s="176"/>
      <c r="J344" s="174">
        <v>2</v>
      </c>
      <c r="K344" s="174">
        <v>20</v>
      </c>
      <c r="L344" s="174">
        <v>40</v>
      </c>
      <c r="M344" s="174" t="s">
        <v>863</v>
      </c>
    </row>
    <row r="345" spans="1:13">
      <c r="A345" s="151"/>
      <c r="B345" s="174" t="s">
        <v>868</v>
      </c>
      <c r="C345" s="174" t="s">
        <v>552</v>
      </c>
      <c r="D345" s="174" t="s">
        <v>1449</v>
      </c>
      <c r="E345" s="174" t="s">
        <v>1485</v>
      </c>
      <c r="F345" s="175" t="s">
        <v>1486</v>
      </c>
      <c r="G345" s="176"/>
      <c r="H345" s="176"/>
      <c r="I345" s="176"/>
      <c r="J345" s="174">
        <v>1</v>
      </c>
      <c r="K345" s="174">
        <v>200</v>
      </c>
      <c r="L345" s="174">
        <v>200</v>
      </c>
      <c r="M345" s="174" t="s">
        <v>868</v>
      </c>
    </row>
    <row r="346" spans="1:13">
      <c r="A346" s="151"/>
      <c r="B346" s="174" t="s">
        <v>872</v>
      </c>
      <c r="C346" s="174" t="s">
        <v>552</v>
      </c>
      <c r="D346" s="174" t="s">
        <v>1449</v>
      </c>
      <c r="E346" s="174" t="s">
        <v>1485</v>
      </c>
      <c r="F346" s="175" t="s">
        <v>1487</v>
      </c>
      <c r="G346" s="176"/>
      <c r="H346" s="176"/>
      <c r="I346" s="176"/>
      <c r="J346" s="174">
        <v>2</v>
      </c>
      <c r="K346" s="174">
        <v>200</v>
      </c>
      <c r="L346" s="174">
        <v>400</v>
      </c>
      <c r="M346" s="174" t="s">
        <v>872</v>
      </c>
    </row>
    <row r="347" spans="1:13">
      <c r="A347" s="151"/>
      <c r="B347" s="174" t="s">
        <v>877</v>
      </c>
      <c r="C347" s="174" t="s">
        <v>552</v>
      </c>
      <c r="D347" s="174" t="s">
        <v>1449</v>
      </c>
      <c r="E347" s="174" t="s">
        <v>1488</v>
      </c>
      <c r="F347" s="175" t="s">
        <v>1489</v>
      </c>
      <c r="G347" s="176"/>
      <c r="H347" s="176"/>
      <c r="I347" s="176"/>
      <c r="J347" s="174">
        <v>1</v>
      </c>
      <c r="K347" s="174">
        <v>2000</v>
      </c>
      <c r="L347" s="174">
        <v>2000</v>
      </c>
      <c r="M347" s="174" t="s">
        <v>877</v>
      </c>
    </row>
    <row r="348" spans="1:13">
      <c r="A348" s="151"/>
      <c r="B348" s="174" t="s">
        <v>881</v>
      </c>
      <c r="C348" s="174" t="s">
        <v>552</v>
      </c>
      <c r="D348" s="174" t="s">
        <v>1449</v>
      </c>
      <c r="E348" s="174" t="s">
        <v>1490</v>
      </c>
      <c r="F348" s="175" t="s">
        <v>1491</v>
      </c>
      <c r="G348" s="176"/>
      <c r="H348" s="176"/>
      <c r="I348" s="176"/>
      <c r="J348" s="174">
        <v>1</v>
      </c>
      <c r="K348" s="174">
        <v>200</v>
      </c>
      <c r="L348" s="174">
        <v>200</v>
      </c>
      <c r="M348" s="174" t="s">
        <v>881</v>
      </c>
    </row>
    <row r="349" spans="1:13">
      <c r="A349" s="151"/>
      <c r="B349" s="174" t="s">
        <v>885</v>
      </c>
      <c r="C349" s="174" t="s">
        <v>552</v>
      </c>
      <c r="D349" s="174" t="s">
        <v>1449</v>
      </c>
      <c r="E349" s="174" t="s">
        <v>1212</v>
      </c>
      <c r="F349" s="175" t="s">
        <v>1492</v>
      </c>
      <c r="G349" s="176"/>
      <c r="H349" s="176"/>
      <c r="I349" s="176"/>
      <c r="J349" s="174">
        <v>1</v>
      </c>
      <c r="K349" s="174">
        <v>25</v>
      </c>
      <c r="L349" s="174">
        <v>25</v>
      </c>
      <c r="M349" s="174" t="s">
        <v>885</v>
      </c>
    </row>
    <row r="350" spans="1:13">
      <c r="A350" s="151"/>
      <c r="B350" s="174" t="s">
        <v>890</v>
      </c>
      <c r="C350" s="174" t="s">
        <v>552</v>
      </c>
      <c r="D350" s="174" t="s">
        <v>1449</v>
      </c>
      <c r="E350" s="174" t="s">
        <v>1212</v>
      </c>
      <c r="F350" s="175" t="s">
        <v>1493</v>
      </c>
      <c r="G350" s="176"/>
      <c r="H350" s="176"/>
      <c r="I350" s="176"/>
      <c r="J350" s="174">
        <v>2</v>
      </c>
      <c r="K350" s="174">
        <v>25</v>
      </c>
      <c r="L350" s="174">
        <v>50</v>
      </c>
      <c r="M350" s="174" t="s">
        <v>890</v>
      </c>
    </row>
    <row r="351" spans="1:13">
      <c r="A351" s="151"/>
      <c r="B351" s="174" t="s">
        <v>893</v>
      </c>
      <c r="C351" s="174" t="s">
        <v>552</v>
      </c>
      <c r="D351" s="174" t="s">
        <v>1449</v>
      </c>
      <c r="E351" s="174" t="s">
        <v>1212</v>
      </c>
      <c r="F351" s="175" t="s">
        <v>1494</v>
      </c>
      <c r="G351" s="176"/>
      <c r="H351" s="176"/>
      <c r="I351" s="176"/>
      <c r="J351" s="174">
        <v>4</v>
      </c>
      <c r="K351" s="174">
        <v>25</v>
      </c>
      <c r="L351" s="174">
        <v>100</v>
      </c>
      <c r="M351" s="174" t="s">
        <v>893</v>
      </c>
    </row>
    <row r="352" spans="1:13">
      <c r="A352" s="151"/>
      <c r="B352" s="174" t="s">
        <v>897</v>
      </c>
      <c r="C352" s="174" t="s">
        <v>552</v>
      </c>
      <c r="D352" s="174" t="s">
        <v>1449</v>
      </c>
      <c r="E352" s="174" t="s">
        <v>1495</v>
      </c>
      <c r="F352" s="175" t="s">
        <v>1496</v>
      </c>
      <c r="G352" s="176"/>
      <c r="H352" s="176"/>
      <c r="I352" s="176"/>
      <c r="J352" s="174">
        <v>1</v>
      </c>
      <c r="K352" s="174">
        <v>250</v>
      </c>
      <c r="L352" s="174">
        <v>250</v>
      </c>
      <c r="M352" s="174" t="s">
        <v>897</v>
      </c>
    </row>
    <row r="353" spans="1:13">
      <c r="A353" s="151"/>
      <c r="B353" s="174" t="s">
        <v>900</v>
      </c>
      <c r="C353" s="174" t="s">
        <v>552</v>
      </c>
      <c r="D353" s="174" t="s">
        <v>1449</v>
      </c>
      <c r="E353" s="174" t="s">
        <v>1497</v>
      </c>
      <c r="F353" s="175" t="s">
        <v>1498</v>
      </c>
      <c r="G353" s="176"/>
      <c r="H353" s="176"/>
      <c r="I353" s="176"/>
      <c r="J353" s="174">
        <v>1</v>
      </c>
      <c r="K353" s="174">
        <v>300</v>
      </c>
      <c r="L353" s="174">
        <v>300</v>
      </c>
      <c r="M353" s="174" t="s">
        <v>900</v>
      </c>
    </row>
    <row r="354" spans="1:13">
      <c r="A354" s="151"/>
      <c r="B354" s="174" t="s">
        <v>903</v>
      </c>
      <c r="C354" s="174" t="s">
        <v>552</v>
      </c>
      <c r="D354" s="174" t="s">
        <v>1449</v>
      </c>
      <c r="E354" s="174" t="s">
        <v>1215</v>
      </c>
      <c r="F354" s="175" t="s">
        <v>1499</v>
      </c>
      <c r="G354" s="176"/>
      <c r="H354" s="176"/>
      <c r="I354" s="176"/>
      <c r="J354" s="174">
        <v>1</v>
      </c>
      <c r="K354" s="174">
        <v>34</v>
      </c>
      <c r="L354" s="174">
        <v>34</v>
      </c>
      <c r="M354" s="174" t="s">
        <v>903</v>
      </c>
    </row>
    <row r="355" spans="1:13">
      <c r="A355" s="151"/>
      <c r="B355" s="174" t="s">
        <v>906</v>
      </c>
      <c r="C355" s="174" t="s">
        <v>552</v>
      </c>
      <c r="D355" s="174" t="s">
        <v>1449</v>
      </c>
      <c r="E355" s="174" t="s">
        <v>1215</v>
      </c>
      <c r="F355" s="175" t="s">
        <v>1500</v>
      </c>
      <c r="G355" s="176"/>
      <c r="H355" s="176"/>
      <c r="I355" s="176"/>
      <c r="J355" s="174">
        <v>2</v>
      </c>
      <c r="K355" s="174">
        <v>34</v>
      </c>
      <c r="L355" s="174">
        <v>68</v>
      </c>
      <c r="M355" s="174" t="s">
        <v>906</v>
      </c>
    </row>
    <row r="356" spans="1:13">
      <c r="A356" s="151"/>
      <c r="B356" s="174" t="s">
        <v>909</v>
      </c>
      <c r="C356" s="174" t="s">
        <v>552</v>
      </c>
      <c r="D356" s="174" t="s">
        <v>1449</v>
      </c>
      <c r="E356" s="174" t="s">
        <v>1501</v>
      </c>
      <c r="F356" s="175" t="s">
        <v>1502</v>
      </c>
      <c r="G356" s="176"/>
      <c r="H356" s="176"/>
      <c r="I356" s="176"/>
      <c r="J356" s="174">
        <v>1</v>
      </c>
      <c r="K356" s="174">
        <v>36</v>
      </c>
      <c r="L356" s="174">
        <v>36</v>
      </c>
      <c r="M356" s="174" t="s">
        <v>909</v>
      </c>
    </row>
    <row r="357" spans="1:13">
      <c r="A357" s="151"/>
      <c r="B357" s="174" t="s">
        <v>912</v>
      </c>
      <c r="C357" s="174" t="s">
        <v>552</v>
      </c>
      <c r="D357" s="174" t="s">
        <v>1449</v>
      </c>
      <c r="E357" s="174" t="s">
        <v>1218</v>
      </c>
      <c r="F357" s="175" t="s">
        <v>1503</v>
      </c>
      <c r="G357" s="176"/>
      <c r="H357" s="176"/>
      <c r="I357" s="176"/>
      <c r="J357" s="174">
        <v>1</v>
      </c>
      <c r="K357" s="174">
        <v>40</v>
      </c>
      <c r="L357" s="174">
        <v>40</v>
      </c>
      <c r="M357" s="174" t="s">
        <v>912</v>
      </c>
    </row>
    <row r="358" spans="1:13">
      <c r="A358" s="151"/>
      <c r="B358" s="174" t="s">
        <v>916</v>
      </c>
      <c r="C358" s="174" t="s">
        <v>552</v>
      </c>
      <c r="D358" s="174" t="s">
        <v>1449</v>
      </c>
      <c r="E358" s="174" t="s">
        <v>1218</v>
      </c>
      <c r="F358" s="175" t="s">
        <v>1504</v>
      </c>
      <c r="G358" s="176"/>
      <c r="H358" s="176"/>
      <c r="I358" s="176"/>
      <c r="J358" s="174">
        <v>2</v>
      </c>
      <c r="K358" s="174">
        <v>40</v>
      </c>
      <c r="L358" s="174">
        <v>80</v>
      </c>
      <c r="M358" s="174" t="s">
        <v>916</v>
      </c>
    </row>
    <row r="359" spans="1:13">
      <c r="A359" s="151"/>
      <c r="B359" s="174" t="s">
        <v>920</v>
      </c>
      <c r="C359" s="174" t="s">
        <v>552</v>
      </c>
      <c r="D359" s="174" t="s">
        <v>1449</v>
      </c>
      <c r="E359" s="174" t="s">
        <v>1505</v>
      </c>
      <c r="F359" s="175" t="s">
        <v>1506</v>
      </c>
      <c r="G359" s="176"/>
      <c r="H359" s="176"/>
      <c r="I359" s="176"/>
      <c r="J359" s="174">
        <v>1</v>
      </c>
      <c r="K359" s="174">
        <v>400</v>
      </c>
      <c r="L359" s="174">
        <v>400</v>
      </c>
      <c r="M359" s="174" t="s">
        <v>920</v>
      </c>
    </row>
    <row r="360" spans="1:13">
      <c r="A360" s="151"/>
      <c r="B360" s="174" t="s">
        <v>923</v>
      </c>
      <c r="C360" s="174" t="s">
        <v>552</v>
      </c>
      <c r="D360" s="174" t="s">
        <v>1449</v>
      </c>
      <c r="E360" s="174" t="s">
        <v>1507</v>
      </c>
      <c r="F360" s="175" t="s">
        <v>1508</v>
      </c>
      <c r="G360" s="176"/>
      <c r="H360" s="176"/>
      <c r="I360" s="176"/>
      <c r="J360" s="174">
        <v>1</v>
      </c>
      <c r="K360" s="174">
        <v>34</v>
      </c>
      <c r="L360" s="174">
        <v>34</v>
      </c>
      <c r="M360" s="174" t="s">
        <v>923</v>
      </c>
    </row>
    <row r="361" spans="1:13">
      <c r="A361" s="151"/>
      <c r="B361" s="174" t="s">
        <v>927</v>
      </c>
      <c r="C361" s="174" t="s">
        <v>552</v>
      </c>
      <c r="D361" s="174" t="s">
        <v>1449</v>
      </c>
      <c r="E361" s="174" t="s">
        <v>1509</v>
      </c>
      <c r="F361" s="175" t="s">
        <v>1510</v>
      </c>
      <c r="G361" s="176"/>
      <c r="H361" s="176"/>
      <c r="I361" s="176"/>
      <c r="J361" s="174">
        <v>1</v>
      </c>
      <c r="K361" s="174">
        <v>34</v>
      </c>
      <c r="L361" s="174">
        <v>34</v>
      </c>
      <c r="M361" s="174" t="s">
        <v>927</v>
      </c>
    </row>
    <row r="362" spans="1:13">
      <c r="A362" s="151"/>
      <c r="B362" s="174" t="s">
        <v>931</v>
      </c>
      <c r="C362" s="174" t="s">
        <v>552</v>
      </c>
      <c r="D362" s="174" t="s">
        <v>1449</v>
      </c>
      <c r="E362" s="174" t="s">
        <v>1511</v>
      </c>
      <c r="F362" s="175" t="s">
        <v>1512</v>
      </c>
      <c r="G362" s="176"/>
      <c r="H362" s="176"/>
      <c r="I362" s="176"/>
      <c r="J362" s="174">
        <v>1</v>
      </c>
      <c r="K362" s="174">
        <v>42</v>
      </c>
      <c r="L362" s="174">
        <v>42</v>
      </c>
      <c r="M362" s="174" t="s">
        <v>931</v>
      </c>
    </row>
    <row r="363" spans="1:13">
      <c r="A363" s="151"/>
      <c r="B363" s="174" t="s">
        <v>935</v>
      </c>
      <c r="C363" s="174" t="s">
        <v>552</v>
      </c>
      <c r="D363" s="174" t="s">
        <v>1449</v>
      </c>
      <c r="E363" s="174" t="s">
        <v>1513</v>
      </c>
      <c r="F363" s="175" t="s">
        <v>1514</v>
      </c>
      <c r="G363" s="176"/>
      <c r="H363" s="176"/>
      <c r="I363" s="176"/>
      <c r="J363" s="174">
        <v>1</v>
      </c>
      <c r="K363" s="174">
        <v>448</v>
      </c>
      <c r="L363" s="174">
        <v>448</v>
      </c>
      <c r="M363" s="174" t="s">
        <v>935</v>
      </c>
    </row>
    <row r="364" spans="1:13">
      <c r="A364" s="151"/>
      <c r="B364" s="174" t="s">
        <v>939</v>
      </c>
      <c r="C364" s="174" t="s">
        <v>552</v>
      </c>
      <c r="D364" s="174" t="s">
        <v>1449</v>
      </c>
      <c r="E364" s="174" t="s">
        <v>1515</v>
      </c>
      <c r="F364" s="175" t="s">
        <v>1516</v>
      </c>
      <c r="G364" s="176"/>
      <c r="H364" s="176"/>
      <c r="I364" s="176"/>
      <c r="J364" s="174">
        <v>1</v>
      </c>
      <c r="K364" s="174">
        <v>45</v>
      </c>
      <c r="L364" s="174">
        <v>45</v>
      </c>
      <c r="M364" s="174" t="s">
        <v>939</v>
      </c>
    </row>
    <row r="365" spans="1:13">
      <c r="A365" s="151"/>
      <c r="B365" s="174" t="s">
        <v>943</v>
      </c>
      <c r="C365" s="174" t="s">
        <v>552</v>
      </c>
      <c r="D365" s="174" t="s">
        <v>1449</v>
      </c>
      <c r="E365" s="174" t="s">
        <v>1224</v>
      </c>
      <c r="F365" s="175" t="s">
        <v>1517</v>
      </c>
      <c r="G365" s="176"/>
      <c r="H365" s="176"/>
      <c r="I365" s="176"/>
      <c r="J365" s="174">
        <v>1</v>
      </c>
      <c r="K365" s="174">
        <v>50</v>
      </c>
      <c r="L365" s="174">
        <v>50</v>
      </c>
      <c r="M365" s="174" t="s">
        <v>943</v>
      </c>
    </row>
    <row r="366" spans="1:13">
      <c r="A366" s="151"/>
      <c r="B366" s="174" t="s">
        <v>947</v>
      </c>
      <c r="C366" s="174" t="s">
        <v>552</v>
      </c>
      <c r="D366" s="174" t="s">
        <v>1449</v>
      </c>
      <c r="E366" s="174" t="s">
        <v>1224</v>
      </c>
      <c r="F366" s="175" t="s">
        <v>1518</v>
      </c>
      <c r="G366" s="176"/>
      <c r="H366" s="176"/>
      <c r="I366" s="176"/>
      <c r="J366" s="174">
        <v>2</v>
      </c>
      <c r="K366" s="174">
        <v>50</v>
      </c>
      <c r="L366" s="174">
        <v>100</v>
      </c>
      <c r="M366" s="174" t="s">
        <v>947</v>
      </c>
    </row>
    <row r="367" spans="1:13">
      <c r="A367" s="151"/>
      <c r="B367" s="174" t="s">
        <v>951</v>
      </c>
      <c r="C367" s="174" t="s">
        <v>552</v>
      </c>
      <c r="D367" s="174" t="s">
        <v>1449</v>
      </c>
      <c r="E367" s="174" t="s">
        <v>1519</v>
      </c>
      <c r="F367" s="175" t="s">
        <v>1520</v>
      </c>
      <c r="G367" s="176"/>
      <c r="H367" s="176"/>
      <c r="I367" s="176"/>
      <c r="J367" s="174">
        <v>1</v>
      </c>
      <c r="K367" s="174">
        <v>500</v>
      </c>
      <c r="L367" s="174">
        <v>500</v>
      </c>
      <c r="M367" s="174" t="s">
        <v>951</v>
      </c>
    </row>
    <row r="368" spans="1:13">
      <c r="A368" s="151"/>
      <c r="B368" s="174" t="s">
        <v>955</v>
      </c>
      <c r="C368" s="174" t="s">
        <v>552</v>
      </c>
      <c r="D368" s="174" t="s">
        <v>1449</v>
      </c>
      <c r="E368" s="174" t="s">
        <v>1521</v>
      </c>
      <c r="F368" s="175" t="s">
        <v>1522</v>
      </c>
      <c r="G368" s="176"/>
      <c r="H368" s="176"/>
      <c r="I368" s="176"/>
      <c r="J368" s="174">
        <v>1</v>
      </c>
      <c r="K368" s="174">
        <v>52</v>
      </c>
      <c r="L368" s="174">
        <v>52</v>
      </c>
      <c r="M368" s="174" t="s">
        <v>955</v>
      </c>
    </row>
    <row r="369" spans="1:13">
      <c r="A369" s="151"/>
      <c r="B369" s="174" t="s">
        <v>959</v>
      </c>
      <c r="C369" s="174" t="s">
        <v>552</v>
      </c>
      <c r="D369" s="174" t="s">
        <v>1449</v>
      </c>
      <c r="E369" s="174" t="s">
        <v>1521</v>
      </c>
      <c r="F369" s="175" t="s">
        <v>1523</v>
      </c>
      <c r="G369" s="176"/>
      <c r="H369" s="176"/>
      <c r="I369" s="176"/>
      <c r="J369" s="174">
        <v>2</v>
      </c>
      <c r="K369" s="174">
        <v>52</v>
      </c>
      <c r="L369" s="174">
        <v>104</v>
      </c>
      <c r="M369" s="174" t="s">
        <v>959</v>
      </c>
    </row>
    <row r="370" spans="1:13">
      <c r="A370" s="151"/>
      <c r="B370" s="174" t="s">
        <v>964</v>
      </c>
      <c r="C370" s="174" t="s">
        <v>552</v>
      </c>
      <c r="D370" s="174" t="s">
        <v>1449</v>
      </c>
      <c r="E370" s="174" t="s">
        <v>1524</v>
      </c>
      <c r="F370" s="175" t="s">
        <v>1525</v>
      </c>
      <c r="G370" s="176"/>
      <c r="H370" s="176"/>
      <c r="I370" s="176"/>
      <c r="J370" s="174">
        <v>1</v>
      </c>
      <c r="K370" s="174">
        <v>54</v>
      </c>
      <c r="L370" s="174">
        <v>54</v>
      </c>
      <c r="M370" s="174" t="s">
        <v>964</v>
      </c>
    </row>
    <row r="371" spans="1:13">
      <c r="A371" s="151"/>
      <c r="B371" s="174" t="s">
        <v>968</v>
      </c>
      <c r="C371" s="174" t="s">
        <v>552</v>
      </c>
      <c r="D371" s="174" t="s">
        <v>1449</v>
      </c>
      <c r="E371" s="174" t="s">
        <v>1524</v>
      </c>
      <c r="F371" s="175" t="s">
        <v>1526</v>
      </c>
      <c r="G371" s="176"/>
      <c r="H371" s="176"/>
      <c r="I371" s="176"/>
      <c r="J371" s="174">
        <v>2</v>
      </c>
      <c r="K371" s="174">
        <v>54</v>
      </c>
      <c r="L371" s="174">
        <v>108</v>
      </c>
      <c r="M371" s="174" t="s">
        <v>968</v>
      </c>
    </row>
    <row r="372" spans="1:13">
      <c r="A372" s="151"/>
      <c r="B372" s="174" t="s">
        <v>971</v>
      </c>
      <c r="C372" s="174" t="s">
        <v>552</v>
      </c>
      <c r="D372" s="174" t="s">
        <v>1449</v>
      </c>
      <c r="E372" s="174" t="s">
        <v>1527</v>
      </c>
      <c r="F372" s="175" t="s">
        <v>1528</v>
      </c>
      <c r="G372" s="176"/>
      <c r="H372" s="176"/>
      <c r="I372" s="176"/>
      <c r="J372" s="174">
        <v>1</v>
      </c>
      <c r="K372" s="174">
        <v>55</v>
      </c>
      <c r="L372" s="174">
        <v>55</v>
      </c>
      <c r="M372" s="174" t="s">
        <v>971</v>
      </c>
    </row>
    <row r="373" spans="1:13">
      <c r="A373" s="151"/>
      <c r="B373" s="174" t="s">
        <v>974</v>
      </c>
      <c r="C373" s="174" t="s">
        <v>552</v>
      </c>
      <c r="D373" s="174" t="s">
        <v>1449</v>
      </c>
      <c r="E373" s="174" t="s">
        <v>1527</v>
      </c>
      <c r="F373" s="175" t="s">
        <v>1529</v>
      </c>
      <c r="G373" s="176"/>
      <c r="H373" s="176"/>
      <c r="I373" s="176"/>
      <c r="J373" s="174">
        <v>2</v>
      </c>
      <c r="K373" s="174">
        <v>55</v>
      </c>
      <c r="L373" s="174">
        <v>110</v>
      </c>
      <c r="M373" s="174" t="s">
        <v>974</v>
      </c>
    </row>
    <row r="374" spans="1:13">
      <c r="A374" s="151"/>
      <c r="B374" s="174" t="s">
        <v>978</v>
      </c>
      <c r="C374" s="174" t="s">
        <v>552</v>
      </c>
      <c r="D374" s="174" t="s">
        <v>1449</v>
      </c>
      <c r="E374" s="174" t="s">
        <v>1530</v>
      </c>
      <c r="F374" s="175" t="s">
        <v>1531</v>
      </c>
      <c r="G374" s="176"/>
      <c r="H374" s="176"/>
      <c r="I374" s="176"/>
      <c r="J374" s="174">
        <v>1</v>
      </c>
      <c r="K374" s="174">
        <v>60</v>
      </c>
      <c r="L374" s="174">
        <v>60</v>
      </c>
      <c r="M374" s="174" t="s">
        <v>978</v>
      </c>
    </row>
    <row r="375" spans="1:13">
      <c r="A375" s="151"/>
      <c r="B375" s="174" t="s">
        <v>982</v>
      </c>
      <c r="C375" s="174" t="s">
        <v>552</v>
      </c>
      <c r="D375" s="174" t="s">
        <v>1449</v>
      </c>
      <c r="E375" s="174" t="s">
        <v>1530</v>
      </c>
      <c r="F375" s="175" t="s">
        <v>1532</v>
      </c>
      <c r="G375" s="176"/>
      <c r="H375" s="176"/>
      <c r="I375" s="176"/>
      <c r="J375" s="174">
        <v>2</v>
      </c>
      <c r="K375" s="174">
        <v>60</v>
      </c>
      <c r="L375" s="174">
        <v>120</v>
      </c>
      <c r="M375" s="174" t="s">
        <v>982</v>
      </c>
    </row>
    <row r="376" spans="1:13">
      <c r="A376" s="151"/>
      <c r="B376" s="174" t="s">
        <v>985</v>
      </c>
      <c r="C376" s="174" t="s">
        <v>552</v>
      </c>
      <c r="D376" s="174" t="s">
        <v>1449</v>
      </c>
      <c r="E376" s="174" t="s">
        <v>1530</v>
      </c>
      <c r="F376" s="175" t="s">
        <v>1533</v>
      </c>
      <c r="G376" s="176"/>
      <c r="H376" s="176"/>
      <c r="I376" s="176"/>
      <c r="J376" s="174">
        <v>3</v>
      </c>
      <c r="K376" s="174">
        <v>60</v>
      </c>
      <c r="L376" s="174">
        <v>180</v>
      </c>
      <c r="M376" s="174" t="s">
        <v>985</v>
      </c>
    </row>
    <row r="377" spans="1:13">
      <c r="A377" s="151"/>
      <c r="B377" s="174" t="s">
        <v>988</v>
      </c>
      <c r="C377" s="174" t="s">
        <v>552</v>
      </c>
      <c r="D377" s="174" t="s">
        <v>1449</v>
      </c>
      <c r="E377" s="174" t="s">
        <v>1530</v>
      </c>
      <c r="F377" s="175" t="s">
        <v>1534</v>
      </c>
      <c r="G377" s="176"/>
      <c r="H377" s="176"/>
      <c r="I377" s="176"/>
      <c r="J377" s="174">
        <v>4</v>
      </c>
      <c r="K377" s="174">
        <v>60</v>
      </c>
      <c r="L377" s="174">
        <v>240</v>
      </c>
      <c r="M377" s="174" t="s">
        <v>988</v>
      </c>
    </row>
    <row r="378" spans="1:13">
      <c r="A378" s="151"/>
      <c r="B378" s="174" t="s">
        <v>992</v>
      </c>
      <c r="C378" s="174" t="s">
        <v>552</v>
      </c>
      <c r="D378" s="174" t="s">
        <v>1449</v>
      </c>
      <c r="E378" s="174" t="s">
        <v>1530</v>
      </c>
      <c r="F378" s="175" t="s">
        <v>1535</v>
      </c>
      <c r="G378" s="176"/>
      <c r="H378" s="176"/>
      <c r="I378" s="176"/>
      <c r="J378" s="174">
        <v>5</v>
      </c>
      <c r="K378" s="174">
        <v>60</v>
      </c>
      <c r="L378" s="174">
        <v>300</v>
      </c>
      <c r="M378" s="174" t="s">
        <v>992</v>
      </c>
    </row>
    <row r="379" spans="1:13">
      <c r="A379" s="151"/>
      <c r="B379" s="174" t="s">
        <v>996</v>
      </c>
      <c r="C379" s="174" t="s">
        <v>552</v>
      </c>
      <c r="D379" s="174" t="s">
        <v>1449</v>
      </c>
      <c r="E379" s="174" t="s">
        <v>1536</v>
      </c>
      <c r="F379" s="175" t="s">
        <v>1537</v>
      </c>
      <c r="G379" s="176"/>
      <c r="H379" s="176"/>
      <c r="I379" s="176"/>
      <c r="J379" s="174">
        <v>1</v>
      </c>
      <c r="K379" s="174">
        <v>52</v>
      </c>
      <c r="L379" s="174">
        <v>52</v>
      </c>
      <c r="M379" s="174" t="s">
        <v>996</v>
      </c>
    </row>
    <row r="380" spans="1:13">
      <c r="A380" s="151"/>
      <c r="B380" s="174" t="s">
        <v>999</v>
      </c>
      <c r="C380" s="174" t="s">
        <v>552</v>
      </c>
      <c r="D380" s="174" t="s">
        <v>1449</v>
      </c>
      <c r="E380" s="174" t="s">
        <v>1538</v>
      </c>
      <c r="F380" s="175" t="s">
        <v>1539</v>
      </c>
      <c r="G380" s="176"/>
      <c r="H380" s="176"/>
      <c r="I380" s="176"/>
      <c r="J380" s="174">
        <v>1</v>
      </c>
      <c r="K380" s="174">
        <v>52</v>
      </c>
      <c r="L380" s="174">
        <v>52</v>
      </c>
      <c r="M380" s="174" t="s">
        <v>999</v>
      </c>
    </row>
    <row r="381" spans="1:13">
      <c r="A381" s="151"/>
      <c r="B381" s="174" t="s">
        <v>1003</v>
      </c>
      <c r="C381" s="174" t="s">
        <v>552</v>
      </c>
      <c r="D381" s="174" t="s">
        <v>1449</v>
      </c>
      <c r="E381" s="174" t="s">
        <v>1540</v>
      </c>
      <c r="F381" s="175" t="s">
        <v>1541</v>
      </c>
      <c r="G381" s="176"/>
      <c r="H381" s="176"/>
      <c r="I381" s="176"/>
      <c r="J381" s="174">
        <v>1</v>
      </c>
      <c r="K381" s="174">
        <v>65</v>
      </c>
      <c r="L381" s="174">
        <v>65</v>
      </c>
      <c r="M381" s="174" t="s">
        <v>1003</v>
      </c>
    </row>
    <row r="382" spans="1:13">
      <c r="A382" s="151"/>
      <c r="B382" s="174" t="s">
        <v>1006</v>
      </c>
      <c r="C382" s="174" t="s">
        <v>552</v>
      </c>
      <c r="D382" s="174" t="s">
        <v>1449</v>
      </c>
      <c r="E382" s="174" t="s">
        <v>1540</v>
      </c>
      <c r="F382" s="175" t="s">
        <v>1542</v>
      </c>
      <c r="G382" s="176"/>
      <c r="H382" s="176"/>
      <c r="I382" s="176"/>
      <c r="J382" s="174">
        <v>2</v>
      </c>
      <c r="K382" s="174">
        <v>65</v>
      </c>
      <c r="L382" s="174">
        <v>130</v>
      </c>
      <c r="M382" s="174" t="s">
        <v>1006</v>
      </c>
    </row>
    <row r="383" spans="1:13">
      <c r="A383" s="151"/>
      <c r="B383" s="174" t="s">
        <v>1009</v>
      </c>
      <c r="C383" s="174" t="s">
        <v>552</v>
      </c>
      <c r="D383" s="174" t="s">
        <v>1449</v>
      </c>
      <c r="E383" s="174" t="s">
        <v>1543</v>
      </c>
      <c r="F383" s="175" t="s">
        <v>1544</v>
      </c>
      <c r="G383" s="176"/>
      <c r="H383" s="176"/>
      <c r="I383" s="176"/>
      <c r="J383" s="174">
        <v>1</v>
      </c>
      <c r="K383" s="174">
        <v>67</v>
      </c>
      <c r="L383" s="174">
        <v>67</v>
      </c>
      <c r="M383" s="174" t="s">
        <v>1009</v>
      </c>
    </row>
    <row r="384" spans="1:13">
      <c r="A384" s="151"/>
      <c r="B384" s="174" t="s">
        <v>1013</v>
      </c>
      <c r="C384" s="174" t="s">
        <v>552</v>
      </c>
      <c r="D384" s="174" t="s">
        <v>1449</v>
      </c>
      <c r="E384" s="174" t="s">
        <v>1543</v>
      </c>
      <c r="F384" s="175" t="s">
        <v>1545</v>
      </c>
      <c r="G384" s="176"/>
      <c r="H384" s="176"/>
      <c r="I384" s="176"/>
      <c r="J384" s="174">
        <v>2</v>
      </c>
      <c r="K384" s="174">
        <v>67</v>
      </c>
      <c r="L384" s="174">
        <v>134</v>
      </c>
      <c r="M384" s="174" t="s">
        <v>1013</v>
      </c>
    </row>
    <row r="385" spans="1:13">
      <c r="A385" s="151"/>
      <c r="B385" s="174" t="s">
        <v>1016</v>
      </c>
      <c r="C385" s="174" t="s">
        <v>552</v>
      </c>
      <c r="D385" s="174" t="s">
        <v>1449</v>
      </c>
      <c r="E385" s="174" t="s">
        <v>1543</v>
      </c>
      <c r="F385" s="175" t="s">
        <v>1546</v>
      </c>
      <c r="G385" s="176"/>
      <c r="H385" s="176"/>
      <c r="I385" s="176"/>
      <c r="J385" s="174">
        <v>3</v>
      </c>
      <c r="K385" s="174">
        <v>67</v>
      </c>
      <c r="L385" s="174">
        <v>201</v>
      </c>
      <c r="M385" s="174" t="s">
        <v>1016</v>
      </c>
    </row>
    <row r="386" spans="1:13">
      <c r="A386" s="151"/>
      <c r="B386" s="174" t="s">
        <v>1019</v>
      </c>
      <c r="C386" s="174" t="s">
        <v>552</v>
      </c>
      <c r="D386" s="174" t="s">
        <v>1449</v>
      </c>
      <c r="E386" s="174" t="s">
        <v>1547</v>
      </c>
      <c r="F386" s="175" t="s">
        <v>1548</v>
      </c>
      <c r="G386" s="176"/>
      <c r="H386" s="176"/>
      <c r="I386" s="176"/>
      <c r="J386" s="174">
        <v>1</v>
      </c>
      <c r="K386" s="174">
        <v>69</v>
      </c>
      <c r="L386" s="174">
        <v>69</v>
      </c>
      <c r="M386" s="174" t="s">
        <v>1019</v>
      </c>
    </row>
    <row r="387" spans="1:13">
      <c r="A387" s="151"/>
      <c r="B387" s="174" t="s">
        <v>1022</v>
      </c>
      <c r="C387" s="174" t="s">
        <v>552</v>
      </c>
      <c r="D387" s="174" t="s">
        <v>1449</v>
      </c>
      <c r="E387" s="174" t="s">
        <v>1226</v>
      </c>
      <c r="F387" s="175" t="s">
        <v>1549</v>
      </c>
      <c r="G387" s="176"/>
      <c r="H387" s="176"/>
      <c r="I387" s="176"/>
      <c r="J387" s="174">
        <v>1</v>
      </c>
      <c r="K387" s="174">
        <v>7.5</v>
      </c>
      <c r="L387" s="174">
        <v>8</v>
      </c>
      <c r="M387" s="174" t="s">
        <v>1022</v>
      </c>
    </row>
    <row r="388" spans="1:13">
      <c r="A388" s="151"/>
      <c r="B388" s="174" t="s">
        <v>1026</v>
      </c>
      <c r="C388" s="174" t="s">
        <v>552</v>
      </c>
      <c r="D388" s="174" t="s">
        <v>1449</v>
      </c>
      <c r="E388" s="174" t="s">
        <v>1226</v>
      </c>
      <c r="F388" s="175" t="s">
        <v>1550</v>
      </c>
      <c r="G388" s="176"/>
      <c r="H388" s="176"/>
      <c r="I388" s="176"/>
      <c r="J388" s="174">
        <v>2</v>
      </c>
      <c r="K388" s="174">
        <v>7.5</v>
      </c>
      <c r="L388" s="174">
        <v>15</v>
      </c>
      <c r="M388" s="174" t="s">
        <v>1026</v>
      </c>
    </row>
    <row r="389" spans="1:13">
      <c r="A389" s="151"/>
      <c r="B389" s="174" t="s">
        <v>1029</v>
      </c>
      <c r="C389" s="174" t="s">
        <v>552</v>
      </c>
      <c r="D389" s="174" t="s">
        <v>1449</v>
      </c>
      <c r="E389" s="174" t="s">
        <v>1551</v>
      </c>
      <c r="F389" s="175" t="s">
        <v>1552</v>
      </c>
      <c r="G389" s="176"/>
      <c r="H389" s="176"/>
      <c r="I389" s="176"/>
      <c r="J389" s="174">
        <v>1</v>
      </c>
      <c r="K389" s="174">
        <v>72</v>
      </c>
      <c r="L389" s="174">
        <v>72</v>
      </c>
      <c r="M389" s="174" t="s">
        <v>1029</v>
      </c>
    </row>
    <row r="390" spans="1:13">
      <c r="A390" s="151"/>
      <c r="B390" s="174" t="s">
        <v>1032</v>
      </c>
      <c r="C390" s="174" t="s">
        <v>552</v>
      </c>
      <c r="D390" s="174" t="s">
        <v>1449</v>
      </c>
      <c r="E390" s="174" t="s">
        <v>1553</v>
      </c>
      <c r="F390" s="175" t="s">
        <v>1554</v>
      </c>
      <c r="G390" s="176"/>
      <c r="H390" s="176"/>
      <c r="I390" s="176"/>
      <c r="J390" s="174">
        <v>1</v>
      </c>
      <c r="K390" s="174">
        <v>75</v>
      </c>
      <c r="L390" s="174">
        <v>75</v>
      </c>
      <c r="M390" s="174" t="s">
        <v>1032</v>
      </c>
    </row>
    <row r="391" spans="1:13">
      <c r="A391" s="151"/>
      <c r="B391" s="174" t="s">
        <v>1036</v>
      </c>
      <c r="C391" s="174" t="s">
        <v>552</v>
      </c>
      <c r="D391" s="174" t="s">
        <v>1449</v>
      </c>
      <c r="E391" s="174" t="s">
        <v>1553</v>
      </c>
      <c r="F391" s="175" t="s">
        <v>1555</v>
      </c>
      <c r="G391" s="176"/>
      <c r="H391" s="176"/>
      <c r="I391" s="176"/>
      <c r="J391" s="174">
        <v>2</v>
      </c>
      <c r="K391" s="174">
        <v>75</v>
      </c>
      <c r="L391" s="174">
        <v>150</v>
      </c>
      <c r="M391" s="174" t="s">
        <v>1036</v>
      </c>
    </row>
    <row r="392" spans="1:13">
      <c r="A392" s="151"/>
      <c r="B392" s="174" t="s">
        <v>1039</v>
      </c>
      <c r="C392" s="174" t="s">
        <v>552</v>
      </c>
      <c r="D392" s="174" t="s">
        <v>1449</v>
      </c>
      <c r="E392" s="174" t="s">
        <v>1553</v>
      </c>
      <c r="F392" s="175" t="s">
        <v>1556</v>
      </c>
      <c r="G392" s="176"/>
      <c r="H392" s="176"/>
      <c r="I392" s="176"/>
      <c r="J392" s="174">
        <v>3</v>
      </c>
      <c r="K392" s="174">
        <v>75</v>
      </c>
      <c r="L392" s="174">
        <v>225</v>
      </c>
      <c r="M392" s="174" t="s">
        <v>1039</v>
      </c>
    </row>
    <row r="393" spans="1:13">
      <c r="A393" s="151"/>
      <c r="B393" s="174" t="s">
        <v>1043</v>
      </c>
      <c r="C393" s="174" t="s">
        <v>552</v>
      </c>
      <c r="D393" s="174" t="s">
        <v>1449</v>
      </c>
      <c r="E393" s="174" t="s">
        <v>1553</v>
      </c>
      <c r="F393" s="175" t="s">
        <v>1557</v>
      </c>
      <c r="G393" s="176"/>
      <c r="H393" s="176"/>
      <c r="I393" s="176"/>
      <c r="J393" s="174">
        <v>4</v>
      </c>
      <c r="K393" s="174">
        <v>75</v>
      </c>
      <c r="L393" s="174">
        <v>300</v>
      </c>
      <c r="M393" s="174" t="s">
        <v>1043</v>
      </c>
    </row>
    <row r="394" spans="1:13">
      <c r="A394" s="151"/>
      <c r="B394" s="174" t="s">
        <v>1046</v>
      </c>
      <c r="C394" s="174" t="s">
        <v>552</v>
      </c>
      <c r="D394" s="174" t="s">
        <v>1449</v>
      </c>
      <c r="E394" s="174" t="s">
        <v>1558</v>
      </c>
      <c r="F394" s="175" t="s">
        <v>1559</v>
      </c>
      <c r="G394" s="176"/>
      <c r="H394" s="176"/>
      <c r="I394" s="176"/>
      <c r="J394" s="174">
        <v>1</v>
      </c>
      <c r="K394" s="174">
        <v>750</v>
      </c>
      <c r="L394" s="174">
        <v>750</v>
      </c>
      <c r="M394" s="174" t="s">
        <v>1046</v>
      </c>
    </row>
    <row r="395" spans="1:13">
      <c r="A395" s="151"/>
      <c r="B395" s="174" t="s">
        <v>1049</v>
      </c>
      <c r="C395" s="174" t="s">
        <v>552</v>
      </c>
      <c r="D395" s="174" t="s">
        <v>1449</v>
      </c>
      <c r="E395" s="174" t="s">
        <v>1560</v>
      </c>
      <c r="F395" s="175" t="s">
        <v>1561</v>
      </c>
      <c r="G395" s="176"/>
      <c r="H395" s="176"/>
      <c r="I395" s="176"/>
      <c r="J395" s="174">
        <v>1</v>
      </c>
      <c r="K395" s="174">
        <v>67</v>
      </c>
      <c r="L395" s="174">
        <v>67</v>
      </c>
      <c r="M395" s="174" t="s">
        <v>1049</v>
      </c>
    </row>
    <row r="396" spans="1:13">
      <c r="A396" s="151"/>
      <c r="B396" s="174" t="s">
        <v>1052</v>
      </c>
      <c r="C396" s="174" t="s">
        <v>552</v>
      </c>
      <c r="D396" s="174" t="s">
        <v>1449</v>
      </c>
      <c r="E396" s="174" t="s">
        <v>1562</v>
      </c>
      <c r="F396" s="175" t="s">
        <v>1563</v>
      </c>
      <c r="G396" s="176"/>
      <c r="H396" s="176"/>
      <c r="I396" s="176"/>
      <c r="J396" s="174">
        <v>1</v>
      </c>
      <c r="K396" s="174">
        <v>67</v>
      </c>
      <c r="L396" s="174">
        <v>67</v>
      </c>
      <c r="M396" s="174" t="s">
        <v>1052</v>
      </c>
    </row>
    <row r="397" spans="1:13">
      <c r="A397" s="151"/>
      <c r="B397" s="174" t="s">
        <v>1055</v>
      </c>
      <c r="C397" s="174" t="s">
        <v>552</v>
      </c>
      <c r="D397" s="174" t="s">
        <v>1449</v>
      </c>
      <c r="E397" s="174" t="s">
        <v>1564</v>
      </c>
      <c r="F397" s="175" t="s">
        <v>1565</v>
      </c>
      <c r="G397" s="176"/>
      <c r="H397" s="176"/>
      <c r="I397" s="176"/>
      <c r="J397" s="174">
        <v>1</v>
      </c>
      <c r="K397" s="174">
        <v>80</v>
      </c>
      <c r="L397" s="174">
        <v>80</v>
      </c>
      <c r="M397" s="174" t="s">
        <v>1055</v>
      </c>
    </row>
    <row r="398" spans="1:13">
      <c r="A398" s="151"/>
      <c r="B398" s="174" t="s">
        <v>1058</v>
      </c>
      <c r="C398" s="174" t="s">
        <v>552</v>
      </c>
      <c r="D398" s="174" t="s">
        <v>1449</v>
      </c>
      <c r="E398" s="174" t="s">
        <v>1566</v>
      </c>
      <c r="F398" s="175" t="s">
        <v>1567</v>
      </c>
      <c r="G398" s="176"/>
      <c r="H398" s="176"/>
      <c r="I398" s="176"/>
      <c r="J398" s="174">
        <v>1</v>
      </c>
      <c r="K398" s="174">
        <v>85</v>
      </c>
      <c r="L398" s="174">
        <v>85</v>
      </c>
      <c r="M398" s="174" t="s">
        <v>1058</v>
      </c>
    </row>
    <row r="399" spans="1:13">
      <c r="A399" s="151"/>
      <c r="B399" s="174" t="s">
        <v>1061</v>
      </c>
      <c r="C399" s="174" t="s">
        <v>552</v>
      </c>
      <c r="D399" s="174" t="s">
        <v>1449</v>
      </c>
      <c r="E399" s="174" t="s">
        <v>1568</v>
      </c>
      <c r="F399" s="175" t="s">
        <v>1569</v>
      </c>
      <c r="G399" s="176"/>
      <c r="H399" s="176"/>
      <c r="I399" s="176"/>
      <c r="J399" s="174">
        <v>1</v>
      </c>
      <c r="K399" s="174">
        <v>90</v>
      </c>
      <c r="L399" s="174">
        <v>90</v>
      </c>
      <c r="M399" s="174" t="s">
        <v>1061</v>
      </c>
    </row>
    <row r="400" spans="1:13">
      <c r="A400" s="151"/>
      <c r="B400" s="174" t="s">
        <v>1064</v>
      </c>
      <c r="C400" s="174" t="s">
        <v>552</v>
      </c>
      <c r="D400" s="174" t="s">
        <v>1449</v>
      </c>
      <c r="E400" s="174" t="s">
        <v>1568</v>
      </c>
      <c r="F400" s="175" t="s">
        <v>1570</v>
      </c>
      <c r="G400" s="176"/>
      <c r="H400" s="176"/>
      <c r="I400" s="176"/>
      <c r="J400" s="174">
        <v>2</v>
      </c>
      <c r="K400" s="174">
        <v>90</v>
      </c>
      <c r="L400" s="174">
        <v>180</v>
      </c>
      <c r="M400" s="174" t="s">
        <v>1064</v>
      </c>
    </row>
    <row r="401" spans="1:13">
      <c r="A401" s="151"/>
      <c r="B401" s="174" t="s">
        <v>1067</v>
      </c>
      <c r="C401" s="174" t="s">
        <v>552</v>
      </c>
      <c r="D401" s="174" t="s">
        <v>1449</v>
      </c>
      <c r="E401" s="174" t="s">
        <v>1568</v>
      </c>
      <c r="F401" s="175" t="s">
        <v>1571</v>
      </c>
      <c r="G401" s="176"/>
      <c r="H401" s="176"/>
      <c r="I401" s="176"/>
      <c r="J401" s="174">
        <v>3</v>
      </c>
      <c r="K401" s="174">
        <v>90</v>
      </c>
      <c r="L401" s="174">
        <v>270</v>
      </c>
      <c r="M401" s="174" t="s">
        <v>1067</v>
      </c>
    </row>
    <row r="402" spans="1:13">
      <c r="A402" s="151"/>
      <c r="B402" s="174" t="s">
        <v>1070</v>
      </c>
      <c r="C402" s="174" t="s">
        <v>552</v>
      </c>
      <c r="D402" s="174" t="s">
        <v>1449</v>
      </c>
      <c r="E402" s="174" t="s">
        <v>1572</v>
      </c>
      <c r="F402" s="175" t="s">
        <v>1573</v>
      </c>
      <c r="G402" s="176"/>
      <c r="H402" s="176"/>
      <c r="I402" s="176"/>
      <c r="J402" s="174">
        <v>1</v>
      </c>
      <c r="K402" s="174">
        <v>93</v>
      </c>
      <c r="L402" s="174">
        <v>93</v>
      </c>
      <c r="M402" s="174" t="s">
        <v>1070</v>
      </c>
    </row>
    <row r="403" spans="1:13">
      <c r="A403" s="151"/>
      <c r="B403" s="174" t="s">
        <v>1073</v>
      </c>
      <c r="C403" s="174" t="s">
        <v>552</v>
      </c>
      <c r="D403" s="174" t="s">
        <v>1449</v>
      </c>
      <c r="E403" s="174" t="s">
        <v>1574</v>
      </c>
      <c r="F403" s="175" t="s">
        <v>1575</v>
      </c>
      <c r="G403" s="176"/>
      <c r="H403" s="176"/>
      <c r="I403" s="176"/>
      <c r="J403" s="174">
        <v>1</v>
      </c>
      <c r="K403" s="174">
        <v>95</v>
      </c>
      <c r="L403" s="174">
        <v>95</v>
      </c>
      <c r="M403" s="174" t="s">
        <v>1073</v>
      </c>
    </row>
    <row r="404" spans="1:13">
      <c r="A404" s="151"/>
      <c r="B404" s="174" t="s">
        <v>1076</v>
      </c>
      <c r="C404" s="174" t="s">
        <v>552</v>
      </c>
      <c r="D404" s="174" t="s">
        <v>1449</v>
      </c>
      <c r="E404" s="174" t="s">
        <v>1574</v>
      </c>
      <c r="F404" s="175" t="s">
        <v>1576</v>
      </c>
      <c r="G404" s="176"/>
      <c r="H404" s="176"/>
      <c r="I404" s="176"/>
      <c r="J404" s="174">
        <v>2</v>
      </c>
      <c r="K404" s="174">
        <v>95</v>
      </c>
      <c r="L404" s="174">
        <v>190</v>
      </c>
      <c r="M404" s="174" t="s">
        <v>1076</v>
      </c>
    </row>
    <row r="405" spans="1:13">
      <c r="A405" s="151"/>
      <c r="B405" s="174" t="s">
        <v>1577</v>
      </c>
      <c r="C405" s="174" t="s">
        <v>590</v>
      </c>
      <c r="D405" s="174" t="s">
        <v>590</v>
      </c>
      <c r="E405" s="174" t="s">
        <v>1578</v>
      </c>
      <c r="F405" s="175" t="s">
        <v>1579</v>
      </c>
      <c r="G405" s="176" t="s">
        <v>1580</v>
      </c>
      <c r="H405" s="176">
        <v>1</v>
      </c>
      <c r="I405" s="176"/>
      <c r="J405" s="174">
        <v>1</v>
      </c>
      <c r="K405" s="174">
        <v>165</v>
      </c>
      <c r="L405" s="174">
        <v>165</v>
      </c>
      <c r="M405" s="174" t="s">
        <v>1577</v>
      </c>
    </row>
    <row r="406" spans="1:13">
      <c r="A406" s="151"/>
      <c r="B406" s="174" t="s">
        <v>1581</v>
      </c>
      <c r="C406" s="174" t="s">
        <v>590</v>
      </c>
      <c r="D406" s="174" t="s">
        <v>590</v>
      </c>
      <c r="E406" s="174" t="s">
        <v>1582</v>
      </c>
      <c r="F406" s="175" t="s">
        <v>1583</v>
      </c>
      <c r="G406" s="176" t="s">
        <v>1580</v>
      </c>
      <c r="H406" s="176">
        <v>1</v>
      </c>
      <c r="I406" s="176"/>
      <c r="J406" s="174">
        <v>1</v>
      </c>
      <c r="K406" s="174">
        <v>55</v>
      </c>
      <c r="L406" s="174">
        <v>55</v>
      </c>
      <c r="M406" s="174" t="s">
        <v>1581</v>
      </c>
    </row>
    <row r="407" spans="1:13">
      <c r="A407" s="151"/>
      <c r="B407" s="174" t="s">
        <v>1584</v>
      </c>
      <c r="C407" s="174" t="s">
        <v>590</v>
      </c>
      <c r="D407" s="174" t="s">
        <v>590</v>
      </c>
      <c r="E407" s="174" t="s">
        <v>1585</v>
      </c>
      <c r="F407" s="175" t="s">
        <v>1586</v>
      </c>
      <c r="G407" s="176" t="s">
        <v>1580</v>
      </c>
      <c r="H407" s="176">
        <v>1</v>
      </c>
      <c r="I407" s="176"/>
      <c r="J407" s="174">
        <v>1</v>
      </c>
      <c r="K407" s="174">
        <v>85</v>
      </c>
      <c r="L407" s="174">
        <v>85</v>
      </c>
      <c r="M407" s="174" t="s">
        <v>1584</v>
      </c>
    </row>
    <row r="408" spans="1:13">
      <c r="A408" s="151"/>
      <c r="B408" s="179" t="s">
        <v>528</v>
      </c>
      <c r="C408" s="180" t="s">
        <v>562</v>
      </c>
      <c r="D408" s="180" t="s">
        <v>1587</v>
      </c>
      <c r="E408" s="179" t="s">
        <v>1588</v>
      </c>
      <c r="F408" s="181" t="s">
        <v>1589</v>
      </c>
      <c r="G408" s="177" t="s">
        <v>524</v>
      </c>
      <c r="H408" s="177">
        <v>1</v>
      </c>
      <c r="I408" s="177"/>
      <c r="J408" s="182">
        <v>1</v>
      </c>
      <c r="K408" s="182">
        <v>10</v>
      </c>
      <c r="L408" s="182">
        <v>10</v>
      </c>
      <c r="M408" s="182" t="s">
        <v>528</v>
      </c>
    </row>
    <row r="409" spans="1:13">
      <c r="A409" s="151"/>
      <c r="B409" s="179" t="s">
        <v>535</v>
      </c>
      <c r="C409" s="180" t="s">
        <v>562</v>
      </c>
      <c r="D409" s="180" t="s">
        <v>1587</v>
      </c>
      <c r="E409" s="179" t="s">
        <v>1590</v>
      </c>
      <c r="F409" s="181" t="s">
        <v>1591</v>
      </c>
      <c r="G409" s="177" t="s">
        <v>524</v>
      </c>
      <c r="H409" s="177">
        <v>1</v>
      </c>
      <c r="I409" s="177"/>
      <c r="J409" s="182">
        <v>1</v>
      </c>
      <c r="K409" s="182">
        <v>11</v>
      </c>
      <c r="L409" s="182">
        <v>11</v>
      </c>
      <c r="M409" s="182" t="s">
        <v>535</v>
      </c>
    </row>
    <row r="410" spans="1:13">
      <c r="A410" s="151"/>
      <c r="B410" s="179" t="s">
        <v>543</v>
      </c>
      <c r="C410" s="180" t="s">
        <v>562</v>
      </c>
      <c r="D410" s="180" t="s">
        <v>1587</v>
      </c>
      <c r="E410" s="179" t="s">
        <v>1592</v>
      </c>
      <c r="F410" s="181" t="s">
        <v>1593</v>
      </c>
      <c r="G410" s="177" t="s">
        <v>524</v>
      </c>
      <c r="H410" s="177">
        <v>1</v>
      </c>
      <c r="I410" s="177"/>
      <c r="J410" s="182">
        <v>1</v>
      </c>
      <c r="K410" s="182">
        <v>12</v>
      </c>
      <c r="L410" s="182">
        <v>12</v>
      </c>
      <c r="M410" s="182" t="s">
        <v>543</v>
      </c>
    </row>
    <row r="411" spans="1:13">
      <c r="A411" s="151"/>
      <c r="B411" s="179" t="s">
        <v>551</v>
      </c>
      <c r="C411" s="180" t="s">
        <v>562</v>
      </c>
      <c r="D411" s="180" t="s">
        <v>1587</v>
      </c>
      <c r="E411" s="179" t="s">
        <v>1594</v>
      </c>
      <c r="F411" s="181" t="s">
        <v>1595</v>
      </c>
      <c r="G411" s="177" t="s">
        <v>524</v>
      </c>
      <c r="H411" s="177">
        <v>1</v>
      </c>
      <c r="I411" s="177"/>
      <c r="J411" s="182">
        <v>1</v>
      </c>
      <c r="K411" s="182">
        <v>13</v>
      </c>
      <c r="L411" s="182">
        <v>13</v>
      </c>
      <c r="M411" s="182" t="s">
        <v>551</v>
      </c>
    </row>
    <row r="412" spans="1:13">
      <c r="A412" s="151"/>
      <c r="B412" s="179" t="s">
        <v>561</v>
      </c>
      <c r="C412" s="180" t="s">
        <v>562</v>
      </c>
      <c r="D412" s="180" t="s">
        <v>1587</v>
      </c>
      <c r="E412" s="179" t="s">
        <v>1596</v>
      </c>
      <c r="F412" s="181" t="s">
        <v>1597</v>
      </c>
      <c r="G412" s="177" t="s">
        <v>524</v>
      </c>
      <c r="H412" s="177">
        <v>1</v>
      </c>
      <c r="I412" s="177"/>
      <c r="J412" s="182">
        <v>1</v>
      </c>
      <c r="K412" s="182">
        <v>14</v>
      </c>
      <c r="L412" s="182">
        <v>14</v>
      </c>
      <c r="M412" s="182" t="s">
        <v>561</v>
      </c>
    </row>
    <row r="413" spans="1:13">
      <c r="A413" s="151"/>
      <c r="B413" s="179" t="s">
        <v>567</v>
      </c>
      <c r="C413" s="180" t="s">
        <v>562</v>
      </c>
      <c r="D413" s="180" t="s">
        <v>1587</v>
      </c>
      <c r="E413" s="179" t="s">
        <v>1598</v>
      </c>
      <c r="F413" s="181" t="s">
        <v>1599</v>
      </c>
      <c r="G413" s="177" t="s">
        <v>524</v>
      </c>
      <c r="H413" s="177">
        <v>1</v>
      </c>
      <c r="I413" s="177"/>
      <c r="J413" s="182">
        <v>1</v>
      </c>
      <c r="K413" s="182">
        <v>15</v>
      </c>
      <c r="L413" s="182">
        <v>15</v>
      </c>
      <c r="M413" s="182" t="s">
        <v>567</v>
      </c>
    </row>
    <row r="414" spans="1:13">
      <c r="A414" s="151"/>
      <c r="B414" s="179" t="s">
        <v>575</v>
      </c>
      <c r="C414" s="180" t="s">
        <v>562</v>
      </c>
      <c r="D414" s="180" t="s">
        <v>1587</v>
      </c>
      <c r="E414" s="179" t="s">
        <v>1600</v>
      </c>
      <c r="F414" s="181" t="s">
        <v>1601</v>
      </c>
      <c r="G414" s="177" t="s">
        <v>524</v>
      </c>
      <c r="H414" s="177">
        <v>1</v>
      </c>
      <c r="I414" s="177"/>
      <c r="J414" s="182">
        <v>1</v>
      </c>
      <c r="K414" s="182">
        <v>16</v>
      </c>
      <c r="L414" s="182">
        <v>16</v>
      </c>
      <c r="M414" s="182" t="s">
        <v>575</v>
      </c>
    </row>
    <row r="415" spans="1:13">
      <c r="A415" s="151"/>
      <c r="B415" s="179" t="s">
        <v>581</v>
      </c>
      <c r="C415" s="180" t="s">
        <v>562</v>
      </c>
      <c r="D415" s="180" t="s">
        <v>1587</v>
      </c>
      <c r="E415" s="179" t="s">
        <v>1602</v>
      </c>
      <c r="F415" s="181" t="s">
        <v>1603</v>
      </c>
      <c r="G415" s="177" t="s">
        <v>524</v>
      </c>
      <c r="H415" s="177">
        <v>1</v>
      </c>
      <c r="I415" s="177"/>
      <c r="J415" s="182">
        <v>1</v>
      </c>
      <c r="K415" s="182">
        <v>17</v>
      </c>
      <c r="L415" s="182">
        <v>17</v>
      </c>
      <c r="M415" s="182" t="s">
        <v>581</v>
      </c>
    </row>
    <row r="416" spans="1:13">
      <c r="A416" s="151"/>
      <c r="B416" s="179" t="s">
        <v>589</v>
      </c>
      <c r="C416" s="180" t="s">
        <v>562</v>
      </c>
      <c r="D416" s="180" t="s">
        <v>1587</v>
      </c>
      <c r="E416" s="179" t="s">
        <v>1604</v>
      </c>
      <c r="F416" s="181" t="s">
        <v>1605</v>
      </c>
      <c r="G416" s="177" t="s">
        <v>524</v>
      </c>
      <c r="H416" s="177">
        <v>1</v>
      </c>
      <c r="I416" s="177"/>
      <c r="J416" s="182">
        <v>1</v>
      </c>
      <c r="K416" s="182">
        <v>18</v>
      </c>
      <c r="L416" s="182">
        <v>18</v>
      </c>
      <c r="M416" s="182" t="s">
        <v>589</v>
      </c>
    </row>
    <row r="417" spans="1:13">
      <c r="A417" s="151"/>
      <c r="B417" s="179" t="s">
        <v>595</v>
      </c>
      <c r="C417" s="180" t="s">
        <v>562</v>
      </c>
      <c r="D417" s="180" t="s">
        <v>1587</v>
      </c>
      <c r="E417" s="179" t="s">
        <v>1606</v>
      </c>
      <c r="F417" s="181" t="s">
        <v>1607</v>
      </c>
      <c r="G417" s="177" t="s">
        <v>524</v>
      </c>
      <c r="H417" s="177">
        <v>1</v>
      </c>
      <c r="I417" s="177"/>
      <c r="J417" s="182">
        <v>1</v>
      </c>
      <c r="K417" s="182">
        <v>19</v>
      </c>
      <c r="L417" s="182">
        <v>19</v>
      </c>
      <c r="M417" s="182" t="s">
        <v>595</v>
      </c>
    </row>
    <row r="418" spans="1:13">
      <c r="A418" s="151"/>
      <c r="B418" s="180" t="s">
        <v>602</v>
      </c>
      <c r="C418" s="180" t="s">
        <v>562</v>
      </c>
      <c r="D418" s="180" t="s">
        <v>1587</v>
      </c>
      <c r="E418" s="180" t="s">
        <v>1608</v>
      </c>
      <c r="F418" s="181" t="s">
        <v>1609</v>
      </c>
      <c r="G418" s="177" t="s">
        <v>524</v>
      </c>
      <c r="H418" s="177">
        <v>1</v>
      </c>
      <c r="I418" s="177"/>
      <c r="J418" s="182">
        <v>1</v>
      </c>
      <c r="K418" s="182">
        <v>2</v>
      </c>
      <c r="L418" s="182">
        <v>2</v>
      </c>
      <c r="M418" s="182" t="s">
        <v>602</v>
      </c>
    </row>
    <row r="419" spans="1:13">
      <c r="A419" s="151"/>
      <c r="B419" s="179" t="s">
        <v>609</v>
      </c>
      <c r="C419" s="180" t="s">
        <v>562</v>
      </c>
      <c r="D419" s="180" t="s">
        <v>1587</v>
      </c>
      <c r="E419" s="179" t="s">
        <v>1610</v>
      </c>
      <c r="F419" s="181" t="s">
        <v>1611</v>
      </c>
      <c r="G419" s="177" t="s">
        <v>524</v>
      </c>
      <c r="H419" s="177">
        <v>1</v>
      </c>
      <c r="I419" s="177"/>
      <c r="J419" s="182">
        <v>1</v>
      </c>
      <c r="K419" s="182">
        <v>20</v>
      </c>
      <c r="L419" s="182">
        <v>20</v>
      </c>
      <c r="M419" s="182" t="s">
        <v>609</v>
      </c>
    </row>
    <row r="420" spans="1:13">
      <c r="A420" s="151"/>
      <c r="B420" s="179" t="s">
        <v>614</v>
      </c>
      <c r="C420" s="180" t="s">
        <v>562</v>
      </c>
      <c r="D420" s="180" t="s">
        <v>1587</v>
      </c>
      <c r="E420" s="179" t="s">
        <v>1612</v>
      </c>
      <c r="F420" s="181" t="s">
        <v>1613</v>
      </c>
      <c r="G420" s="177" t="s">
        <v>524</v>
      </c>
      <c r="H420" s="177">
        <v>1</v>
      </c>
      <c r="I420" s="177"/>
      <c r="J420" s="182">
        <v>1</v>
      </c>
      <c r="K420" s="182">
        <v>21</v>
      </c>
      <c r="L420" s="182">
        <v>21</v>
      </c>
      <c r="M420" s="182" t="s">
        <v>614</v>
      </c>
    </row>
    <row r="421" spans="1:13">
      <c r="A421" s="151"/>
      <c r="B421" s="179" t="s">
        <v>621</v>
      </c>
      <c r="C421" s="180" t="s">
        <v>562</v>
      </c>
      <c r="D421" s="180" t="s">
        <v>1587</v>
      </c>
      <c r="E421" s="179" t="s">
        <v>1614</v>
      </c>
      <c r="F421" s="181" t="s">
        <v>1615</v>
      </c>
      <c r="G421" s="177" t="s">
        <v>524</v>
      </c>
      <c r="H421" s="177">
        <v>1</v>
      </c>
      <c r="I421" s="177"/>
      <c r="J421" s="182">
        <v>1</v>
      </c>
      <c r="K421" s="182">
        <v>22</v>
      </c>
      <c r="L421" s="182">
        <v>22</v>
      </c>
      <c r="M421" s="182" t="s">
        <v>621</v>
      </c>
    </row>
    <row r="422" spans="1:13">
      <c r="A422" s="151"/>
      <c r="B422" s="179" t="s">
        <v>626</v>
      </c>
      <c r="C422" s="180" t="s">
        <v>562</v>
      </c>
      <c r="D422" s="180" t="s">
        <v>1587</v>
      </c>
      <c r="E422" s="179" t="s">
        <v>1616</v>
      </c>
      <c r="F422" s="181" t="s">
        <v>1617</v>
      </c>
      <c r="G422" s="177" t="s">
        <v>524</v>
      </c>
      <c r="H422" s="177">
        <v>1</v>
      </c>
      <c r="I422" s="177"/>
      <c r="J422" s="182">
        <v>1</v>
      </c>
      <c r="K422" s="182">
        <v>26</v>
      </c>
      <c r="L422" s="182">
        <v>26</v>
      </c>
      <c r="M422" s="182" t="s">
        <v>626</v>
      </c>
    </row>
    <row r="423" spans="1:13">
      <c r="A423" s="151"/>
      <c r="B423" s="179" t="s">
        <v>633</v>
      </c>
      <c r="C423" s="180" t="s">
        <v>562</v>
      </c>
      <c r="D423" s="180" t="s">
        <v>1587</v>
      </c>
      <c r="E423" s="180" t="s">
        <v>1618</v>
      </c>
      <c r="F423" s="181" t="s">
        <v>1619</v>
      </c>
      <c r="G423" s="177" t="s">
        <v>524</v>
      </c>
      <c r="H423" s="177">
        <v>1</v>
      </c>
      <c r="I423" s="177"/>
      <c r="J423" s="182">
        <v>1</v>
      </c>
      <c r="K423" s="182">
        <v>3</v>
      </c>
      <c r="L423" s="182">
        <v>3</v>
      </c>
      <c r="M423" s="182" t="s">
        <v>633</v>
      </c>
    </row>
    <row r="424" spans="1:13">
      <c r="A424" s="151"/>
      <c r="B424" s="179" t="s">
        <v>639</v>
      </c>
      <c r="C424" s="180" t="s">
        <v>562</v>
      </c>
      <c r="D424" s="180" t="s">
        <v>1587</v>
      </c>
      <c r="E424" s="180" t="s">
        <v>1620</v>
      </c>
      <c r="F424" s="181" t="s">
        <v>1621</v>
      </c>
      <c r="G424" s="177" t="s">
        <v>524</v>
      </c>
      <c r="H424" s="177">
        <v>1</v>
      </c>
      <c r="I424" s="177"/>
      <c r="J424" s="182">
        <v>1</v>
      </c>
      <c r="K424" s="182">
        <v>4</v>
      </c>
      <c r="L424" s="182">
        <v>4</v>
      </c>
      <c r="M424" s="182" t="s">
        <v>639</v>
      </c>
    </row>
    <row r="425" spans="1:13">
      <c r="A425" s="151"/>
      <c r="B425" s="179" t="s">
        <v>645</v>
      </c>
      <c r="C425" s="180" t="s">
        <v>562</v>
      </c>
      <c r="D425" s="180" t="s">
        <v>1587</v>
      </c>
      <c r="E425" s="180" t="s">
        <v>1622</v>
      </c>
      <c r="F425" s="181" t="s">
        <v>1623</v>
      </c>
      <c r="G425" s="177" t="s">
        <v>524</v>
      </c>
      <c r="H425" s="177">
        <v>1</v>
      </c>
      <c r="I425" s="177"/>
      <c r="J425" s="182">
        <v>1</v>
      </c>
      <c r="K425" s="182">
        <v>5</v>
      </c>
      <c r="L425" s="182">
        <v>5</v>
      </c>
      <c r="M425" s="182" t="s">
        <v>645</v>
      </c>
    </row>
    <row r="426" spans="1:13">
      <c r="A426" s="151"/>
      <c r="B426" s="179" t="s">
        <v>651</v>
      </c>
      <c r="C426" s="180" t="s">
        <v>562</v>
      </c>
      <c r="D426" s="180" t="s">
        <v>1587</v>
      </c>
      <c r="E426" s="180" t="s">
        <v>1624</v>
      </c>
      <c r="F426" s="181" t="s">
        <v>1625</v>
      </c>
      <c r="G426" s="177" t="s">
        <v>524</v>
      </c>
      <c r="H426" s="177">
        <v>1</v>
      </c>
      <c r="I426" s="177"/>
      <c r="J426" s="182">
        <v>1</v>
      </c>
      <c r="K426" s="182">
        <v>6</v>
      </c>
      <c r="L426" s="182">
        <v>6</v>
      </c>
      <c r="M426" s="182" t="s">
        <v>651</v>
      </c>
    </row>
    <row r="427" spans="1:13">
      <c r="A427" s="151"/>
      <c r="B427" s="179" t="s">
        <v>658</v>
      </c>
      <c r="C427" s="180" t="s">
        <v>562</v>
      </c>
      <c r="D427" s="180" t="s">
        <v>1587</v>
      </c>
      <c r="E427" s="180" t="s">
        <v>1626</v>
      </c>
      <c r="F427" s="181" t="s">
        <v>1627</v>
      </c>
      <c r="G427" s="177" t="s">
        <v>524</v>
      </c>
      <c r="H427" s="177">
        <v>1</v>
      </c>
      <c r="I427" s="177"/>
      <c r="J427" s="182">
        <v>1</v>
      </c>
      <c r="K427" s="182">
        <v>7</v>
      </c>
      <c r="L427" s="182">
        <v>7</v>
      </c>
      <c r="M427" s="182" t="s">
        <v>658</v>
      </c>
    </row>
    <row r="428" spans="1:13">
      <c r="A428" s="151"/>
      <c r="B428" s="179" t="s">
        <v>663</v>
      </c>
      <c r="C428" s="180" t="s">
        <v>562</v>
      </c>
      <c r="D428" s="180" t="s">
        <v>1587</v>
      </c>
      <c r="E428" s="180" t="s">
        <v>1628</v>
      </c>
      <c r="F428" s="181" t="s">
        <v>1629</v>
      </c>
      <c r="G428" s="177" t="s">
        <v>524</v>
      </c>
      <c r="H428" s="177">
        <v>1</v>
      </c>
      <c r="I428" s="177"/>
      <c r="J428" s="182">
        <v>1</v>
      </c>
      <c r="K428" s="182">
        <v>8</v>
      </c>
      <c r="L428" s="182">
        <v>8</v>
      </c>
      <c r="M428" s="182" t="s">
        <v>663</v>
      </c>
    </row>
    <row r="429" spans="1:13">
      <c r="A429" s="151"/>
      <c r="B429" s="179" t="s">
        <v>670</v>
      </c>
      <c r="C429" s="180" t="s">
        <v>562</v>
      </c>
      <c r="D429" s="180" t="s">
        <v>1587</v>
      </c>
      <c r="E429" s="180" t="s">
        <v>1630</v>
      </c>
      <c r="F429" s="181" t="s">
        <v>1631</v>
      </c>
      <c r="G429" s="177" t="s">
        <v>524</v>
      </c>
      <c r="H429" s="177">
        <v>1</v>
      </c>
      <c r="I429" s="177"/>
      <c r="J429" s="182">
        <v>1</v>
      </c>
      <c r="K429" s="182">
        <v>9</v>
      </c>
      <c r="L429" s="182">
        <v>9</v>
      </c>
      <c r="M429" s="182" t="s">
        <v>670</v>
      </c>
    </row>
    <row r="430" spans="1:13">
      <c r="A430" s="151"/>
      <c r="B430" s="174" t="s">
        <v>1632</v>
      </c>
      <c r="C430" s="174" t="s">
        <v>349</v>
      </c>
      <c r="D430" s="174" t="s">
        <v>1633</v>
      </c>
      <c r="E430" s="174" t="s">
        <v>1634</v>
      </c>
      <c r="F430" s="175" t="s">
        <v>1635</v>
      </c>
      <c r="G430" s="176" t="s">
        <v>557</v>
      </c>
      <c r="H430" s="177">
        <v>1</v>
      </c>
      <c r="I430" s="176">
        <f t="shared" ref="I430:I493" si="5">MID(B430,2,1)*12</f>
        <v>12</v>
      </c>
      <c r="J430" s="174">
        <v>1</v>
      </c>
      <c r="K430" s="174">
        <v>15</v>
      </c>
      <c r="L430" s="174">
        <v>19</v>
      </c>
      <c r="M430" s="174" t="s">
        <v>1632</v>
      </c>
    </row>
    <row r="431" spans="1:13" ht="15">
      <c r="A431" s="151"/>
      <c r="B431" s="174" t="s">
        <v>1636</v>
      </c>
      <c r="C431" s="174" t="s">
        <v>349</v>
      </c>
      <c r="D431" s="174" t="s">
        <v>1637</v>
      </c>
      <c r="E431" s="174" t="s">
        <v>1638</v>
      </c>
      <c r="F431" s="175" t="s">
        <v>1639</v>
      </c>
      <c r="G431" s="176" t="s">
        <v>557</v>
      </c>
      <c r="H431" s="176">
        <v>1</v>
      </c>
      <c r="I431" s="176">
        <f t="shared" si="5"/>
        <v>12</v>
      </c>
      <c r="J431" s="174">
        <v>1</v>
      </c>
      <c r="K431" s="174">
        <v>15</v>
      </c>
      <c r="L431" s="174">
        <v>19</v>
      </c>
      <c r="M431" s="183" t="s">
        <v>1632</v>
      </c>
    </row>
    <row r="432" spans="1:13">
      <c r="A432" s="151"/>
      <c r="B432" s="174" t="s">
        <v>1640</v>
      </c>
      <c r="C432" s="174" t="s">
        <v>349</v>
      </c>
      <c r="D432" s="174" t="s">
        <v>1633</v>
      </c>
      <c r="E432" s="174" t="s">
        <v>1634</v>
      </c>
      <c r="F432" s="175" t="s">
        <v>1641</v>
      </c>
      <c r="G432" s="176" t="s">
        <v>557</v>
      </c>
      <c r="H432" s="177">
        <v>1</v>
      </c>
      <c r="I432" s="176">
        <f t="shared" si="5"/>
        <v>12</v>
      </c>
      <c r="J432" s="174">
        <v>2</v>
      </c>
      <c r="K432" s="174">
        <v>15</v>
      </c>
      <c r="L432" s="174">
        <v>36</v>
      </c>
      <c r="M432" s="174" t="s">
        <v>1640</v>
      </c>
    </row>
    <row r="433" spans="1:13" ht="15">
      <c r="A433" s="151"/>
      <c r="B433" s="174" t="s">
        <v>1642</v>
      </c>
      <c r="C433" s="174" t="s">
        <v>349</v>
      </c>
      <c r="D433" s="174" t="s">
        <v>1637</v>
      </c>
      <c r="E433" s="174" t="s">
        <v>1638</v>
      </c>
      <c r="F433" s="175" t="s">
        <v>1643</v>
      </c>
      <c r="G433" s="176" t="s">
        <v>557</v>
      </c>
      <c r="H433" s="184">
        <v>1</v>
      </c>
      <c r="I433" s="176">
        <f t="shared" si="5"/>
        <v>12</v>
      </c>
      <c r="J433" s="174">
        <v>2</v>
      </c>
      <c r="K433" s="174">
        <v>15</v>
      </c>
      <c r="L433" s="174">
        <v>36</v>
      </c>
      <c r="M433" s="183" t="s">
        <v>1640</v>
      </c>
    </row>
    <row r="434" spans="1:13">
      <c r="A434" s="151"/>
      <c r="B434" s="174" t="s">
        <v>1644</v>
      </c>
      <c r="C434" s="174" t="s">
        <v>349</v>
      </c>
      <c r="D434" s="174" t="s">
        <v>1645</v>
      </c>
      <c r="E434" s="174" t="s">
        <v>1646</v>
      </c>
      <c r="F434" s="175" t="s">
        <v>1647</v>
      </c>
      <c r="G434" s="176" t="s">
        <v>524</v>
      </c>
      <c r="H434" s="176">
        <v>1</v>
      </c>
      <c r="I434" s="176">
        <f t="shared" si="5"/>
        <v>24</v>
      </c>
      <c r="J434" s="174">
        <v>1</v>
      </c>
      <c r="K434" s="174">
        <v>24</v>
      </c>
      <c r="L434" s="174">
        <v>29</v>
      </c>
      <c r="M434" s="174" t="s">
        <v>1644</v>
      </c>
    </row>
    <row r="435" spans="1:13">
      <c r="A435" s="151"/>
      <c r="B435" s="174" t="s">
        <v>1648</v>
      </c>
      <c r="C435" s="174" t="s">
        <v>349</v>
      </c>
      <c r="D435" s="174" t="s">
        <v>1645</v>
      </c>
      <c r="E435" s="174" t="s">
        <v>1649</v>
      </c>
      <c r="F435" s="175" t="s">
        <v>1650</v>
      </c>
      <c r="G435" s="176" t="s">
        <v>524</v>
      </c>
      <c r="H435" s="184">
        <v>1</v>
      </c>
      <c r="I435" s="176">
        <f t="shared" si="5"/>
        <v>24</v>
      </c>
      <c r="J435" s="174">
        <v>1</v>
      </c>
      <c r="K435" s="174">
        <v>14</v>
      </c>
      <c r="L435" s="174">
        <v>18</v>
      </c>
      <c r="M435" s="174" t="s">
        <v>1648</v>
      </c>
    </row>
    <row r="436" spans="1:13" ht="15">
      <c r="A436" s="151"/>
      <c r="B436" s="174" t="s">
        <v>1651</v>
      </c>
      <c r="C436" s="174" t="s">
        <v>349</v>
      </c>
      <c r="D436" s="174" t="s">
        <v>1637</v>
      </c>
      <c r="E436" s="174" t="s">
        <v>1652</v>
      </c>
      <c r="F436" s="175" t="s">
        <v>1653</v>
      </c>
      <c r="G436" s="176" t="s">
        <v>557</v>
      </c>
      <c r="H436" s="176">
        <v>1</v>
      </c>
      <c r="I436" s="176">
        <f t="shared" si="5"/>
        <v>24</v>
      </c>
      <c r="J436" s="174">
        <v>1</v>
      </c>
      <c r="K436" s="174">
        <v>35</v>
      </c>
      <c r="L436" s="174">
        <v>62</v>
      </c>
      <c r="M436" s="183" t="s">
        <v>1654</v>
      </c>
    </row>
    <row r="437" spans="1:13">
      <c r="A437" s="151"/>
      <c r="B437" s="174" t="s">
        <v>1654</v>
      </c>
      <c r="C437" s="174" t="s">
        <v>349</v>
      </c>
      <c r="D437" s="174" t="s">
        <v>1633</v>
      </c>
      <c r="E437" s="174" t="s">
        <v>1655</v>
      </c>
      <c r="F437" s="175" t="s">
        <v>1656</v>
      </c>
      <c r="G437" s="176" t="s">
        <v>524</v>
      </c>
      <c r="H437" s="177">
        <v>1</v>
      </c>
      <c r="I437" s="176">
        <f t="shared" si="5"/>
        <v>24</v>
      </c>
      <c r="J437" s="174">
        <v>1</v>
      </c>
      <c r="K437" s="174">
        <v>17</v>
      </c>
      <c r="L437" s="174">
        <v>20</v>
      </c>
      <c r="M437" s="174" t="s">
        <v>1654</v>
      </c>
    </row>
    <row r="438" spans="1:13">
      <c r="A438" s="151"/>
      <c r="B438" s="174" t="s">
        <v>1657</v>
      </c>
      <c r="C438" s="174" t="s">
        <v>349</v>
      </c>
      <c r="D438" s="174" t="s">
        <v>1633</v>
      </c>
      <c r="E438" s="174" t="s">
        <v>1655</v>
      </c>
      <c r="F438" s="175" t="s">
        <v>1658</v>
      </c>
      <c r="G438" s="176" t="s">
        <v>524</v>
      </c>
      <c r="H438" s="177">
        <v>1</v>
      </c>
      <c r="I438" s="176">
        <f t="shared" si="5"/>
        <v>24</v>
      </c>
      <c r="J438" s="174">
        <v>1</v>
      </c>
      <c r="K438" s="174">
        <v>17</v>
      </c>
      <c r="L438" s="174">
        <v>17</v>
      </c>
      <c r="M438" s="174" t="s">
        <v>1657</v>
      </c>
    </row>
    <row r="439" spans="1:13">
      <c r="A439" s="151"/>
      <c r="B439" s="174" t="s">
        <v>1659</v>
      </c>
      <c r="C439" s="174" t="s">
        <v>349</v>
      </c>
      <c r="D439" s="174" t="s">
        <v>1633</v>
      </c>
      <c r="E439" s="174" t="s">
        <v>1655</v>
      </c>
      <c r="F439" s="175" t="s">
        <v>1660</v>
      </c>
      <c r="G439" s="176" t="s">
        <v>524</v>
      </c>
      <c r="H439" s="177">
        <v>1</v>
      </c>
      <c r="I439" s="176">
        <f t="shared" si="5"/>
        <v>24</v>
      </c>
      <c r="J439" s="174">
        <v>1</v>
      </c>
      <c r="K439" s="174">
        <v>17</v>
      </c>
      <c r="L439" s="174">
        <v>15</v>
      </c>
      <c r="M439" s="174" t="s">
        <v>1659</v>
      </c>
    </row>
    <row r="440" spans="1:13">
      <c r="A440" s="151"/>
      <c r="B440" s="174" t="s">
        <v>1661</v>
      </c>
      <c r="C440" s="174" t="s">
        <v>349</v>
      </c>
      <c r="D440" s="174" t="s">
        <v>1633</v>
      </c>
      <c r="E440" s="174" t="s">
        <v>1655</v>
      </c>
      <c r="F440" s="175" t="s">
        <v>1662</v>
      </c>
      <c r="G440" s="176" t="s">
        <v>524</v>
      </c>
      <c r="H440" s="177">
        <v>1</v>
      </c>
      <c r="I440" s="176">
        <f t="shared" si="5"/>
        <v>24</v>
      </c>
      <c r="J440" s="174">
        <v>1</v>
      </c>
      <c r="K440" s="174">
        <v>17</v>
      </c>
      <c r="L440" s="174">
        <v>16</v>
      </c>
      <c r="M440" s="174" t="s">
        <v>1661</v>
      </c>
    </row>
    <row r="441" spans="1:13">
      <c r="A441" s="151"/>
      <c r="B441" s="174" t="s">
        <v>1663</v>
      </c>
      <c r="C441" s="174" t="s">
        <v>349</v>
      </c>
      <c r="D441" s="174" t="s">
        <v>1633</v>
      </c>
      <c r="E441" s="174" t="s">
        <v>1655</v>
      </c>
      <c r="F441" s="175" t="s">
        <v>1664</v>
      </c>
      <c r="G441" s="176" t="s">
        <v>524</v>
      </c>
      <c r="H441" s="177">
        <v>1</v>
      </c>
      <c r="I441" s="176">
        <f t="shared" si="5"/>
        <v>24</v>
      </c>
      <c r="J441" s="174">
        <v>1</v>
      </c>
      <c r="K441" s="174">
        <v>17</v>
      </c>
      <c r="L441" s="174">
        <v>14</v>
      </c>
      <c r="M441" s="174" t="s">
        <v>1663</v>
      </c>
    </row>
    <row r="442" spans="1:13">
      <c r="A442" s="151"/>
      <c r="B442" s="174" t="s">
        <v>1665</v>
      </c>
      <c r="C442" s="174" t="s">
        <v>349</v>
      </c>
      <c r="D442" s="174" t="s">
        <v>1633</v>
      </c>
      <c r="E442" s="174" t="s">
        <v>1655</v>
      </c>
      <c r="F442" s="175" t="s">
        <v>1666</v>
      </c>
      <c r="G442" s="176" t="s">
        <v>524</v>
      </c>
      <c r="H442" s="177">
        <v>1</v>
      </c>
      <c r="I442" s="176">
        <f t="shared" si="5"/>
        <v>24</v>
      </c>
      <c r="J442" s="174">
        <v>1</v>
      </c>
      <c r="K442" s="174">
        <v>17</v>
      </c>
      <c r="L442" s="174">
        <v>15</v>
      </c>
      <c r="M442" s="174" t="s">
        <v>1665</v>
      </c>
    </row>
    <row r="443" spans="1:13">
      <c r="A443" s="151"/>
      <c r="B443" s="174" t="s">
        <v>1667</v>
      </c>
      <c r="C443" s="174" t="s">
        <v>349</v>
      </c>
      <c r="D443" s="174" t="s">
        <v>1633</v>
      </c>
      <c r="E443" s="174" t="s">
        <v>1655</v>
      </c>
      <c r="F443" s="175" t="s">
        <v>1668</v>
      </c>
      <c r="G443" s="176" t="s">
        <v>524</v>
      </c>
      <c r="H443" s="177">
        <v>1</v>
      </c>
      <c r="I443" s="176">
        <f t="shared" si="5"/>
        <v>24</v>
      </c>
      <c r="J443" s="174">
        <v>1</v>
      </c>
      <c r="K443" s="174">
        <v>17</v>
      </c>
      <c r="L443" s="174">
        <v>14</v>
      </c>
      <c r="M443" s="174" t="s">
        <v>1667</v>
      </c>
    </row>
    <row r="444" spans="1:13">
      <c r="A444" s="151"/>
      <c r="B444" s="174" t="s">
        <v>1669</v>
      </c>
      <c r="C444" s="174" t="s">
        <v>349</v>
      </c>
      <c r="D444" s="174" t="s">
        <v>1633</v>
      </c>
      <c r="E444" s="174" t="s">
        <v>1655</v>
      </c>
      <c r="F444" s="175" t="s">
        <v>1670</v>
      </c>
      <c r="G444" s="176" t="s">
        <v>524</v>
      </c>
      <c r="H444" s="177">
        <v>1</v>
      </c>
      <c r="I444" s="176">
        <f t="shared" si="5"/>
        <v>24</v>
      </c>
      <c r="J444" s="174">
        <v>1</v>
      </c>
      <c r="K444" s="174">
        <v>17</v>
      </c>
      <c r="L444" s="174">
        <v>16</v>
      </c>
      <c r="M444" s="174" t="s">
        <v>1669</v>
      </c>
    </row>
    <row r="445" spans="1:13">
      <c r="A445" s="151"/>
      <c r="B445" s="174" t="s">
        <v>1671</v>
      </c>
      <c r="C445" s="174" t="s">
        <v>349</v>
      </c>
      <c r="D445" s="174" t="s">
        <v>1633</v>
      </c>
      <c r="E445" s="174" t="s">
        <v>1655</v>
      </c>
      <c r="F445" s="175" t="s">
        <v>1672</v>
      </c>
      <c r="G445" s="176" t="s">
        <v>524</v>
      </c>
      <c r="H445" s="177">
        <v>1</v>
      </c>
      <c r="I445" s="176">
        <f t="shared" si="5"/>
        <v>24</v>
      </c>
      <c r="J445" s="174">
        <v>1</v>
      </c>
      <c r="K445" s="174">
        <v>17</v>
      </c>
      <c r="L445" s="174">
        <v>16</v>
      </c>
      <c r="M445" s="174" t="s">
        <v>1671</v>
      </c>
    </row>
    <row r="446" spans="1:13">
      <c r="A446" s="151"/>
      <c r="B446" s="174" t="s">
        <v>1673</v>
      </c>
      <c r="C446" s="174" t="s">
        <v>349</v>
      </c>
      <c r="D446" s="174" t="s">
        <v>1633</v>
      </c>
      <c r="E446" s="174" t="s">
        <v>1655</v>
      </c>
      <c r="F446" s="175" t="s">
        <v>1674</v>
      </c>
      <c r="G446" s="176" t="s">
        <v>524</v>
      </c>
      <c r="H446" s="177">
        <v>1</v>
      </c>
      <c r="I446" s="176">
        <f t="shared" si="5"/>
        <v>24</v>
      </c>
      <c r="J446" s="174">
        <v>1</v>
      </c>
      <c r="K446" s="174">
        <v>17</v>
      </c>
      <c r="L446" s="174">
        <v>17</v>
      </c>
      <c r="M446" s="174" t="s">
        <v>1673</v>
      </c>
    </row>
    <row r="447" spans="1:13">
      <c r="A447" s="151"/>
      <c r="B447" s="174" t="s">
        <v>1675</v>
      </c>
      <c r="C447" s="174" t="s">
        <v>349</v>
      </c>
      <c r="D447" s="174" t="s">
        <v>1633</v>
      </c>
      <c r="E447" s="174" t="s">
        <v>1655</v>
      </c>
      <c r="F447" s="175" t="s">
        <v>1676</v>
      </c>
      <c r="G447" s="176" t="s">
        <v>524</v>
      </c>
      <c r="H447" s="177">
        <v>1</v>
      </c>
      <c r="I447" s="176">
        <f t="shared" si="5"/>
        <v>24</v>
      </c>
      <c r="J447" s="174">
        <v>1</v>
      </c>
      <c r="K447" s="174">
        <v>17</v>
      </c>
      <c r="L447" s="174">
        <v>17</v>
      </c>
      <c r="M447" s="174" t="s">
        <v>1675</v>
      </c>
    </row>
    <row r="448" spans="1:13">
      <c r="A448" s="151"/>
      <c r="B448" s="174" t="s">
        <v>1677</v>
      </c>
      <c r="C448" s="174" t="s">
        <v>349</v>
      </c>
      <c r="D448" s="174" t="s">
        <v>1633</v>
      </c>
      <c r="E448" s="174" t="s">
        <v>1655</v>
      </c>
      <c r="F448" s="175" t="s">
        <v>1678</v>
      </c>
      <c r="G448" s="176" t="s">
        <v>524</v>
      </c>
      <c r="H448" s="177">
        <v>1</v>
      </c>
      <c r="I448" s="176">
        <f t="shared" si="5"/>
        <v>24</v>
      </c>
      <c r="J448" s="174">
        <v>1</v>
      </c>
      <c r="K448" s="174">
        <v>17</v>
      </c>
      <c r="L448" s="174">
        <v>15</v>
      </c>
      <c r="M448" s="174" t="s">
        <v>1677</v>
      </c>
    </row>
    <row r="449" spans="1:13">
      <c r="A449" s="151"/>
      <c r="B449" s="174" t="s">
        <v>1679</v>
      </c>
      <c r="C449" s="174" t="s">
        <v>349</v>
      </c>
      <c r="D449" s="174" t="s">
        <v>1633</v>
      </c>
      <c r="E449" s="174" t="s">
        <v>1655</v>
      </c>
      <c r="F449" s="175" t="s">
        <v>1680</v>
      </c>
      <c r="G449" s="176" t="s">
        <v>557</v>
      </c>
      <c r="H449" s="177">
        <v>1</v>
      </c>
      <c r="I449" s="176">
        <f t="shared" si="5"/>
        <v>24</v>
      </c>
      <c r="J449" s="174">
        <v>1</v>
      </c>
      <c r="K449" s="174">
        <v>17</v>
      </c>
      <c r="L449" s="174">
        <v>24</v>
      </c>
      <c r="M449" s="174" t="s">
        <v>1679</v>
      </c>
    </row>
    <row r="450" spans="1:13" ht="15">
      <c r="A450" s="151"/>
      <c r="B450" s="174" t="s">
        <v>1681</v>
      </c>
      <c r="C450" s="174" t="s">
        <v>349</v>
      </c>
      <c r="D450" s="174" t="s">
        <v>1637</v>
      </c>
      <c r="E450" s="174" t="s">
        <v>1682</v>
      </c>
      <c r="F450" s="175" t="s">
        <v>1683</v>
      </c>
      <c r="G450" s="176" t="s">
        <v>1192</v>
      </c>
      <c r="H450" s="184">
        <v>1</v>
      </c>
      <c r="I450" s="176">
        <f t="shared" si="5"/>
        <v>24</v>
      </c>
      <c r="J450" s="174">
        <v>1</v>
      </c>
      <c r="K450" s="174">
        <v>20</v>
      </c>
      <c r="L450" s="174">
        <v>26</v>
      </c>
      <c r="M450" s="183" t="s">
        <v>1654</v>
      </c>
    </row>
    <row r="451" spans="1:13" ht="15">
      <c r="A451" s="151"/>
      <c r="B451" s="174" t="s">
        <v>1684</v>
      </c>
      <c r="C451" s="174" t="s">
        <v>349</v>
      </c>
      <c r="D451" s="174" t="s">
        <v>1637</v>
      </c>
      <c r="E451" s="174" t="s">
        <v>1682</v>
      </c>
      <c r="F451" s="175" t="s">
        <v>1683</v>
      </c>
      <c r="G451" s="176" t="s">
        <v>557</v>
      </c>
      <c r="H451" s="176">
        <v>1</v>
      </c>
      <c r="I451" s="176">
        <f t="shared" si="5"/>
        <v>24</v>
      </c>
      <c r="J451" s="174">
        <v>1</v>
      </c>
      <c r="K451" s="174">
        <v>20</v>
      </c>
      <c r="L451" s="174">
        <v>28</v>
      </c>
      <c r="M451" s="183" t="s">
        <v>1654</v>
      </c>
    </row>
    <row r="452" spans="1:13">
      <c r="A452" s="151"/>
      <c r="B452" s="174" t="s">
        <v>1685</v>
      </c>
      <c r="C452" s="174" t="s">
        <v>349</v>
      </c>
      <c r="D452" s="174" t="s">
        <v>1645</v>
      </c>
      <c r="E452" s="174" t="s">
        <v>1646</v>
      </c>
      <c r="F452" s="175" t="s">
        <v>1686</v>
      </c>
      <c r="G452" s="176" t="s">
        <v>524</v>
      </c>
      <c r="H452" s="184">
        <v>1</v>
      </c>
      <c r="I452" s="176">
        <f t="shared" si="5"/>
        <v>24</v>
      </c>
      <c r="J452" s="174">
        <v>2</v>
      </c>
      <c r="K452" s="174">
        <v>24</v>
      </c>
      <c r="L452" s="174">
        <v>55</v>
      </c>
      <c r="M452" s="174" t="s">
        <v>1685</v>
      </c>
    </row>
    <row r="453" spans="1:13">
      <c r="A453" s="151"/>
      <c r="B453" s="174" t="s">
        <v>1687</v>
      </c>
      <c r="C453" s="174" t="s">
        <v>349</v>
      </c>
      <c r="D453" s="174" t="s">
        <v>1645</v>
      </c>
      <c r="E453" s="174" t="s">
        <v>1649</v>
      </c>
      <c r="F453" s="175" t="s">
        <v>1688</v>
      </c>
      <c r="G453" s="176" t="s">
        <v>524</v>
      </c>
      <c r="H453" s="176">
        <v>1</v>
      </c>
      <c r="I453" s="176">
        <f t="shared" si="5"/>
        <v>24</v>
      </c>
      <c r="J453" s="174">
        <v>2</v>
      </c>
      <c r="K453" s="174">
        <v>14</v>
      </c>
      <c r="L453" s="174">
        <v>35</v>
      </c>
      <c r="M453" s="174" t="s">
        <v>1687</v>
      </c>
    </row>
    <row r="454" spans="1:13">
      <c r="A454" s="151"/>
      <c r="B454" s="174" t="s">
        <v>1689</v>
      </c>
      <c r="C454" s="174" t="s">
        <v>349</v>
      </c>
      <c r="D454" s="174" t="s">
        <v>1633</v>
      </c>
      <c r="E454" s="174" t="s">
        <v>1655</v>
      </c>
      <c r="F454" s="175" t="s">
        <v>1690</v>
      </c>
      <c r="G454" s="176" t="s">
        <v>1192</v>
      </c>
      <c r="H454" s="177">
        <v>1</v>
      </c>
      <c r="I454" s="176">
        <f t="shared" si="5"/>
        <v>24</v>
      </c>
      <c r="J454" s="174">
        <v>2</v>
      </c>
      <c r="K454" s="174">
        <v>17</v>
      </c>
      <c r="L454" s="174">
        <v>45</v>
      </c>
      <c r="M454" s="174" t="s">
        <v>1689</v>
      </c>
    </row>
    <row r="455" spans="1:13">
      <c r="A455" s="151"/>
      <c r="B455" s="174" t="s">
        <v>1691</v>
      </c>
      <c r="C455" s="174" t="s">
        <v>349</v>
      </c>
      <c r="D455" s="174" t="s">
        <v>1633</v>
      </c>
      <c r="E455" s="174" t="s">
        <v>1655</v>
      </c>
      <c r="F455" s="175" t="s">
        <v>1692</v>
      </c>
      <c r="G455" s="176" t="s">
        <v>524</v>
      </c>
      <c r="H455" s="177">
        <v>1</v>
      </c>
      <c r="I455" s="176">
        <f t="shared" si="5"/>
        <v>24</v>
      </c>
      <c r="J455" s="174">
        <v>2</v>
      </c>
      <c r="K455" s="174">
        <v>17</v>
      </c>
      <c r="L455" s="174">
        <v>33</v>
      </c>
      <c r="M455" s="174" t="s">
        <v>1691</v>
      </c>
    </row>
    <row r="456" spans="1:13">
      <c r="A456" s="151"/>
      <c r="B456" s="174" t="s">
        <v>1693</v>
      </c>
      <c r="C456" s="174" t="s">
        <v>349</v>
      </c>
      <c r="D456" s="174" t="s">
        <v>1633</v>
      </c>
      <c r="E456" s="174" t="s">
        <v>1655</v>
      </c>
      <c r="F456" s="175" t="s">
        <v>1694</v>
      </c>
      <c r="G456" s="176" t="s">
        <v>524</v>
      </c>
      <c r="H456" s="177">
        <v>1</v>
      </c>
      <c r="I456" s="176">
        <f t="shared" si="5"/>
        <v>24</v>
      </c>
      <c r="J456" s="174">
        <v>2</v>
      </c>
      <c r="K456" s="174">
        <v>17</v>
      </c>
      <c r="L456" s="174">
        <v>31</v>
      </c>
      <c r="M456" s="174" t="s">
        <v>1693</v>
      </c>
    </row>
    <row r="457" spans="1:13">
      <c r="A457" s="151"/>
      <c r="B457" s="174" t="s">
        <v>1695</v>
      </c>
      <c r="C457" s="174" t="s">
        <v>349</v>
      </c>
      <c r="D457" s="174" t="s">
        <v>1633</v>
      </c>
      <c r="E457" s="174" t="s">
        <v>1655</v>
      </c>
      <c r="F457" s="175" t="s">
        <v>1696</v>
      </c>
      <c r="G457" s="176" t="s">
        <v>524</v>
      </c>
      <c r="H457" s="177">
        <v>1</v>
      </c>
      <c r="I457" s="176">
        <f t="shared" si="5"/>
        <v>24</v>
      </c>
      <c r="J457" s="174">
        <v>2</v>
      </c>
      <c r="K457" s="174">
        <v>17</v>
      </c>
      <c r="L457" s="174">
        <v>28</v>
      </c>
      <c r="M457" s="174" t="s">
        <v>1695</v>
      </c>
    </row>
    <row r="458" spans="1:13">
      <c r="A458" s="151"/>
      <c r="B458" s="174" t="s">
        <v>1697</v>
      </c>
      <c r="C458" s="174" t="s">
        <v>349</v>
      </c>
      <c r="D458" s="174" t="s">
        <v>1633</v>
      </c>
      <c r="E458" s="174" t="s">
        <v>1655</v>
      </c>
      <c r="F458" s="175" t="s">
        <v>1698</v>
      </c>
      <c r="G458" s="176" t="s">
        <v>524</v>
      </c>
      <c r="H458" s="177">
        <v>1</v>
      </c>
      <c r="I458" s="176">
        <f t="shared" si="5"/>
        <v>24</v>
      </c>
      <c r="J458" s="174">
        <v>2</v>
      </c>
      <c r="K458" s="174">
        <v>17</v>
      </c>
      <c r="L458" s="174">
        <v>29</v>
      </c>
      <c r="M458" s="174" t="s">
        <v>1697</v>
      </c>
    </row>
    <row r="459" spans="1:13">
      <c r="A459" s="151"/>
      <c r="B459" s="174" t="s">
        <v>1699</v>
      </c>
      <c r="C459" s="174" t="s">
        <v>349</v>
      </c>
      <c r="D459" s="174" t="s">
        <v>1633</v>
      </c>
      <c r="E459" s="174" t="s">
        <v>1655</v>
      </c>
      <c r="F459" s="175" t="s">
        <v>1700</v>
      </c>
      <c r="G459" s="176" t="s">
        <v>524</v>
      </c>
      <c r="H459" s="177">
        <v>1</v>
      </c>
      <c r="I459" s="176">
        <f t="shared" si="5"/>
        <v>24</v>
      </c>
      <c r="J459" s="174">
        <v>2</v>
      </c>
      <c r="K459" s="174">
        <v>17</v>
      </c>
      <c r="L459" s="174">
        <v>31</v>
      </c>
      <c r="M459" s="174" t="s">
        <v>1699</v>
      </c>
    </row>
    <row r="460" spans="1:13">
      <c r="A460" s="151"/>
      <c r="B460" s="174" t="s">
        <v>1701</v>
      </c>
      <c r="C460" s="174" t="s">
        <v>349</v>
      </c>
      <c r="D460" s="174" t="s">
        <v>1633</v>
      </c>
      <c r="E460" s="174" t="s">
        <v>1655</v>
      </c>
      <c r="F460" s="175" t="s">
        <v>1702</v>
      </c>
      <c r="G460" s="176" t="s">
        <v>524</v>
      </c>
      <c r="H460" s="177">
        <v>1</v>
      </c>
      <c r="I460" s="176">
        <f t="shared" si="5"/>
        <v>24</v>
      </c>
      <c r="J460" s="174">
        <v>2</v>
      </c>
      <c r="K460" s="174">
        <v>17</v>
      </c>
      <c r="L460" s="174">
        <v>34</v>
      </c>
      <c r="M460" s="174" t="s">
        <v>1701</v>
      </c>
    </row>
    <row r="461" spans="1:13">
      <c r="A461" s="151"/>
      <c r="B461" s="174" t="s">
        <v>1703</v>
      </c>
      <c r="C461" s="174" t="s">
        <v>349</v>
      </c>
      <c r="D461" s="174" t="s">
        <v>1633</v>
      </c>
      <c r="E461" s="174" t="s">
        <v>1655</v>
      </c>
      <c r="F461" s="175" t="s">
        <v>1704</v>
      </c>
      <c r="G461" s="176" t="s">
        <v>524</v>
      </c>
      <c r="H461" s="177">
        <v>1</v>
      </c>
      <c r="I461" s="176">
        <f t="shared" si="5"/>
        <v>24</v>
      </c>
      <c r="J461" s="174">
        <v>2</v>
      </c>
      <c r="K461" s="174">
        <v>17</v>
      </c>
      <c r="L461" s="174">
        <v>28</v>
      </c>
      <c r="M461" s="174" t="s">
        <v>1703</v>
      </c>
    </row>
    <row r="462" spans="1:13" ht="15">
      <c r="A462" s="151"/>
      <c r="B462" s="174" t="s">
        <v>1705</v>
      </c>
      <c r="C462" s="174" t="s">
        <v>349</v>
      </c>
      <c r="D462" s="174" t="s">
        <v>1637</v>
      </c>
      <c r="E462" s="174" t="s">
        <v>1682</v>
      </c>
      <c r="F462" s="175" t="s">
        <v>1706</v>
      </c>
      <c r="G462" s="176" t="s">
        <v>1192</v>
      </c>
      <c r="H462" s="176">
        <v>1</v>
      </c>
      <c r="I462" s="176">
        <f t="shared" si="5"/>
        <v>24</v>
      </c>
      <c r="J462" s="174">
        <v>2</v>
      </c>
      <c r="K462" s="174">
        <v>20</v>
      </c>
      <c r="L462" s="174">
        <v>51</v>
      </c>
      <c r="M462" s="183" t="s">
        <v>1691</v>
      </c>
    </row>
    <row r="463" spans="1:13" ht="15">
      <c r="A463" s="151"/>
      <c r="B463" s="174" t="s">
        <v>1707</v>
      </c>
      <c r="C463" s="174" t="s">
        <v>349</v>
      </c>
      <c r="D463" s="174" t="s">
        <v>1637</v>
      </c>
      <c r="E463" s="174" t="s">
        <v>1652</v>
      </c>
      <c r="F463" s="175" t="s">
        <v>1708</v>
      </c>
      <c r="G463" s="176" t="s">
        <v>557</v>
      </c>
      <c r="H463" s="184">
        <v>1</v>
      </c>
      <c r="I463" s="176">
        <f t="shared" si="5"/>
        <v>24</v>
      </c>
      <c r="J463" s="174">
        <v>2</v>
      </c>
      <c r="K463" s="174">
        <v>35</v>
      </c>
      <c r="L463" s="174">
        <v>90</v>
      </c>
      <c r="M463" s="183" t="s">
        <v>1691</v>
      </c>
    </row>
    <row r="464" spans="1:13" ht="15">
      <c r="A464" s="151"/>
      <c r="B464" s="174" t="s">
        <v>1709</v>
      </c>
      <c r="C464" s="174" t="s">
        <v>349</v>
      </c>
      <c r="D464" s="174" t="s">
        <v>1637</v>
      </c>
      <c r="E464" s="174" t="s">
        <v>1682</v>
      </c>
      <c r="F464" s="175" t="s">
        <v>1706</v>
      </c>
      <c r="G464" s="176" t="s">
        <v>557</v>
      </c>
      <c r="H464" s="184">
        <v>1</v>
      </c>
      <c r="I464" s="176">
        <f t="shared" si="5"/>
        <v>24</v>
      </c>
      <c r="J464" s="174">
        <v>2</v>
      </c>
      <c r="K464" s="174">
        <v>20</v>
      </c>
      <c r="L464" s="174">
        <v>56</v>
      </c>
      <c r="M464" s="183" t="s">
        <v>1691</v>
      </c>
    </row>
    <row r="465" spans="1:13">
      <c r="A465" s="151"/>
      <c r="B465" s="174" t="s">
        <v>1710</v>
      </c>
      <c r="C465" s="174" t="s">
        <v>349</v>
      </c>
      <c r="D465" s="174" t="s">
        <v>1633</v>
      </c>
      <c r="E465" s="174" t="s">
        <v>1655</v>
      </c>
      <c r="F465" s="175" t="s">
        <v>1711</v>
      </c>
      <c r="G465" s="176" t="s">
        <v>524</v>
      </c>
      <c r="H465" s="177">
        <v>1</v>
      </c>
      <c r="I465" s="176">
        <f t="shared" si="5"/>
        <v>24</v>
      </c>
      <c r="J465" s="174">
        <v>3</v>
      </c>
      <c r="K465" s="174">
        <v>17</v>
      </c>
      <c r="L465" s="174">
        <v>47</v>
      </c>
      <c r="M465" s="174" t="s">
        <v>1710</v>
      </c>
    </row>
    <row r="466" spans="1:13">
      <c r="A466" s="151"/>
      <c r="B466" s="174" t="s">
        <v>1712</v>
      </c>
      <c r="C466" s="174" t="s">
        <v>349</v>
      </c>
      <c r="D466" s="174" t="s">
        <v>1633</v>
      </c>
      <c r="E466" s="174" t="s">
        <v>1655</v>
      </c>
      <c r="F466" s="175" t="s">
        <v>1713</v>
      </c>
      <c r="G466" s="176" t="s">
        <v>524</v>
      </c>
      <c r="H466" s="177">
        <v>1</v>
      </c>
      <c r="I466" s="176">
        <f t="shared" si="5"/>
        <v>24</v>
      </c>
      <c r="J466" s="174">
        <v>3</v>
      </c>
      <c r="K466" s="174">
        <v>17</v>
      </c>
      <c r="L466" s="174">
        <v>49</v>
      </c>
      <c r="M466" s="174" t="s">
        <v>1712</v>
      </c>
    </row>
    <row r="467" spans="1:13">
      <c r="A467" s="151"/>
      <c r="B467" s="174" t="s">
        <v>1714</v>
      </c>
      <c r="C467" s="174" t="s">
        <v>349</v>
      </c>
      <c r="D467" s="174" t="s">
        <v>1633</v>
      </c>
      <c r="E467" s="174" t="s">
        <v>1655</v>
      </c>
      <c r="F467" s="175" t="s">
        <v>1715</v>
      </c>
      <c r="G467" s="176" t="s">
        <v>524</v>
      </c>
      <c r="H467" s="177">
        <v>1</v>
      </c>
      <c r="I467" s="176">
        <f t="shared" si="5"/>
        <v>24</v>
      </c>
      <c r="J467" s="174">
        <v>3</v>
      </c>
      <c r="K467" s="174">
        <v>17</v>
      </c>
      <c r="L467" s="174">
        <v>43</v>
      </c>
      <c r="M467" s="174" t="s">
        <v>1714</v>
      </c>
    </row>
    <row r="468" spans="1:13">
      <c r="A468" s="151"/>
      <c r="B468" s="174" t="s">
        <v>1716</v>
      </c>
      <c r="C468" s="174" t="s">
        <v>349</v>
      </c>
      <c r="D468" s="174" t="s">
        <v>1633</v>
      </c>
      <c r="E468" s="174" t="s">
        <v>1655</v>
      </c>
      <c r="F468" s="175" t="s">
        <v>1717</v>
      </c>
      <c r="G468" s="176" t="s">
        <v>524</v>
      </c>
      <c r="H468" s="177">
        <v>1</v>
      </c>
      <c r="I468" s="176">
        <f t="shared" si="5"/>
        <v>24</v>
      </c>
      <c r="J468" s="174">
        <v>3</v>
      </c>
      <c r="K468" s="174">
        <v>17</v>
      </c>
      <c r="L468" s="174">
        <v>52</v>
      </c>
      <c r="M468" s="174" t="s">
        <v>1716</v>
      </c>
    </row>
    <row r="469" spans="1:13">
      <c r="A469" s="151"/>
      <c r="B469" s="174" t="s">
        <v>1718</v>
      </c>
      <c r="C469" s="174" t="s">
        <v>349</v>
      </c>
      <c r="D469" s="174" t="s">
        <v>1633</v>
      </c>
      <c r="E469" s="174" t="s">
        <v>1655</v>
      </c>
      <c r="F469" s="175" t="s">
        <v>1719</v>
      </c>
      <c r="G469" s="176" t="s">
        <v>524</v>
      </c>
      <c r="H469" s="177">
        <v>1</v>
      </c>
      <c r="I469" s="176">
        <f t="shared" si="5"/>
        <v>24</v>
      </c>
      <c r="J469" s="174">
        <v>3</v>
      </c>
      <c r="K469" s="174">
        <v>17</v>
      </c>
      <c r="L469" s="174">
        <v>41</v>
      </c>
      <c r="M469" s="174" t="s">
        <v>1718</v>
      </c>
    </row>
    <row r="470" spans="1:13" ht="15">
      <c r="A470" s="151"/>
      <c r="B470" s="174" t="s">
        <v>1720</v>
      </c>
      <c r="C470" s="174" t="s">
        <v>349</v>
      </c>
      <c r="D470" s="174" t="s">
        <v>1637</v>
      </c>
      <c r="E470" s="174" t="s">
        <v>1682</v>
      </c>
      <c r="F470" s="175" t="s">
        <v>1721</v>
      </c>
      <c r="G470" s="176" t="s">
        <v>1192</v>
      </c>
      <c r="H470" s="176">
        <v>1</v>
      </c>
      <c r="I470" s="176">
        <f t="shared" si="5"/>
        <v>24</v>
      </c>
      <c r="J470" s="174">
        <v>3</v>
      </c>
      <c r="K470" s="174">
        <v>20</v>
      </c>
      <c r="L470" s="174">
        <v>77</v>
      </c>
      <c r="M470" s="183" t="s">
        <v>1710</v>
      </c>
    </row>
    <row r="471" spans="1:13" ht="15">
      <c r="A471" s="151"/>
      <c r="B471" s="174" t="s">
        <v>1722</v>
      </c>
      <c r="C471" s="174" t="s">
        <v>349</v>
      </c>
      <c r="D471" s="174" t="s">
        <v>1637</v>
      </c>
      <c r="E471" s="174" t="s">
        <v>1682</v>
      </c>
      <c r="F471" s="175" t="s">
        <v>1721</v>
      </c>
      <c r="G471" s="176" t="s">
        <v>557</v>
      </c>
      <c r="H471" s="184">
        <v>1</v>
      </c>
      <c r="I471" s="176">
        <f t="shared" si="5"/>
        <v>24</v>
      </c>
      <c r="J471" s="174">
        <v>3</v>
      </c>
      <c r="K471" s="174">
        <v>20</v>
      </c>
      <c r="L471" s="174">
        <v>84</v>
      </c>
      <c r="M471" s="183" t="s">
        <v>1710</v>
      </c>
    </row>
    <row r="472" spans="1:13">
      <c r="A472" s="151"/>
      <c r="B472" s="174" t="s">
        <v>1723</v>
      </c>
      <c r="C472" s="174" t="s">
        <v>349</v>
      </c>
      <c r="D472" s="174" t="s">
        <v>1633</v>
      </c>
      <c r="E472" s="174" t="s">
        <v>1655</v>
      </c>
      <c r="F472" s="175" t="s">
        <v>1724</v>
      </c>
      <c r="G472" s="176" t="s">
        <v>524</v>
      </c>
      <c r="H472" s="177">
        <v>1</v>
      </c>
      <c r="I472" s="176">
        <f t="shared" si="5"/>
        <v>24</v>
      </c>
      <c r="J472" s="174">
        <v>4</v>
      </c>
      <c r="K472" s="174">
        <v>17</v>
      </c>
      <c r="L472" s="174">
        <v>61</v>
      </c>
      <c r="M472" s="174" t="s">
        <v>1723</v>
      </c>
    </row>
    <row r="473" spans="1:13">
      <c r="A473" s="151"/>
      <c r="B473" s="174" t="s">
        <v>1725</v>
      </c>
      <c r="C473" s="174" t="s">
        <v>349</v>
      </c>
      <c r="D473" s="174" t="s">
        <v>1633</v>
      </c>
      <c r="E473" s="174" t="s">
        <v>1655</v>
      </c>
      <c r="F473" s="175" t="s">
        <v>1726</v>
      </c>
      <c r="G473" s="176" t="s">
        <v>524</v>
      </c>
      <c r="H473" s="177">
        <v>1</v>
      </c>
      <c r="I473" s="176">
        <f t="shared" si="5"/>
        <v>24</v>
      </c>
      <c r="J473" s="174">
        <v>4</v>
      </c>
      <c r="K473" s="174">
        <v>17</v>
      </c>
      <c r="L473" s="174">
        <v>55</v>
      </c>
      <c r="M473" s="174" t="s">
        <v>1725</v>
      </c>
    </row>
    <row r="474" spans="1:13">
      <c r="A474" s="151"/>
      <c r="B474" s="174" t="s">
        <v>1727</v>
      </c>
      <c r="C474" s="174" t="s">
        <v>349</v>
      </c>
      <c r="D474" s="174" t="s">
        <v>1633</v>
      </c>
      <c r="E474" s="174" t="s">
        <v>1655</v>
      </c>
      <c r="F474" s="175" t="s">
        <v>1728</v>
      </c>
      <c r="G474" s="176" t="s">
        <v>524</v>
      </c>
      <c r="H474" s="177">
        <v>1</v>
      </c>
      <c r="I474" s="176">
        <f t="shared" si="5"/>
        <v>24</v>
      </c>
      <c r="J474" s="174">
        <v>4</v>
      </c>
      <c r="K474" s="174">
        <v>17</v>
      </c>
      <c r="L474" s="174">
        <v>68</v>
      </c>
      <c r="M474" s="174" t="s">
        <v>1727</v>
      </c>
    </row>
    <row r="475" spans="1:13">
      <c r="A475" s="151"/>
      <c r="B475" s="174" t="s">
        <v>1729</v>
      </c>
      <c r="C475" s="174" t="s">
        <v>349</v>
      </c>
      <c r="D475" s="174" t="s">
        <v>1633</v>
      </c>
      <c r="E475" s="174" t="s">
        <v>1655</v>
      </c>
      <c r="F475" s="175" t="s">
        <v>1730</v>
      </c>
      <c r="G475" s="176" t="s">
        <v>524</v>
      </c>
      <c r="H475" s="177">
        <v>1</v>
      </c>
      <c r="I475" s="176">
        <f t="shared" si="5"/>
        <v>24</v>
      </c>
      <c r="J475" s="174">
        <v>4</v>
      </c>
      <c r="K475" s="174">
        <v>17</v>
      </c>
      <c r="L475" s="174">
        <v>57</v>
      </c>
      <c r="M475" s="174" t="s">
        <v>1729</v>
      </c>
    </row>
    <row r="476" spans="1:13" ht="15">
      <c r="A476" s="151"/>
      <c r="B476" s="174" t="s">
        <v>1731</v>
      </c>
      <c r="C476" s="174" t="s">
        <v>349</v>
      </c>
      <c r="D476" s="174" t="s">
        <v>1637</v>
      </c>
      <c r="E476" s="174" t="s">
        <v>1682</v>
      </c>
      <c r="F476" s="175" t="s">
        <v>1732</v>
      </c>
      <c r="G476" s="176" t="s">
        <v>1192</v>
      </c>
      <c r="H476" s="176">
        <v>1</v>
      </c>
      <c r="I476" s="176">
        <f t="shared" si="5"/>
        <v>24</v>
      </c>
      <c r="J476" s="174">
        <v>4</v>
      </c>
      <c r="K476" s="174">
        <v>20</v>
      </c>
      <c r="L476" s="174">
        <v>102</v>
      </c>
      <c r="M476" s="183" t="s">
        <v>1723</v>
      </c>
    </row>
    <row r="477" spans="1:13" ht="15">
      <c r="A477" s="151"/>
      <c r="B477" s="174" t="s">
        <v>1733</v>
      </c>
      <c r="C477" s="174" t="s">
        <v>349</v>
      </c>
      <c r="D477" s="174" t="s">
        <v>1637</v>
      </c>
      <c r="E477" s="174" t="s">
        <v>1682</v>
      </c>
      <c r="F477" s="175" t="s">
        <v>1732</v>
      </c>
      <c r="G477" s="176" t="s">
        <v>557</v>
      </c>
      <c r="H477" s="184">
        <v>1</v>
      </c>
      <c r="I477" s="176">
        <f t="shared" si="5"/>
        <v>24</v>
      </c>
      <c r="J477" s="174">
        <v>4</v>
      </c>
      <c r="K477" s="174">
        <v>20</v>
      </c>
      <c r="L477" s="174">
        <v>112</v>
      </c>
      <c r="M477" s="183" t="s">
        <v>1723</v>
      </c>
    </row>
    <row r="478" spans="1:13" ht="15">
      <c r="A478" s="151"/>
      <c r="B478" s="174" t="s">
        <v>1734</v>
      </c>
      <c r="C478" s="174" t="s">
        <v>349</v>
      </c>
      <c r="D478" s="174" t="s">
        <v>1637</v>
      </c>
      <c r="E478" s="174" t="s">
        <v>1682</v>
      </c>
      <c r="F478" s="175" t="s">
        <v>1735</v>
      </c>
      <c r="G478" s="176" t="s">
        <v>1192</v>
      </c>
      <c r="H478" s="176">
        <v>1</v>
      </c>
      <c r="I478" s="176">
        <f t="shared" si="5"/>
        <v>24</v>
      </c>
      <c r="J478" s="174">
        <v>6</v>
      </c>
      <c r="K478" s="174">
        <v>20</v>
      </c>
      <c r="L478" s="174">
        <v>153</v>
      </c>
      <c r="M478" s="183" t="s">
        <v>1736</v>
      </c>
    </row>
    <row r="479" spans="1:13" ht="15">
      <c r="A479" s="151"/>
      <c r="B479" s="174" t="s">
        <v>1737</v>
      </c>
      <c r="C479" s="174" t="s">
        <v>349</v>
      </c>
      <c r="D479" s="174" t="s">
        <v>1637</v>
      </c>
      <c r="E479" s="174" t="s">
        <v>1682</v>
      </c>
      <c r="F479" s="175" t="s">
        <v>1735</v>
      </c>
      <c r="G479" s="176" t="s">
        <v>557</v>
      </c>
      <c r="H479" s="184">
        <v>1</v>
      </c>
      <c r="I479" s="176">
        <f t="shared" si="5"/>
        <v>24</v>
      </c>
      <c r="J479" s="174">
        <v>6</v>
      </c>
      <c r="K479" s="174">
        <v>20</v>
      </c>
      <c r="L479" s="174">
        <v>168</v>
      </c>
      <c r="M479" s="183" t="s">
        <v>1736</v>
      </c>
    </row>
    <row r="480" spans="1:13" ht="15">
      <c r="A480" s="151"/>
      <c r="B480" s="174" t="s">
        <v>1738</v>
      </c>
      <c r="C480" s="174" t="s">
        <v>349</v>
      </c>
      <c r="D480" s="174" t="s">
        <v>1637</v>
      </c>
      <c r="E480" s="174" t="s">
        <v>1739</v>
      </c>
      <c r="F480" s="175" t="s">
        <v>1740</v>
      </c>
      <c r="G480" s="176" t="s">
        <v>1192</v>
      </c>
      <c r="H480" s="176">
        <v>1</v>
      </c>
      <c r="I480" s="176">
        <f t="shared" si="5"/>
        <v>36</v>
      </c>
      <c r="J480" s="174">
        <v>1</v>
      </c>
      <c r="K480" s="174">
        <v>25</v>
      </c>
      <c r="L480" s="174">
        <v>38</v>
      </c>
      <c r="M480" s="183" t="s">
        <v>1741</v>
      </c>
    </row>
    <row r="481" spans="1:13" ht="15">
      <c r="A481" s="151"/>
      <c r="B481" s="174" t="s">
        <v>1742</v>
      </c>
      <c r="C481" s="174" t="s">
        <v>349</v>
      </c>
      <c r="D481" s="174" t="s">
        <v>1637</v>
      </c>
      <c r="E481" s="174" t="s">
        <v>1739</v>
      </c>
      <c r="F481" s="175" t="s">
        <v>1743</v>
      </c>
      <c r="G481" s="176" t="s">
        <v>1192</v>
      </c>
      <c r="H481" s="184">
        <v>1</v>
      </c>
      <c r="I481" s="176">
        <f t="shared" si="5"/>
        <v>36</v>
      </c>
      <c r="J481" s="174">
        <v>1</v>
      </c>
      <c r="K481" s="174">
        <v>25</v>
      </c>
      <c r="L481" s="174">
        <v>33</v>
      </c>
      <c r="M481" s="183" t="s">
        <v>1741</v>
      </c>
    </row>
    <row r="482" spans="1:13" ht="15">
      <c r="A482" s="151"/>
      <c r="B482" s="174" t="s">
        <v>1744</v>
      </c>
      <c r="C482" s="174" t="s">
        <v>349</v>
      </c>
      <c r="D482" s="174" t="s">
        <v>1637</v>
      </c>
      <c r="E482" s="174" t="s">
        <v>1739</v>
      </c>
      <c r="F482" s="175" t="s">
        <v>1745</v>
      </c>
      <c r="G482" s="176" t="s">
        <v>524</v>
      </c>
      <c r="H482" s="176">
        <v>1</v>
      </c>
      <c r="I482" s="176">
        <f t="shared" si="5"/>
        <v>36</v>
      </c>
      <c r="J482" s="174">
        <v>1</v>
      </c>
      <c r="K482" s="174">
        <v>25</v>
      </c>
      <c r="L482" s="174">
        <v>26</v>
      </c>
      <c r="M482" s="183" t="s">
        <v>1741</v>
      </c>
    </row>
    <row r="483" spans="1:13" ht="15">
      <c r="A483" s="151"/>
      <c r="B483" s="174" t="s">
        <v>1746</v>
      </c>
      <c r="C483" s="174" t="s">
        <v>349</v>
      </c>
      <c r="D483" s="174" t="s">
        <v>1637</v>
      </c>
      <c r="E483" s="174" t="s">
        <v>1739</v>
      </c>
      <c r="F483" s="175" t="s">
        <v>1745</v>
      </c>
      <c r="G483" s="176" t="s">
        <v>557</v>
      </c>
      <c r="H483" s="184">
        <v>1</v>
      </c>
      <c r="I483" s="176">
        <f t="shared" si="5"/>
        <v>36</v>
      </c>
      <c r="J483" s="174">
        <v>1</v>
      </c>
      <c r="K483" s="174">
        <v>25</v>
      </c>
      <c r="L483" s="174">
        <v>42</v>
      </c>
      <c r="M483" s="183" t="s">
        <v>1741</v>
      </c>
    </row>
    <row r="484" spans="1:13" ht="15">
      <c r="A484" s="151"/>
      <c r="B484" s="174" t="s">
        <v>1747</v>
      </c>
      <c r="C484" s="174" t="s">
        <v>349</v>
      </c>
      <c r="D484" s="174" t="s">
        <v>1637</v>
      </c>
      <c r="E484" s="174" t="s">
        <v>1739</v>
      </c>
      <c r="F484" s="175" t="s">
        <v>1748</v>
      </c>
      <c r="G484" s="176" t="s">
        <v>557</v>
      </c>
      <c r="H484" s="176">
        <v>1</v>
      </c>
      <c r="I484" s="176">
        <f t="shared" si="5"/>
        <v>36</v>
      </c>
      <c r="J484" s="174">
        <v>1</v>
      </c>
      <c r="K484" s="174">
        <v>25</v>
      </c>
      <c r="L484" s="174">
        <v>37</v>
      </c>
      <c r="M484" s="183" t="s">
        <v>1741</v>
      </c>
    </row>
    <row r="485" spans="1:13">
      <c r="A485" s="151"/>
      <c r="B485" s="174" t="s">
        <v>1749</v>
      </c>
      <c r="C485" s="174" t="s">
        <v>349</v>
      </c>
      <c r="D485" s="174" t="s">
        <v>1645</v>
      </c>
      <c r="E485" s="174" t="s">
        <v>1750</v>
      </c>
      <c r="F485" s="175" t="s">
        <v>1751</v>
      </c>
      <c r="G485" s="176" t="s">
        <v>524</v>
      </c>
      <c r="H485" s="184">
        <v>1</v>
      </c>
      <c r="I485" s="176">
        <f t="shared" si="5"/>
        <v>36</v>
      </c>
      <c r="J485" s="174">
        <v>1</v>
      </c>
      <c r="K485" s="174">
        <v>39</v>
      </c>
      <c r="L485" s="174">
        <v>43</v>
      </c>
      <c r="M485" s="174" t="s">
        <v>1749</v>
      </c>
    </row>
    <row r="486" spans="1:13">
      <c r="A486" s="151"/>
      <c r="B486" s="174" t="s">
        <v>1752</v>
      </c>
      <c r="C486" s="174" t="s">
        <v>349</v>
      </c>
      <c r="D486" s="174" t="s">
        <v>1645</v>
      </c>
      <c r="E486" s="174" t="s">
        <v>1753</v>
      </c>
      <c r="F486" s="175" t="s">
        <v>1754</v>
      </c>
      <c r="G486" s="176" t="s">
        <v>524</v>
      </c>
      <c r="H486" s="176">
        <v>1</v>
      </c>
      <c r="I486" s="176">
        <f t="shared" si="5"/>
        <v>36</v>
      </c>
      <c r="J486" s="174">
        <v>1</v>
      </c>
      <c r="K486" s="174">
        <v>21</v>
      </c>
      <c r="L486" s="174">
        <v>27</v>
      </c>
      <c r="M486" s="174" t="s">
        <v>1752</v>
      </c>
    </row>
    <row r="487" spans="1:13">
      <c r="A487" s="151"/>
      <c r="B487" s="174" t="s">
        <v>1741</v>
      </c>
      <c r="C487" s="174" t="s">
        <v>349</v>
      </c>
      <c r="D487" s="174" t="s">
        <v>1633</v>
      </c>
      <c r="E487" s="174" t="s">
        <v>1755</v>
      </c>
      <c r="F487" s="175" t="s">
        <v>1756</v>
      </c>
      <c r="G487" s="176" t="s">
        <v>524</v>
      </c>
      <c r="H487" s="177">
        <v>1</v>
      </c>
      <c r="I487" s="176">
        <f t="shared" si="5"/>
        <v>36</v>
      </c>
      <c r="J487" s="174">
        <v>1</v>
      </c>
      <c r="K487" s="174">
        <v>25</v>
      </c>
      <c r="L487" s="174">
        <v>26</v>
      </c>
      <c r="M487" s="174" t="s">
        <v>1741</v>
      </c>
    </row>
    <row r="488" spans="1:13">
      <c r="A488" s="151"/>
      <c r="B488" s="174" t="s">
        <v>1757</v>
      </c>
      <c r="C488" s="174" t="s">
        <v>349</v>
      </c>
      <c r="D488" s="174" t="s">
        <v>1633</v>
      </c>
      <c r="E488" s="174" t="s">
        <v>1755</v>
      </c>
      <c r="F488" s="175" t="s">
        <v>1758</v>
      </c>
      <c r="G488" s="176" t="s">
        <v>524</v>
      </c>
      <c r="H488" s="177">
        <v>1</v>
      </c>
      <c r="I488" s="176">
        <f t="shared" si="5"/>
        <v>36</v>
      </c>
      <c r="J488" s="174">
        <v>1</v>
      </c>
      <c r="K488" s="174">
        <v>25</v>
      </c>
      <c r="L488" s="174">
        <v>23</v>
      </c>
      <c r="M488" s="174" t="s">
        <v>1757</v>
      </c>
    </row>
    <row r="489" spans="1:13">
      <c r="A489" s="151"/>
      <c r="B489" s="174" t="s">
        <v>1759</v>
      </c>
      <c r="C489" s="174" t="s">
        <v>349</v>
      </c>
      <c r="D489" s="174" t="s">
        <v>1633</v>
      </c>
      <c r="E489" s="174" t="s">
        <v>1755</v>
      </c>
      <c r="F489" s="175" t="s">
        <v>1760</v>
      </c>
      <c r="G489" s="176" t="s">
        <v>524</v>
      </c>
      <c r="H489" s="177">
        <v>1</v>
      </c>
      <c r="I489" s="176">
        <f t="shared" si="5"/>
        <v>36</v>
      </c>
      <c r="J489" s="174">
        <v>1</v>
      </c>
      <c r="K489" s="174">
        <v>25</v>
      </c>
      <c r="L489" s="174">
        <v>24</v>
      </c>
      <c r="M489" s="174" t="s">
        <v>1759</v>
      </c>
    </row>
    <row r="490" spans="1:13">
      <c r="A490" s="151"/>
      <c r="B490" s="174" t="s">
        <v>1761</v>
      </c>
      <c r="C490" s="174" t="s">
        <v>349</v>
      </c>
      <c r="D490" s="174" t="s">
        <v>1633</v>
      </c>
      <c r="E490" s="174" t="s">
        <v>1755</v>
      </c>
      <c r="F490" s="175" t="s">
        <v>1762</v>
      </c>
      <c r="G490" s="176" t="s">
        <v>524</v>
      </c>
      <c r="H490" s="177">
        <v>1</v>
      </c>
      <c r="I490" s="176">
        <f t="shared" si="5"/>
        <v>36</v>
      </c>
      <c r="J490" s="174">
        <v>1</v>
      </c>
      <c r="K490" s="174">
        <v>25</v>
      </c>
      <c r="L490" s="174">
        <v>23</v>
      </c>
      <c r="M490" s="174" t="s">
        <v>1761</v>
      </c>
    </row>
    <row r="491" spans="1:13">
      <c r="A491" s="151"/>
      <c r="B491" s="174" t="s">
        <v>1763</v>
      </c>
      <c r="C491" s="174" t="s">
        <v>349</v>
      </c>
      <c r="D491" s="174" t="s">
        <v>1633</v>
      </c>
      <c r="E491" s="174" t="s">
        <v>1755</v>
      </c>
      <c r="F491" s="175" t="s">
        <v>1764</v>
      </c>
      <c r="G491" s="176" t="s">
        <v>524</v>
      </c>
      <c r="H491" s="177">
        <v>1</v>
      </c>
      <c r="I491" s="176">
        <f t="shared" si="5"/>
        <v>36</v>
      </c>
      <c r="J491" s="174">
        <v>1</v>
      </c>
      <c r="K491" s="174">
        <v>25</v>
      </c>
      <c r="L491" s="174">
        <v>22</v>
      </c>
      <c r="M491" s="174" t="s">
        <v>1763</v>
      </c>
    </row>
    <row r="492" spans="1:13">
      <c r="A492" s="151"/>
      <c r="B492" s="174" t="s">
        <v>1765</v>
      </c>
      <c r="C492" s="174" t="s">
        <v>349</v>
      </c>
      <c r="D492" s="174" t="s">
        <v>1633</v>
      </c>
      <c r="E492" s="174" t="s">
        <v>1755</v>
      </c>
      <c r="F492" s="175" t="s">
        <v>1766</v>
      </c>
      <c r="G492" s="176" t="s">
        <v>524</v>
      </c>
      <c r="H492" s="177">
        <v>1</v>
      </c>
      <c r="I492" s="176">
        <f t="shared" si="5"/>
        <v>36</v>
      </c>
      <c r="J492" s="174">
        <v>1</v>
      </c>
      <c r="K492" s="174">
        <v>25</v>
      </c>
      <c r="L492" s="174">
        <v>22</v>
      </c>
      <c r="M492" s="174" t="s">
        <v>1765</v>
      </c>
    </row>
    <row r="493" spans="1:13">
      <c r="A493" s="151"/>
      <c r="B493" s="174" t="s">
        <v>1767</v>
      </c>
      <c r="C493" s="174" t="s">
        <v>349</v>
      </c>
      <c r="D493" s="174" t="s">
        <v>1633</v>
      </c>
      <c r="E493" s="174" t="s">
        <v>1755</v>
      </c>
      <c r="F493" s="175" t="s">
        <v>1768</v>
      </c>
      <c r="G493" s="176" t="s">
        <v>524</v>
      </c>
      <c r="H493" s="177">
        <v>1</v>
      </c>
      <c r="I493" s="176">
        <f t="shared" si="5"/>
        <v>36</v>
      </c>
      <c r="J493" s="174">
        <v>1</v>
      </c>
      <c r="K493" s="174">
        <v>25</v>
      </c>
      <c r="L493" s="174">
        <v>22</v>
      </c>
      <c r="M493" s="174" t="s">
        <v>1767</v>
      </c>
    </row>
    <row r="494" spans="1:13">
      <c r="A494" s="151"/>
      <c r="B494" s="174" t="s">
        <v>1769</v>
      </c>
      <c r="C494" s="174" t="s">
        <v>349</v>
      </c>
      <c r="D494" s="174" t="s">
        <v>1633</v>
      </c>
      <c r="E494" s="174" t="s">
        <v>1755</v>
      </c>
      <c r="F494" s="175" t="s">
        <v>1770</v>
      </c>
      <c r="G494" s="176" t="s">
        <v>524</v>
      </c>
      <c r="H494" s="177">
        <v>1</v>
      </c>
      <c r="I494" s="176">
        <f t="shared" ref="I494:I557" si="6">MID(B494,2,1)*12</f>
        <v>36</v>
      </c>
      <c r="J494" s="174">
        <v>1</v>
      </c>
      <c r="K494" s="174">
        <v>25</v>
      </c>
      <c r="L494" s="174">
        <v>22</v>
      </c>
      <c r="M494" s="174" t="s">
        <v>1769</v>
      </c>
    </row>
    <row r="495" spans="1:13">
      <c r="A495" s="151"/>
      <c r="B495" s="174" t="s">
        <v>1771</v>
      </c>
      <c r="C495" s="174" t="s">
        <v>349</v>
      </c>
      <c r="D495" s="174" t="s">
        <v>1633</v>
      </c>
      <c r="E495" s="174" t="s">
        <v>1755</v>
      </c>
      <c r="F495" s="175" t="s">
        <v>1772</v>
      </c>
      <c r="G495" s="176" t="s">
        <v>524</v>
      </c>
      <c r="H495" s="177">
        <v>1</v>
      </c>
      <c r="I495" s="176">
        <f t="shared" si="6"/>
        <v>36</v>
      </c>
      <c r="J495" s="174">
        <v>1</v>
      </c>
      <c r="K495" s="174">
        <v>25</v>
      </c>
      <c r="L495" s="174">
        <v>28</v>
      </c>
      <c r="M495" s="174" t="s">
        <v>1771</v>
      </c>
    </row>
    <row r="496" spans="1:13">
      <c r="A496" s="151"/>
      <c r="B496" s="174" t="s">
        <v>1773</v>
      </c>
      <c r="C496" s="174" t="s">
        <v>349</v>
      </c>
      <c r="D496" s="174" t="s">
        <v>1633</v>
      </c>
      <c r="E496" s="174" t="s">
        <v>1755</v>
      </c>
      <c r="F496" s="175" t="s">
        <v>1774</v>
      </c>
      <c r="G496" s="176" t="s">
        <v>524</v>
      </c>
      <c r="H496" s="177">
        <v>1</v>
      </c>
      <c r="I496" s="176">
        <f t="shared" si="6"/>
        <v>36</v>
      </c>
      <c r="J496" s="174">
        <v>1</v>
      </c>
      <c r="K496" s="174">
        <v>25</v>
      </c>
      <c r="L496" s="174">
        <v>27</v>
      </c>
      <c r="M496" s="174" t="s">
        <v>1773</v>
      </c>
    </row>
    <row r="497" spans="1:13">
      <c r="A497" s="151"/>
      <c r="B497" s="174" t="s">
        <v>1775</v>
      </c>
      <c r="C497" s="174" t="s">
        <v>349</v>
      </c>
      <c r="D497" s="174" t="s">
        <v>1633</v>
      </c>
      <c r="E497" s="174" t="s">
        <v>1755</v>
      </c>
      <c r="F497" s="175" t="s">
        <v>1776</v>
      </c>
      <c r="G497" s="176" t="s">
        <v>524</v>
      </c>
      <c r="H497" s="177">
        <v>1</v>
      </c>
      <c r="I497" s="176">
        <f t="shared" si="6"/>
        <v>36</v>
      </c>
      <c r="J497" s="174">
        <v>1</v>
      </c>
      <c r="K497" s="174">
        <v>25</v>
      </c>
      <c r="L497" s="174">
        <v>24</v>
      </c>
      <c r="M497" s="174" t="s">
        <v>1775</v>
      </c>
    </row>
    <row r="498" spans="1:13">
      <c r="A498" s="151"/>
      <c r="B498" s="174" t="s">
        <v>1777</v>
      </c>
      <c r="C498" s="174" t="s">
        <v>349</v>
      </c>
      <c r="D498" s="174" t="s">
        <v>1633</v>
      </c>
      <c r="E498" s="174" t="s">
        <v>1755</v>
      </c>
      <c r="F498" s="175" t="s">
        <v>1778</v>
      </c>
      <c r="G498" s="176" t="s">
        <v>524</v>
      </c>
      <c r="H498" s="177">
        <v>1</v>
      </c>
      <c r="I498" s="176">
        <f t="shared" si="6"/>
        <v>36</v>
      </c>
      <c r="J498" s="174">
        <v>1</v>
      </c>
      <c r="K498" s="174">
        <v>25</v>
      </c>
      <c r="L498" s="174">
        <v>23</v>
      </c>
      <c r="M498" s="174" t="s">
        <v>1777</v>
      </c>
    </row>
    <row r="499" spans="1:13">
      <c r="A499" s="151"/>
      <c r="B499" s="174" t="s">
        <v>1779</v>
      </c>
      <c r="C499" s="174" t="s">
        <v>349</v>
      </c>
      <c r="D499" s="174" t="s">
        <v>1633</v>
      </c>
      <c r="E499" s="174" t="s">
        <v>1755</v>
      </c>
      <c r="F499" s="175" t="s">
        <v>1780</v>
      </c>
      <c r="G499" s="176" t="s">
        <v>524</v>
      </c>
      <c r="H499" s="177">
        <v>1</v>
      </c>
      <c r="I499" s="176">
        <f t="shared" si="6"/>
        <v>36</v>
      </c>
      <c r="J499" s="174">
        <v>1</v>
      </c>
      <c r="K499" s="174">
        <v>25</v>
      </c>
      <c r="L499" s="174">
        <v>24</v>
      </c>
      <c r="M499" s="174" t="s">
        <v>1779</v>
      </c>
    </row>
    <row r="500" spans="1:13">
      <c r="A500" s="151"/>
      <c r="B500" s="174" t="s">
        <v>1781</v>
      </c>
      <c r="C500" s="174" t="s">
        <v>349</v>
      </c>
      <c r="D500" s="174" t="s">
        <v>1633</v>
      </c>
      <c r="E500" s="174" t="s">
        <v>1755</v>
      </c>
      <c r="F500" s="175" t="s">
        <v>1782</v>
      </c>
      <c r="G500" s="176" t="s">
        <v>524</v>
      </c>
      <c r="H500" s="177">
        <v>1</v>
      </c>
      <c r="I500" s="176">
        <f t="shared" si="6"/>
        <v>36</v>
      </c>
      <c r="J500" s="174">
        <v>1</v>
      </c>
      <c r="K500" s="174">
        <v>25</v>
      </c>
      <c r="L500" s="174">
        <v>22</v>
      </c>
      <c r="M500" s="174" t="s">
        <v>1781</v>
      </c>
    </row>
    <row r="501" spans="1:13">
      <c r="A501" s="151"/>
      <c r="B501" s="174" t="s">
        <v>1783</v>
      </c>
      <c r="C501" s="174" t="s">
        <v>349</v>
      </c>
      <c r="D501" s="174" t="s">
        <v>1633</v>
      </c>
      <c r="E501" s="174" t="s">
        <v>1755</v>
      </c>
      <c r="F501" s="175" t="s">
        <v>1784</v>
      </c>
      <c r="G501" s="176" t="s">
        <v>524</v>
      </c>
      <c r="H501" s="177">
        <v>1</v>
      </c>
      <c r="I501" s="176">
        <f t="shared" si="6"/>
        <v>36</v>
      </c>
      <c r="J501" s="174">
        <v>1</v>
      </c>
      <c r="K501" s="174">
        <v>25</v>
      </c>
      <c r="L501" s="174">
        <v>26</v>
      </c>
      <c r="M501" s="174" t="s">
        <v>1783</v>
      </c>
    </row>
    <row r="502" spans="1:13">
      <c r="A502" s="151"/>
      <c r="B502" s="174" t="s">
        <v>1785</v>
      </c>
      <c r="C502" s="174" t="s">
        <v>349</v>
      </c>
      <c r="D502" s="174" t="s">
        <v>1633</v>
      </c>
      <c r="E502" s="174" t="s">
        <v>1755</v>
      </c>
      <c r="F502" s="175" t="s">
        <v>1786</v>
      </c>
      <c r="G502" s="176" t="s">
        <v>524</v>
      </c>
      <c r="H502" s="177">
        <v>1</v>
      </c>
      <c r="I502" s="176">
        <f t="shared" si="6"/>
        <v>36</v>
      </c>
      <c r="J502" s="174">
        <v>1</v>
      </c>
      <c r="K502" s="174">
        <v>25</v>
      </c>
      <c r="L502" s="174">
        <v>23</v>
      </c>
      <c r="M502" s="174" t="s">
        <v>1785</v>
      </c>
    </row>
    <row r="503" spans="1:13" ht="15">
      <c r="A503" s="151"/>
      <c r="B503" s="174" t="s">
        <v>1787</v>
      </c>
      <c r="C503" s="174" t="s">
        <v>349</v>
      </c>
      <c r="D503" s="174" t="s">
        <v>1637</v>
      </c>
      <c r="E503" s="174" t="s">
        <v>1788</v>
      </c>
      <c r="F503" s="175" t="s">
        <v>1789</v>
      </c>
      <c r="G503" s="176" t="s">
        <v>1192</v>
      </c>
      <c r="H503" s="184">
        <v>1</v>
      </c>
      <c r="I503" s="176">
        <f t="shared" si="6"/>
        <v>36</v>
      </c>
      <c r="J503" s="174">
        <v>1</v>
      </c>
      <c r="K503" s="174">
        <v>30</v>
      </c>
      <c r="L503" s="174">
        <v>37</v>
      </c>
      <c r="M503" s="183" t="s">
        <v>1741</v>
      </c>
    </row>
    <row r="504" spans="1:13" ht="15">
      <c r="A504" s="151"/>
      <c r="B504" s="174" t="s">
        <v>1790</v>
      </c>
      <c r="C504" s="174" t="s">
        <v>349</v>
      </c>
      <c r="D504" s="174" t="s">
        <v>1637</v>
      </c>
      <c r="E504" s="174" t="s">
        <v>1791</v>
      </c>
      <c r="F504" s="175" t="s">
        <v>1792</v>
      </c>
      <c r="G504" s="176" t="s">
        <v>557</v>
      </c>
      <c r="H504" s="176">
        <v>1</v>
      </c>
      <c r="I504" s="176">
        <f t="shared" si="6"/>
        <v>36</v>
      </c>
      <c r="J504" s="174">
        <v>1</v>
      </c>
      <c r="K504" s="174">
        <v>50</v>
      </c>
      <c r="L504" s="174">
        <v>70</v>
      </c>
      <c r="M504" s="183" t="s">
        <v>1741</v>
      </c>
    </row>
    <row r="505" spans="1:13" ht="15">
      <c r="A505" s="151"/>
      <c r="B505" s="174" t="s">
        <v>1793</v>
      </c>
      <c r="C505" s="174" t="s">
        <v>349</v>
      </c>
      <c r="D505" s="174" t="s">
        <v>1637</v>
      </c>
      <c r="E505" s="174" t="s">
        <v>1788</v>
      </c>
      <c r="F505" s="175" t="s">
        <v>1794</v>
      </c>
      <c r="G505" s="176" t="s">
        <v>524</v>
      </c>
      <c r="H505" s="184">
        <v>1</v>
      </c>
      <c r="I505" s="176">
        <f t="shared" si="6"/>
        <v>36</v>
      </c>
      <c r="J505" s="174">
        <v>1</v>
      </c>
      <c r="K505" s="174">
        <v>30</v>
      </c>
      <c r="L505" s="174">
        <v>31</v>
      </c>
      <c r="M505" s="183" t="s">
        <v>1741</v>
      </c>
    </row>
    <row r="506" spans="1:13" ht="15">
      <c r="A506" s="151"/>
      <c r="B506" s="174" t="s">
        <v>1795</v>
      </c>
      <c r="C506" s="174" t="s">
        <v>349</v>
      </c>
      <c r="D506" s="174" t="s">
        <v>1637</v>
      </c>
      <c r="E506" s="174" t="s">
        <v>1788</v>
      </c>
      <c r="F506" s="175" t="s">
        <v>1794</v>
      </c>
      <c r="G506" s="176" t="s">
        <v>557</v>
      </c>
      <c r="H506" s="176">
        <v>1</v>
      </c>
      <c r="I506" s="176">
        <f t="shared" si="6"/>
        <v>36</v>
      </c>
      <c r="J506" s="174">
        <v>1</v>
      </c>
      <c r="K506" s="174">
        <v>30</v>
      </c>
      <c r="L506" s="174">
        <v>46</v>
      </c>
      <c r="M506" s="183" t="s">
        <v>1741</v>
      </c>
    </row>
    <row r="507" spans="1:13" ht="15">
      <c r="A507" s="151"/>
      <c r="B507" s="174" t="s">
        <v>1796</v>
      </c>
      <c r="C507" s="174" t="s">
        <v>349</v>
      </c>
      <c r="D507" s="174" t="s">
        <v>1637</v>
      </c>
      <c r="E507" s="174" t="s">
        <v>1788</v>
      </c>
      <c r="F507" s="175" t="s">
        <v>1797</v>
      </c>
      <c r="G507" s="176" t="s">
        <v>557</v>
      </c>
      <c r="H507" s="184">
        <v>1</v>
      </c>
      <c r="I507" s="176">
        <f t="shared" si="6"/>
        <v>36</v>
      </c>
      <c r="J507" s="174">
        <v>1</v>
      </c>
      <c r="K507" s="174">
        <v>30</v>
      </c>
      <c r="L507" s="174">
        <v>41</v>
      </c>
      <c r="M507" s="183" t="s">
        <v>1741</v>
      </c>
    </row>
    <row r="508" spans="1:13" ht="15">
      <c r="A508" s="151"/>
      <c r="B508" s="174" t="s">
        <v>1798</v>
      </c>
      <c r="C508" s="174" t="s">
        <v>349</v>
      </c>
      <c r="D508" s="174" t="s">
        <v>1637</v>
      </c>
      <c r="E508" s="174" t="s">
        <v>1739</v>
      </c>
      <c r="F508" s="175" t="s">
        <v>1799</v>
      </c>
      <c r="G508" s="176" t="s">
        <v>1192</v>
      </c>
      <c r="H508" s="176">
        <v>1</v>
      </c>
      <c r="I508" s="176">
        <f t="shared" si="6"/>
        <v>36</v>
      </c>
      <c r="J508" s="174">
        <v>2</v>
      </c>
      <c r="K508" s="174">
        <v>25</v>
      </c>
      <c r="L508" s="174">
        <v>66</v>
      </c>
      <c r="M508" s="183" t="s">
        <v>1800</v>
      </c>
    </row>
    <row r="509" spans="1:13" ht="15">
      <c r="A509" s="151"/>
      <c r="B509" s="174" t="s">
        <v>1801</v>
      </c>
      <c r="C509" s="174" t="s">
        <v>349</v>
      </c>
      <c r="D509" s="174" t="s">
        <v>1637</v>
      </c>
      <c r="E509" s="174" t="s">
        <v>1739</v>
      </c>
      <c r="F509" s="175" t="s">
        <v>1799</v>
      </c>
      <c r="G509" s="176" t="s">
        <v>524</v>
      </c>
      <c r="H509" s="184">
        <v>1</v>
      </c>
      <c r="I509" s="176">
        <f t="shared" si="6"/>
        <v>36</v>
      </c>
      <c r="J509" s="174">
        <v>2</v>
      </c>
      <c r="K509" s="174">
        <v>25</v>
      </c>
      <c r="L509" s="174">
        <v>50</v>
      </c>
      <c r="M509" s="183" t="s">
        <v>1800</v>
      </c>
    </row>
    <row r="510" spans="1:13" ht="15">
      <c r="A510" s="151"/>
      <c r="B510" s="174" t="s">
        <v>1802</v>
      </c>
      <c r="C510" s="174" t="s">
        <v>349</v>
      </c>
      <c r="D510" s="174" t="s">
        <v>1637</v>
      </c>
      <c r="E510" s="174" t="s">
        <v>1739</v>
      </c>
      <c r="F510" s="175" t="s">
        <v>1799</v>
      </c>
      <c r="G510" s="176" t="s">
        <v>557</v>
      </c>
      <c r="H510" s="176">
        <v>1</v>
      </c>
      <c r="I510" s="176">
        <f t="shared" si="6"/>
        <v>36</v>
      </c>
      <c r="J510" s="174">
        <v>2</v>
      </c>
      <c r="K510" s="174">
        <v>25</v>
      </c>
      <c r="L510" s="174">
        <v>73</v>
      </c>
      <c r="M510" s="183" t="s">
        <v>1800</v>
      </c>
    </row>
    <row r="511" spans="1:13">
      <c r="A511" s="151"/>
      <c r="B511" s="174" t="s">
        <v>1803</v>
      </c>
      <c r="C511" s="174" t="s">
        <v>349</v>
      </c>
      <c r="D511" s="174" t="s">
        <v>1645</v>
      </c>
      <c r="E511" s="174" t="s">
        <v>1750</v>
      </c>
      <c r="F511" s="175" t="s">
        <v>1804</v>
      </c>
      <c r="G511" s="176" t="s">
        <v>524</v>
      </c>
      <c r="H511" s="184">
        <v>1</v>
      </c>
      <c r="I511" s="176">
        <f t="shared" si="6"/>
        <v>36</v>
      </c>
      <c r="J511" s="174">
        <v>2</v>
      </c>
      <c r="K511" s="174">
        <v>39</v>
      </c>
      <c r="L511" s="174">
        <v>85</v>
      </c>
      <c r="M511" s="174" t="s">
        <v>1803</v>
      </c>
    </row>
    <row r="512" spans="1:13">
      <c r="A512" s="151"/>
      <c r="B512" s="174" t="s">
        <v>1805</v>
      </c>
      <c r="C512" s="174" t="s">
        <v>349</v>
      </c>
      <c r="D512" s="174" t="s">
        <v>1645</v>
      </c>
      <c r="E512" s="174" t="s">
        <v>1753</v>
      </c>
      <c r="F512" s="175" t="s">
        <v>1754</v>
      </c>
      <c r="G512" s="176" t="s">
        <v>524</v>
      </c>
      <c r="H512" s="184">
        <v>1</v>
      </c>
      <c r="I512" s="176">
        <f t="shared" si="6"/>
        <v>36</v>
      </c>
      <c r="J512" s="174">
        <v>2</v>
      </c>
      <c r="K512" s="174">
        <v>21</v>
      </c>
      <c r="L512" s="174">
        <v>52</v>
      </c>
      <c r="M512" s="174" t="s">
        <v>1805</v>
      </c>
    </row>
    <row r="513" spans="1:13">
      <c r="A513" s="151"/>
      <c r="B513" s="174" t="s">
        <v>1800</v>
      </c>
      <c r="C513" s="174" t="s">
        <v>349</v>
      </c>
      <c r="D513" s="174" t="s">
        <v>1633</v>
      </c>
      <c r="E513" s="174" t="s">
        <v>1755</v>
      </c>
      <c r="F513" s="175" t="s">
        <v>1806</v>
      </c>
      <c r="G513" s="176" t="s">
        <v>524</v>
      </c>
      <c r="H513" s="177">
        <v>1</v>
      </c>
      <c r="I513" s="176">
        <f t="shared" si="6"/>
        <v>36</v>
      </c>
      <c r="J513" s="174">
        <v>2</v>
      </c>
      <c r="K513" s="174">
        <v>25</v>
      </c>
      <c r="L513" s="174">
        <v>46</v>
      </c>
      <c r="M513" s="174" t="s">
        <v>1800</v>
      </c>
    </row>
    <row r="514" spans="1:13">
      <c r="A514" s="151"/>
      <c r="B514" s="174" t="s">
        <v>1807</v>
      </c>
      <c r="C514" s="174" t="s">
        <v>349</v>
      </c>
      <c r="D514" s="174" t="s">
        <v>1633</v>
      </c>
      <c r="E514" s="174" t="s">
        <v>1755</v>
      </c>
      <c r="F514" s="175" t="s">
        <v>1808</v>
      </c>
      <c r="G514" s="176" t="s">
        <v>524</v>
      </c>
      <c r="H514" s="177">
        <v>1</v>
      </c>
      <c r="I514" s="176">
        <f t="shared" si="6"/>
        <v>36</v>
      </c>
      <c r="J514" s="174">
        <v>2</v>
      </c>
      <c r="K514" s="174">
        <v>25</v>
      </c>
      <c r="L514" s="174">
        <v>44</v>
      </c>
      <c r="M514" s="174" t="s">
        <v>1807</v>
      </c>
    </row>
    <row r="515" spans="1:13">
      <c r="A515" s="151"/>
      <c r="B515" s="174" t="s">
        <v>1809</v>
      </c>
      <c r="C515" s="174" t="s">
        <v>349</v>
      </c>
      <c r="D515" s="174" t="s">
        <v>1633</v>
      </c>
      <c r="E515" s="174" t="s">
        <v>1755</v>
      </c>
      <c r="F515" s="175" t="s">
        <v>1810</v>
      </c>
      <c r="G515" s="176" t="s">
        <v>524</v>
      </c>
      <c r="H515" s="177">
        <v>1</v>
      </c>
      <c r="I515" s="176">
        <f t="shared" si="6"/>
        <v>36</v>
      </c>
      <c r="J515" s="174">
        <v>2</v>
      </c>
      <c r="K515" s="174">
        <v>25</v>
      </c>
      <c r="L515" s="174">
        <v>43</v>
      </c>
      <c r="M515" s="174" t="s">
        <v>1809</v>
      </c>
    </row>
    <row r="516" spans="1:13">
      <c r="A516" s="151"/>
      <c r="B516" s="174" t="s">
        <v>1811</v>
      </c>
      <c r="C516" s="174" t="s">
        <v>349</v>
      </c>
      <c r="D516" s="174" t="s">
        <v>1633</v>
      </c>
      <c r="E516" s="174" t="s">
        <v>1755</v>
      </c>
      <c r="F516" s="175" t="s">
        <v>1812</v>
      </c>
      <c r="G516" s="176" t="s">
        <v>524</v>
      </c>
      <c r="H516" s="177">
        <v>1</v>
      </c>
      <c r="I516" s="176">
        <f t="shared" si="6"/>
        <v>36</v>
      </c>
      <c r="J516" s="174">
        <v>2</v>
      </c>
      <c r="K516" s="174">
        <v>25</v>
      </c>
      <c r="L516" s="174">
        <v>48</v>
      </c>
      <c r="M516" s="174" t="s">
        <v>1811</v>
      </c>
    </row>
    <row r="517" spans="1:13">
      <c r="A517" s="151"/>
      <c r="B517" s="174" t="s">
        <v>1813</v>
      </c>
      <c r="C517" s="174" t="s">
        <v>349</v>
      </c>
      <c r="D517" s="174" t="s">
        <v>1633</v>
      </c>
      <c r="E517" s="174" t="s">
        <v>1755</v>
      </c>
      <c r="F517" s="175" t="s">
        <v>1814</v>
      </c>
      <c r="G517" s="176" t="s">
        <v>524</v>
      </c>
      <c r="H517" s="177">
        <v>1</v>
      </c>
      <c r="I517" s="176">
        <f t="shared" si="6"/>
        <v>36</v>
      </c>
      <c r="J517" s="174">
        <v>2</v>
      </c>
      <c r="K517" s="174">
        <v>25</v>
      </c>
      <c r="L517" s="174">
        <v>46</v>
      </c>
      <c r="M517" s="174" t="s">
        <v>1813</v>
      </c>
    </row>
    <row r="518" spans="1:13">
      <c r="A518" s="151"/>
      <c r="B518" s="174" t="s">
        <v>1815</v>
      </c>
      <c r="C518" s="174" t="s">
        <v>349</v>
      </c>
      <c r="D518" s="174" t="s">
        <v>1633</v>
      </c>
      <c r="E518" s="174" t="s">
        <v>1755</v>
      </c>
      <c r="F518" s="175" t="s">
        <v>1816</v>
      </c>
      <c r="G518" s="176" t="s">
        <v>1192</v>
      </c>
      <c r="H518" s="177">
        <v>1</v>
      </c>
      <c r="I518" s="176">
        <f t="shared" si="6"/>
        <v>36</v>
      </c>
      <c r="J518" s="174">
        <v>2</v>
      </c>
      <c r="K518" s="174">
        <v>25</v>
      </c>
      <c r="L518" s="174">
        <v>65</v>
      </c>
      <c r="M518" s="174" t="s">
        <v>1815</v>
      </c>
    </row>
    <row r="519" spans="1:13">
      <c r="A519" s="151"/>
      <c r="B519" s="174" t="s">
        <v>1817</v>
      </c>
      <c r="C519" s="174" t="s">
        <v>349</v>
      </c>
      <c r="D519" s="174" t="s">
        <v>1633</v>
      </c>
      <c r="E519" s="174" t="s">
        <v>1755</v>
      </c>
      <c r="F519" s="175" t="s">
        <v>1818</v>
      </c>
      <c r="G519" s="176" t="s">
        <v>524</v>
      </c>
      <c r="H519" s="177">
        <v>1</v>
      </c>
      <c r="I519" s="176">
        <f t="shared" si="6"/>
        <v>36</v>
      </c>
      <c r="J519" s="174">
        <v>2</v>
      </c>
      <c r="K519" s="174">
        <v>25</v>
      </c>
      <c r="L519" s="174">
        <v>46</v>
      </c>
      <c r="M519" s="174" t="s">
        <v>1817</v>
      </c>
    </row>
    <row r="520" spans="1:13">
      <c r="A520" s="151"/>
      <c r="B520" s="174" t="s">
        <v>1819</v>
      </c>
      <c r="C520" s="174" t="s">
        <v>349</v>
      </c>
      <c r="D520" s="174" t="s">
        <v>1633</v>
      </c>
      <c r="E520" s="174" t="s">
        <v>1755</v>
      </c>
      <c r="F520" s="175" t="s">
        <v>1820</v>
      </c>
      <c r="G520" s="176" t="s">
        <v>524</v>
      </c>
      <c r="H520" s="177">
        <v>1</v>
      </c>
      <c r="I520" s="176">
        <f t="shared" si="6"/>
        <v>36</v>
      </c>
      <c r="J520" s="174">
        <v>2</v>
      </c>
      <c r="K520" s="174">
        <v>25</v>
      </c>
      <c r="L520" s="174">
        <v>45</v>
      </c>
      <c r="M520" s="174" t="s">
        <v>1819</v>
      </c>
    </row>
    <row r="521" spans="1:13">
      <c r="A521" s="151"/>
      <c r="B521" s="174" t="s">
        <v>1821</v>
      </c>
      <c r="C521" s="174" t="s">
        <v>349</v>
      </c>
      <c r="D521" s="174" t="s">
        <v>1633</v>
      </c>
      <c r="E521" s="174" t="s">
        <v>1755</v>
      </c>
      <c r="F521" s="175" t="s">
        <v>1822</v>
      </c>
      <c r="G521" s="176" t="s">
        <v>524</v>
      </c>
      <c r="H521" s="177">
        <v>1</v>
      </c>
      <c r="I521" s="176">
        <f t="shared" si="6"/>
        <v>36</v>
      </c>
      <c r="J521" s="174">
        <v>2</v>
      </c>
      <c r="K521" s="174">
        <v>25</v>
      </c>
      <c r="L521" s="174">
        <v>50</v>
      </c>
      <c r="M521" s="174" t="s">
        <v>1821</v>
      </c>
    </row>
    <row r="522" spans="1:13">
      <c r="A522" s="151"/>
      <c r="B522" s="174" t="s">
        <v>1823</v>
      </c>
      <c r="C522" s="174" t="s">
        <v>349</v>
      </c>
      <c r="D522" s="174" t="s">
        <v>1633</v>
      </c>
      <c r="E522" s="174" t="s">
        <v>1755</v>
      </c>
      <c r="F522" s="175" t="s">
        <v>1824</v>
      </c>
      <c r="G522" s="176" t="s">
        <v>524</v>
      </c>
      <c r="H522" s="177">
        <v>1</v>
      </c>
      <c r="I522" s="176">
        <f t="shared" si="6"/>
        <v>36</v>
      </c>
      <c r="J522" s="174">
        <v>2</v>
      </c>
      <c r="K522" s="174">
        <v>25</v>
      </c>
      <c r="L522" s="174">
        <v>42</v>
      </c>
      <c r="M522" s="174" t="s">
        <v>1823</v>
      </c>
    </row>
    <row r="523" spans="1:13">
      <c r="A523" s="151"/>
      <c r="B523" s="174" t="s">
        <v>1825</v>
      </c>
      <c r="C523" s="174" t="s">
        <v>349</v>
      </c>
      <c r="D523" s="174" t="s">
        <v>1633</v>
      </c>
      <c r="E523" s="174" t="s">
        <v>1755</v>
      </c>
      <c r="F523" s="175" t="s">
        <v>1826</v>
      </c>
      <c r="G523" s="176" t="s">
        <v>524</v>
      </c>
      <c r="H523" s="177">
        <v>1</v>
      </c>
      <c r="I523" s="176">
        <f t="shared" si="6"/>
        <v>36</v>
      </c>
      <c r="J523" s="174">
        <v>2</v>
      </c>
      <c r="K523" s="174">
        <v>25</v>
      </c>
      <c r="L523" s="174">
        <v>70</v>
      </c>
      <c r="M523" s="174" t="s">
        <v>1825</v>
      </c>
    </row>
    <row r="524" spans="1:13" ht="15">
      <c r="A524" s="151"/>
      <c r="B524" s="174" t="s">
        <v>1827</v>
      </c>
      <c r="C524" s="174" t="s">
        <v>349</v>
      </c>
      <c r="D524" s="174" t="s">
        <v>1637</v>
      </c>
      <c r="E524" s="174" t="s">
        <v>1788</v>
      </c>
      <c r="F524" s="175" t="s">
        <v>1828</v>
      </c>
      <c r="G524" s="176" t="s">
        <v>1192</v>
      </c>
      <c r="H524" s="184">
        <v>1</v>
      </c>
      <c r="I524" s="176">
        <f t="shared" si="6"/>
        <v>36</v>
      </c>
      <c r="J524" s="174">
        <v>2</v>
      </c>
      <c r="K524" s="174">
        <v>30</v>
      </c>
      <c r="L524" s="174">
        <v>74</v>
      </c>
      <c r="M524" s="183" t="s">
        <v>1800</v>
      </c>
    </row>
    <row r="525" spans="1:13">
      <c r="A525" s="151"/>
      <c r="B525" s="174" t="s">
        <v>1829</v>
      </c>
      <c r="C525" s="174" t="s">
        <v>349</v>
      </c>
      <c r="D525" s="174" t="s">
        <v>1645</v>
      </c>
      <c r="E525" s="174" t="s">
        <v>1791</v>
      </c>
      <c r="F525" s="175" t="s">
        <v>1830</v>
      </c>
      <c r="G525" s="176" t="s">
        <v>557</v>
      </c>
      <c r="H525" s="176">
        <v>1</v>
      </c>
      <c r="I525" s="176">
        <f t="shared" si="6"/>
        <v>36</v>
      </c>
      <c r="J525" s="174">
        <v>2</v>
      </c>
      <c r="K525" s="174">
        <v>50</v>
      </c>
      <c r="L525" s="174">
        <v>114</v>
      </c>
      <c r="M525" s="174" t="s">
        <v>1829</v>
      </c>
    </row>
    <row r="526" spans="1:13" ht="15">
      <c r="A526" s="151"/>
      <c r="B526" s="174" t="s">
        <v>1831</v>
      </c>
      <c r="C526" s="174" t="s">
        <v>349</v>
      </c>
      <c r="D526" s="174" t="s">
        <v>1637</v>
      </c>
      <c r="E526" s="174" t="s">
        <v>1788</v>
      </c>
      <c r="F526" s="175" t="s">
        <v>1828</v>
      </c>
      <c r="G526" s="176" t="s">
        <v>524</v>
      </c>
      <c r="H526" s="176">
        <v>1</v>
      </c>
      <c r="I526" s="176">
        <f t="shared" si="6"/>
        <v>36</v>
      </c>
      <c r="J526" s="174">
        <v>2</v>
      </c>
      <c r="K526" s="174">
        <v>30</v>
      </c>
      <c r="L526" s="174">
        <v>58</v>
      </c>
      <c r="M526" s="183" t="s">
        <v>1800</v>
      </c>
    </row>
    <row r="527" spans="1:13" ht="15">
      <c r="A527" s="151"/>
      <c r="B527" s="174" t="s">
        <v>1832</v>
      </c>
      <c r="C527" s="174" t="s">
        <v>349</v>
      </c>
      <c r="D527" s="174" t="s">
        <v>1637</v>
      </c>
      <c r="E527" s="174" t="s">
        <v>1788</v>
      </c>
      <c r="F527" s="175" t="s">
        <v>1828</v>
      </c>
      <c r="G527" s="176" t="s">
        <v>557</v>
      </c>
      <c r="H527" s="184">
        <v>1</v>
      </c>
      <c r="I527" s="176">
        <f t="shared" si="6"/>
        <v>36</v>
      </c>
      <c r="J527" s="174">
        <v>2</v>
      </c>
      <c r="K527" s="174">
        <v>30</v>
      </c>
      <c r="L527" s="174">
        <v>81</v>
      </c>
      <c r="M527" s="183" t="s">
        <v>1800</v>
      </c>
    </row>
    <row r="528" spans="1:13" ht="15">
      <c r="A528" s="151"/>
      <c r="B528" s="174" t="s">
        <v>1833</v>
      </c>
      <c r="C528" s="174" t="s">
        <v>349</v>
      </c>
      <c r="D528" s="174" t="s">
        <v>1637</v>
      </c>
      <c r="E528" s="174" t="s">
        <v>1739</v>
      </c>
      <c r="F528" s="175" t="s">
        <v>1834</v>
      </c>
      <c r="G528" s="176" t="s">
        <v>1192</v>
      </c>
      <c r="H528" s="176">
        <v>1</v>
      </c>
      <c r="I528" s="176">
        <f t="shared" si="6"/>
        <v>36</v>
      </c>
      <c r="J528" s="174">
        <v>3</v>
      </c>
      <c r="K528" s="174">
        <v>25</v>
      </c>
      <c r="L528" s="174">
        <v>104</v>
      </c>
      <c r="M528" s="183" t="s">
        <v>1835</v>
      </c>
    </row>
    <row r="529" spans="1:13" ht="15">
      <c r="A529" s="151"/>
      <c r="B529" s="174" t="s">
        <v>1836</v>
      </c>
      <c r="C529" s="174" t="s">
        <v>349</v>
      </c>
      <c r="D529" s="174" t="s">
        <v>1637</v>
      </c>
      <c r="E529" s="174" t="s">
        <v>1739</v>
      </c>
      <c r="F529" s="175" t="s">
        <v>1834</v>
      </c>
      <c r="G529" s="176" t="s">
        <v>524</v>
      </c>
      <c r="H529" s="184">
        <v>1</v>
      </c>
      <c r="I529" s="176">
        <f t="shared" si="6"/>
        <v>36</v>
      </c>
      <c r="J529" s="174">
        <v>3</v>
      </c>
      <c r="K529" s="174">
        <v>25</v>
      </c>
      <c r="L529" s="174">
        <v>76</v>
      </c>
      <c r="M529" s="183" t="s">
        <v>1835</v>
      </c>
    </row>
    <row r="530" spans="1:13" ht="15">
      <c r="A530" s="151"/>
      <c r="B530" s="174" t="s">
        <v>1837</v>
      </c>
      <c r="C530" s="174" t="s">
        <v>349</v>
      </c>
      <c r="D530" s="174" t="s">
        <v>1637</v>
      </c>
      <c r="E530" s="174" t="s">
        <v>1739</v>
      </c>
      <c r="F530" s="175" t="s">
        <v>1838</v>
      </c>
      <c r="G530" s="176" t="s">
        <v>557</v>
      </c>
      <c r="H530" s="176">
        <v>1</v>
      </c>
      <c r="I530" s="176">
        <f t="shared" si="6"/>
        <v>36</v>
      </c>
      <c r="J530" s="174">
        <v>3</v>
      </c>
      <c r="K530" s="174">
        <v>25</v>
      </c>
      <c r="L530" s="174">
        <v>115</v>
      </c>
      <c r="M530" s="183" t="s">
        <v>1835</v>
      </c>
    </row>
    <row r="531" spans="1:13">
      <c r="A531" s="151"/>
      <c r="B531" s="174" t="s">
        <v>1835</v>
      </c>
      <c r="C531" s="174" t="s">
        <v>349</v>
      </c>
      <c r="D531" s="174" t="s">
        <v>1633</v>
      </c>
      <c r="E531" s="174" t="s">
        <v>1755</v>
      </c>
      <c r="F531" s="175" t="s">
        <v>1839</v>
      </c>
      <c r="G531" s="176" t="s">
        <v>524</v>
      </c>
      <c r="H531" s="177">
        <v>1</v>
      </c>
      <c r="I531" s="176">
        <f t="shared" si="6"/>
        <v>36</v>
      </c>
      <c r="J531" s="174">
        <v>3</v>
      </c>
      <c r="K531" s="174">
        <v>25</v>
      </c>
      <c r="L531" s="174">
        <v>67</v>
      </c>
      <c r="M531" s="174" t="s">
        <v>1835</v>
      </c>
    </row>
    <row r="532" spans="1:13">
      <c r="A532" s="151"/>
      <c r="B532" s="174" t="s">
        <v>1840</v>
      </c>
      <c r="C532" s="174" t="s">
        <v>349</v>
      </c>
      <c r="D532" s="174" t="s">
        <v>1633</v>
      </c>
      <c r="E532" s="174" t="s">
        <v>1755</v>
      </c>
      <c r="F532" s="175" t="s">
        <v>1841</v>
      </c>
      <c r="G532" s="176" t="s">
        <v>524</v>
      </c>
      <c r="H532" s="177">
        <v>1</v>
      </c>
      <c r="I532" s="176">
        <f t="shared" si="6"/>
        <v>36</v>
      </c>
      <c r="J532" s="174">
        <v>3</v>
      </c>
      <c r="K532" s="174">
        <v>25</v>
      </c>
      <c r="L532" s="174">
        <v>66</v>
      </c>
      <c r="M532" s="174" t="s">
        <v>1840</v>
      </c>
    </row>
    <row r="533" spans="1:13">
      <c r="A533" s="151"/>
      <c r="B533" s="174" t="s">
        <v>1842</v>
      </c>
      <c r="C533" s="174" t="s">
        <v>349</v>
      </c>
      <c r="D533" s="174" t="s">
        <v>1633</v>
      </c>
      <c r="E533" s="174" t="s">
        <v>1755</v>
      </c>
      <c r="F533" s="175" t="s">
        <v>1843</v>
      </c>
      <c r="G533" s="176" t="s">
        <v>524</v>
      </c>
      <c r="H533" s="177">
        <v>1</v>
      </c>
      <c r="I533" s="176">
        <f t="shared" si="6"/>
        <v>36</v>
      </c>
      <c r="J533" s="174">
        <v>3</v>
      </c>
      <c r="K533" s="174">
        <v>25</v>
      </c>
      <c r="L533" s="174">
        <v>72</v>
      </c>
      <c r="M533" s="174" t="s">
        <v>1842</v>
      </c>
    </row>
    <row r="534" spans="1:13">
      <c r="A534" s="151"/>
      <c r="B534" s="174" t="s">
        <v>1844</v>
      </c>
      <c r="C534" s="174" t="s">
        <v>349</v>
      </c>
      <c r="D534" s="174" t="s">
        <v>1633</v>
      </c>
      <c r="E534" s="174" t="s">
        <v>1755</v>
      </c>
      <c r="F534" s="175" t="s">
        <v>1845</v>
      </c>
      <c r="G534" s="176" t="s">
        <v>524</v>
      </c>
      <c r="H534" s="177">
        <v>1</v>
      </c>
      <c r="I534" s="176">
        <f t="shared" si="6"/>
        <v>36</v>
      </c>
      <c r="J534" s="174">
        <v>3</v>
      </c>
      <c r="K534" s="174">
        <v>25</v>
      </c>
      <c r="L534" s="174">
        <v>62</v>
      </c>
      <c r="M534" s="174" t="s">
        <v>1844</v>
      </c>
    </row>
    <row r="535" spans="1:13" ht="15">
      <c r="A535" s="151"/>
      <c r="B535" s="174" t="s">
        <v>1846</v>
      </c>
      <c r="C535" s="174" t="s">
        <v>349</v>
      </c>
      <c r="D535" s="174" t="s">
        <v>1637</v>
      </c>
      <c r="E535" s="174" t="s">
        <v>1788</v>
      </c>
      <c r="F535" s="175" t="s">
        <v>1847</v>
      </c>
      <c r="G535" s="176" t="s">
        <v>1192</v>
      </c>
      <c r="H535" s="184">
        <v>1</v>
      </c>
      <c r="I535" s="176">
        <f t="shared" si="6"/>
        <v>36</v>
      </c>
      <c r="J535" s="174">
        <v>3</v>
      </c>
      <c r="K535" s="174">
        <v>30</v>
      </c>
      <c r="L535" s="174">
        <v>120</v>
      </c>
      <c r="M535" s="183" t="s">
        <v>1835</v>
      </c>
    </row>
    <row r="536" spans="1:13" ht="15">
      <c r="A536" s="151"/>
      <c r="B536" s="174" t="s">
        <v>1848</v>
      </c>
      <c r="C536" s="174" t="s">
        <v>349</v>
      </c>
      <c r="D536" s="174" t="s">
        <v>1637</v>
      </c>
      <c r="E536" s="174" t="s">
        <v>1788</v>
      </c>
      <c r="F536" s="175" t="s">
        <v>1849</v>
      </c>
      <c r="G536" s="176" t="s">
        <v>557</v>
      </c>
      <c r="H536" s="176">
        <v>1</v>
      </c>
      <c r="I536" s="176">
        <f t="shared" si="6"/>
        <v>36</v>
      </c>
      <c r="J536" s="174">
        <v>3</v>
      </c>
      <c r="K536" s="174">
        <v>30</v>
      </c>
      <c r="L536" s="174">
        <v>127</v>
      </c>
      <c r="M536" s="183" t="s">
        <v>1835</v>
      </c>
    </row>
    <row r="537" spans="1:13" ht="15">
      <c r="A537" s="151"/>
      <c r="B537" s="174" t="s">
        <v>1850</v>
      </c>
      <c r="C537" s="174" t="s">
        <v>349</v>
      </c>
      <c r="D537" s="174" t="s">
        <v>1637</v>
      </c>
      <c r="E537" s="174" t="s">
        <v>1739</v>
      </c>
      <c r="F537" s="175" t="s">
        <v>1851</v>
      </c>
      <c r="G537" s="176" t="s">
        <v>1192</v>
      </c>
      <c r="H537" s="184">
        <v>1</v>
      </c>
      <c r="I537" s="176">
        <f t="shared" si="6"/>
        <v>36</v>
      </c>
      <c r="J537" s="174">
        <v>4</v>
      </c>
      <c r="K537" s="174">
        <v>25</v>
      </c>
      <c r="L537" s="174">
        <v>132</v>
      </c>
      <c r="M537" s="183" t="s">
        <v>1852</v>
      </c>
    </row>
    <row r="538" spans="1:13" ht="15">
      <c r="A538" s="151"/>
      <c r="B538" s="174" t="s">
        <v>1853</v>
      </c>
      <c r="C538" s="174" t="s">
        <v>349</v>
      </c>
      <c r="D538" s="174" t="s">
        <v>1637</v>
      </c>
      <c r="E538" s="174" t="s">
        <v>1739</v>
      </c>
      <c r="F538" s="175" t="s">
        <v>1851</v>
      </c>
      <c r="G538" s="176" t="s">
        <v>524</v>
      </c>
      <c r="H538" s="176">
        <v>1</v>
      </c>
      <c r="I538" s="176">
        <f t="shared" si="6"/>
        <v>36</v>
      </c>
      <c r="J538" s="174">
        <v>4</v>
      </c>
      <c r="K538" s="174">
        <v>25</v>
      </c>
      <c r="L538" s="174">
        <v>100</v>
      </c>
      <c r="M538" s="183" t="s">
        <v>1852</v>
      </c>
    </row>
    <row r="539" spans="1:13">
      <c r="A539" s="151"/>
      <c r="B539" s="174" t="s">
        <v>1852</v>
      </c>
      <c r="C539" s="174" t="s">
        <v>349</v>
      </c>
      <c r="D539" s="174" t="s">
        <v>1633</v>
      </c>
      <c r="E539" s="174" t="s">
        <v>1755</v>
      </c>
      <c r="F539" s="175" t="s">
        <v>1854</v>
      </c>
      <c r="G539" s="176" t="s">
        <v>524</v>
      </c>
      <c r="H539" s="177">
        <v>1</v>
      </c>
      <c r="I539" s="176">
        <f t="shared" si="6"/>
        <v>36</v>
      </c>
      <c r="J539" s="174">
        <v>4</v>
      </c>
      <c r="K539" s="174">
        <v>25</v>
      </c>
      <c r="L539" s="174">
        <v>87</v>
      </c>
      <c r="M539" s="174" t="s">
        <v>1852</v>
      </c>
    </row>
    <row r="540" spans="1:13">
      <c r="A540" s="151"/>
      <c r="B540" s="174" t="s">
        <v>1855</v>
      </c>
      <c r="C540" s="174" t="s">
        <v>349</v>
      </c>
      <c r="D540" s="174" t="s">
        <v>1633</v>
      </c>
      <c r="E540" s="174" t="s">
        <v>1755</v>
      </c>
      <c r="F540" s="175" t="s">
        <v>1856</v>
      </c>
      <c r="G540" s="176" t="s">
        <v>524</v>
      </c>
      <c r="H540" s="177">
        <v>1</v>
      </c>
      <c r="I540" s="176">
        <f t="shared" si="6"/>
        <v>36</v>
      </c>
      <c r="J540" s="174">
        <v>4</v>
      </c>
      <c r="K540" s="174">
        <v>25</v>
      </c>
      <c r="L540" s="174">
        <v>86</v>
      </c>
      <c r="M540" s="174" t="s">
        <v>1855</v>
      </c>
    </row>
    <row r="541" spans="1:13">
      <c r="A541" s="151"/>
      <c r="B541" s="174" t="s">
        <v>1857</v>
      </c>
      <c r="C541" s="174" t="s">
        <v>349</v>
      </c>
      <c r="D541" s="174" t="s">
        <v>1633</v>
      </c>
      <c r="E541" s="174" t="s">
        <v>1755</v>
      </c>
      <c r="F541" s="175" t="s">
        <v>1858</v>
      </c>
      <c r="G541" s="176" t="s">
        <v>524</v>
      </c>
      <c r="H541" s="177">
        <v>1</v>
      </c>
      <c r="I541" s="176">
        <f t="shared" si="6"/>
        <v>36</v>
      </c>
      <c r="J541" s="174">
        <v>4</v>
      </c>
      <c r="K541" s="174">
        <v>25</v>
      </c>
      <c r="L541" s="174">
        <v>89</v>
      </c>
      <c r="M541" s="174" t="s">
        <v>1857</v>
      </c>
    </row>
    <row r="542" spans="1:13">
      <c r="A542" s="151"/>
      <c r="B542" s="174" t="s">
        <v>1859</v>
      </c>
      <c r="C542" s="174" t="s">
        <v>349</v>
      </c>
      <c r="D542" s="174" t="s">
        <v>1633</v>
      </c>
      <c r="E542" s="174" t="s">
        <v>1755</v>
      </c>
      <c r="F542" s="175" t="s">
        <v>1860</v>
      </c>
      <c r="G542" s="176" t="s">
        <v>524</v>
      </c>
      <c r="H542" s="177">
        <v>1</v>
      </c>
      <c r="I542" s="176">
        <f t="shared" si="6"/>
        <v>36</v>
      </c>
      <c r="J542" s="174">
        <v>4</v>
      </c>
      <c r="K542" s="174">
        <v>25</v>
      </c>
      <c r="L542" s="174">
        <v>84</v>
      </c>
      <c r="M542" s="174" t="s">
        <v>1859</v>
      </c>
    </row>
    <row r="543" spans="1:13" ht="15">
      <c r="A543" s="151"/>
      <c r="B543" s="174" t="s">
        <v>1861</v>
      </c>
      <c r="C543" s="174" t="s">
        <v>349</v>
      </c>
      <c r="D543" s="174" t="s">
        <v>1637</v>
      </c>
      <c r="E543" s="174" t="s">
        <v>1788</v>
      </c>
      <c r="F543" s="175" t="s">
        <v>1862</v>
      </c>
      <c r="G543" s="176" t="s">
        <v>1192</v>
      </c>
      <c r="H543" s="184">
        <v>1</v>
      </c>
      <c r="I543" s="176">
        <f t="shared" si="6"/>
        <v>36</v>
      </c>
      <c r="J543" s="174">
        <v>4</v>
      </c>
      <c r="K543" s="174">
        <v>30</v>
      </c>
      <c r="L543" s="174">
        <v>148</v>
      </c>
      <c r="M543" s="183" t="s">
        <v>1852</v>
      </c>
    </row>
    <row r="544" spans="1:13" ht="15">
      <c r="A544" s="151"/>
      <c r="B544" s="174" t="s">
        <v>1863</v>
      </c>
      <c r="C544" s="174" t="s">
        <v>349</v>
      </c>
      <c r="D544" s="174" t="s">
        <v>1637</v>
      </c>
      <c r="E544" s="174" t="s">
        <v>1788</v>
      </c>
      <c r="F544" s="175" t="s">
        <v>1862</v>
      </c>
      <c r="G544" s="176" t="s">
        <v>524</v>
      </c>
      <c r="H544" s="176">
        <v>1</v>
      </c>
      <c r="I544" s="176">
        <f t="shared" si="6"/>
        <v>36</v>
      </c>
      <c r="J544" s="174">
        <v>4</v>
      </c>
      <c r="K544" s="174">
        <v>30</v>
      </c>
      <c r="L544" s="174">
        <v>116</v>
      </c>
      <c r="M544" s="183" t="s">
        <v>1852</v>
      </c>
    </row>
    <row r="545" spans="1:13" ht="15">
      <c r="A545" s="151"/>
      <c r="B545" s="174" t="s">
        <v>1864</v>
      </c>
      <c r="C545" s="174" t="s">
        <v>349</v>
      </c>
      <c r="D545" s="174" t="s">
        <v>1637</v>
      </c>
      <c r="E545" s="174" t="s">
        <v>1788</v>
      </c>
      <c r="F545" s="175" t="s">
        <v>1862</v>
      </c>
      <c r="G545" s="176" t="s">
        <v>557</v>
      </c>
      <c r="H545" s="184">
        <v>1</v>
      </c>
      <c r="I545" s="176">
        <f t="shared" si="6"/>
        <v>36</v>
      </c>
      <c r="J545" s="174">
        <v>4</v>
      </c>
      <c r="K545" s="174">
        <v>30</v>
      </c>
      <c r="L545" s="174">
        <v>162</v>
      </c>
      <c r="M545" s="183" t="s">
        <v>1852</v>
      </c>
    </row>
    <row r="546" spans="1:13" ht="15">
      <c r="A546" s="151"/>
      <c r="B546" s="174" t="s">
        <v>1865</v>
      </c>
      <c r="C546" s="174" t="s">
        <v>349</v>
      </c>
      <c r="D546" s="174" t="s">
        <v>1637</v>
      </c>
      <c r="E546" s="174" t="s">
        <v>1739</v>
      </c>
      <c r="F546" s="175" t="s">
        <v>1866</v>
      </c>
      <c r="G546" s="176" t="s">
        <v>1192</v>
      </c>
      <c r="H546" s="176">
        <v>1</v>
      </c>
      <c r="I546" s="176">
        <f t="shared" si="6"/>
        <v>36</v>
      </c>
      <c r="J546" s="174">
        <v>6</v>
      </c>
      <c r="K546" s="174">
        <v>25</v>
      </c>
      <c r="L546" s="174">
        <v>198</v>
      </c>
      <c r="M546" s="183" t="s">
        <v>1867</v>
      </c>
    </row>
    <row r="547" spans="1:13">
      <c r="A547" s="151"/>
      <c r="B547" s="174" t="s">
        <v>1868</v>
      </c>
      <c r="C547" s="174" t="s">
        <v>349</v>
      </c>
      <c r="D547" s="174" t="s">
        <v>1633</v>
      </c>
      <c r="E547" s="174" t="s">
        <v>1755</v>
      </c>
      <c r="F547" s="175" t="s">
        <v>1869</v>
      </c>
      <c r="G547" s="176" t="s">
        <v>524</v>
      </c>
      <c r="H547" s="177">
        <v>1</v>
      </c>
      <c r="I547" s="176">
        <f t="shared" si="6"/>
        <v>36</v>
      </c>
      <c r="J547" s="174">
        <v>6</v>
      </c>
      <c r="K547" s="174">
        <v>25</v>
      </c>
      <c r="L547" s="174">
        <v>134</v>
      </c>
      <c r="M547" s="174" t="s">
        <v>1868</v>
      </c>
    </row>
    <row r="548" spans="1:13" ht="15">
      <c r="A548" s="151"/>
      <c r="B548" s="174" t="s">
        <v>1870</v>
      </c>
      <c r="C548" s="174" t="s">
        <v>349</v>
      </c>
      <c r="D548" s="174" t="s">
        <v>1637</v>
      </c>
      <c r="E548" s="174" t="s">
        <v>1788</v>
      </c>
      <c r="F548" s="175" t="s">
        <v>1871</v>
      </c>
      <c r="G548" s="176" t="s">
        <v>1192</v>
      </c>
      <c r="H548" s="184">
        <v>1</v>
      </c>
      <c r="I548" s="176">
        <f t="shared" si="6"/>
        <v>36</v>
      </c>
      <c r="J548" s="174">
        <v>6</v>
      </c>
      <c r="K548" s="174">
        <v>30</v>
      </c>
      <c r="L548" s="174">
        <v>238</v>
      </c>
      <c r="M548" s="183" t="s">
        <v>1867</v>
      </c>
    </row>
    <row r="549" spans="1:13">
      <c r="A549" s="151"/>
      <c r="B549" s="182" t="s">
        <v>1872</v>
      </c>
      <c r="C549" s="174" t="s">
        <v>349</v>
      </c>
      <c r="D549" s="174" t="s">
        <v>1633</v>
      </c>
      <c r="E549" s="182" t="s">
        <v>1873</v>
      </c>
      <c r="F549" s="181" t="s">
        <v>1874</v>
      </c>
      <c r="G549" s="184" t="s">
        <v>524</v>
      </c>
      <c r="H549" s="176">
        <v>1</v>
      </c>
      <c r="I549" s="176">
        <f t="shared" si="6"/>
        <v>48</v>
      </c>
      <c r="J549" s="182">
        <v>10</v>
      </c>
      <c r="K549" s="182">
        <v>54</v>
      </c>
      <c r="L549" s="182">
        <v>588</v>
      </c>
      <c r="M549" s="182" t="s">
        <v>1872</v>
      </c>
    </row>
    <row r="550" spans="1:13">
      <c r="A550" s="151"/>
      <c r="B550" s="182" t="s">
        <v>1875</v>
      </c>
      <c r="C550" s="174" t="s">
        <v>349</v>
      </c>
      <c r="D550" s="174" t="s">
        <v>1633</v>
      </c>
      <c r="E550" s="182" t="s">
        <v>1873</v>
      </c>
      <c r="F550" s="181" t="s">
        <v>1876</v>
      </c>
      <c r="G550" s="184" t="s">
        <v>524</v>
      </c>
      <c r="H550" s="184">
        <v>1</v>
      </c>
      <c r="I550" s="176">
        <f t="shared" si="6"/>
        <v>48</v>
      </c>
      <c r="J550" s="182">
        <v>12</v>
      </c>
      <c r="K550" s="182">
        <v>54</v>
      </c>
      <c r="L550" s="182">
        <v>702</v>
      </c>
      <c r="M550" s="182" t="s">
        <v>1875</v>
      </c>
    </row>
    <row r="551" spans="1:13" ht="15">
      <c r="A551" s="151"/>
      <c r="B551" s="174" t="s">
        <v>1877</v>
      </c>
      <c r="C551" s="174" t="s">
        <v>349</v>
      </c>
      <c r="D551" s="174" t="s">
        <v>1637</v>
      </c>
      <c r="E551" s="174" t="s">
        <v>1878</v>
      </c>
      <c r="F551" s="175" t="s">
        <v>1879</v>
      </c>
      <c r="G551" s="176" t="s">
        <v>1192</v>
      </c>
      <c r="H551" s="176">
        <v>1</v>
      </c>
      <c r="I551" s="176">
        <f t="shared" si="6"/>
        <v>48</v>
      </c>
      <c r="J551" s="174">
        <v>1</v>
      </c>
      <c r="K551" s="174">
        <v>34</v>
      </c>
      <c r="L551" s="174">
        <v>43</v>
      </c>
      <c r="M551" s="183" t="s">
        <v>1880</v>
      </c>
    </row>
    <row r="552" spans="1:13" ht="15">
      <c r="A552" s="151"/>
      <c r="B552" s="174" t="s">
        <v>1881</v>
      </c>
      <c r="C552" s="174" t="s">
        <v>349</v>
      </c>
      <c r="D552" s="174" t="s">
        <v>1637</v>
      </c>
      <c r="E552" s="174" t="s">
        <v>1878</v>
      </c>
      <c r="F552" s="175" t="s">
        <v>1882</v>
      </c>
      <c r="G552" s="176" t="s">
        <v>1192</v>
      </c>
      <c r="H552" s="176">
        <v>2</v>
      </c>
      <c r="I552" s="176">
        <f t="shared" si="6"/>
        <v>48</v>
      </c>
      <c r="J552" s="174">
        <v>1</v>
      </c>
      <c r="K552" s="174">
        <v>34</v>
      </c>
      <c r="L552" s="174">
        <v>43</v>
      </c>
      <c r="M552" s="183" t="s">
        <v>1880</v>
      </c>
    </row>
    <row r="553" spans="1:13" ht="15">
      <c r="A553" s="151"/>
      <c r="B553" s="174" t="s">
        <v>1883</v>
      </c>
      <c r="C553" s="174" t="s">
        <v>349</v>
      </c>
      <c r="D553" s="174" t="s">
        <v>1637</v>
      </c>
      <c r="E553" s="174" t="s">
        <v>1878</v>
      </c>
      <c r="F553" s="175" t="s">
        <v>1884</v>
      </c>
      <c r="G553" s="176" t="s">
        <v>1192</v>
      </c>
      <c r="H553" s="176">
        <v>1</v>
      </c>
      <c r="I553" s="176">
        <f t="shared" si="6"/>
        <v>48</v>
      </c>
      <c r="J553" s="174">
        <v>1</v>
      </c>
      <c r="K553" s="174">
        <v>34</v>
      </c>
      <c r="L553" s="174">
        <v>36</v>
      </c>
      <c r="M553" s="183" t="s">
        <v>1880</v>
      </c>
    </row>
    <row r="554" spans="1:13" ht="15">
      <c r="A554" s="151"/>
      <c r="B554" s="174" t="s">
        <v>1885</v>
      </c>
      <c r="C554" s="174" t="s">
        <v>349</v>
      </c>
      <c r="D554" s="174" t="s">
        <v>1637</v>
      </c>
      <c r="E554" s="174" t="s">
        <v>1886</v>
      </c>
      <c r="F554" s="175" t="s">
        <v>1887</v>
      </c>
      <c r="G554" s="176" t="s">
        <v>557</v>
      </c>
      <c r="H554" s="176">
        <v>1</v>
      </c>
      <c r="I554" s="176">
        <f t="shared" si="6"/>
        <v>48</v>
      </c>
      <c r="J554" s="174">
        <v>1</v>
      </c>
      <c r="K554" s="174">
        <v>55</v>
      </c>
      <c r="L554" s="174">
        <v>80</v>
      </c>
      <c r="M554" s="183" t="s">
        <v>1880</v>
      </c>
    </row>
    <row r="555" spans="1:13" ht="15">
      <c r="A555" s="151"/>
      <c r="B555" s="174" t="s">
        <v>1888</v>
      </c>
      <c r="C555" s="174" t="s">
        <v>349</v>
      </c>
      <c r="D555" s="174" t="s">
        <v>1637</v>
      </c>
      <c r="E555" s="174" t="s">
        <v>1889</v>
      </c>
      <c r="F555" s="175" t="s">
        <v>1890</v>
      </c>
      <c r="G555" s="176" t="s">
        <v>557</v>
      </c>
      <c r="H555" s="176">
        <v>1</v>
      </c>
      <c r="I555" s="176">
        <f t="shared" si="6"/>
        <v>48</v>
      </c>
      <c r="J555" s="174">
        <v>1</v>
      </c>
      <c r="K555" s="174">
        <v>30</v>
      </c>
      <c r="L555" s="174">
        <v>51</v>
      </c>
      <c r="M555" s="183" t="s">
        <v>1880</v>
      </c>
    </row>
    <row r="556" spans="1:13" ht="15">
      <c r="A556" s="151"/>
      <c r="B556" s="174" t="s">
        <v>1891</v>
      </c>
      <c r="C556" s="174" t="s">
        <v>349</v>
      </c>
      <c r="D556" s="174" t="s">
        <v>1637</v>
      </c>
      <c r="E556" s="174" t="s">
        <v>1878</v>
      </c>
      <c r="F556" s="175" t="s">
        <v>1892</v>
      </c>
      <c r="G556" s="176" t="s">
        <v>524</v>
      </c>
      <c r="H556" s="176">
        <v>1</v>
      </c>
      <c r="I556" s="176">
        <f t="shared" si="6"/>
        <v>48</v>
      </c>
      <c r="J556" s="174">
        <v>1</v>
      </c>
      <c r="K556" s="174">
        <v>34</v>
      </c>
      <c r="L556" s="174">
        <v>32</v>
      </c>
      <c r="M556" s="183" t="s">
        <v>1880</v>
      </c>
    </row>
    <row r="557" spans="1:13" ht="15">
      <c r="A557" s="151"/>
      <c r="B557" s="174" t="s">
        <v>1893</v>
      </c>
      <c r="C557" s="174" t="s">
        <v>349</v>
      </c>
      <c r="D557" s="174" t="s">
        <v>1637</v>
      </c>
      <c r="E557" s="174" t="s">
        <v>1878</v>
      </c>
      <c r="F557" s="175" t="s">
        <v>1894</v>
      </c>
      <c r="G557" s="176" t="s">
        <v>524</v>
      </c>
      <c r="H557" s="176">
        <v>1</v>
      </c>
      <c r="I557" s="176">
        <f t="shared" si="6"/>
        <v>48</v>
      </c>
      <c r="J557" s="174">
        <v>1</v>
      </c>
      <c r="K557" s="174">
        <v>34</v>
      </c>
      <c r="L557" s="174">
        <v>32</v>
      </c>
      <c r="M557" s="183" t="s">
        <v>1880</v>
      </c>
    </row>
    <row r="558" spans="1:13" ht="15">
      <c r="A558" s="151"/>
      <c r="B558" s="174" t="s">
        <v>1895</v>
      </c>
      <c r="C558" s="174" t="s">
        <v>349</v>
      </c>
      <c r="D558" s="174" t="s">
        <v>1637</v>
      </c>
      <c r="E558" s="174" t="s">
        <v>1878</v>
      </c>
      <c r="F558" s="175" t="s">
        <v>1879</v>
      </c>
      <c r="G558" s="176" t="s">
        <v>557</v>
      </c>
      <c r="H558" s="176">
        <v>1</v>
      </c>
      <c r="I558" s="176">
        <f t="shared" ref="I558:I621" si="7">MID(B558,2,1)*12</f>
        <v>48</v>
      </c>
      <c r="J558" s="174">
        <v>1</v>
      </c>
      <c r="K558" s="174">
        <v>34</v>
      </c>
      <c r="L558" s="174">
        <v>50</v>
      </c>
      <c r="M558" s="183" t="s">
        <v>1880</v>
      </c>
    </row>
    <row r="559" spans="1:13" ht="15">
      <c r="A559" s="151"/>
      <c r="B559" s="174" t="s">
        <v>1896</v>
      </c>
      <c r="C559" s="174" t="s">
        <v>349</v>
      </c>
      <c r="D559" s="174" t="s">
        <v>1637</v>
      </c>
      <c r="E559" s="174" t="s">
        <v>1897</v>
      </c>
      <c r="F559" s="175" t="s">
        <v>1898</v>
      </c>
      <c r="G559" s="176" t="s">
        <v>557</v>
      </c>
      <c r="H559" s="176">
        <v>1</v>
      </c>
      <c r="I559" s="176">
        <f t="shared" si="7"/>
        <v>48</v>
      </c>
      <c r="J559" s="174">
        <v>1</v>
      </c>
      <c r="K559" s="174"/>
      <c r="L559" s="174">
        <v>123</v>
      </c>
      <c r="M559" s="183" t="s">
        <v>1880</v>
      </c>
    </row>
    <row r="560" spans="1:13">
      <c r="A560" s="151"/>
      <c r="B560" s="174" t="s">
        <v>1899</v>
      </c>
      <c r="C560" s="174" t="s">
        <v>349</v>
      </c>
      <c r="D560" s="174" t="s">
        <v>1645</v>
      </c>
      <c r="E560" s="174" t="s">
        <v>1873</v>
      </c>
      <c r="F560" s="175" t="s">
        <v>1900</v>
      </c>
      <c r="G560" s="176" t="s">
        <v>524</v>
      </c>
      <c r="H560" s="176">
        <v>1</v>
      </c>
      <c r="I560" s="176">
        <f t="shared" si="7"/>
        <v>48</v>
      </c>
      <c r="J560" s="174">
        <v>1</v>
      </c>
      <c r="K560" s="174">
        <v>54</v>
      </c>
      <c r="L560" s="174">
        <v>59</v>
      </c>
      <c r="M560" s="174" t="s">
        <v>1899</v>
      </c>
    </row>
    <row r="561" spans="1:13">
      <c r="A561" s="151"/>
      <c r="B561" s="182" t="s">
        <v>1901</v>
      </c>
      <c r="C561" s="174" t="s">
        <v>349</v>
      </c>
      <c r="D561" s="174" t="s">
        <v>1645</v>
      </c>
      <c r="E561" s="182" t="s">
        <v>1902</v>
      </c>
      <c r="F561" s="181" t="s">
        <v>1903</v>
      </c>
      <c r="G561" s="184" t="s">
        <v>524</v>
      </c>
      <c r="H561" s="176">
        <v>1</v>
      </c>
      <c r="I561" s="176">
        <f t="shared" si="7"/>
        <v>48</v>
      </c>
      <c r="J561" s="182">
        <v>1</v>
      </c>
      <c r="K561" s="182">
        <v>54</v>
      </c>
      <c r="L561" s="182">
        <v>62</v>
      </c>
      <c r="M561" s="182" t="s">
        <v>1901</v>
      </c>
    </row>
    <row r="562" spans="1:13">
      <c r="A562" s="151"/>
      <c r="B562" s="174" t="s">
        <v>1904</v>
      </c>
      <c r="C562" s="174" t="s">
        <v>349</v>
      </c>
      <c r="D562" s="174" t="s">
        <v>1645</v>
      </c>
      <c r="E562" s="174" t="s">
        <v>1905</v>
      </c>
      <c r="F562" s="175" t="s">
        <v>1906</v>
      </c>
      <c r="G562" s="176" t="s">
        <v>524</v>
      </c>
      <c r="H562" s="184">
        <v>1</v>
      </c>
      <c r="I562" s="176">
        <f t="shared" si="7"/>
        <v>48</v>
      </c>
      <c r="J562" s="174">
        <v>1</v>
      </c>
      <c r="K562" s="174">
        <v>28</v>
      </c>
      <c r="L562" s="174">
        <v>32</v>
      </c>
      <c r="M562" s="174" t="s">
        <v>1904</v>
      </c>
    </row>
    <row r="563" spans="1:13" ht="15">
      <c r="A563" s="151"/>
      <c r="B563" s="174" t="s">
        <v>1907</v>
      </c>
      <c r="C563" s="174" t="s">
        <v>349</v>
      </c>
      <c r="D563" s="174" t="s">
        <v>1637</v>
      </c>
      <c r="E563" s="174" t="s">
        <v>1908</v>
      </c>
      <c r="F563" s="175" t="s">
        <v>1909</v>
      </c>
      <c r="G563" s="174" t="s">
        <v>524</v>
      </c>
      <c r="H563" s="176">
        <v>1</v>
      </c>
      <c r="I563" s="176">
        <f t="shared" si="7"/>
        <v>48</v>
      </c>
      <c r="J563" s="174">
        <v>1</v>
      </c>
      <c r="K563" s="174">
        <v>25</v>
      </c>
      <c r="L563" s="185">
        <v>25</v>
      </c>
      <c r="M563" s="183" t="s">
        <v>1880</v>
      </c>
    </row>
    <row r="564" spans="1:13" ht="15">
      <c r="A564" s="151"/>
      <c r="B564" s="174" t="s">
        <v>1910</v>
      </c>
      <c r="C564" s="174" t="s">
        <v>349</v>
      </c>
      <c r="D564" s="174" t="s">
        <v>1637</v>
      </c>
      <c r="E564" s="174" t="s">
        <v>1908</v>
      </c>
      <c r="F564" s="175" t="s">
        <v>1911</v>
      </c>
      <c r="G564" s="174" t="s">
        <v>524</v>
      </c>
      <c r="H564" s="176">
        <v>1</v>
      </c>
      <c r="I564" s="176">
        <f t="shared" si="7"/>
        <v>48</v>
      </c>
      <c r="J564" s="174">
        <v>1</v>
      </c>
      <c r="K564" s="174">
        <v>25</v>
      </c>
      <c r="L564" s="185">
        <v>19</v>
      </c>
      <c r="M564" s="183" t="s">
        <v>1880</v>
      </c>
    </row>
    <row r="565" spans="1:13" ht="15">
      <c r="A565" s="151"/>
      <c r="B565" s="174" t="s">
        <v>1912</v>
      </c>
      <c r="C565" s="174" t="s">
        <v>349</v>
      </c>
      <c r="D565" s="174" t="s">
        <v>1637</v>
      </c>
      <c r="E565" s="174" t="s">
        <v>1908</v>
      </c>
      <c r="F565" s="175" t="s">
        <v>1913</v>
      </c>
      <c r="G565" s="174" t="s">
        <v>524</v>
      </c>
      <c r="H565" s="176">
        <v>1</v>
      </c>
      <c r="I565" s="176">
        <f t="shared" si="7"/>
        <v>48</v>
      </c>
      <c r="J565" s="174">
        <v>1</v>
      </c>
      <c r="K565" s="174">
        <v>25</v>
      </c>
      <c r="L565" s="185">
        <v>20</v>
      </c>
      <c r="M565" s="183" t="s">
        <v>1880</v>
      </c>
    </row>
    <row r="566" spans="1:13">
      <c r="A566" s="151"/>
      <c r="B566" s="174" t="s">
        <v>1880</v>
      </c>
      <c r="C566" s="174" t="s">
        <v>349</v>
      </c>
      <c r="D566" s="174" t="s">
        <v>1633</v>
      </c>
      <c r="E566" s="174" t="s">
        <v>1914</v>
      </c>
      <c r="F566" s="175" t="s">
        <v>1915</v>
      </c>
      <c r="G566" s="176" t="s">
        <v>524</v>
      </c>
      <c r="H566" s="177">
        <v>1</v>
      </c>
      <c r="I566" s="176">
        <f t="shared" si="7"/>
        <v>48</v>
      </c>
      <c r="J566" s="174">
        <v>1</v>
      </c>
      <c r="K566" s="174">
        <v>32</v>
      </c>
      <c r="L566" s="174">
        <v>31</v>
      </c>
      <c r="M566" s="174" t="s">
        <v>1880</v>
      </c>
    </row>
    <row r="567" spans="1:13">
      <c r="A567" s="151"/>
      <c r="B567" s="174" t="s">
        <v>1916</v>
      </c>
      <c r="C567" s="174" t="s">
        <v>349</v>
      </c>
      <c r="D567" s="174" t="s">
        <v>1633</v>
      </c>
      <c r="E567" s="174" t="s">
        <v>1914</v>
      </c>
      <c r="F567" s="175" t="s">
        <v>1917</v>
      </c>
      <c r="G567" s="176" t="s">
        <v>524</v>
      </c>
      <c r="H567" s="177">
        <v>1</v>
      </c>
      <c r="I567" s="176">
        <f t="shared" si="7"/>
        <v>48</v>
      </c>
      <c r="J567" s="174">
        <v>1</v>
      </c>
      <c r="K567" s="174">
        <v>32</v>
      </c>
      <c r="L567" s="174">
        <v>30</v>
      </c>
      <c r="M567" s="174" t="s">
        <v>1916</v>
      </c>
    </row>
    <row r="568" spans="1:13">
      <c r="A568" s="151"/>
      <c r="B568" s="174" t="s">
        <v>1918</v>
      </c>
      <c r="C568" s="174" t="s">
        <v>349</v>
      </c>
      <c r="D568" s="174" t="s">
        <v>1633</v>
      </c>
      <c r="E568" s="174" t="s">
        <v>1914</v>
      </c>
      <c r="F568" s="175" t="s">
        <v>1919</v>
      </c>
      <c r="G568" s="176" t="s">
        <v>524</v>
      </c>
      <c r="H568" s="177">
        <v>1</v>
      </c>
      <c r="I568" s="176">
        <f t="shared" si="7"/>
        <v>48</v>
      </c>
      <c r="J568" s="174">
        <v>1</v>
      </c>
      <c r="K568" s="174">
        <v>32</v>
      </c>
      <c r="L568" s="174">
        <v>33</v>
      </c>
      <c r="M568" s="174" t="s">
        <v>1918</v>
      </c>
    </row>
    <row r="569" spans="1:13">
      <c r="A569" s="151"/>
      <c r="B569" s="174" t="s">
        <v>1920</v>
      </c>
      <c r="C569" s="174" t="s">
        <v>349</v>
      </c>
      <c r="D569" s="174" t="s">
        <v>1633</v>
      </c>
      <c r="E569" s="174" t="s">
        <v>1914</v>
      </c>
      <c r="F569" s="175" t="s">
        <v>1921</v>
      </c>
      <c r="G569" s="176" t="s">
        <v>524</v>
      </c>
      <c r="H569" s="177">
        <v>1</v>
      </c>
      <c r="I569" s="176">
        <f t="shared" si="7"/>
        <v>48</v>
      </c>
      <c r="J569" s="174">
        <v>1</v>
      </c>
      <c r="K569" s="174">
        <v>32</v>
      </c>
      <c r="L569" s="174">
        <v>26</v>
      </c>
      <c r="M569" s="174" t="s">
        <v>1920</v>
      </c>
    </row>
    <row r="570" spans="1:13">
      <c r="A570" s="151"/>
      <c r="B570" s="174" t="s">
        <v>1922</v>
      </c>
      <c r="C570" s="174" t="s">
        <v>349</v>
      </c>
      <c r="D570" s="174" t="s">
        <v>1633</v>
      </c>
      <c r="E570" s="174" t="s">
        <v>1914</v>
      </c>
      <c r="F570" s="175" t="s">
        <v>1923</v>
      </c>
      <c r="G570" s="176" t="s">
        <v>524</v>
      </c>
      <c r="H570" s="177">
        <v>1</v>
      </c>
      <c r="I570" s="176">
        <f t="shared" si="7"/>
        <v>48</v>
      </c>
      <c r="J570" s="174">
        <v>1</v>
      </c>
      <c r="K570" s="174">
        <v>32</v>
      </c>
      <c r="L570" s="174">
        <v>30</v>
      </c>
      <c r="M570" s="174" t="s">
        <v>1922</v>
      </c>
    </row>
    <row r="571" spans="1:13">
      <c r="A571" s="151"/>
      <c r="B571" s="174" t="s">
        <v>1924</v>
      </c>
      <c r="C571" s="174" t="s">
        <v>349</v>
      </c>
      <c r="D571" s="174" t="s">
        <v>1633</v>
      </c>
      <c r="E571" s="174" t="s">
        <v>1914</v>
      </c>
      <c r="F571" s="175" t="s">
        <v>1925</v>
      </c>
      <c r="G571" s="176" t="s">
        <v>524</v>
      </c>
      <c r="H571" s="177">
        <v>1</v>
      </c>
      <c r="I571" s="176">
        <f t="shared" si="7"/>
        <v>48</v>
      </c>
      <c r="J571" s="174">
        <v>1</v>
      </c>
      <c r="K571" s="174">
        <v>32</v>
      </c>
      <c r="L571" s="174">
        <v>31</v>
      </c>
      <c r="M571" s="174" t="s">
        <v>1924</v>
      </c>
    </row>
    <row r="572" spans="1:13">
      <c r="A572" s="151"/>
      <c r="B572" s="174" t="s">
        <v>1926</v>
      </c>
      <c r="C572" s="174" t="s">
        <v>349</v>
      </c>
      <c r="D572" s="174" t="s">
        <v>1633</v>
      </c>
      <c r="E572" s="174" t="s">
        <v>1914</v>
      </c>
      <c r="F572" s="175" t="s">
        <v>1927</v>
      </c>
      <c r="G572" s="176" t="s">
        <v>524</v>
      </c>
      <c r="H572" s="177">
        <v>1</v>
      </c>
      <c r="I572" s="176">
        <f t="shared" si="7"/>
        <v>48</v>
      </c>
      <c r="J572" s="174">
        <v>1</v>
      </c>
      <c r="K572" s="174">
        <v>32</v>
      </c>
      <c r="L572" s="174">
        <v>26</v>
      </c>
      <c r="M572" s="174" t="s">
        <v>1926</v>
      </c>
    </row>
    <row r="573" spans="1:13">
      <c r="A573" s="151"/>
      <c r="B573" s="174" t="s">
        <v>1928</v>
      </c>
      <c r="C573" s="174" t="s">
        <v>349</v>
      </c>
      <c r="D573" s="174" t="s">
        <v>1633</v>
      </c>
      <c r="E573" s="174" t="s">
        <v>1914</v>
      </c>
      <c r="F573" s="175" t="s">
        <v>1929</v>
      </c>
      <c r="G573" s="176" t="s">
        <v>524</v>
      </c>
      <c r="H573" s="177">
        <v>1</v>
      </c>
      <c r="I573" s="176">
        <f t="shared" si="7"/>
        <v>48</v>
      </c>
      <c r="J573" s="174">
        <v>1</v>
      </c>
      <c r="K573" s="174">
        <v>32</v>
      </c>
      <c r="L573" s="174">
        <v>28</v>
      </c>
      <c r="M573" s="174" t="s">
        <v>1928</v>
      </c>
    </row>
    <row r="574" spans="1:13">
      <c r="A574" s="151"/>
      <c r="B574" s="174" t="s">
        <v>1930</v>
      </c>
      <c r="C574" s="174" t="s">
        <v>349</v>
      </c>
      <c r="D574" s="174" t="s">
        <v>1633</v>
      </c>
      <c r="E574" s="174" t="s">
        <v>1914</v>
      </c>
      <c r="F574" s="175" t="s">
        <v>1931</v>
      </c>
      <c r="G574" s="176" t="s">
        <v>524</v>
      </c>
      <c r="H574" s="177">
        <v>1</v>
      </c>
      <c r="I574" s="176">
        <f t="shared" si="7"/>
        <v>48</v>
      </c>
      <c r="J574" s="174">
        <v>1</v>
      </c>
      <c r="K574" s="174">
        <v>32</v>
      </c>
      <c r="L574" s="174">
        <v>26</v>
      </c>
      <c r="M574" s="174" t="s">
        <v>1930</v>
      </c>
    </row>
    <row r="575" spans="1:13">
      <c r="A575" s="151"/>
      <c r="B575" s="174" t="s">
        <v>1932</v>
      </c>
      <c r="C575" s="174" t="s">
        <v>349</v>
      </c>
      <c r="D575" s="174" t="s">
        <v>1633</v>
      </c>
      <c r="E575" s="174" t="s">
        <v>1914</v>
      </c>
      <c r="F575" s="175" t="s">
        <v>1933</v>
      </c>
      <c r="G575" s="176" t="s">
        <v>524</v>
      </c>
      <c r="H575" s="177">
        <v>1</v>
      </c>
      <c r="I575" s="176">
        <f t="shared" si="7"/>
        <v>48</v>
      </c>
      <c r="J575" s="174">
        <v>1</v>
      </c>
      <c r="K575" s="174">
        <v>32</v>
      </c>
      <c r="L575" s="174">
        <v>36</v>
      </c>
      <c r="M575" s="174" t="s">
        <v>1932</v>
      </c>
    </row>
    <row r="576" spans="1:13">
      <c r="A576" s="151"/>
      <c r="B576" s="174" t="s">
        <v>1934</v>
      </c>
      <c r="C576" s="174" t="s">
        <v>349</v>
      </c>
      <c r="D576" s="174" t="s">
        <v>1633</v>
      </c>
      <c r="E576" s="174" t="s">
        <v>1914</v>
      </c>
      <c r="F576" s="175" t="s">
        <v>1935</v>
      </c>
      <c r="G576" s="176" t="s">
        <v>1192</v>
      </c>
      <c r="H576" s="177">
        <v>1</v>
      </c>
      <c r="I576" s="176">
        <f t="shared" si="7"/>
        <v>48</v>
      </c>
      <c r="J576" s="174">
        <v>1</v>
      </c>
      <c r="K576" s="174">
        <v>32</v>
      </c>
      <c r="L576" s="174">
        <v>35</v>
      </c>
      <c r="M576" s="174" t="s">
        <v>1934</v>
      </c>
    </row>
    <row r="577" spans="1:13">
      <c r="A577" s="151"/>
      <c r="B577" s="174" t="s">
        <v>1936</v>
      </c>
      <c r="C577" s="174" t="s">
        <v>349</v>
      </c>
      <c r="D577" s="174" t="s">
        <v>1633</v>
      </c>
      <c r="E577" s="174" t="s">
        <v>1914</v>
      </c>
      <c r="F577" s="175" t="s">
        <v>1937</v>
      </c>
      <c r="G577" s="176" t="s">
        <v>524</v>
      </c>
      <c r="H577" s="177">
        <v>1</v>
      </c>
      <c r="I577" s="176">
        <f t="shared" si="7"/>
        <v>48</v>
      </c>
      <c r="J577" s="174">
        <v>1</v>
      </c>
      <c r="K577" s="174">
        <v>32</v>
      </c>
      <c r="L577" s="174">
        <v>32</v>
      </c>
      <c r="M577" s="174" t="s">
        <v>1936</v>
      </c>
    </row>
    <row r="578" spans="1:13">
      <c r="A578" s="151"/>
      <c r="B578" s="174" t="s">
        <v>1938</v>
      </c>
      <c r="C578" s="174" t="s">
        <v>349</v>
      </c>
      <c r="D578" s="174" t="s">
        <v>1633</v>
      </c>
      <c r="E578" s="174" t="s">
        <v>1914</v>
      </c>
      <c r="F578" s="175" t="s">
        <v>1939</v>
      </c>
      <c r="G578" s="176" t="s">
        <v>524</v>
      </c>
      <c r="H578" s="177">
        <v>1</v>
      </c>
      <c r="I578" s="176">
        <f t="shared" si="7"/>
        <v>48</v>
      </c>
      <c r="J578" s="174">
        <v>1</v>
      </c>
      <c r="K578" s="174">
        <v>32</v>
      </c>
      <c r="L578" s="174">
        <v>30</v>
      </c>
      <c r="M578" s="174" t="s">
        <v>1938</v>
      </c>
    </row>
    <row r="579" spans="1:13">
      <c r="A579" s="151"/>
      <c r="B579" s="174" t="s">
        <v>1940</v>
      </c>
      <c r="C579" s="174" t="s">
        <v>349</v>
      </c>
      <c r="D579" s="174" t="s">
        <v>1633</v>
      </c>
      <c r="E579" s="174" t="s">
        <v>1914</v>
      </c>
      <c r="F579" s="175" t="s">
        <v>1941</v>
      </c>
      <c r="G579" s="176" t="s">
        <v>524</v>
      </c>
      <c r="H579" s="177">
        <v>1</v>
      </c>
      <c r="I579" s="176">
        <f t="shared" si="7"/>
        <v>48</v>
      </c>
      <c r="J579" s="174">
        <v>1</v>
      </c>
      <c r="K579" s="174">
        <v>32</v>
      </c>
      <c r="L579" s="174">
        <v>39</v>
      </c>
      <c r="M579" s="174" t="s">
        <v>1940</v>
      </c>
    </row>
    <row r="580" spans="1:13">
      <c r="A580" s="151"/>
      <c r="B580" s="174" t="s">
        <v>1942</v>
      </c>
      <c r="C580" s="174" t="s">
        <v>349</v>
      </c>
      <c r="D580" s="174" t="s">
        <v>1633</v>
      </c>
      <c r="E580" s="174" t="s">
        <v>1914</v>
      </c>
      <c r="F580" s="175" t="s">
        <v>1943</v>
      </c>
      <c r="G580" s="176" t="s">
        <v>524</v>
      </c>
      <c r="H580" s="177">
        <v>1</v>
      </c>
      <c r="I580" s="176">
        <f t="shared" si="7"/>
        <v>48</v>
      </c>
      <c r="J580" s="174">
        <v>1</v>
      </c>
      <c r="K580" s="174">
        <v>32</v>
      </c>
      <c r="L580" s="174">
        <v>27</v>
      </c>
      <c r="M580" s="174" t="s">
        <v>1942</v>
      </c>
    </row>
    <row r="581" spans="1:13">
      <c r="A581" s="151"/>
      <c r="B581" s="174" t="s">
        <v>1944</v>
      </c>
      <c r="C581" s="174" t="s">
        <v>349</v>
      </c>
      <c r="D581" s="174" t="s">
        <v>1633</v>
      </c>
      <c r="E581" s="174" t="s">
        <v>1914</v>
      </c>
      <c r="F581" s="175" t="s">
        <v>1945</v>
      </c>
      <c r="G581" s="176" t="s">
        <v>524</v>
      </c>
      <c r="H581" s="177">
        <v>1</v>
      </c>
      <c r="I581" s="176">
        <f t="shared" si="7"/>
        <v>48</v>
      </c>
      <c r="J581" s="174">
        <v>1</v>
      </c>
      <c r="K581" s="174">
        <v>32</v>
      </c>
      <c r="L581" s="174">
        <v>31</v>
      </c>
      <c r="M581" s="174" t="s">
        <v>1944</v>
      </c>
    </row>
    <row r="582" spans="1:13">
      <c r="A582" s="151"/>
      <c r="B582" s="174" t="s">
        <v>1946</v>
      </c>
      <c r="C582" s="174" t="s">
        <v>349</v>
      </c>
      <c r="D582" s="174" t="s">
        <v>1633</v>
      </c>
      <c r="E582" s="174" t="s">
        <v>1914</v>
      </c>
      <c r="F582" s="175" t="s">
        <v>1947</v>
      </c>
      <c r="G582" s="176" t="s">
        <v>524</v>
      </c>
      <c r="H582" s="177">
        <v>1</v>
      </c>
      <c r="I582" s="176">
        <f t="shared" si="7"/>
        <v>48</v>
      </c>
      <c r="J582" s="174">
        <v>1</v>
      </c>
      <c r="K582" s="174">
        <v>32</v>
      </c>
      <c r="L582" s="174">
        <v>33</v>
      </c>
      <c r="M582" s="174" t="s">
        <v>1946</v>
      </c>
    </row>
    <row r="583" spans="1:13">
      <c r="A583" s="151"/>
      <c r="B583" s="174" t="s">
        <v>1948</v>
      </c>
      <c r="C583" s="174" t="s">
        <v>349</v>
      </c>
      <c r="D583" s="174" t="s">
        <v>1633</v>
      </c>
      <c r="E583" s="174" t="s">
        <v>1914</v>
      </c>
      <c r="F583" s="175" t="s">
        <v>1949</v>
      </c>
      <c r="G583" s="176" t="s">
        <v>524</v>
      </c>
      <c r="H583" s="177">
        <v>1</v>
      </c>
      <c r="I583" s="176">
        <f t="shared" si="7"/>
        <v>48</v>
      </c>
      <c r="J583" s="174">
        <v>1</v>
      </c>
      <c r="K583" s="174">
        <v>32</v>
      </c>
      <c r="L583" s="174">
        <v>25</v>
      </c>
      <c r="M583" s="174" t="s">
        <v>1948</v>
      </c>
    </row>
    <row r="584" spans="1:13">
      <c r="A584" s="151"/>
      <c r="B584" s="174" t="s">
        <v>1950</v>
      </c>
      <c r="C584" s="174" t="s">
        <v>349</v>
      </c>
      <c r="D584" s="174" t="s">
        <v>1633</v>
      </c>
      <c r="E584" s="174" t="s">
        <v>1914</v>
      </c>
      <c r="F584" s="175" t="s">
        <v>1951</v>
      </c>
      <c r="G584" s="176" t="s">
        <v>524</v>
      </c>
      <c r="H584" s="177">
        <v>1</v>
      </c>
      <c r="I584" s="176">
        <f t="shared" si="7"/>
        <v>48</v>
      </c>
      <c r="J584" s="174">
        <v>1</v>
      </c>
      <c r="K584" s="174">
        <v>32</v>
      </c>
      <c r="L584" s="174">
        <v>30</v>
      </c>
      <c r="M584" s="174" t="s">
        <v>1950</v>
      </c>
    </row>
    <row r="585" spans="1:13">
      <c r="A585" s="151"/>
      <c r="B585" s="174" t="s">
        <v>1952</v>
      </c>
      <c r="C585" s="174" t="s">
        <v>349</v>
      </c>
      <c r="D585" s="174" t="s">
        <v>1633</v>
      </c>
      <c r="E585" s="174" t="s">
        <v>1914</v>
      </c>
      <c r="F585" s="175" t="s">
        <v>1953</v>
      </c>
      <c r="G585" s="176" t="s">
        <v>524</v>
      </c>
      <c r="H585" s="177">
        <v>1</v>
      </c>
      <c r="I585" s="176">
        <f t="shared" si="7"/>
        <v>48</v>
      </c>
      <c r="J585" s="174">
        <v>1</v>
      </c>
      <c r="K585" s="174">
        <v>32</v>
      </c>
      <c r="L585" s="174">
        <v>26</v>
      </c>
      <c r="M585" s="174" t="s">
        <v>1952</v>
      </c>
    </row>
    <row r="586" spans="1:13">
      <c r="A586" s="151"/>
      <c r="B586" s="174" t="s">
        <v>1954</v>
      </c>
      <c r="C586" s="174" t="s">
        <v>349</v>
      </c>
      <c r="D586" s="174" t="s">
        <v>1633</v>
      </c>
      <c r="E586" s="174" t="s">
        <v>1914</v>
      </c>
      <c r="F586" s="175" t="s">
        <v>1955</v>
      </c>
      <c r="G586" s="176" t="s">
        <v>524</v>
      </c>
      <c r="H586" s="177">
        <v>1</v>
      </c>
      <c r="I586" s="176">
        <f t="shared" si="7"/>
        <v>48</v>
      </c>
      <c r="J586" s="174">
        <v>1</v>
      </c>
      <c r="K586" s="174">
        <v>32</v>
      </c>
      <c r="L586" s="174">
        <v>39</v>
      </c>
      <c r="M586" s="174" t="s">
        <v>1954</v>
      </c>
    </row>
    <row r="587" spans="1:13">
      <c r="A587" s="151"/>
      <c r="B587" s="174" t="s">
        <v>1956</v>
      </c>
      <c r="C587" s="174" t="s">
        <v>349</v>
      </c>
      <c r="D587" s="174" t="s">
        <v>1633</v>
      </c>
      <c r="E587" s="174" t="s">
        <v>1914</v>
      </c>
      <c r="F587" s="175" t="s">
        <v>1957</v>
      </c>
      <c r="G587" s="176" t="s">
        <v>524</v>
      </c>
      <c r="H587" s="177">
        <v>1</v>
      </c>
      <c r="I587" s="176">
        <f t="shared" si="7"/>
        <v>48</v>
      </c>
      <c r="J587" s="174">
        <v>1</v>
      </c>
      <c r="K587" s="174">
        <v>32</v>
      </c>
      <c r="L587" s="174">
        <v>27</v>
      </c>
      <c r="M587" s="174" t="s">
        <v>1956</v>
      </c>
    </row>
    <row r="588" spans="1:13">
      <c r="A588" s="151"/>
      <c r="B588" s="182" t="s">
        <v>1958</v>
      </c>
      <c r="C588" s="174" t="s">
        <v>349</v>
      </c>
      <c r="D588" s="174" t="s">
        <v>1633</v>
      </c>
      <c r="E588" s="182" t="s">
        <v>1755</v>
      </c>
      <c r="F588" s="181" t="s">
        <v>1959</v>
      </c>
      <c r="G588" s="184" t="s">
        <v>524</v>
      </c>
      <c r="H588" s="177">
        <v>1</v>
      </c>
      <c r="I588" s="176">
        <f t="shared" si="7"/>
        <v>48</v>
      </c>
      <c r="J588" s="182">
        <v>1</v>
      </c>
      <c r="K588" s="182">
        <v>25</v>
      </c>
      <c r="L588" s="182">
        <v>22</v>
      </c>
      <c r="M588" s="182" t="s">
        <v>1958</v>
      </c>
    </row>
    <row r="589" spans="1:13">
      <c r="A589" s="151"/>
      <c r="B589" s="182" t="s">
        <v>1960</v>
      </c>
      <c r="C589" s="174" t="s">
        <v>349</v>
      </c>
      <c r="D589" s="174" t="s">
        <v>1633</v>
      </c>
      <c r="E589" s="182" t="s">
        <v>1755</v>
      </c>
      <c r="F589" s="181" t="s">
        <v>1961</v>
      </c>
      <c r="G589" s="184" t="s">
        <v>524</v>
      </c>
      <c r="H589" s="177">
        <v>1</v>
      </c>
      <c r="I589" s="176">
        <f t="shared" si="7"/>
        <v>48</v>
      </c>
      <c r="J589" s="182">
        <v>1</v>
      </c>
      <c r="K589" s="182">
        <v>25</v>
      </c>
      <c r="L589" s="182">
        <v>22</v>
      </c>
      <c r="M589" s="182" t="s">
        <v>1960</v>
      </c>
    </row>
    <row r="590" spans="1:13">
      <c r="A590" s="151"/>
      <c r="B590" s="182" t="s">
        <v>1962</v>
      </c>
      <c r="C590" s="174" t="s">
        <v>349</v>
      </c>
      <c r="D590" s="174" t="s">
        <v>1633</v>
      </c>
      <c r="E590" s="182" t="s">
        <v>1755</v>
      </c>
      <c r="F590" s="181" t="s">
        <v>1963</v>
      </c>
      <c r="G590" s="184" t="s">
        <v>524</v>
      </c>
      <c r="H590" s="177">
        <v>1</v>
      </c>
      <c r="I590" s="176">
        <f t="shared" si="7"/>
        <v>48</v>
      </c>
      <c r="J590" s="182">
        <v>1</v>
      </c>
      <c r="K590" s="182">
        <v>25</v>
      </c>
      <c r="L590" s="182">
        <v>22</v>
      </c>
      <c r="M590" s="182" t="s">
        <v>1962</v>
      </c>
    </row>
    <row r="591" spans="1:13">
      <c r="A591" s="151"/>
      <c r="B591" s="182" t="s">
        <v>1964</v>
      </c>
      <c r="C591" s="174" t="s">
        <v>349</v>
      </c>
      <c r="D591" s="174" t="s">
        <v>1633</v>
      </c>
      <c r="E591" s="182" t="s">
        <v>1755</v>
      </c>
      <c r="F591" s="181" t="s">
        <v>1965</v>
      </c>
      <c r="G591" s="184" t="s">
        <v>524</v>
      </c>
      <c r="H591" s="177">
        <v>1</v>
      </c>
      <c r="I591" s="176">
        <f t="shared" si="7"/>
        <v>48</v>
      </c>
      <c r="J591" s="182">
        <v>1</v>
      </c>
      <c r="K591" s="182">
        <v>25</v>
      </c>
      <c r="L591" s="182">
        <v>22</v>
      </c>
      <c r="M591" s="182" t="s">
        <v>1964</v>
      </c>
    </row>
    <row r="592" spans="1:13">
      <c r="A592" s="151"/>
      <c r="B592" s="182" t="s">
        <v>1966</v>
      </c>
      <c r="C592" s="174" t="s">
        <v>349</v>
      </c>
      <c r="D592" s="174" t="s">
        <v>1633</v>
      </c>
      <c r="E592" s="182" t="s">
        <v>1755</v>
      </c>
      <c r="F592" s="181" t="s">
        <v>1967</v>
      </c>
      <c r="G592" s="184" t="s">
        <v>524</v>
      </c>
      <c r="H592" s="177">
        <v>1</v>
      </c>
      <c r="I592" s="176">
        <f t="shared" si="7"/>
        <v>48</v>
      </c>
      <c r="J592" s="182">
        <v>1</v>
      </c>
      <c r="K592" s="182">
        <v>25</v>
      </c>
      <c r="L592" s="182">
        <v>30</v>
      </c>
      <c r="M592" s="182" t="s">
        <v>1966</v>
      </c>
    </row>
    <row r="593" spans="1:13">
      <c r="A593" s="151"/>
      <c r="B593" s="182" t="s">
        <v>1968</v>
      </c>
      <c r="C593" s="174" t="s">
        <v>349</v>
      </c>
      <c r="D593" s="174" t="s">
        <v>1633</v>
      </c>
      <c r="E593" s="182" t="s">
        <v>1755</v>
      </c>
      <c r="F593" s="181" t="s">
        <v>1969</v>
      </c>
      <c r="G593" s="184" t="s">
        <v>524</v>
      </c>
      <c r="H593" s="177">
        <v>1</v>
      </c>
      <c r="I593" s="176">
        <f t="shared" si="7"/>
        <v>48</v>
      </c>
      <c r="J593" s="182">
        <v>1</v>
      </c>
      <c r="K593" s="182">
        <v>25</v>
      </c>
      <c r="L593" s="182">
        <v>30</v>
      </c>
      <c r="M593" s="182" t="s">
        <v>1968</v>
      </c>
    </row>
    <row r="594" spans="1:13">
      <c r="A594" s="151"/>
      <c r="B594" s="182" t="s">
        <v>1970</v>
      </c>
      <c r="C594" s="174" t="s">
        <v>349</v>
      </c>
      <c r="D594" s="174" t="s">
        <v>1633</v>
      </c>
      <c r="E594" s="182" t="s">
        <v>1755</v>
      </c>
      <c r="F594" s="181" t="s">
        <v>1971</v>
      </c>
      <c r="G594" s="184" t="s">
        <v>524</v>
      </c>
      <c r="H594" s="177">
        <v>1</v>
      </c>
      <c r="I594" s="176">
        <f t="shared" si="7"/>
        <v>48</v>
      </c>
      <c r="J594" s="182">
        <v>1</v>
      </c>
      <c r="K594" s="182">
        <v>25</v>
      </c>
      <c r="L594" s="182">
        <v>30</v>
      </c>
      <c r="M594" s="182" t="s">
        <v>1970</v>
      </c>
    </row>
    <row r="595" spans="1:13">
      <c r="A595" s="151"/>
      <c r="B595" s="182" t="s">
        <v>1972</v>
      </c>
      <c r="C595" s="174" t="s">
        <v>349</v>
      </c>
      <c r="D595" s="174" t="s">
        <v>1633</v>
      </c>
      <c r="E595" s="182" t="s">
        <v>1755</v>
      </c>
      <c r="F595" s="181" t="s">
        <v>1973</v>
      </c>
      <c r="G595" s="184" t="s">
        <v>524</v>
      </c>
      <c r="H595" s="177">
        <v>1</v>
      </c>
      <c r="I595" s="176">
        <f t="shared" si="7"/>
        <v>48</v>
      </c>
      <c r="J595" s="182">
        <v>1</v>
      </c>
      <c r="K595" s="182">
        <v>25</v>
      </c>
      <c r="L595" s="182">
        <v>29</v>
      </c>
      <c r="M595" s="182" t="s">
        <v>1972</v>
      </c>
    </row>
    <row r="596" spans="1:13">
      <c r="A596" s="151"/>
      <c r="B596" s="182" t="s">
        <v>1974</v>
      </c>
      <c r="C596" s="174" t="s">
        <v>349</v>
      </c>
      <c r="D596" s="174" t="s">
        <v>1633</v>
      </c>
      <c r="E596" s="182" t="s">
        <v>1755</v>
      </c>
      <c r="F596" s="181" t="s">
        <v>1975</v>
      </c>
      <c r="G596" s="184" t="s">
        <v>524</v>
      </c>
      <c r="H596" s="177">
        <v>1</v>
      </c>
      <c r="I596" s="176">
        <f t="shared" si="7"/>
        <v>48</v>
      </c>
      <c r="J596" s="182">
        <v>1</v>
      </c>
      <c r="K596" s="182">
        <v>25</v>
      </c>
      <c r="L596" s="182">
        <v>20</v>
      </c>
      <c r="M596" s="182" t="s">
        <v>1974</v>
      </c>
    </row>
    <row r="597" spans="1:13">
      <c r="A597" s="151"/>
      <c r="B597" s="182" t="s">
        <v>1976</v>
      </c>
      <c r="C597" s="174" t="s">
        <v>349</v>
      </c>
      <c r="D597" s="174" t="s">
        <v>1633</v>
      </c>
      <c r="E597" s="182" t="s">
        <v>1755</v>
      </c>
      <c r="F597" s="181" t="s">
        <v>1977</v>
      </c>
      <c r="G597" s="184" t="s">
        <v>524</v>
      </c>
      <c r="H597" s="177">
        <v>1</v>
      </c>
      <c r="I597" s="176">
        <f t="shared" si="7"/>
        <v>48</v>
      </c>
      <c r="J597" s="182">
        <v>1</v>
      </c>
      <c r="K597" s="182">
        <v>25</v>
      </c>
      <c r="L597" s="182">
        <v>19</v>
      </c>
      <c r="M597" s="182" t="s">
        <v>1976</v>
      </c>
    </row>
    <row r="598" spans="1:13">
      <c r="A598" s="151"/>
      <c r="B598" s="182" t="s">
        <v>1978</v>
      </c>
      <c r="C598" s="174" t="s">
        <v>349</v>
      </c>
      <c r="D598" s="174" t="s">
        <v>1633</v>
      </c>
      <c r="E598" s="182" t="s">
        <v>1755</v>
      </c>
      <c r="F598" s="181" t="s">
        <v>1979</v>
      </c>
      <c r="G598" s="184" t="s">
        <v>524</v>
      </c>
      <c r="H598" s="177">
        <v>1</v>
      </c>
      <c r="I598" s="176">
        <f t="shared" si="7"/>
        <v>48</v>
      </c>
      <c r="J598" s="182">
        <v>1</v>
      </c>
      <c r="K598" s="182">
        <v>25</v>
      </c>
      <c r="L598" s="182">
        <v>19</v>
      </c>
      <c r="M598" s="182" t="s">
        <v>1978</v>
      </c>
    </row>
    <row r="599" spans="1:13">
      <c r="A599" s="151"/>
      <c r="B599" s="182" t="s">
        <v>1980</v>
      </c>
      <c r="C599" s="174" t="s">
        <v>349</v>
      </c>
      <c r="D599" s="174" t="s">
        <v>1633</v>
      </c>
      <c r="E599" s="182" t="s">
        <v>1755</v>
      </c>
      <c r="F599" s="181" t="s">
        <v>1981</v>
      </c>
      <c r="G599" s="184" t="s">
        <v>524</v>
      </c>
      <c r="H599" s="177">
        <v>1</v>
      </c>
      <c r="I599" s="176">
        <f t="shared" si="7"/>
        <v>48</v>
      </c>
      <c r="J599" s="182">
        <v>1</v>
      </c>
      <c r="K599" s="182">
        <v>25</v>
      </c>
      <c r="L599" s="182">
        <v>19</v>
      </c>
      <c r="M599" s="182" t="s">
        <v>1980</v>
      </c>
    </row>
    <row r="600" spans="1:13" ht="15">
      <c r="A600" s="151"/>
      <c r="B600" s="174" t="s">
        <v>1982</v>
      </c>
      <c r="C600" s="174" t="s">
        <v>349</v>
      </c>
      <c r="D600" s="174" t="s">
        <v>1637</v>
      </c>
      <c r="E600" s="174" t="s">
        <v>1983</v>
      </c>
      <c r="F600" s="175" t="s">
        <v>1984</v>
      </c>
      <c r="G600" s="176" t="s">
        <v>1192</v>
      </c>
      <c r="H600" s="176">
        <v>1</v>
      </c>
      <c r="I600" s="176">
        <f t="shared" si="7"/>
        <v>48</v>
      </c>
      <c r="J600" s="174">
        <v>1</v>
      </c>
      <c r="K600" s="174">
        <v>40</v>
      </c>
      <c r="L600" s="174">
        <v>50</v>
      </c>
      <c r="M600" s="183" t="s">
        <v>1880</v>
      </c>
    </row>
    <row r="601" spans="1:13" ht="15">
      <c r="A601" s="151"/>
      <c r="B601" s="174" t="s">
        <v>1985</v>
      </c>
      <c r="C601" s="174" t="s">
        <v>349</v>
      </c>
      <c r="D601" s="174" t="s">
        <v>1637</v>
      </c>
      <c r="E601" s="174" t="s">
        <v>1986</v>
      </c>
      <c r="F601" s="175" t="s">
        <v>1987</v>
      </c>
      <c r="G601" s="176" t="s">
        <v>557</v>
      </c>
      <c r="H601" s="176">
        <v>1</v>
      </c>
      <c r="I601" s="176">
        <f t="shared" si="7"/>
        <v>48</v>
      </c>
      <c r="J601" s="174">
        <v>1</v>
      </c>
      <c r="K601" s="174">
        <v>60</v>
      </c>
      <c r="L601" s="174">
        <v>85</v>
      </c>
      <c r="M601" s="183" t="s">
        <v>1880</v>
      </c>
    </row>
    <row r="602" spans="1:13" ht="15">
      <c r="A602" s="151"/>
      <c r="B602" s="174" t="s">
        <v>1988</v>
      </c>
      <c r="C602" s="174" t="s">
        <v>349</v>
      </c>
      <c r="D602" s="174" t="s">
        <v>1637</v>
      </c>
      <c r="E602" s="174" t="s">
        <v>1989</v>
      </c>
      <c r="F602" s="175" t="s">
        <v>1990</v>
      </c>
      <c r="G602" s="176" t="s">
        <v>524</v>
      </c>
      <c r="H602" s="176">
        <v>1</v>
      </c>
      <c r="I602" s="176">
        <f t="shared" si="7"/>
        <v>48</v>
      </c>
      <c r="J602" s="174">
        <v>1</v>
      </c>
      <c r="K602" s="174">
        <v>39</v>
      </c>
      <c r="L602" s="174">
        <v>46</v>
      </c>
      <c r="M602" s="183" t="s">
        <v>1880</v>
      </c>
    </row>
    <row r="603" spans="1:13" ht="15">
      <c r="A603" s="151"/>
      <c r="B603" s="174" t="s">
        <v>1991</v>
      </c>
      <c r="C603" s="174" t="s">
        <v>349</v>
      </c>
      <c r="D603" s="174" t="s">
        <v>1637</v>
      </c>
      <c r="E603" s="174" t="s">
        <v>1989</v>
      </c>
      <c r="F603" s="175" t="s">
        <v>1992</v>
      </c>
      <c r="G603" s="176" t="s">
        <v>524</v>
      </c>
      <c r="H603" s="176">
        <v>1</v>
      </c>
      <c r="I603" s="176">
        <f t="shared" si="7"/>
        <v>48</v>
      </c>
      <c r="J603" s="174">
        <v>1</v>
      </c>
      <c r="K603" s="174">
        <v>39</v>
      </c>
      <c r="L603" s="174">
        <v>37</v>
      </c>
      <c r="M603" s="183" t="s">
        <v>1880</v>
      </c>
    </row>
    <row r="604" spans="1:13">
      <c r="A604" s="151"/>
      <c r="B604" s="174" t="s">
        <v>1993</v>
      </c>
      <c r="C604" s="174" t="s">
        <v>349</v>
      </c>
      <c r="D604" s="174" t="s">
        <v>1633</v>
      </c>
      <c r="E604" s="174" t="s">
        <v>1994</v>
      </c>
      <c r="F604" s="175" t="s">
        <v>1995</v>
      </c>
      <c r="G604" s="176" t="s">
        <v>524</v>
      </c>
      <c r="H604" s="177">
        <v>1</v>
      </c>
      <c r="I604" s="176">
        <f t="shared" si="7"/>
        <v>48</v>
      </c>
      <c r="J604" s="174">
        <v>1</v>
      </c>
      <c r="K604" s="174">
        <v>30</v>
      </c>
      <c r="L604" s="174">
        <v>28</v>
      </c>
      <c r="M604" s="174" t="s">
        <v>1993</v>
      </c>
    </row>
    <row r="605" spans="1:13">
      <c r="A605" s="151"/>
      <c r="B605" s="174" t="s">
        <v>1996</v>
      </c>
      <c r="C605" s="174" t="s">
        <v>349</v>
      </c>
      <c r="D605" s="174" t="s">
        <v>1633</v>
      </c>
      <c r="E605" s="174" t="s">
        <v>1994</v>
      </c>
      <c r="F605" s="175" t="s">
        <v>1997</v>
      </c>
      <c r="G605" s="176" t="s">
        <v>524</v>
      </c>
      <c r="H605" s="177">
        <v>1</v>
      </c>
      <c r="I605" s="176">
        <f t="shared" si="7"/>
        <v>48</v>
      </c>
      <c r="J605" s="174">
        <v>1</v>
      </c>
      <c r="K605" s="174">
        <v>30</v>
      </c>
      <c r="L605" s="174">
        <v>27</v>
      </c>
      <c r="M605" s="174" t="s">
        <v>1996</v>
      </c>
    </row>
    <row r="606" spans="1:13">
      <c r="A606" s="151"/>
      <c r="B606" s="174" t="s">
        <v>1998</v>
      </c>
      <c r="C606" s="174" t="s">
        <v>349</v>
      </c>
      <c r="D606" s="174" t="s">
        <v>1633</v>
      </c>
      <c r="E606" s="174" t="s">
        <v>1994</v>
      </c>
      <c r="F606" s="175" t="s">
        <v>1999</v>
      </c>
      <c r="G606" s="176" t="s">
        <v>524</v>
      </c>
      <c r="H606" s="177">
        <v>1</v>
      </c>
      <c r="I606" s="176">
        <f t="shared" si="7"/>
        <v>48</v>
      </c>
      <c r="J606" s="174">
        <v>1</v>
      </c>
      <c r="K606" s="174">
        <v>30</v>
      </c>
      <c r="L606" s="174">
        <v>36</v>
      </c>
      <c r="M606" s="174" t="s">
        <v>1998</v>
      </c>
    </row>
    <row r="607" spans="1:13">
      <c r="A607" s="151"/>
      <c r="B607" s="174" t="s">
        <v>2000</v>
      </c>
      <c r="C607" s="174" t="s">
        <v>349</v>
      </c>
      <c r="D607" s="174" t="s">
        <v>1633</v>
      </c>
      <c r="E607" s="174" t="s">
        <v>1994</v>
      </c>
      <c r="F607" s="175" t="s">
        <v>2001</v>
      </c>
      <c r="G607" s="176" t="s">
        <v>524</v>
      </c>
      <c r="H607" s="177">
        <v>1</v>
      </c>
      <c r="I607" s="176">
        <f t="shared" si="7"/>
        <v>48</v>
      </c>
      <c r="J607" s="174">
        <v>1</v>
      </c>
      <c r="K607" s="174">
        <v>30</v>
      </c>
      <c r="L607" s="174">
        <v>24</v>
      </c>
      <c r="M607" s="174" t="s">
        <v>2000</v>
      </c>
    </row>
    <row r="608" spans="1:13">
      <c r="A608" s="151"/>
      <c r="B608" s="174" t="s">
        <v>2002</v>
      </c>
      <c r="C608" s="174" t="s">
        <v>349</v>
      </c>
      <c r="D608" s="174" t="s">
        <v>1633</v>
      </c>
      <c r="E608" s="174" t="s">
        <v>1994</v>
      </c>
      <c r="F608" s="175" t="s">
        <v>2003</v>
      </c>
      <c r="G608" s="176" t="s">
        <v>524</v>
      </c>
      <c r="H608" s="177">
        <v>1</v>
      </c>
      <c r="I608" s="176">
        <f t="shared" si="7"/>
        <v>48</v>
      </c>
      <c r="J608" s="174">
        <v>1</v>
      </c>
      <c r="K608" s="174">
        <v>30</v>
      </c>
      <c r="L608" s="174">
        <v>27</v>
      </c>
      <c r="M608" s="174" t="s">
        <v>2002</v>
      </c>
    </row>
    <row r="609" spans="1:13">
      <c r="A609" s="151"/>
      <c r="B609" s="174" t="s">
        <v>2004</v>
      </c>
      <c r="C609" s="174" t="s">
        <v>349</v>
      </c>
      <c r="D609" s="174" t="s">
        <v>1633</v>
      </c>
      <c r="E609" s="174" t="s">
        <v>1994</v>
      </c>
      <c r="F609" s="175" t="s">
        <v>2005</v>
      </c>
      <c r="G609" s="176" t="s">
        <v>524</v>
      </c>
      <c r="H609" s="177">
        <v>1</v>
      </c>
      <c r="I609" s="176">
        <f t="shared" si="7"/>
        <v>48</v>
      </c>
      <c r="J609" s="174">
        <v>1</v>
      </c>
      <c r="K609" s="174">
        <v>30</v>
      </c>
      <c r="L609" s="174">
        <v>36</v>
      </c>
      <c r="M609" s="174" t="s">
        <v>2004</v>
      </c>
    </row>
    <row r="610" spans="1:13">
      <c r="A610" s="151"/>
      <c r="B610" s="174" t="s">
        <v>2006</v>
      </c>
      <c r="C610" s="174" t="s">
        <v>349</v>
      </c>
      <c r="D610" s="174" t="s">
        <v>1633</v>
      </c>
      <c r="E610" s="174" t="s">
        <v>1994</v>
      </c>
      <c r="F610" s="175" t="s">
        <v>2007</v>
      </c>
      <c r="G610" s="176" t="s">
        <v>524</v>
      </c>
      <c r="H610" s="177">
        <v>1</v>
      </c>
      <c r="I610" s="176">
        <f t="shared" si="7"/>
        <v>48</v>
      </c>
      <c r="J610" s="174">
        <v>1</v>
      </c>
      <c r="K610" s="174">
        <v>30</v>
      </c>
      <c r="L610" s="174">
        <v>24</v>
      </c>
      <c r="M610" s="174" t="s">
        <v>2006</v>
      </c>
    </row>
    <row r="611" spans="1:13">
      <c r="A611" s="151"/>
      <c r="B611" s="174" t="s">
        <v>2008</v>
      </c>
      <c r="C611" s="174" t="s">
        <v>349</v>
      </c>
      <c r="D611" s="174" t="s">
        <v>1633</v>
      </c>
      <c r="E611" s="174" t="s">
        <v>1994</v>
      </c>
      <c r="F611" s="175" t="s">
        <v>2009</v>
      </c>
      <c r="G611" s="176" t="s">
        <v>524</v>
      </c>
      <c r="H611" s="177">
        <v>1</v>
      </c>
      <c r="I611" s="176">
        <f t="shared" si="7"/>
        <v>48</v>
      </c>
      <c r="J611" s="174">
        <v>1</v>
      </c>
      <c r="K611" s="174">
        <v>30</v>
      </c>
      <c r="L611" s="174">
        <v>26</v>
      </c>
      <c r="M611" s="174" t="s">
        <v>2008</v>
      </c>
    </row>
    <row r="612" spans="1:13">
      <c r="A612" s="151"/>
      <c r="B612" s="174" t="s">
        <v>2010</v>
      </c>
      <c r="C612" s="174" t="s">
        <v>349</v>
      </c>
      <c r="D612" s="174" t="s">
        <v>1633</v>
      </c>
      <c r="E612" s="174" t="s">
        <v>1994</v>
      </c>
      <c r="F612" s="175" t="s">
        <v>2011</v>
      </c>
      <c r="G612" s="176" t="s">
        <v>524</v>
      </c>
      <c r="H612" s="177">
        <v>1</v>
      </c>
      <c r="I612" s="176">
        <f t="shared" si="7"/>
        <v>48</v>
      </c>
      <c r="J612" s="174">
        <v>1</v>
      </c>
      <c r="K612" s="174">
        <v>30</v>
      </c>
      <c r="L612" s="174">
        <v>23</v>
      </c>
      <c r="M612" s="174" t="s">
        <v>2010</v>
      </c>
    </row>
    <row r="613" spans="1:13">
      <c r="A613" s="151"/>
      <c r="B613" s="174" t="s">
        <v>2012</v>
      </c>
      <c r="C613" s="174" t="s">
        <v>349</v>
      </c>
      <c r="D613" s="174" t="s">
        <v>1633</v>
      </c>
      <c r="E613" s="174" t="s">
        <v>1994</v>
      </c>
      <c r="F613" s="175" t="s">
        <v>2013</v>
      </c>
      <c r="G613" s="176" t="s">
        <v>524</v>
      </c>
      <c r="H613" s="177">
        <v>1</v>
      </c>
      <c r="I613" s="176">
        <f t="shared" si="7"/>
        <v>48</v>
      </c>
      <c r="J613" s="174">
        <v>1</v>
      </c>
      <c r="K613" s="174">
        <v>30</v>
      </c>
      <c r="L613" s="174">
        <v>37</v>
      </c>
      <c r="M613" s="174" t="s">
        <v>2012</v>
      </c>
    </row>
    <row r="614" spans="1:13">
      <c r="A614" s="151"/>
      <c r="B614" s="174" t="s">
        <v>2014</v>
      </c>
      <c r="C614" s="174" t="s">
        <v>349</v>
      </c>
      <c r="D614" s="174" t="s">
        <v>1633</v>
      </c>
      <c r="E614" s="174" t="s">
        <v>1994</v>
      </c>
      <c r="F614" s="175" t="s">
        <v>2015</v>
      </c>
      <c r="G614" s="176" t="s">
        <v>524</v>
      </c>
      <c r="H614" s="177">
        <v>1</v>
      </c>
      <c r="I614" s="176">
        <f t="shared" si="7"/>
        <v>48</v>
      </c>
      <c r="J614" s="174">
        <v>1</v>
      </c>
      <c r="K614" s="174">
        <v>30</v>
      </c>
      <c r="L614" s="174">
        <v>25</v>
      </c>
      <c r="M614" s="174" t="s">
        <v>2014</v>
      </c>
    </row>
    <row r="615" spans="1:13" ht="15">
      <c r="A615" s="151"/>
      <c r="B615" s="174" t="s">
        <v>2016</v>
      </c>
      <c r="C615" s="174" t="s">
        <v>349</v>
      </c>
      <c r="D615" s="174" t="s">
        <v>1637</v>
      </c>
      <c r="E615" s="174" t="s">
        <v>1989</v>
      </c>
      <c r="F615" s="175" t="s">
        <v>2017</v>
      </c>
      <c r="G615" s="176" t="s">
        <v>557</v>
      </c>
      <c r="H615" s="176">
        <v>1</v>
      </c>
      <c r="I615" s="176">
        <f t="shared" si="7"/>
        <v>48</v>
      </c>
      <c r="J615" s="174">
        <v>1</v>
      </c>
      <c r="K615" s="174">
        <v>39</v>
      </c>
      <c r="L615" s="174">
        <v>60</v>
      </c>
      <c r="M615" s="183" t="s">
        <v>1880</v>
      </c>
    </row>
    <row r="616" spans="1:13" ht="15">
      <c r="A616" s="151"/>
      <c r="B616" s="174" t="s">
        <v>2018</v>
      </c>
      <c r="C616" s="174" t="s">
        <v>349</v>
      </c>
      <c r="D616" s="174" t="s">
        <v>1637</v>
      </c>
      <c r="E616" s="174" t="s">
        <v>1989</v>
      </c>
      <c r="F616" s="175" t="s">
        <v>2019</v>
      </c>
      <c r="G616" s="176" t="s">
        <v>557</v>
      </c>
      <c r="H616" s="176">
        <v>1</v>
      </c>
      <c r="I616" s="176">
        <f t="shared" si="7"/>
        <v>48</v>
      </c>
      <c r="J616" s="174">
        <v>1</v>
      </c>
      <c r="K616" s="174">
        <v>39</v>
      </c>
      <c r="L616" s="174">
        <v>52</v>
      </c>
      <c r="M616" s="183" t="s">
        <v>1880</v>
      </c>
    </row>
    <row r="617" spans="1:13" ht="15">
      <c r="A617" s="151"/>
      <c r="B617" s="174" t="s">
        <v>2020</v>
      </c>
      <c r="C617" s="174" t="s">
        <v>349</v>
      </c>
      <c r="D617" s="174" t="s">
        <v>1637</v>
      </c>
      <c r="E617" s="174" t="s">
        <v>1983</v>
      </c>
      <c r="F617" s="175" t="s">
        <v>2021</v>
      </c>
      <c r="G617" s="176" t="s">
        <v>524</v>
      </c>
      <c r="H617" s="176">
        <v>1</v>
      </c>
      <c r="I617" s="176">
        <f t="shared" si="7"/>
        <v>48</v>
      </c>
      <c r="J617" s="174">
        <v>1</v>
      </c>
      <c r="K617" s="174">
        <v>40</v>
      </c>
      <c r="L617" s="174">
        <v>36</v>
      </c>
      <c r="M617" s="183" t="s">
        <v>1880</v>
      </c>
    </row>
    <row r="618" spans="1:13" ht="15">
      <c r="A618" s="151"/>
      <c r="B618" s="174" t="s">
        <v>2022</v>
      </c>
      <c r="C618" s="174" t="s">
        <v>349</v>
      </c>
      <c r="D618" s="174" t="s">
        <v>1637</v>
      </c>
      <c r="E618" s="174" t="s">
        <v>1983</v>
      </c>
      <c r="F618" s="175" t="s">
        <v>1984</v>
      </c>
      <c r="G618" s="176" t="s">
        <v>557</v>
      </c>
      <c r="H618" s="176">
        <v>1</v>
      </c>
      <c r="I618" s="176">
        <f t="shared" si="7"/>
        <v>48</v>
      </c>
      <c r="J618" s="174">
        <v>1</v>
      </c>
      <c r="K618" s="174">
        <v>40</v>
      </c>
      <c r="L618" s="174">
        <v>57</v>
      </c>
      <c r="M618" s="183" t="s">
        <v>1880</v>
      </c>
    </row>
    <row r="619" spans="1:13">
      <c r="A619" s="151"/>
      <c r="B619" s="174" t="s">
        <v>2023</v>
      </c>
      <c r="C619" s="174" t="s">
        <v>349</v>
      </c>
      <c r="D619" s="174" t="s">
        <v>1633</v>
      </c>
      <c r="E619" s="174" t="s">
        <v>2024</v>
      </c>
      <c r="F619" s="175" t="s">
        <v>1995</v>
      </c>
      <c r="G619" s="176" t="s">
        <v>524</v>
      </c>
      <c r="H619" s="177">
        <v>1</v>
      </c>
      <c r="I619" s="176">
        <f t="shared" si="7"/>
        <v>48</v>
      </c>
      <c r="J619" s="174">
        <v>1</v>
      </c>
      <c r="K619" s="174">
        <v>28</v>
      </c>
      <c r="L619" s="174">
        <v>26</v>
      </c>
      <c r="M619" s="174" t="s">
        <v>2023</v>
      </c>
    </row>
    <row r="620" spans="1:13">
      <c r="A620" s="151"/>
      <c r="B620" s="174" t="s">
        <v>2025</v>
      </c>
      <c r="C620" s="174" t="s">
        <v>349</v>
      </c>
      <c r="D620" s="174" t="s">
        <v>1633</v>
      </c>
      <c r="E620" s="174" t="s">
        <v>2024</v>
      </c>
      <c r="F620" s="175" t="s">
        <v>1997</v>
      </c>
      <c r="G620" s="176" t="s">
        <v>524</v>
      </c>
      <c r="H620" s="177">
        <v>1</v>
      </c>
      <c r="I620" s="176">
        <f t="shared" si="7"/>
        <v>48</v>
      </c>
      <c r="J620" s="174">
        <v>1</v>
      </c>
      <c r="K620" s="174">
        <v>28</v>
      </c>
      <c r="L620" s="174">
        <v>25</v>
      </c>
      <c r="M620" s="174" t="s">
        <v>2025</v>
      </c>
    </row>
    <row r="621" spans="1:13">
      <c r="A621" s="151"/>
      <c r="B621" s="174" t="s">
        <v>2026</v>
      </c>
      <c r="C621" s="174" t="s">
        <v>349</v>
      </c>
      <c r="D621" s="174" t="s">
        <v>1633</v>
      </c>
      <c r="E621" s="174" t="s">
        <v>2024</v>
      </c>
      <c r="F621" s="175" t="s">
        <v>1999</v>
      </c>
      <c r="G621" s="176" t="s">
        <v>524</v>
      </c>
      <c r="H621" s="177">
        <v>1</v>
      </c>
      <c r="I621" s="176">
        <f t="shared" si="7"/>
        <v>48</v>
      </c>
      <c r="J621" s="174">
        <v>1</v>
      </c>
      <c r="K621" s="174">
        <v>28</v>
      </c>
      <c r="L621" s="174">
        <v>32</v>
      </c>
      <c r="M621" s="174" t="s">
        <v>2026</v>
      </c>
    </row>
    <row r="622" spans="1:13">
      <c r="A622" s="151"/>
      <c r="B622" s="174" t="s">
        <v>2027</v>
      </c>
      <c r="C622" s="174" t="s">
        <v>349</v>
      </c>
      <c r="D622" s="174" t="s">
        <v>1633</v>
      </c>
      <c r="E622" s="174" t="s">
        <v>2024</v>
      </c>
      <c r="F622" s="175" t="s">
        <v>2001</v>
      </c>
      <c r="G622" s="176" t="s">
        <v>524</v>
      </c>
      <c r="H622" s="177">
        <v>1</v>
      </c>
      <c r="I622" s="176">
        <f t="shared" ref="I622:I685" si="8">MID(B622,2,1)*12</f>
        <v>48</v>
      </c>
      <c r="J622" s="174">
        <v>1</v>
      </c>
      <c r="K622" s="174">
        <v>28</v>
      </c>
      <c r="L622" s="174">
        <v>22</v>
      </c>
      <c r="M622" s="174" t="s">
        <v>2027</v>
      </c>
    </row>
    <row r="623" spans="1:13">
      <c r="A623" s="151"/>
      <c r="B623" s="174" t="s">
        <v>2028</v>
      </c>
      <c r="C623" s="174" t="s">
        <v>349</v>
      </c>
      <c r="D623" s="174" t="s">
        <v>1633</v>
      </c>
      <c r="E623" s="174" t="s">
        <v>2024</v>
      </c>
      <c r="F623" s="175" t="s">
        <v>2003</v>
      </c>
      <c r="G623" s="176" t="s">
        <v>524</v>
      </c>
      <c r="H623" s="177">
        <v>1</v>
      </c>
      <c r="I623" s="176">
        <f t="shared" si="8"/>
        <v>48</v>
      </c>
      <c r="J623" s="174">
        <v>1</v>
      </c>
      <c r="K623" s="174">
        <v>28</v>
      </c>
      <c r="L623" s="174">
        <v>25</v>
      </c>
      <c r="M623" s="174" t="s">
        <v>2028</v>
      </c>
    </row>
    <row r="624" spans="1:13">
      <c r="A624" s="151"/>
      <c r="B624" s="174" t="s">
        <v>2029</v>
      </c>
      <c r="C624" s="174" t="s">
        <v>349</v>
      </c>
      <c r="D624" s="174" t="s">
        <v>1633</v>
      </c>
      <c r="E624" s="174" t="s">
        <v>2024</v>
      </c>
      <c r="F624" s="175" t="s">
        <v>2005</v>
      </c>
      <c r="G624" s="176" t="s">
        <v>524</v>
      </c>
      <c r="H624" s="177">
        <v>1</v>
      </c>
      <c r="I624" s="176">
        <f t="shared" si="8"/>
        <v>48</v>
      </c>
      <c r="J624" s="174">
        <v>1</v>
      </c>
      <c r="K624" s="174">
        <v>28</v>
      </c>
      <c r="L624" s="174">
        <v>32</v>
      </c>
      <c r="M624" s="174" t="s">
        <v>2029</v>
      </c>
    </row>
    <row r="625" spans="1:13">
      <c r="A625" s="151"/>
      <c r="B625" s="174" t="s">
        <v>2030</v>
      </c>
      <c r="C625" s="174" t="s">
        <v>349</v>
      </c>
      <c r="D625" s="174" t="s">
        <v>1633</v>
      </c>
      <c r="E625" s="174" t="s">
        <v>2024</v>
      </c>
      <c r="F625" s="175" t="s">
        <v>2007</v>
      </c>
      <c r="G625" s="176" t="s">
        <v>524</v>
      </c>
      <c r="H625" s="177">
        <v>1</v>
      </c>
      <c r="I625" s="176">
        <f t="shared" si="8"/>
        <v>48</v>
      </c>
      <c r="J625" s="174">
        <v>1</v>
      </c>
      <c r="K625" s="174">
        <v>28</v>
      </c>
      <c r="L625" s="174">
        <v>22</v>
      </c>
      <c r="M625" s="174" t="s">
        <v>2030</v>
      </c>
    </row>
    <row r="626" spans="1:13">
      <c r="A626" s="151"/>
      <c r="B626" s="174" t="s">
        <v>2031</v>
      </c>
      <c r="C626" s="174" t="s">
        <v>349</v>
      </c>
      <c r="D626" s="174" t="s">
        <v>1633</v>
      </c>
      <c r="E626" s="174" t="s">
        <v>2024</v>
      </c>
      <c r="F626" s="175" t="s">
        <v>2009</v>
      </c>
      <c r="G626" s="176" t="s">
        <v>524</v>
      </c>
      <c r="H626" s="177">
        <v>1</v>
      </c>
      <c r="I626" s="176">
        <f t="shared" si="8"/>
        <v>48</v>
      </c>
      <c r="J626" s="174">
        <v>1</v>
      </c>
      <c r="K626" s="174">
        <v>28</v>
      </c>
      <c r="L626" s="174">
        <v>24</v>
      </c>
      <c r="M626" s="174" t="s">
        <v>2031</v>
      </c>
    </row>
    <row r="627" spans="1:13">
      <c r="A627" s="151"/>
      <c r="B627" s="174" t="s">
        <v>2032</v>
      </c>
      <c r="C627" s="174" t="s">
        <v>349</v>
      </c>
      <c r="D627" s="174" t="s">
        <v>1633</v>
      </c>
      <c r="E627" s="174" t="s">
        <v>2024</v>
      </c>
      <c r="F627" s="175" t="s">
        <v>2011</v>
      </c>
      <c r="G627" s="176" t="s">
        <v>524</v>
      </c>
      <c r="H627" s="177">
        <v>1</v>
      </c>
      <c r="I627" s="176">
        <f t="shared" si="8"/>
        <v>48</v>
      </c>
      <c r="J627" s="174">
        <v>1</v>
      </c>
      <c r="K627" s="174">
        <v>28</v>
      </c>
      <c r="L627" s="174">
        <v>21</v>
      </c>
      <c r="M627" s="174" t="s">
        <v>2032</v>
      </c>
    </row>
    <row r="628" spans="1:13">
      <c r="A628" s="151"/>
      <c r="B628" s="174" t="s">
        <v>2033</v>
      </c>
      <c r="C628" s="174" t="s">
        <v>349</v>
      </c>
      <c r="D628" s="174" t="s">
        <v>1633</v>
      </c>
      <c r="E628" s="174" t="s">
        <v>2024</v>
      </c>
      <c r="F628" s="175" t="s">
        <v>2013</v>
      </c>
      <c r="G628" s="176" t="s">
        <v>524</v>
      </c>
      <c r="H628" s="177">
        <v>1</v>
      </c>
      <c r="I628" s="176">
        <f t="shared" si="8"/>
        <v>48</v>
      </c>
      <c r="J628" s="174">
        <v>1</v>
      </c>
      <c r="K628" s="174">
        <v>28</v>
      </c>
      <c r="L628" s="174">
        <v>33</v>
      </c>
      <c r="M628" s="174" t="s">
        <v>2033</v>
      </c>
    </row>
    <row r="629" spans="1:13">
      <c r="A629" s="151"/>
      <c r="B629" s="174" t="s">
        <v>2034</v>
      </c>
      <c r="C629" s="174" t="s">
        <v>349</v>
      </c>
      <c r="D629" s="174" t="s">
        <v>1633</v>
      </c>
      <c r="E629" s="174" t="s">
        <v>2024</v>
      </c>
      <c r="F629" s="175" t="s">
        <v>2015</v>
      </c>
      <c r="G629" s="176" t="s">
        <v>524</v>
      </c>
      <c r="H629" s="177">
        <v>1</v>
      </c>
      <c r="I629" s="176">
        <f t="shared" si="8"/>
        <v>48</v>
      </c>
      <c r="J629" s="174">
        <v>1</v>
      </c>
      <c r="K629" s="174">
        <v>28</v>
      </c>
      <c r="L629" s="174">
        <v>23</v>
      </c>
      <c r="M629" s="174" t="s">
        <v>2034</v>
      </c>
    </row>
    <row r="630" spans="1:13" ht="15">
      <c r="A630" s="151"/>
      <c r="B630" s="174" t="s">
        <v>2035</v>
      </c>
      <c r="C630" s="174" t="s">
        <v>349</v>
      </c>
      <c r="D630" s="174" t="s">
        <v>1637</v>
      </c>
      <c r="E630" s="174" t="s">
        <v>2036</v>
      </c>
      <c r="F630" s="175" t="s">
        <v>2037</v>
      </c>
      <c r="G630" s="176" t="s">
        <v>557</v>
      </c>
      <c r="H630" s="176">
        <v>1</v>
      </c>
      <c r="I630" s="176">
        <f t="shared" si="8"/>
        <v>48</v>
      </c>
      <c r="J630" s="174">
        <v>1</v>
      </c>
      <c r="K630" s="174">
        <v>110</v>
      </c>
      <c r="L630" s="174">
        <v>135</v>
      </c>
      <c r="M630" s="183" t="s">
        <v>1880</v>
      </c>
    </row>
    <row r="631" spans="1:13" ht="15">
      <c r="A631" s="151"/>
      <c r="B631" s="174" t="s">
        <v>2038</v>
      </c>
      <c r="C631" s="174" t="s">
        <v>349</v>
      </c>
      <c r="D631" s="174" t="s">
        <v>2039</v>
      </c>
      <c r="E631" s="174" t="s">
        <v>2040</v>
      </c>
      <c r="F631" s="175" t="s">
        <v>2041</v>
      </c>
      <c r="G631" s="176" t="s">
        <v>557</v>
      </c>
      <c r="H631" s="176">
        <v>1</v>
      </c>
      <c r="I631" s="176">
        <f t="shared" si="8"/>
        <v>48</v>
      </c>
      <c r="J631" s="174">
        <v>1</v>
      </c>
      <c r="K631" s="174">
        <v>40</v>
      </c>
      <c r="L631" s="174">
        <v>51</v>
      </c>
      <c r="M631" s="183" t="s">
        <v>1880</v>
      </c>
    </row>
    <row r="632" spans="1:13" ht="15">
      <c r="A632" s="151"/>
      <c r="B632" s="174" t="s">
        <v>2042</v>
      </c>
      <c r="C632" s="174" t="s">
        <v>349</v>
      </c>
      <c r="D632" s="174" t="s">
        <v>1637</v>
      </c>
      <c r="E632" s="174" t="s">
        <v>1878</v>
      </c>
      <c r="F632" s="175" t="s">
        <v>2043</v>
      </c>
      <c r="G632" s="176" t="s">
        <v>1192</v>
      </c>
      <c r="H632" s="176">
        <v>1</v>
      </c>
      <c r="I632" s="176">
        <f t="shared" si="8"/>
        <v>48</v>
      </c>
      <c r="J632" s="174">
        <v>2</v>
      </c>
      <c r="K632" s="174">
        <v>34</v>
      </c>
      <c r="L632" s="174">
        <v>72</v>
      </c>
      <c r="M632" s="183" t="s">
        <v>2044</v>
      </c>
    </row>
    <row r="633" spans="1:13" ht="15">
      <c r="A633" s="151"/>
      <c r="B633" s="174" t="s">
        <v>2045</v>
      </c>
      <c r="C633" s="174" t="s">
        <v>349</v>
      </c>
      <c r="D633" s="174" t="s">
        <v>1637</v>
      </c>
      <c r="E633" s="174" t="s">
        <v>1878</v>
      </c>
      <c r="F633" s="175" t="s">
        <v>2046</v>
      </c>
      <c r="G633" s="176" t="s">
        <v>1192</v>
      </c>
      <c r="H633" s="176">
        <v>2</v>
      </c>
      <c r="I633" s="176">
        <f t="shared" si="8"/>
        <v>48</v>
      </c>
      <c r="J633" s="174">
        <v>2</v>
      </c>
      <c r="K633" s="174">
        <v>34</v>
      </c>
      <c r="L633" s="174">
        <v>76</v>
      </c>
      <c r="M633" s="183" t="s">
        <v>2044</v>
      </c>
    </row>
    <row r="634" spans="1:13" ht="15">
      <c r="A634" s="151"/>
      <c r="B634" s="174" t="s">
        <v>2047</v>
      </c>
      <c r="C634" s="174" t="s">
        <v>349</v>
      </c>
      <c r="D634" s="174" t="s">
        <v>1637</v>
      </c>
      <c r="E634" s="174" t="s">
        <v>1886</v>
      </c>
      <c r="F634" s="175" t="s">
        <v>2048</v>
      </c>
      <c r="G634" s="176" t="s">
        <v>557</v>
      </c>
      <c r="H634" s="176">
        <v>1</v>
      </c>
      <c r="I634" s="176">
        <f t="shared" si="8"/>
        <v>48</v>
      </c>
      <c r="J634" s="174">
        <v>2</v>
      </c>
      <c r="K634" s="174">
        <v>55</v>
      </c>
      <c r="L634" s="174">
        <v>135</v>
      </c>
      <c r="M634" s="183" t="s">
        <v>2044</v>
      </c>
    </row>
    <row r="635" spans="1:13" ht="15">
      <c r="A635" s="151"/>
      <c r="B635" s="174" t="s">
        <v>2049</v>
      </c>
      <c r="C635" s="174" t="s">
        <v>349</v>
      </c>
      <c r="D635" s="174" t="s">
        <v>1637</v>
      </c>
      <c r="E635" s="174" t="s">
        <v>1889</v>
      </c>
      <c r="F635" s="175" t="s">
        <v>2050</v>
      </c>
      <c r="G635" s="176" t="s">
        <v>557</v>
      </c>
      <c r="H635" s="176">
        <v>1</v>
      </c>
      <c r="I635" s="176">
        <f t="shared" si="8"/>
        <v>48</v>
      </c>
      <c r="J635" s="174">
        <v>2</v>
      </c>
      <c r="K635" s="174">
        <v>30</v>
      </c>
      <c r="L635" s="174">
        <v>82</v>
      </c>
      <c r="M635" s="183" t="s">
        <v>2044</v>
      </c>
    </row>
    <row r="636" spans="1:13" ht="15">
      <c r="A636" s="151"/>
      <c r="B636" s="174" t="s">
        <v>2051</v>
      </c>
      <c r="C636" s="174" t="s">
        <v>349</v>
      </c>
      <c r="D636" s="174" t="s">
        <v>1637</v>
      </c>
      <c r="E636" s="174" t="s">
        <v>1878</v>
      </c>
      <c r="F636" s="175" t="s">
        <v>2052</v>
      </c>
      <c r="G636" s="176" t="s">
        <v>524</v>
      </c>
      <c r="H636" s="176">
        <v>1</v>
      </c>
      <c r="I636" s="176">
        <f t="shared" si="8"/>
        <v>48</v>
      </c>
      <c r="J636" s="174">
        <v>2</v>
      </c>
      <c r="K636" s="174">
        <v>34</v>
      </c>
      <c r="L636" s="174">
        <v>60</v>
      </c>
      <c r="M636" s="183" t="s">
        <v>2044</v>
      </c>
    </row>
    <row r="637" spans="1:13" ht="15">
      <c r="A637" s="151"/>
      <c r="B637" s="174" t="s">
        <v>2053</v>
      </c>
      <c r="C637" s="174" t="s">
        <v>349</v>
      </c>
      <c r="D637" s="174" t="s">
        <v>1637</v>
      </c>
      <c r="E637" s="174" t="s">
        <v>1878</v>
      </c>
      <c r="F637" s="175" t="s">
        <v>2043</v>
      </c>
      <c r="G637" s="176" t="s">
        <v>557</v>
      </c>
      <c r="H637" s="176">
        <v>1</v>
      </c>
      <c r="I637" s="176">
        <f t="shared" si="8"/>
        <v>48</v>
      </c>
      <c r="J637" s="174">
        <v>2</v>
      </c>
      <c r="K637" s="174">
        <v>34</v>
      </c>
      <c r="L637" s="174">
        <v>80</v>
      </c>
      <c r="M637" s="183" t="s">
        <v>2044</v>
      </c>
    </row>
    <row r="638" spans="1:13" ht="15">
      <c r="A638" s="151"/>
      <c r="B638" s="174" t="s">
        <v>2054</v>
      </c>
      <c r="C638" s="174" t="s">
        <v>349</v>
      </c>
      <c r="D638" s="174" t="s">
        <v>1637</v>
      </c>
      <c r="E638" s="174" t="s">
        <v>1897</v>
      </c>
      <c r="F638" s="175" t="s">
        <v>2055</v>
      </c>
      <c r="G638" s="176" t="s">
        <v>557</v>
      </c>
      <c r="H638" s="176">
        <v>1</v>
      </c>
      <c r="I638" s="176">
        <f t="shared" si="8"/>
        <v>48</v>
      </c>
      <c r="J638" s="174">
        <v>2</v>
      </c>
      <c r="K638" s="174"/>
      <c r="L638" s="174">
        <v>210</v>
      </c>
      <c r="M638" s="183" t="s">
        <v>2044</v>
      </c>
    </row>
    <row r="639" spans="1:13">
      <c r="A639" s="151"/>
      <c r="B639" s="174" t="s">
        <v>2056</v>
      </c>
      <c r="C639" s="174" t="s">
        <v>349</v>
      </c>
      <c r="D639" s="174" t="s">
        <v>1645</v>
      </c>
      <c r="E639" s="174" t="s">
        <v>1873</v>
      </c>
      <c r="F639" s="175" t="s">
        <v>2057</v>
      </c>
      <c r="G639" s="176" t="s">
        <v>524</v>
      </c>
      <c r="H639" s="184">
        <v>1</v>
      </c>
      <c r="I639" s="176">
        <f t="shared" si="8"/>
        <v>48</v>
      </c>
      <c r="J639" s="174">
        <v>2</v>
      </c>
      <c r="K639" s="174">
        <v>54</v>
      </c>
      <c r="L639" s="174">
        <v>117</v>
      </c>
      <c r="M639" s="174" t="s">
        <v>2056</v>
      </c>
    </row>
    <row r="640" spans="1:13">
      <c r="A640" s="151"/>
      <c r="B640" s="182" t="s">
        <v>2058</v>
      </c>
      <c r="C640" s="174" t="s">
        <v>349</v>
      </c>
      <c r="D640" s="174" t="s">
        <v>1645</v>
      </c>
      <c r="E640" s="182" t="s">
        <v>1902</v>
      </c>
      <c r="F640" s="181" t="s">
        <v>2059</v>
      </c>
      <c r="G640" s="184" t="s">
        <v>524</v>
      </c>
      <c r="H640" s="176">
        <v>1</v>
      </c>
      <c r="I640" s="176">
        <f t="shared" si="8"/>
        <v>48</v>
      </c>
      <c r="J640" s="182">
        <v>2</v>
      </c>
      <c r="K640" s="182">
        <v>54</v>
      </c>
      <c r="L640" s="182">
        <v>118</v>
      </c>
      <c r="M640" s="182" t="s">
        <v>2058</v>
      </c>
    </row>
    <row r="641" spans="1:13" ht="15">
      <c r="A641" s="151"/>
      <c r="B641" s="174" t="s">
        <v>2060</v>
      </c>
      <c r="C641" s="174" t="s">
        <v>349</v>
      </c>
      <c r="D641" s="174" t="s">
        <v>1637</v>
      </c>
      <c r="E641" s="174" t="s">
        <v>1905</v>
      </c>
      <c r="F641" s="175" t="s">
        <v>2061</v>
      </c>
      <c r="G641" s="176" t="s">
        <v>524</v>
      </c>
      <c r="H641" s="176">
        <v>1</v>
      </c>
      <c r="I641" s="176">
        <f t="shared" si="8"/>
        <v>48</v>
      </c>
      <c r="J641" s="174">
        <v>2</v>
      </c>
      <c r="K641" s="174">
        <v>28</v>
      </c>
      <c r="L641" s="174">
        <v>63</v>
      </c>
      <c r="M641" s="183" t="s">
        <v>2044</v>
      </c>
    </row>
    <row r="642" spans="1:13" ht="15">
      <c r="A642" s="151"/>
      <c r="B642" s="174" t="s">
        <v>2062</v>
      </c>
      <c r="C642" s="174" t="s">
        <v>349</v>
      </c>
      <c r="D642" s="174" t="s">
        <v>1637</v>
      </c>
      <c r="E642" s="174" t="s">
        <v>1908</v>
      </c>
      <c r="F642" s="175" t="s">
        <v>2063</v>
      </c>
      <c r="G642" s="174" t="s">
        <v>524</v>
      </c>
      <c r="H642" s="176">
        <v>1</v>
      </c>
      <c r="I642" s="176">
        <f t="shared" si="8"/>
        <v>48</v>
      </c>
      <c r="J642" s="174">
        <v>2</v>
      </c>
      <c r="K642" s="174">
        <v>25</v>
      </c>
      <c r="L642" s="185">
        <v>40</v>
      </c>
      <c r="M642" s="183" t="s">
        <v>2044</v>
      </c>
    </row>
    <row r="643" spans="1:13" ht="15">
      <c r="A643" s="151"/>
      <c r="B643" s="174" t="s">
        <v>2064</v>
      </c>
      <c r="C643" s="174" t="s">
        <v>349</v>
      </c>
      <c r="D643" s="174" t="s">
        <v>1637</v>
      </c>
      <c r="E643" s="174" t="s">
        <v>1908</v>
      </c>
      <c r="F643" s="175" t="s">
        <v>2065</v>
      </c>
      <c r="G643" s="174" t="s">
        <v>524</v>
      </c>
      <c r="H643" s="176">
        <v>1</v>
      </c>
      <c r="I643" s="176">
        <f t="shared" si="8"/>
        <v>48</v>
      </c>
      <c r="J643" s="174">
        <v>2</v>
      </c>
      <c r="K643" s="174">
        <v>25</v>
      </c>
      <c r="L643" s="185">
        <v>39</v>
      </c>
      <c r="M643" s="183" t="s">
        <v>2044</v>
      </c>
    </row>
    <row r="644" spans="1:13">
      <c r="A644" s="151"/>
      <c r="B644" s="174" t="s">
        <v>2044</v>
      </c>
      <c r="C644" s="174" t="s">
        <v>349</v>
      </c>
      <c r="D644" s="174" t="s">
        <v>1633</v>
      </c>
      <c r="E644" s="174" t="s">
        <v>1914</v>
      </c>
      <c r="F644" s="175" t="s">
        <v>2066</v>
      </c>
      <c r="G644" s="176" t="s">
        <v>524</v>
      </c>
      <c r="H644" s="177">
        <v>1</v>
      </c>
      <c r="I644" s="176">
        <f t="shared" si="8"/>
        <v>48</v>
      </c>
      <c r="J644" s="174">
        <v>2</v>
      </c>
      <c r="K644" s="174">
        <v>32</v>
      </c>
      <c r="L644" s="174">
        <v>59</v>
      </c>
      <c r="M644" s="174" t="s">
        <v>2044</v>
      </c>
    </row>
    <row r="645" spans="1:13">
      <c r="A645" s="151"/>
      <c r="B645" s="174" t="s">
        <v>2067</v>
      </c>
      <c r="C645" s="174" t="s">
        <v>349</v>
      </c>
      <c r="D645" s="174" t="s">
        <v>1633</v>
      </c>
      <c r="E645" s="174" t="s">
        <v>1914</v>
      </c>
      <c r="F645" s="175" t="s">
        <v>2068</v>
      </c>
      <c r="G645" s="176" t="s">
        <v>524</v>
      </c>
      <c r="H645" s="177">
        <v>1</v>
      </c>
      <c r="I645" s="176">
        <f t="shared" si="8"/>
        <v>48</v>
      </c>
      <c r="J645" s="174">
        <v>2</v>
      </c>
      <c r="K645" s="174">
        <v>32</v>
      </c>
      <c r="L645" s="174">
        <v>56</v>
      </c>
      <c r="M645" s="174" t="s">
        <v>2067</v>
      </c>
    </row>
    <row r="646" spans="1:13">
      <c r="A646" s="151"/>
      <c r="B646" s="174" t="s">
        <v>2069</v>
      </c>
      <c r="C646" s="174" t="s">
        <v>349</v>
      </c>
      <c r="D646" s="174" t="s">
        <v>1633</v>
      </c>
      <c r="E646" s="174" t="s">
        <v>1914</v>
      </c>
      <c r="F646" s="175" t="s">
        <v>2070</v>
      </c>
      <c r="G646" s="176" t="s">
        <v>524</v>
      </c>
      <c r="H646" s="177">
        <v>1</v>
      </c>
      <c r="I646" s="176">
        <f t="shared" si="8"/>
        <v>48</v>
      </c>
      <c r="J646" s="174">
        <v>2</v>
      </c>
      <c r="K646" s="174">
        <v>32</v>
      </c>
      <c r="L646" s="174">
        <v>51</v>
      </c>
      <c r="M646" s="174" t="s">
        <v>2069</v>
      </c>
    </row>
    <row r="647" spans="1:13">
      <c r="A647" s="151"/>
      <c r="B647" s="174" t="s">
        <v>2071</v>
      </c>
      <c r="C647" s="174" t="s">
        <v>349</v>
      </c>
      <c r="D647" s="174" t="s">
        <v>1633</v>
      </c>
      <c r="E647" s="174" t="s">
        <v>1914</v>
      </c>
      <c r="F647" s="175" t="s">
        <v>2072</v>
      </c>
      <c r="G647" s="176" t="s">
        <v>524</v>
      </c>
      <c r="H647" s="177">
        <v>1</v>
      </c>
      <c r="I647" s="176">
        <f t="shared" si="8"/>
        <v>48</v>
      </c>
      <c r="J647" s="174">
        <v>2</v>
      </c>
      <c r="K647" s="174">
        <v>32</v>
      </c>
      <c r="L647" s="174">
        <v>65</v>
      </c>
      <c r="M647" s="174" t="s">
        <v>2071</v>
      </c>
    </row>
    <row r="648" spans="1:13">
      <c r="A648" s="151"/>
      <c r="B648" s="174" t="s">
        <v>2073</v>
      </c>
      <c r="C648" s="174" t="s">
        <v>349</v>
      </c>
      <c r="D648" s="174" t="s">
        <v>1633</v>
      </c>
      <c r="E648" s="174" t="s">
        <v>1914</v>
      </c>
      <c r="F648" s="175" t="s">
        <v>2074</v>
      </c>
      <c r="G648" s="176" t="s">
        <v>524</v>
      </c>
      <c r="H648" s="177">
        <v>1</v>
      </c>
      <c r="I648" s="176">
        <f t="shared" si="8"/>
        <v>48</v>
      </c>
      <c r="J648" s="174">
        <v>2</v>
      </c>
      <c r="K648" s="174">
        <v>32</v>
      </c>
      <c r="L648" s="174">
        <v>52</v>
      </c>
      <c r="M648" s="174" t="s">
        <v>2073</v>
      </c>
    </row>
    <row r="649" spans="1:13">
      <c r="A649" s="151"/>
      <c r="B649" s="174" t="s">
        <v>2075</v>
      </c>
      <c r="C649" s="174" t="s">
        <v>349</v>
      </c>
      <c r="D649" s="174" t="s">
        <v>1633</v>
      </c>
      <c r="E649" s="174" t="s">
        <v>1914</v>
      </c>
      <c r="F649" s="175" t="s">
        <v>2076</v>
      </c>
      <c r="G649" s="176" t="s">
        <v>524</v>
      </c>
      <c r="H649" s="177">
        <v>1</v>
      </c>
      <c r="I649" s="176">
        <f t="shared" si="8"/>
        <v>48</v>
      </c>
      <c r="J649" s="174">
        <v>2</v>
      </c>
      <c r="K649" s="174">
        <v>32</v>
      </c>
      <c r="L649" s="174">
        <v>79</v>
      </c>
      <c r="M649" s="174" t="s">
        <v>2075</v>
      </c>
    </row>
    <row r="650" spans="1:13">
      <c r="A650" s="151"/>
      <c r="B650" s="174" t="s">
        <v>2077</v>
      </c>
      <c r="C650" s="174" t="s">
        <v>349</v>
      </c>
      <c r="D650" s="174" t="s">
        <v>1633</v>
      </c>
      <c r="E650" s="174" t="s">
        <v>1914</v>
      </c>
      <c r="F650" s="175" t="s">
        <v>2078</v>
      </c>
      <c r="G650" s="176" t="s">
        <v>1192</v>
      </c>
      <c r="H650" s="177">
        <v>1</v>
      </c>
      <c r="I650" s="176">
        <f t="shared" si="8"/>
        <v>48</v>
      </c>
      <c r="J650" s="174">
        <v>2</v>
      </c>
      <c r="K650" s="174">
        <v>32</v>
      </c>
      <c r="L650" s="174">
        <v>71</v>
      </c>
      <c r="M650" s="174" t="s">
        <v>2077</v>
      </c>
    </row>
    <row r="651" spans="1:13">
      <c r="A651" s="151"/>
      <c r="B651" s="174" t="s">
        <v>2079</v>
      </c>
      <c r="C651" s="174" t="s">
        <v>349</v>
      </c>
      <c r="D651" s="174" t="s">
        <v>1633</v>
      </c>
      <c r="E651" s="174" t="s">
        <v>1914</v>
      </c>
      <c r="F651" s="175" t="s">
        <v>2080</v>
      </c>
      <c r="G651" s="176" t="s">
        <v>524</v>
      </c>
      <c r="H651" s="177">
        <v>1</v>
      </c>
      <c r="I651" s="176">
        <f t="shared" si="8"/>
        <v>48</v>
      </c>
      <c r="J651" s="174">
        <v>2</v>
      </c>
      <c r="K651" s="174">
        <v>32</v>
      </c>
      <c r="L651" s="174">
        <v>60</v>
      </c>
      <c r="M651" s="174" t="s">
        <v>2079</v>
      </c>
    </row>
    <row r="652" spans="1:13">
      <c r="A652" s="151"/>
      <c r="B652" s="174" t="s">
        <v>2081</v>
      </c>
      <c r="C652" s="174" t="s">
        <v>349</v>
      </c>
      <c r="D652" s="174" t="s">
        <v>1633</v>
      </c>
      <c r="E652" s="174" t="s">
        <v>1914</v>
      </c>
      <c r="F652" s="175" t="s">
        <v>2082</v>
      </c>
      <c r="G652" s="176" t="s">
        <v>524</v>
      </c>
      <c r="H652" s="177">
        <v>1</v>
      </c>
      <c r="I652" s="176">
        <f t="shared" si="8"/>
        <v>48</v>
      </c>
      <c r="J652" s="174">
        <v>2</v>
      </c>
      <c r="K652" s="174">
        <v>32</v>
      </c>
      <c r="L652" s="174">
        <v>59</v>
      </c>
      <c r="M652" s="174" t="s">
        <v>2081</v>
      </c>
    </row>
    <row r="653" spans="1:13">
      <c r="A653" s="151"/>
      <c r="B653" s="174" t="s">
        <v>2083</v>
      </c>
      <c r="C653" s="174" t="s">
        <v>349</v>
      </c>
      <c r="D653" s="174" t="s">
        <v>1633</v>
      </c>
      <c r="E653" s="174" t="s">
        <v>1914</v>
      </c>
      <c r="F653" s="175" t="s">
        <v>2084</v>
      </c>
      <c r="G653" s="176" t="s">
        <v>524</v>
      </c>
      <c r="H653" s="177">
        <v>1</v>
      </c>
      <c r="I653" s="176">
        <f t="shared" si="8"/>
        <v>48</v>
      </c>
      <c r="J653" s="174">
        <v>2</v>
      </c>
      <c r="K653" s="174">
        <v>32</v>
      </c>
      <c r="L653" s="174">
        <v>53</v>
      </c>
      <c r="M653" s="174" t="s">
        <v>2083</v>
      </c>
    </row>
    <row r="654" spans="1:13">
      <c r="A654" s="151"/>
      <c r="B654" s="174" t="s">
        <v>2085</v>
      </c>
      <c r="C654" s="174" t="s">
        <v>349</v>
      </c>
      <c r="D654" s="174" t="s">
        <v>1633</v>
      </c>
      <c r="E654" s="174" t="s">
        <v>1914</v>
      </c>
      <c r="F654" s="175" t="s">
        <v>2086</v>
      </c>
      <c r="G654" s="176" t="s">
        <v>524</v>
      </c>
      <c r="H654" s="177">
        <v>1</v>
      </c>
      <c r="I654" s="176">
        <f t="shared" si="8"/>
        <v>48</v>
      </c>
      <c r="J654" s="174">
        <v>2</v>
      </c>
      <c r="K654" s="174">
        <v>32</v>
      </c>
      <c r="L654" s="174">
        <v>70</v>
      </c>
      <c r="M654" s="174" t="s">
        <v>2085</v>
      </c>
    </row>
    <row r="655" spans="1:13">
      <c r="A655" s="151"/>
      <c r="B655" s="174" t="s">
        <v>2087</v>
      </c>
      <c r="C655" s="174" t="s">
        <v>349</v>
      </c>
      <c r="D655" s="174" t="s">
        <v>1633</v>
      </c>
      <c r="E655" s="174" t="s">
        <v>1914</v>
      </c>
      <c r="F655" s="175" t="s">
        <v>2088</v>
      </c>
      <c r="G655" s="176" t="s">
        <v>524</v>
      </c>
      <c r="H655" s="177">
        <v>1</v>
      </c>
      <c r="I655" s="176">
        <f t="shared" si="8"/>
        <v>48</v>
      </c>
      <c r="J655" s="174">
        <v>2</v>
      </c>
      <c r="K655" s="174">
        <v>32</v>
      </c>
      <c r="L655" s="174">
        <v>54</v>
      </c>
      <c r="M655" s="174" t="s">
        <v>2087</v>
      </c>
    </row>
    <row r="656" spans="1:13">
      <c r="A656" s="151"/>
      <c r="B656" s="174" t="s">
        <v>2089</v>
      </c>
      <c r="C656" s="174" t="s">
        <v>349</v>
      </c>
      <c r="D656" s="174" t="s">
        <v>1633</v>
      </c>
      <c r="E656" s="174" t="s">
        <v>1914</v>
      </c>
      <c r="F656" s="175" t="s">
        <v>2090</v>
      </c>
      <c r="G656" s="176" t="s">
        <v>524</v>
      </c>
      <c r="H656" s="177">
        <v>1</v>
      </c>
      <c r="I656" s="176">
        <f t="shared" si="8"/>
        <v>48</v>
      </c>
      <c r="J656" s="174">
        <v>2</v>
      </c>
      <c r="K656" s="174">
        <v>32</v>
      </c>
      <c r="L656" s="174">
        <v>85</v>
      </c>
      <c r="M656" s="174" t="s">
        <v>2089</v>
      </c>
    </row>
    <row r="657" spans="1:13">
      <c r="A657" s="151"/>
      <c r="B657" s="182" t="s">
        <v>2091</v>
      </c>
      <c r="C657" s="174" t="s">
        <v>349</v>
      </c>
      <c r="D657" s="174" t="s">
        <v>1633</v>
      </c>
      <c r="E657" s="182" t="s">
        <v>1755</v>
      </c>
      <c r="F657" s="181" t="s">
        <v>2092</v>
      </c>
      <c r="G657" s="184" t="s">
        <v>524</v>
      </c>
      <c r="H657" s="177">
        <v>1</v>
      </c>
      <c r="I657" s="176">
        <f t="shared" si="8"/>
        <v>48</v>
      </c>
      <c r="J657" s="182">
        <v>2</v>
      </c>
      <c r="K657" s="182">
        <v>25</v>
      </c>
      <c r="L657" s="182">
        <v>43</v>
      </c>
      <c r="M657" s="182" t="s">
        <v>2091</v>
      </c>
    </row>
    <row r="658" spans="1:13">
      <c r="A658" s="151"/>
      <c r="B658" s="182" t="s">
        <v>2093</v>
      </c>
      <c r="C658" s="174" t="s">
        <v>349</v>
      </c>
      <c r="D658" s="174" t="s">
        <v>1633</v>
      </c>
      <c r="E658" s="182" t="s">
        <v>1755</v>
      </c>
      <c r="F658" s="181" t="s">
        <v>2094</v>
      </c>
      <c r="G658" s="184" t="s">
        <v>524</v>
      </c>
      <c r="H658" s="177">
        <v>1</v>
      </c>
      <c r="I658" s="176">
        <f t="shared" si="8"/>
        <v>48</v>
      </c>
      <c r="J658" s="182">
        <v>2</v>
      </c>
      <c r="K658" s="182">
        <v>25</v>
      </c>
      <c r="L658" s="182">
        <v>43</v>
      </c>
      <c r="M658" s="182" t="s">
        <v>2093</v>
      </c>
    </row>
    <row r="659" spans="1:13">
      <c r="A659" s="151"/>
      <c r="B659" s="182" t="s">
        <v>2095</v>
      </c>
      <c r="C659" s="174" t="s">
        <v>349</v>
      </c>
      <c r="D659" s="174" t="s">
        <v>1633</v>
      </c>
      <c r="E659" s="182" t="s">
        <v>1755</v>
      </c>
      <c r="F659" s="181" t="s">
        <v>2096</v>
      </c>
      <c r="G659" s="184" t="s">
        <v>524</v>
      </c>
      <c r="H659" s="177">
        <v>1</v>
      </c>
      <c r="I659" s="176">
        <f t="shared" si="8"/>
        <v>48</v>
      </c>
      <c r="J659" s="182">
        <v>2</v>
      </c>
      <c r="K659" s="182">
        <v>25</v>
      </c>
      <c r="L659" s="182">
        <v>58</v>
      </c>
      <c r="M659" s="182" t="s">
        <v>2095</v>
      </c>
    </row>
    <row r="660" spans="1:13">
      <c r="A660" s="151"/>
      <c r="B660" s="182" t="s">
        <v>2097</v>
      </c>
      <c r="C660" s="174" t="s">
        <v>349</v>
      </c>
      <c r="D660" s="174" t="s">
        <v>1633</v>
      </c>
      <c r="E660" s="182" t="s">
        <v>1755</v>
      </c>
      <c r="F660" s="181" t="s">
        <v>2098</v>
      </c>
      <c r="G660" s="184" t="s">
        <v>524</v>
      </c>
      <c r="H660" s="177">
        <v>1</v>
      </c>
      <c r="I660" s="176">
        <f t="shared" si="8"/>
        <v>48</v>
      </c>
      <c r="J660" s="182">
        <v>2</v>
      </c>
      <c r="K660" s="182">
        <v>25</v>
      </c>
      <c r="L660" s="182">
        <v>58</v>
      </c>
      <c r="M660" s="182" t="s">
        <v>2097</v>
      </c>
    </row>
    <row r="661" spans="1:13">
      <c r="A661" s="151"/>
      <c r="B661" s="182" t="s">
        <v>2099</v>
      </c>
      <c r="C661" s="174" t="s">
        <v>349</v>
      </c>
      <c r="D661" s="174" t="s">
        <v>1633</v>
      </c>
      <c r="E661" s="182" t="s">
        <v>1755</v>
      </c>
      <c r="F661" s="181" t="s">
        <v>2100</v>
      </c>
      <c r="G661" s="184" t="s">
        <v>524</v>
      </c>
      <c r="H661" s="177">
        <v>1</v>
      </c>
      <c r="I661" s="176">
        <f t="shared" si="8"/>
        <v>48</v>
      </c>
      <c r="J661" s="182">
        <v>2</v>
      </c>
      <c r="K661" s="182">
        <v>25</v>
      </c>
      <c r="L661" s="182">
        <v>38</v>
      </c>
      <c r="M661" s="182" t="s">
        <v>2099</v>
      </c>
    </row>
    <row r="662" spans="1:13">
      <c r="A662" s="151"/>
      <c r="B662" s="182" t="s">
        <v>2101</v>
      </c>
      <c r="C662" s="174" t="s">
        <v>349</v>
      </c>
      <c r="D662" s="174" t="s">
        <v>1633</v>
      </c>
      <c r="E662" s="182" t="s">
        <v>1755</v>
      </c>
      <c r="F662" s="181" t="s">
        <v>2102</v>
      </c>
      <c r="G662" s="184" t="s">
        <v>524</v>
      </c>
      <c r="H662" s="177">
        <v>1</v>
      </c>
      <c r="I662" s="176">
        <f t="shared" si="8"/>
        <v>48</v>
      </c>
      <c r="J662" s="182">
        <v>2</v>
      </c>
      <c r="K662" s="182">
        <v>25</v>
      </c>
      <c r="L662" s="182">
        <v>38</v>
      </c>
      <c r="M662" s="182" t="s">
        <v>2101</v>
      </c>
    </row>
    <row r="663" spans="1:13" ht="15">
      <c r="A663" s="151"/>
      <c r="B663" s="174" t="s">
        <v>2103</v>
      </c>
      <c r="C663" s="174" t="s">
        <v>349</v>
      </c>
      <c r="D663" s="174" t="s">
        <v>1637</v>
      </c>
      <c r="E663" s="174" t="s">
        <v>1983</v>
      </c>
      <c r="F663" s="175" t="s">
        <v>2104</v>
      </c>
      <c r="G663" s="176" t="s">
        <v>1192</v>
      </c>
      <c r="H663" s="176">
        <v>1</v>
      </c>
      <c r="I663" s="176">
        <f t="shared" si="8"/>
        <v>48</v>
      </c>
      <c r="J663" s="174">
        <v>2</v>
      </c>
      <c r="K663" s="174">
        <v>40</v>
      </c>
      <c r="L663" s="174">
        <v>86</v>
      </c>
      <c r="M663" s="183" t="s">
        <v>2044</v>
      </c>
    </row>
    <row r="664" spans="1:13" ht="15">
      <c r="A664" s="151"/>
      <c r="B664" s="174" t="s">
        <v>2105</v>
      </c>
      <c r="C664" s="174" t="s">
        <v>349</v>
      </c>
      <c r="D664" s="174" t="s">
        <v>1637</v>
      </c>
      <c r="E664" s="174" t="s">
        <v>1986</v>
      </c>
      <c r="F664" s="175" t="s">
        <v>2106</v>
      </c>
      <c r="G664" s="176" t="s">
        <v>557</v>
      </c>
      <c r="H664" s="176">
        <v>1</v>
      </c>
      <c r="I664" s="176">
        <f t="shared" si="8"/>
        <v>48</v>
      </c>
      <c r="J664" s="174">
        <v>2</v>
      </c>
      <c r="K664" s="174">
        <v>60</v>
      </c>
      <c r="L664" s="174">
        <v>145</v>
      </c>
      <c r="M664" s="183" t="s">
        <v>2044</v>
      </c>
    </row>
    <row r="665" spans="1:13" ht="15">
      <c r="A665" s="151"/>
      <c r="B665" s="174" t="s">
        <v>2107</v>
      </c>
      <c r="C665" s="174" t="s">
        <v>349</v>
      </c>
      <c r="D665" s="174" t="s">
        <v>1637</v>
      </c>
      <c r="E665" s="174" t="s">
        <v>1989</v>
      </c>
      <c r="F665" s="175" t="s">
        <v>2108</v>
      </c>
      <c r="G665" s="176" t="s">
        <v>524</v>
      </c>
      <c r="H665" s="176">
        <v>1</v>
      </c>
      <c r="I665" s="176">
        <f t="shared" si="8"/>
        <v>48</v>
      </c>
      <c r="J665" s="174">
        <v>2</v>
      </c>
      <c r="K665" s="174">
        <v>39</v>
      </c>
      <c r="L665" s="174">
        <v>74</v>
      </c>
      <c r="M665" s="183" t="s">
        <v>2044</v>
      </c>
    </row>
    <row r="666" spans="1:13">
      <c r="A666" s="151"/>
      <c r="B666" s="174" t="s">
        <v>2109</v>
      </c>
      <c r="C666" s="174" t="s">
        <v>349</v>
      </c>
      <c r="D666" s="174" t="s">
        <v>1633</v>
      </c>
      <c r="E666" s="174" t="s">
        <v>1994</v>
      </c>
      <c r="F666" s="175" t="s">
        <v>2110</v>
      </c>
      <c r="G666" s="176" t="s">
        <v>524</v>
      </c>
      <c r="H666" s="177">
        <v>1</v>
      </c>
      <c r="I666" s="176">
        <f t="shared" si="8"/>
        <v>48</v>
      </c>
      <c r="J666" s="174">
        <v>2</v>
      </c>
      <c r="K666" s="174">
        <v>30</v>
      </c>
      <c r="L666" s="174">
        <v>53</v>
      </c>
      <c r="M666" s="174" t="s">
        <v>2109</v>
      </c>
    </row>
    <row r="667" spans="1:13">
      <c r="A667" s="151"/>
      <c r="B667" s="174" t="s">
        <v>2111</v>
      </c>
      <c r="C667" s="174" t="s">
        <v>349</v>
      </c>
      <c r="D667" s="174" t="s">
        <v>1633</v>
      </c>
      <c r="E667" s="174" t="s">
        <v>1994</v>
      </c>
      <c r="F667" s="175" t="s">
        <v>2112</v>
      </c>
      <c r="G667" s="176" t="s">
        <v>524</v>
      </c>
      <c r="H667" s="177">
        <v>1</v>
      </c>
      <c r="I667" s="176">
        <f t="shared" si="8"/>
        <v>48</v>
      </c>
      <c r="J667" s="174">
        <v>2</v>
      </c>
      <c r="K667" s="174">
        <v>30</v>
      </c>
      <c r="L667" s="174">
        <v>52</v>
      </c>
      <c r="M667" s="174" t="s">
        <v>2113</v>
      </c>
    </row>
    <row r="668" spans="1:13">
      <c r="A668" s="151"/>
      <c r="B668" s="174" t="s">
        <v>2114</v>
      </c>
      <c r="C668" s="174" t="s">
        <v>349</v>
      </c>
      <c r="D668" s="174" t="s">
        <v>1633</v>
      </c>
      <c r="E668" s="174" t="s">
        <v>1994</v>
      </c>
      <c r="F668" s="175" t="s">
        <v>2115</v>
      </c>
      <c r="G668" s="176" t="s">
        <v>524</v>
      </c>
      <c r="H668" s="177">
        <v>1</v>
      </c>
      <c r="I668" s="176">
        <f t="shared" si="8"/>
        <v>48</v>
      </c>
      <c r="J668" s="174">
        <v>2</v>
      </c>
      <c r="K668" s="174">
        <v>30</v>
      </c>
      <c r="L668" s="174">
        <v>46</v>
      </c>
      <c r="M668" s="174" t="s">
        <v>2116</v>
      </c>
    </row>
    <row r="669" spans="1:13">
      <c r="A669" s="151"/>
      <c r="B669" s="174" t="s">
        <v>2117</v>
      </c>
      <c r="C669" s="174" t="s">
        <v>349</v>
      </c>
      <c r="D669" s="174" t="s">
        <v>1633</v>
      </c>
      <c r="E669" s="174" t="s">
        <v>1994</v>
      </c>
      <c r="F669" s="175" t="s">
        <v>2118</v>
      </c>
      <c r="G669" s="176" t="s">
        <v>524</v>
      </c>
      <c r="H669" s="177">
        <v>1</v>
      </c>
      <c r="I669" s="176">
        <f t="shared" si="8"/>
        <v>48</v>
      </c>
      <c r="J669" s="174">
        <v>2</v>
      </c>
      <c r="K669" s="174">
        <v>30</v>
      </c>
      <c r="L669" s="174">
        <v>72</v>
      </c>
      <c r="M669" s="174" t="s">
        <v>2117</v>
      </c>
    </row>
    <row r="670" spans="1:13">
      <c r="A670" s="151"/>
      <c r="B670" s="174" t="s">
        <v>2119</v>
      </c>
      <c r="C670" s="174" t="s">
        <v>349</v>
      </c>
      <c r="D670" s="174" t="s">
        <v>1633</v>
      </c>
      <c r="E670" s="174" t="s">
        <v>1994</v>
      </c>
      <c r="F670" s="175" t="s">
        <v>2120</v>
      </c>
      <c r="G670" s="176" t="s">
        <v>524</v>
      </c>
      <c r="H670" s="177">
        <v>1</v>
      </c>
      <c r="I670" s="176">
        <f t="shared" si="8"/>
        <v>48</v>
      </c>
      <c r="J670" s="174">
        <v>2</v>
      </c>
      <c r="K670" s="174">
        <v>30</v>
      </c>
      <c r="L670" s="174">
        <v>47</v>
      </c>
      <c r="M670" s="174" t="s">
        <v>2119</v>
      </c>
    </row>
    <row r="671" spans="1:13" ht="15">
      <c r="A671" s="151"/>
      <c r="B671" s="174" t="s">
        <v>2121</v>
      </c>
      <c r="C671" s="174" t="s">
        <v>349</v>
      </c>
      <c r="D671" s="174" t="s">
        <v>1637</v>
      </c>
      <c r="E671" s="174" t="s">
        <v>1989</v>
      </c>
      <c r="F671" s="175" t="s">
        <v>2122</v>
      </c>
      <c r="G671" s="176" t="s">
        <v>557</v>
      </c>
      <c r="H671" s="176">
        <v>1</v>
      </c>
      <c r="I671" s="176">
        <f t="shared" si="8"/>
        <v>48</v>
      </c>
      <c r="J671" s="174">
        <v>2</v>
      </c>
      <c r="K671" s="174">
        <v>39</v>
      </c>
      <c r="L671" s="174">
        <v>103</v>
      </c>
      <c r="M671" s="183" t="s">
        <v>2044</v>
      </c>
    </row>
    <row r="672" spans="1:13" ht="15">
      <c r="A672" s="151"/>
      <c r="B672" s="174" t="s">
        <v>2123</v>
      </c>
      <c r="C672" s="174" t="s">
        <v>349</v>
      </c>
      <c r="D672" s="174" t="s">
        <v>1637</v>
      </c>
      <c r="E672" s="174" t="s">
        <v>1983</v>
      </c>
      <c r="F672" s="175" t="s">
        <v>2104</v>
      </c>
      <c r="G672" s="176" t="s">
        <v>557</v>
      </c>
      <c r="H672" s="176">
        <v>1</v>
      </c>
      <c r="I672" s="176">
        <f t="shared" si="8"/>
        <v>48</v>
      </c>
      <c r="J672" s="174">
        <v>2</v>
      </c>
      <c r="K672" s="174">
        <v>40</v>
      </c>
      <c r="L672" s="174">
        <v>94</v>
      </c>
      <c r="M672" s="183" t="s">
        <v>2044</v>
      </c>
    </row>
    <row r="673" spans="1:13">
      <c r="A673" s="151"/>
      <c r="B673" s="174" t="s">
        <v>2124</v>
      </c>
      <c r="C673" s="174" t="s">
        <v>349</v>
      </c>
      <c r="D673" s="174" t="s">
        <v>1633</v>
      </c>
      <c r="E673" s="174" t="s">
        <v>2024</v>
      </c>
      <c r="F673" s="175" t="s">
        <v>2110</v>
      </c>
      <c r="G673" s="176" t="s">
        <v>524</v>
      </c>
      <c r="H673" s="177">
        <v>1</v>
      </c>
      <c r="I673" s="176">
        <f t="shared" si="8"/>
        <v>48</v>
      </c>
      <c r="J673" s="174">
        <v>2</v>
      </c>
      <c r="K673" s="174">
        <v>28</v>
      </c>
      <c r="L673" s="174">
        <v>48</v>
      </c>
      <c r="M673" s="174" t="s">
        <v>2124</v>
      </c>
    </row>
    <row r="674" spans="1:13">
      <c r="A674" s="151"/>
      <c r="B674" s="174" t="s">
        <v>2125</v>
      </c>
      <c r="C674" s="174" t="s">
        <v>349</v>
      </c>
      <c r="D674" s="174" t="s">
        <v>1633</v>
      </c>
      <c r="E674" s="174" t="s">
        <v>2024</v>
      </c>
      <c r="F674" s="175" t="s">
        <v>2112</v>
      </c>
      <c r="G674" s="176" t="s">
        <v>524</v>
      </c>
      <c r="H674" s="177">
        <v>1</v>
      </c>
      <c r="I674" s="176">
        <f t="shared" si="8"/>
        <v>48</v>
      </c>
      <c r="J674" s="174">
        <v>2</v>
      </c>
      <c r="K674" s="174">
        <v>28</v>
      </c>
      <c r="L674" s="174">
        <v>47</v>
      </c>
      <c r="M674" s="174" t="s">
        <v>2126</v>
      </c>
    </row>
    <row r="675" spans="1:13">
      <c r="A675" s="151"/>
      <c r="B675" s="174" t="s">
        <v>2127</v>
      </c>
      <c r="C675" s="174" t="s">
        <v>349</v>
      </c>
      <c r="D675" s="174" t="s">
        <v>1633</v>
      </c>
      <c r="E675" s="174" t="s">
        <v>2024</v>
      </c>
      <c r="F675" s="175" t="s">
        <v>2115</v>
      </c>
      <c r="G675" s="176" t="s">
        <v>524</v>
      </c>
      <c r="H675" s="177">
        <v>1</v>
      </c>
      <c r="I675" s="176">
        <f t="shared" si="8"/>
        <v>48</v>
      </c>
      <c r="J675" s="174">
        <v>2</v>
      </c>
      <c r="K675" s="174">
        <v>28</v>
      </c>
      <c r="L675" s="174">
        <v>44</v>
      </c>
      <c r="M675" s="174" t="s">
        <v>2128</v>
      </c>
    </row>
    <row r="676" spans="1:13">
      <c r="A676" s="151"/>
      <c r="B676" s="174" t="s">
        <v>2129</v>
      </c>
      <c r="C676" s="174" t="s">
        <v>349</v>
      </c>
      <c r="D676" s="174" t="s">
        <v>1633</v>
      </c>
      <c r="E676" s="174" t="s">
        <v>2024</v>
      </c>
      <c r="F676" s="175" t="s">
        <v>2118</v>
      </c>
      <c r="G676" s="176" t="s">
        <v>524</v>
      </c>
      <c r="H676" s="177">
        <v>1</v>
      </c>
      <c r="I676" s="176">
        <f t="shared" si="8"/>
        <v>48</v>
      </c>
      <c r="J676" s="174">
        <v>2</v>
      </c>
      <c r="K676" s="174">
        <v>28</v>
      </c>
      <c r="L676" s="174">
        <v>67</v>
      </c>
      <c r="M676" s="174" t="s">
        <v>2129</v>
      </c>
    </row>
    <row r="677" spans="1:13">
      <c r="A677" s="151"/>
      <c r="B677" s="174" t="s">
        <v>2130</v>
      </c>
      <c r="C677" s="174" t="s">
        <v>349</v>
      </c>
      <c r="D677" s="174" t="s">
        <v>1633</v>
      </c>
      <c r="E677" s="174" t="s">
        <v>2024</v>
      </c>
      <c r="F677" s="175" t="s">
        <v>2120</v>
      </c>
      <c r="G677" s="176" t="s">
        <v>524</v>
      </c>
      <c r="H677" s="177">
        <v>1</v>
      </c>
      <c r="I677" s="176">
        <f t="shared" si="8"/>
        <v>48</v>
      </c>
      <c r="J677" s="174">
        <v>2</v>
      </c>
      <c r="K677" s="174">
        <v>28</v>
      </c>
      <c r="L677" s="174">
        <v>45</v>
      </c>
      <c r="M677" s="174" t="s">
        <v>2130</v>
      </c>
    </row>
    <row r="678" spans="1:13" ht="15">
      <c r="A678" s="151"/>
      <c r="B678" s="174" t="s">
        <v>2131</v>
      </c>
      <c r="C678" s="174" t="s">
        <v>349</v>
      </c>
      <c r="D678" s="174" t="s">
        <v>1637</v>
      </c>
      <c r="E678" s="174" t="s">
        <v>2036</v>
      </c>
      <c r="F678" s="175" t="s">
        <v>2132</v>
      </c>
      <c r="G678" s="176" t="s">
        <v>557</v>
      </c>
      <c r="H678" s="176">
        <v>1</v>
      </c>
      <c r="I678" s="176">
        <f t="shared" si="8"/>
        <v>48</v>
      </c>
      <c r="J678" s="174">
        <v>2</v>
      </c>
      <c r="K678" s="174">
        <v>110</v>
      </c>
      <c r="L678" s="174">
        <v>242</v>
      </c>
      <c r="M678" s="183" t="s">
        <v>2044</v>
      </c>
    </row>
    <row r="679" spans="1:13" ht="15">
      <c r="A679" s="151"/>
      <c r="B679" s="174" t="s">
        <v>2133</v>
      </c>
      <c r="C679" s="174" t="s">
        <v>349</v>
      </c>
      <c r="D679" s="174" t="s">
        <v>1637</v>
      </c>
      <c r="E679" s="174" t="s">
        <v>1878</v>
      </c>
      <c r="F679" s="175" t="s">
        <v>2134</v>
      </c>
      <c r="G679" s="176" t="s">
        <v>1192</v>
      </c>
      <c r="H679" s="176">
        <v>1</v>
      </c>
      <c r="I679" s="176">
        <f t="shared" si="8"/>
        <v>48</v>
      </c>
      <c r="J679" s="174">
        <v>3</v>
      </c>
      <c r="K679" s="174">
        <v>34</v>
      </c>
      <c r="L679" s="174">
        <v>115</v>
      </c>
      <c r="M679" s="183" t="s">
        <v>2135</v>
      </c>
    </row>
    <row r="680" spans="1:13" ht="15">
      <c r="A680" s="151"/>
      <c r="B680" s="174" t="s">
        <v>2136</v>
      </c>
      <c r="C680" s="174" t="s">
        <v>349</v>
      </c>
      <c r="D680" s="174" t="s">
        <v>1637</v>
      </c>
      <c r="E680" s="174" t="s">
        <v>1886</v>
      </c>
      <c r="F680" s="175" t="s">
        <v>2137</v>
      </c>
      <c r="G680" s="176" t="s">
        <v>557</v>
      </c>
      <c r="H680" s="176">
        <v>1</v>
      </c>
      <c r="I680" s="176">
        <f t="shared" si="8"/>
        <v>48</v>
      </c>
      <c r="J680" s="174">
        <v>3</v>
      </c>
      <c r="K680" s="174">
        <v>55</v>
      </c>
      <c r="L680" s="174">
        <v>215</v>
      </c>
      <c r="M680" s="183" t="s">
        <v>2135</v>
      </c>
    </row>
    <row r="681" spans="1:13" ht="15">
      <c r="A681" s="151"/>
      <c r="B681" s="174" t="s">
        <v>2138</v>
      </c>
      <c r="C681" s="174" t="s">
        <v>349</v>
      </c>
      <c r="D681" s="174" t="s">
        <v>1637</v>
      </c>
      <c r="E681" s="174" t="s">
        <v>1889</v>
      </c>
      <c r="F681" s="175" t="s">
        <v>2139</v>
      </c>
      <c r="G681" s="176" t="s">
        <v>557</v>
      </c>
      <c r="H681" s="176">
        <v>1</v>
      </c>
      <c r="I681" s="176">
        <f t="shared" si="8"/>
        <v>48</v>
      </c>
      <c r="J681" s="174">
        <v>3</v>
      </c>
      <c r="K681" s="174">
        <v>30</v>
      </c>
      <c r="L681" s="174">
        <v>133</v>
      </c>
      <c r="M681" s="183" t="s">
        <v>2135</v>
      </c>
    </row>
    <row r="682" spans="1:13" ht="15">
      <c r="A682" s="151"/>
      <c r="B682" s="174" t="s">
        <v>2140</v>
      </c>
      <c r="C682" s="174" t="s">
        <v>349</v>
      </c>
      <c r="D682" s="174" t="s">
        <v>1637</v>
      </c>
      <c r="E682" s="174" t="s">
        <v>1878</v>
      </c>
      <c r="F682" s="175" t="s">
        <v>2141</v>
      </c>
      <c r="G682" s="176" t="s">
        <v>524</v>
      </c>
      <c r="H682" s="176">
        <v>1</v>
      </c>
      <c r="I682" s="176">
        <f t="shared" si="8"/>
        <v>48</v>
      </c>
      <c r="J682" s="174">
        <v>3</v>
      </c>
      <c r="K682" s="174">
        <v>34</v>
      </c>
      <c r="L682" s="174">
        <v>92</v>
      </c>
      <c r="M682" s="183" t="s">
        <v>2135</v>
      </c>
    </row>
    <row r="683" spans="1:13" ht="15">
      <c r="A683" s="151"/>
      <c r="B683" s="174" t="s">
        <v>2142</v>
      </c>
      <c r="C683" s="174" t="s">
        <v>349</v>
      </c>
      <c r="D683" s="174" t="s">
        <v>1637</v>
      </c>
      <c r="E683" s="174" t="s">
        <v>1878</v>
      </c>
      <c r="F683" s="175" t="s">
        <v>2134</v>
      </c>
      <c r="G683" s="176" t="s">
        <v>557</v>
      </c>
      <c r="H683" s="176">
        <v>1</v>
      </c>
      <c r="I683" s="176">
        <f t="shared" si="8"/>
        <v>48</v>
      </c>
      <c r="J683" s="174">
        <v>3</v>
      </c>
      <c r="K683" s="174">
        <v>34</v>
      </c>
      <c r="L683" s="174">
        <v>130</v>
      </c>
      <c r="M683" s="183" t="s">
        <v>2135</v>
      </c>
    </row>
    <row r="684" spans="1:13" ht="15">
      <c r="A684" s="151"/>
      <c r="B684" s="174" t="s">
        <v>2143</v>
      </c>
      <c r="C684" s="174" t="s">
        <v>349</v>
      </c>
      <c r="D684" s="174" t="s">
        <v>1637</v>
      </c>
      <c r="E684" s="174" t="s">
        <v>1897</v>
      </c>
      <c r="F684" s="175" t="s">
        <v>2144</v>
      </c>
      <c r="G684" s="176" t="s">
        <v>557</v>
      </c>
      <c r="H684" s="176">
        <v>1</v>
      </c>
      <c r="I684" s="176">
        <f t="shared" si="8"/>
        <v>48</v>
      </c>
      <c r="J684" s="174">
        <v>3</v>
      </c>
      <c r="K684" s="174"/>
      <c r="L684" s="174">
        <v>333</v>
      </c>
      <c r="M684" s="183" t="s">
        <v>2135</v>
      </c>
    </row>
    <row r="685" spans="1:13">
      <c r="A685" s="151"/>
      <c r="B685" s="174" t="s">
        <v>2145</v>
      </c>
      <c r="C685" s="174" t="s">
        <v>349</v>
      </c>
      <c r="D685" s="174" t="s">
        <v>1645</v>
      </c>
      <c r="E685" s="174" t="s">
        <v>1873</v>
      </c>
      <c r="F685" s="175" t="s">
        <v>2146</v>
      </c>
      <c r="G685" s="176" t="s">
        <v>524</v>
      </c>
      <c r="H685" s="184">
        <v>1</v>
      </c>
      <c r="I685" s="176">
        <f t="shared" si="8"/>
        <v>48</v>
      </c>
      <c r="J685" s="174">
        <v>3</v>
      </c>
      <c r="K685" s="174">
        <v>54</v>
      </c>
      <c r="L685" s="174">
        <v>177</v>
      </c>
      <c r="M685" s="174" t="s">
        <v>2145</v>
      </c>
    </row>
    <row r="686" spans="1:13">
      <c r="A686" s="151"/>
      <c r="B686" s="182" t="s">
        <v>2147</v>
      </c>
      <c r="C686" s="174" t="s">
        <v>349</v>
      </c>
      <c r="D686" s="174" t="s">
        <v>1645</v>
      </c>
      <c r="E686" s="182" t="s">
        <v>1902</v>
      </c>
      <c r="F686" s="181" t="s">
        <v>2148</v>
      </c>
      <c r="G686" s="184" t="s">
        <v>524</v>
      </c>
      <c r="H686" s="176">
        <v>1</v>
      </c>
      <c r="I686" s="176">
        <f t="shared" ref="I686:I749" si="9">MID(B686,2,1)*12</f>
        <v>48</v>
      </c>
      <c r="J686" s="182">
        <v>3</v>
      </c>
      <c r="K686" s="182">
        <v>54</v>
      </c>
      <c r="L686" s="182">
        <v>182</v>
      </c>
      <c r="M686" s="182" t="s">
        <v>2147</v>
      </c>
    </row>
    <row r="687" spans="1:13" ht="15">
      <c r="A687" s="151"/>
      <c r="B687" s="174" t="s">
        <v>2149</v>
      </c>
      <c r="C687" s="174" t="s">
        <v>349</v>
      </c>
      <c r="D687" s="174" t="s">
        <v>1637</v>
      </c>
      <c r="E687" s="174" t="s">
        <v>1908</v>
      </c>
      <c r="F687" s="175" t="s">
        <v>2150</v>
      </c>
      <c r="G687" s="174" t="s">
        <v>524</v>
      </c>
      <c r="H687" s="176">
        <v>1</v>
      </c>
      <c r="I687" s="176">
        <f t="shared" si="9"/>
        <v>48</v>
      </c>
      <c r="J687" s="174">
        <v>3</v>
      </c>
      <c r="K687" s="174">
        <v>25</v>
      </c>
      <c r="L687" s="185">
        <v>60</v>
      </c>
      <c r="M687" s="183" t="s">
        <v>2135</v>
      </c>
    </row>
    <row r="688" spans="1:13">
      <c r="A688" s="151"/>
      <c r="B688" s="174" t="s">
        <v>2135</v>
      </c>
      <c r="C688" s="174" t="s">
        <v>349</v>
      </c>
      <c r="D688" s="174" t="s">
        <v>1633</v>
      </c>
      <c r="E688" s="174" t="s">
        <v>1914</v>
      </c>
      <c r="F688" s="175" t="s">
        <v>2151</v>
      </c>
      <c r="G688" s="176" t="s">
        <v>524</v>
      </c>
      <c r="H688" s="177">
        <v>1</v>
      </c>
      <c r="I688" s="176">
        <f t="shared" si="9"/>
        <v>48</v>
      </c>
      <c r="J688" s="174">
        <v>3</v>
      </c>
      <c r="K688" s="174">
        <v>32</v>
      </c>
      <c r="L688" s="174">
        <v>89</v>
      </c>
      <c r="M688" s="174" t="s">
        <v>2135</v>
      </c>
    </row>
    <row r="689" spans="1:13">
      <c r="A689" s="151"/>
      <c r="B689" s="174" t="s">
        <v>2152</v>
      </c>
      <c r="C689" s="174" t="s">
        <v>349</v>
      </c>
      <c r="D689" s="174" t="s">
        <v>1633</v>
      </c>
      <c r="E689" s="174" t="s">
        <v>1914</v>
      </c>
      <c r="F689" s="175" t="s">
        <v>2153</v>
      </c>
      <c r="G689" s="176" t="s">
        <v>524</v>
      </c>
      <c r="H689" s="176">
        <v>2</v>
      </c>
      <c r="I689" s="176">
        <f t="shared" si="9"/>
        <v>48</v>
      </c>
      <c r="J689" s="174">
        <v>3</v>
      </c>
      <c r="K689" s="174">
        <v>32</v>
      </c>
      <c r="L689" s="174">
        <v>90</v>
      </c>
      <c r="M689" s="174" t="s">
        <v>2152</v>
      </c>
    </row>
    <row r="690" spans="1:13">
      <c r="A690" s="151"/>
      <c r="B690" s="174" t="s">
        <v>2154</v>
      </c>
      <c r="C690" s="174" t="s">
        <v>349</v>
      </c>
      <c r="D690" s="174" t="s">
        <v>1633</v>
      </c>
      <c r="E690" s="174" t="s">
        <v>1914</v>
      </c>
      <c r="F690" s="175" t="s">
        <v>2155</v>
      </c>
      <c r="G690" s="176" t="s">
        <v>524</v>
      </c>
      <c r="H690" s="176">
        <v>1</v>
      </c>
      <c r="I690" s="176">
        <f t="shared" si="9"/>
        <v>48</v>
      </c>
      <c r="J690" s="174">
        <v>3</v>
      </c>
      <c r="K690" s="174">
        <v>32</v>
      </c>
      <c r="L690" s="174">
        <v>93</v>
      </c>
      <c r="M690" s="174" t="s">
        <v>2154</v>
      </c>
    </row>
    <row r="691" spans="1:13">
      <c r="A691" s="151"/>
      <c r="B691" s="174" t="s">
        <v>2156</v>
      </c>
      <c r="C691" s="174" t="s">
        <v>349</v>
      </c>
      <c r="D691" s="174" t="s">
        <v>1633</v>
      </c>
      <c r="E691" s="174" t="s">
        <v>1914</v>
      </c>
      <c r="F691" s="175" t="s">
        <v>2157</v>
      </c>
      <c r="G691" s="176" t="s">
        <v>524</v>
      </c>
      <c r="H691" s="176">
        <v>1</v>
      </c>
      <c r="I691" s="176">
        <f t="shared" si="9"/>
        <v>48</v>
      </c>
      <c r="J691" s="174">
        <v>3</v>
      </c>
      <c r="K691" s="174">
        <v>32</v>
      </c>
      <c r="L691" s="174">
        <v>78</v>
      </c>
      <c r="M691" s="174" t="s">
        <v>2156</v>
      </c>
    </row>
    <row r="692" spans="1:13">
      <c r="A692" s="151"/>
      <c r="B692" s="174" t="s">
        <v>2158</v>
      </c>
      <c r="C692" s="174" t="s">
        <v>349</v>
      </c>
      <c r="D692" s="174" t="s">
        <v>1633</v>
      </c>
      <c r="E692" s="174" t="s">
        <v>1914</v>
      </c>
      <c r="F692" s="175" t="s">
        <v>2159</v>
      </c>
      <c r="G692" s="176" t="s">
        <v>524</v>
      </c>
      <c r="H692" s="176">
        <v>1</v>
      </c>
      <c r="I692" s="176">
        <f t="shared" si="9"/>
        <v>48</v>
      </c>
      <c r="J692" s="174">
        <v>3</v>
      </c>
      <c r="K692" s="174">
        <v>32</v>
      </c>
      <c r="L692" s="174">
        <v>112</v>
      </c>
      <c r="M692" s="174" t="s">
        <v>2158</v>
      </c>
    </row>
    <row r="693" spans="1:13">
      <c r="A693" s="151"/>
      <c r="B693" s="174" t="s">
        <v>2160</v>
      </c>
      <c r="C693" s="174" t="s">
        <v>349</v>
      </c>
      <c r="D693" s="174" t="s">
        <v>1633</v>
      </c>
      <c r="E693" s="174" t="s">
        <v>1914</v>
      </c>
      <c r="F693" s="175" t="s">
        <v>2161</v>
      </c>
      <c r="G693" s="176" t="s">
        <v>1192</v>
      </c>
      <c r="H693" s="176">
        <v>1</v>
      </c>
      <c r="I693" s="176">
        <f t="shared" si="9"/>
        <v>48</v>
      </c>
      <c r="J693" s="174">
        <v>3</v>
      </c>
      <c r="K693" s="174">
        <v>32</v>
      </c>
      <c r="L693" s="174">
        <v>110</v>
      </c>
      <c r="M693" s="174" t="s">
        <v>2160</v>
      </c>
    </row>
    <row r="694" spans="1:13">
      <c r="A694" s="151"/>
      <c r="B694" s="174" t="s">
        <v>2162</v>
      </c>
      <c r="C694" s="174" t="s">
        <v>349</v>
      </c>
      <c r="D694" s="174" t="s">
        <v>1633</v>
      </c>
      <c r="E694" s="174" t="s">
        <v>1914</v>
      </c>
      <c r="F694" s="175" t="s">
        <v>2163</v>
      </c>
      <c r="G694" s="176" t="s">
        <v>524</v>
      </c>
      <c r="H694" s="176">
        <v>1</v>
      </c>
      <c r="I694" s="176">
        <f t="shared" si="9"/>
        <v>48</v>
      </c>
      <c r="J694" s="174">
        <v>3</v>
      </c>
      <c r="K694" s="174">
        <v>32</v>
      </c>
      <c r="L694" s="174">
        <v>93</v>
      </c>
      <c r="M694" s="174" t="s">
        <v>2162</v>
      </c>
    </row>
    <row r="695" spans="1:13">
      <c r="A695" s="151"/>
      <c r="B695" s="174" t="s">
        <v>2164</v>
      </c>
      <c r="C695" s="174" t="s">
        <v>349</v>
      </c>
      <c r="D695" s="174" t="s">
        <v>1633</v>
      </c>
      <c r="E695" s="174" t="s">
        <v>1914</v>
      </c>
      <c r="F695" s="175" t="s">
        <v>2165</v>
      </c>
      <c r="G695" s="176" t="s">
        <v>524</v>
      </c>
      <c r="H695" s="176">
        <v>2</v>
      </c>
      <c r="I695" s="176">
        <f t="shared" si="9"/>
        <v>48</v>
      </c>
      <c r="J695" s="174">
        <v>3</v>
      </c>
      <c r="K695" s="174">
        <v>32</v>
      </c>
      <c r="L695" s="174">
        <v>92</v>
      </c>
      <c r="M695" s="174" t="s">
        <v>2164</v>
      </c>
    </row>
    <row r="696" spans="1:13">
      <c r="A696" s="151"/>
      <c r="B696" s="174" t="s">
        <v>2166</v>
      </c>
      <c r="C696" s="174" t="s">
        <v>349</v>
      </c>
      <c r="D696" s="174" t="s">
        <v>1633</v>
      </c>
      <c r="E696" s="174" t="s">
        <v>1914</v>
      </c>
      <c r="F696" s="175" t="s">
        <v>2167</v>
      </c>
      <c r="G696" s="176" t="s">
        <v>524</v>
      </c>
      <c r="H696" s="176">
        <v>1</v>
      </c>
      <c r="I696" s="176">
        <f t="shared" si="9"/>
        <v>48</v>
      </c>
      <c r="J696" s="174">
        <v>3</v>
      </c>
      <c r="K696" s="174">
        <v>32</v>
      </c>
      <c r="L696" s="174">
        <v>98</v>
      </c>
      <c r="M696" s="174" t="s">
        <v>2166</v>
      </c>
    </row>
    <row r="697" spans="1:13">
      <c r="A697" s="151"/>
      <c r="B697" s="174" t="s">
        <v>2168</v>
      </c>
      <c r="C697" s="174" t="s">
        <v>349</v>
      </c>
      <c r="D697" s="174" t="s">
        <v>1633</v>
      </c>
      <c r="E697" s="174" t="s">
        <v>1914</v>
      </c>
      <c r="F697" s="175" t="s">
        <v>2169</v>
      </c>
      <c r="G697" s="176" t="s">
        <v>524</v>
      </c>
      <c r="H697" s="176">
        <v>1</v>
      </c>
      <c r="I697" s="176">
        <f t="shared" si="9"/>
        <v>48</v>
      </c>
      <c r="J697" s="174">
        <v>3</v>
      </c>
      <c r="K697" s="174">
        <v>32</v>
      </c>
      <c r="L697" s="174">
        <v>76</v>
      </c>
      <c r="M697" s="174" t="s">
        <v>2168</v>
      </c>
    </row>
    <row r="698" spans="1:13">
      <c r="A698" s="151"/>
      <c r="B698" s="182" t="s">
        <v>2170</v>
      </c>
      <c r="C698" s="174" t="s">
        <v>349</v>
      </c>
      <c r="D698" s="174" t="s">
        <v>1633</v>
      </c>
      <c r="E698" s="182" t="s">
        <v>1755</v>
      </c>
      <c r="F698" s="181" t="s">
        <v>2171</v>
      </c>
      <c r="G698" s="184" t="s">
        <v>524</v>
      </c>
      <c r="H698" s="176">
        <v>1</v>
      </c>
      <c r="I698" s="176">
        <f t="shared" si="9"/>
        <v>48</v>
      </c>
      <c r="J698" s="182">
        <v>3</v>
      </c>
      <c r="K698" s="182">
        <v>25</v>
      </c>
      <c r="L698" s="182">
        <v>65</v>
      </c>
      <c r="M698" s="182" t="s">
        <v>2170</v>
      </c>
    </row>
    <row r="699" spans="1:13">
      <c r="A699" s="151"/>
      <c r="B699" s="182" t="s">
        <v>2172</v>
      </c>
      <c r="C699" s="174" t="s">
        <v>349</v>
      </c>
      <c r="D699" s="174" t="s">
        <v>1633</v>
      </c>
      <c r="E699" s="182" t="s">
        <v>1755</v>
      </c>
      <c r="F699" s="181" t="s">
        <v>2173</v>
      </c>
      <c r="G699" s="184" t="s">
        <v>524</v>
      </c>
      <c r="H699" s="176">
        <v>1</v>
      </c>
      <c r="I699" s="176">
        <f t="shared" si="9"/>
        <v>48</v>
      </c>
      <c r="J699" s="182">
        <v>3</v>
      </c>
      <c r="K699" s="182">
        <v>25</v>
      </c>
      <c r="L699" s="182">
        <v>87</v>
      </c>
      <c r="M699" s="182" t="s">
        <v>2172</v>
      </c>
    </row>
    <row r="700" spans="1:13">
      <c r="A700" s="151"/>
      <c r="B700" s="182" t="s">
        <v>2174</v>
      </c>
      <c r="C700" s="174" t="s">
        <v>349</v>
      </c>
      <c r="D700" s="174" t="s">
        <v>1633</v>
      </c>
      <c r="E700" s="182" t="s">
        <v>1755</v>
      </c>
      <c r="F700" s="181" t="s">
        <v>2175</v>
      </c>
      <c r="G700" s="184" t="s">
        <v>524</v>
      </c>
      <c r="H700" s="176">
        <v>1</v>
      </c>
      <c r="I700" s="176">
        <f t="shared" si="9"/>
        <v>48</v>
      </c>
      <c r="J700" s="182">
        <v>3</v>
      </c>
      <c r="K700" s="182">
        <v>25</v>
      </c>
      <c r="L700" s="182">
        <v>57</v>
      </c>
      <c r="M700" s="182" t="s">
        <v>2174</v>
      </c>
    </row>
    <row r="701" spans="1:13" ht="15">
      <c r="A701" s="151"/>
      <c r="B701" s="174" t="s">
        <v>2176</v>
      </c>
      <c r="C701" s="174" t="s">
        <v>349</v>
      </c>
      <c r="D701" s="174" t="s">
        <v>1637</v>
      </c>
      <c r="E701" s="174" t="s">
        <v>1983</v>
      </c>
      <c r="F701" s="175" t="s">
        <v>2177</v>
      </c>
      <c r="G701" s="176" t="s">
        <v>1192</v>
      </c>
      <c r="H701" s="176">
        <v>1</v>
      </c>
      <c r="I701" s="176">
        <f t="shared" si="9"/>
        <v>48</v>
      </c>
      <c r="J701" s="174">
        <v>3</v>
      </c>
      <c r="K701" s="174">
        <v>40</v>
      </c>
      <c r="L701" s="174">
        <v>136</v>
      </c>
      <c r="M701" s="183" t="s">
        <v>2135</v>
      </c>
    </row>
    <row r="702" spans="1:13" ht="15">
      <c r="A702" s="151"/>
      <c r="B702" s="174" t="s">
        <v>2178</v>
      </c>
      <c r="C702" s="174" t="s">
        <v>349</v>
      </c>
      <c r="D702" s="174" t="s">
        <v>1637</v>
      </c>
      <c r="E702" s="174" t="s">
        <v>1986</v>
      </c>
      <c r="F702" s="175" t="s">
        <v>2179</v>
      </c>
      <c r="G702" s="176" t="s">
        <v>557</v>
      </c>
      <c r="H702" s="176">
        <v>1</v>
      </c>
      <c r="I702" s="176">
        <f t="shared" si="9"/>
        <v>48</v>
      </c>
      <c r="J702" s="174">
        <v>3</v>
      </c>
      <c r="K702" s="174">
        <v>60</v>
      </c>
      <c r="L702" s="174">
        <v>230</v>
      </c>
      <c r="M702" s="183" t="s">
        <v>2135</v>
      </c>
    </row>
    <row r="703" spans="1:13" ht="15">
      <c r="A703" s="151"/>
      <c r="B703" s="174" t="s">
        <v>2180</v>
      </c>
      <c r="C703" s="174" t="s">
        <v>349</v>
      </c>
      <c r="D703" s="174" t="s">
        <v>1637</v>
      </c>
      <c r="E703" s="174" t="s">
        <v>1983</v>
      </c>
      <c r="F703" s="175" t="s">
        <v>2181</v>
      </c>
      <c r="G703" s="176" t="s">
        <v>524</v>
      </c>
      <c r="H703" s="176">
        <v>1</v>
      </c>
      <c r="I703" s="176">
        <f t="shared" si="9"/>
        <v>48</v>
      </c>
      <c r="J703" s="174">
        <v>3</v>
      </c>
      <c r="K703" s="174">
        <v>39</v>
      </c>
      <c r="L703" s="174">
        <v>120</v>
      </c>
      <c r="M703" s="183" t="s">
        <v>2135</v>
      </c>
    </row>
    <row r="704" spans="1:13">
      <c r="A704" s="151"/>
      <c r="B704" s="174" t="s">
        <v>2182</v>
      </c>
      <c r="C704" s="174" t="s">
        <v>349</v>
      </c>
      <c r="D704" s="174" t="s">
        <v>1633</v>
      </c>
      <c r="E704" s="174" t="s">
        <v>1994</v>
      </c>
      <c r="F704" s="175" t="s">
        <v>2183</v>
      </c>
      <c r="G704" s="176" t="s">
        <v>524</v>
      </c>
      <c r="H704" s="177">
        <v>1</v>
      </c>
      <c r="I704" s="176">
        <f t="shared" si="9"/>
        <v>48</v>
      </c>
      <c r="J704" s="174">
        <v>3</v>
      </c>
      <c r="K704" s="174">
        <v>30</v>
      </c>
      <c r="L704" s="174">
        <v>78</v>
      </c>
      <c r="M704" s="174" t="s">
        <v>2182</v>
      </c>
    </row>
    <row r="705" spans="1:13">
      <c r="A705" s="151"/>
      <c r="B705" s="174" t="s">
        <v>2184</v>
      </c>
      <c r="C705" s="174" t="s">
        <v>349</v>
      </c>
      <c r="D705" s="174" t="s">
        <v>1633</v>
      </c>
      <c r="E705" s="174" t="s">
        <v>1994</v>
      </c>
      <c r="F705" s="175" t="s">
        <v>2185</v>
      </c>
      <c r="G705" s="176" t="s">
        <v>524</v>
      </c>
      <c r="H705" s="177">
        <v>1</v>
      </c>
      <c r="I705" s="176">
        <f t="shared" si="9"/>
        <v>48</v>
      </c>
      <c r="J705" s="174">
        <v>3</v>
      </c>
      <c r="K705" s="174">
        <v>30</v>
      </c>
      <c r="L705" s="174">
        <v>105</v>
      </c>
      <c r="M705" s="174" t="s">
        <v>2184</v>
      </c>
    </row>
    <row r="706" spans="1:13">
      <c r="A706" s="151"/>
      <c r="B706" s="174" t="s">
        <v>2186</v>
      </c>
      <c r="C706" s="174" t="s">
        <v>349</v>
      </c>
      <c r="D706" s="174" t="s">
        <v>1633</v>
      </c>
      <c r="E706" s="174" t="s">
        <v>1994</v>
      </c>
      <c r="F706" s="175" t="s">
        <v>2187</v>
      </c>
      <c r="G706" s="176" t="s">
        <v>524</v>
      </c>
      <c r="H706" s="177">
        <v>1</v>
      </c>
      <c r="I706" s="176">
        <f t="shared" si="9"/>
        <v>48</v>
      </c>
      <c r="J706" s="174">
        <v>3</v>
      </c>
      <c r="K706" s="174">
        <v>30</v>
      </c>
      <c r="L706" s="174">
        <v>70</v>
      </c>
      <c r="M706" s="174" t="s">
        <v>2186</v>
      </c>
    </row>
    <row r="707" spans="1:13" ht="15">
      <c r="A707" s="151"/>
      <c r="B707" s="174" t="s">
        <v>2188</v>
      </c>
      <c r="C707" s="174" t="s">
        <v>349</v>
      </c>
      <c r="D707" s="174" t="s">
        <v>1637</v>
      </c>
      <c r="E707" s="174" t="s">
        <v>1989</v>
      </c>
      <c r="F707" s="175" t="s">
        <v>2189</v>
      </c>
      <c r="G707" s="176" t="s">
        <v>557</v>
      </c>
      <c r="H707" s="176">
        <v>1</v>
      </c>
      <c r="I707" s="176">
        <f t="shared" si="9"/>
        <v>48</v>
      </c>
      <c r="J707" s="174">
        <v>3</v>
      </c>
      <c r="K707" s="174">
        <v>39</v>
      </c>
      <c r="L707" s="174">
        <v>162</v>
      </c>
      <c r="M707" s="183" t="s">
        <v>2135</v>
      </c>
    </row>
    <row r="708" spans="1:13" ht="15">
      <c r="A708" s="151"/>
      <c r="B708" s="174" t="s">
        <v>2190</v>
      </c>
      <c r="C708" s="174" t="s">
        <v>349</v>
      </c>
      <c r="D708" s="174" t="s">
        <v>1637</v>
      </c>
      <c r="E708" s="174" t="s">
        <v>1983</v>
      </c>
      <c r="F708" s="175" t="s">
        <v>2177</v>
      </c>
      <c r="G708" s="176" t="s">
        <v>557</v>
      </c>
      <c r="H708" s="176">
        <v>1</v>
      </c>
      <c r="I708" s="176">
        <f t="shared" si="9"/>
        <v>48</v>
      </c>
      <c r="J708" s="174">
        <v>3</v>
      </c>
      <c r="K708" s="174">
        <v>40</v>
      </c>
      <c r="L708" s="174">
        <v>151</v>
      </c>
      <c r="M708" s="183" t="s">
        <v>2135</v>
      </c>
    </row>
    <row r="709" spans="1:13">
      <c r="A709" s="151"/>
      <c r="B709" s="174" t="s">
        <v>2191</v>
      </c>
      <c r="C709" s="174" t="s">
        <v>349</v>
      </c>
      <c r="D709" s="174" t="s">
        <v>1633</v>
      </c>
      <c r="E709" s="174" t="s">
        <v>2024</v>
      </c>
      <c r="F709" s="175" t="s">
        <v>2183</v>
      </c>
      <c r="G709" s="176" t="s">
        <v>524</v>
      </c>
      <c r="H709" s="177">
        <v>1</v>
      </c>
      <c r="I709" s="176">
        <f t="shared" si="9"/>
        <v>48</v>
      </c>
      <c r="J709" s="174">
        <v>3</v>
      </c>
      <c r="K709" s="174">
        <v>28</v>
      </c>
      <c r="L709" s="174">
        <v>72</v>
      </c>
      <c r="M709" s="174" t="s">
        <v>2191</v>
      </c>
    </row>
    <row r="710" spans="1:13">
      <c r="A710" s="151"/>
      <c r="B710" s="174" t="s">
        <v>2192</v>
      </c>
      <c r="C710" s="174" t="s">
        <v>349</v>
      </c>
      <c r="D710" s="174" t="s">
        <v>1633</v>
      </c>
      <c r="E710" s="174" t="s">
        <v>2024</v>
      </c>
      <c r="F710" s="175" t="s">
        <v>2185</v>
      </c>
      <c r="G710" s="176" t="s">
        <v>524</v>
      </c>
      <c r="H710" s="177">
        <v>1</v>
      </c>
      <c r="I710" s="176">
        <f t="shared" si="9"/>
        <v>48</v>
      </c>
      <c r="J710" s="174">
        <v>3</v>
      </c>
      <c r="K710" s="174">
        <v>28</v>
      </c>
      <c r="L710" s="174">
        <v>98</v>
      </c>
      <c r="M710" s="174" t="s">
        <v>2192</v>
      </c>
    </row>
    <row r="711" spans="1:13">
      <c r="A711" s="151"/>
      <c r="B711" s="174" t="s">
        <v>2193</v>
      </c>
      <c r="C711" s="174" t="s">
        <v>349</v>
      </c>
      <c r="D711" s="174" t="s">
        <v>1633</v>
      </c>
      <c r="E711" s="174" t="s">
        <v>2024</v>
      </c>
      <c r="F711" s="175" t="s">
        <v>2187</v>
      </c>
      <c r="G711" s="176" t="s">
        <v>524</v>
      </c>
      <c r="H711" s="177">
        <v>1</v>
      </c>
      <c r="I711" s="176">
        <f t="shared" si="9"/>
        <v>48</v>
      </c>
      <c r="J711" s="174">
        <v>3</v>
      </c>
      <c r="K711" s="174">
        <v>28</v>
      </c>
      <c r="L711" s="174">
        <v>66</v>
      </c>
      <c r="M711" s="174" t="s">
        <v>2193</v>
      </c>
    </row>
    <row r="712" spans="1:13" ht="15">
      <c r="A712" s="151"/>
      <c r="B712" s="174" t="s">
        <v>2194</v>
      </c>
      <c r="C712" s="174" t="s">
        <v>349</v>
      </c>
      <c r="D712" s="174" t="s">
        <v>1637</v>
      </c>
      <c r="E712" s="174" t="s">
        <v>2036</v>
      </c>
      <c r="F712" s="175" t="s">
        <v>2195</v>
      </c>
      <c r="G712" s="176" t="s">
        <v>557</v>
      </c>
      <c r="H712" s="176">
        <v>1</v>
      </c>
      <c r="I712" s="176">
        <f t="shared" si="9"/>
        <v>48</v>
      </c>
      <c r="J712" s="174">
        <v>3</v>
      </c>
      <c r="K712" s="174">
        <v>110</v>
      </c>
      <c r="L712" s="174">
        <v>377</v>
      </c>
      <c r="M712" s="183" t="s">
        <v>2135</v>
      </c>
    </row>
    <row r="713" spans="1:13" ht="15">
      <c r="A713" s="151"/>
      <c r="B713" s="174" t="s">
        <v>267</v>
      </c>
      <c r="C713" s="174" t="s">
        <v>349</v>
      </c>
      <c r="D713" s="174" t="s">
        <v>1637</v>
      </c>
      <c r="E713" s="174" t="s">
        <v>1878</v>
      </c>
      <c r="F713" s="175" t="s">
        <v>2196</v>
      </c>
      <c r="G713" s="176" t="s">
        <v>1192</v>
      </c>
      <c r="H713" s="176">
        <v>1</v>
      </c>
      <c r="I713" s="176">
        <f t="shared" si="9"/>
        <v>48</v>
      </c>
      <c r="J713" s="174">
        <v>4</v>
      </c>
      <c r="K713" s="174">
        <v>34</v>
      </c>
      <c r="L713" s="174">
        <v>144</v>
      </c>
      <c r="M713" s="183" t="s">
        <v>268</v>
      </c>
    </row>
    <row r="714" spans="1:13" ht="15">
      <c r="A714" s="151"/>
      <c r="B714" s="174" t="s">
        <v>2197</v>
      </c>
      <c r="C714" s="174" t="s">
        <v>349</v>
      </c>
      <c r="D714" s="174" t="s">
        <v>1637</v>
      </c>
      <c r="E714" s="174" t="s">
        <v>1878</v>
      </c>
      <c r="F714" s="175" t="s">
        <v>2198</v>
      </c>
      <c r="G714" s="176" t="s">
        <v>1192</v>
      </c>
      <c r="H714" s="176">
        <v>1</v>
      </c>
      <c r="I714" s="176">
        <f t="shared" si="9"/>
        <v>48</v>
      </c>
      <c r="J714" s="174">
        <v>4</v>
      </c>
      <c r="K714" s="174">
        <v>34</v>
      </c>
      <c r="L714" s="174">
        <v>152</v>
      </c>
      <c r="M714" s="183" t="s">
        <v>268</v>
      </c>
    </row>
    <row r="715" spans="1:13" ht="15">
      <c r="A715" s="151"/>
      <c r="B715" s="174" t="s">
        <v>2199</v>
      </c>
      <c r="C715" s="174" t="s">
        <v>349</v>
      </c>
      <c r="D715" s="174" t="s">
        <v>1637</v>
      </c>
      <c r="E715" s="174" t="s">
        <v>1886</v>
      </c>
      <c r="F715" s="175" t="s">
        <v>2200</v>
      </c>
      <c r="G715" s="176" t="s">
        <v>557</v>
      </c>
      <c r="H715" s="176">
        <v>1</v>
      </c>
      <c r="I715" s="176">
        <f t="shared" si="9"/>
        <v>48</v>
      </c>
      <c r="J715" s="174">
        <v>4</v>
      </c>
      <c r="K715" s="174">
        <v>55</v>
      </c>
      <c r="L715" s="174">
        <v>270</v>
      </c>
      <c r="M715" s="183" t="s">
        <v>268</v>
      </c>
    </row>
    <row r="716" spans="1:13" ht="15">
      <c r="A716" s="151"/>
      <c r="B716" s="174" t="s">
        <v>2201</v>
      </c>
      <c r="C716" s="174" t="s">
        <v>349</v>
      </c>
      <c r="D716" s="174" t="s">
        <v>1637</v>
      </c>
      <c r="E716" s="174" t="s">
        <v>1889</v>
      </c>
      <c r="F716" s="175" t="s">
        <v>2202</v>
      </c>
      <c r="G716" s="176" t="s">
        <v>557</v>
      </c>
      <c r="H716" s="176">
        <v>1</v>
      </c>
      <c r="I716" s="176">
        <f t="shared" si="9"/>
        <v>48</v>
      </c>
      <c r="J716" s="174">
        <v>4</v>
      </c>
      <c r="K716" s="174">
        <v>30</v>
      </c>
      <c r="L716" s="174">
        <v>164</v>
      </c>
      <c r="M716" s="183" t="s">
        <v>268</v>
      </c>
    </row>
    <row r="717" spans="1:13" ht="15">
      <c r="A717" s="151"/>
      <c r="B717" s="174" t="s">
        <v>2203</v>
      </c>
      <c r="C717" s="174" t="s">
        <v>349</v>
      </c>
      <c r="D717" s="174" t="s">
        <v>1637</v>
      </c>
      <c r="E717" s="174" t="s">
        <v>1878</v>
      </c>
      <c r="F717" s="175" t="s">
        <v>2204</v>
      </c>
      <c r="G717" s="176" t="s">
        <v>524</v>
      </c>
      <c r="H717" s="176">
        <v>1</v>
      </c>
      <c r="I717" s="176">
        <f t="shared" si="9"/>
        <v>48</v>
      </c>
      <c r="J717" s="174">
        <v>4</v>
      </c>
      <c r="K717" s="174">
        <v>34</v>
      </c>
      <c r="L717" s="174">
        <v>120</v>
      </c>
      <c r="M717" s="183" t="s">
        <v>268</v>
      </c>
    </row>
    <row r="718" spans="1:13" ht="15">
      <c r="A718" s="151"/>
      <c r="B718" s="174" t="s">
        <v>2205</v>
      </c>
      <c r="C718" s="174" t="s">
        <v>349</v>
      </c>
      <c r="D718" s="174" t="s">
        <v>1637</v>
      </c>
      <c r="E718" s="174" t="s">
        <v>1878</v>
      </c>
      <c r="F718" s="175" t="s">
        <v>2196</v>
      </c>
      <c r="G718" s="176" t="s">
        <v>557</v>
      </c>
      <c r="H718" s="176">
        <v>1</v>
      </c>
      <c r="I718" s="176">
        <f t="shared" si="9"/>
        <v>48</v>
      </c>
      <c r="J718" s="174">
        <v>4</v>
      </c>
      <c r="K718" s="174">
        <v>34</v>
      </c>
      <c r="L718" s="174">
        <v>160</v>
      </c>
      <c r="M718" s="183" t="s">
        <v>268</v>
      </c>
    </row>
    <row r="719" spans="1:13" ht="15">
      <c r="A719" s="151"/>
      <c r="B719" s="174" t="s">
        <v>2206</v>
      </c>
      <c r="C719" s="174" t="s">
        <v>349</v>
      </c>
      <c r="D719" s="174" t="s">
        <v>1637</v>
      </c>
      <c r="E719" s="174" t="s">
        <v>1897</v>
      </c>
      <c r="F719" s="175" t="s">
        <v>2207</v>
      </c>
      <c r="G719" s="176" t="s">
        <v>557</v>
      </c>
      <c r="H719" s="176">
        <v>1</v>
      </c>
      <c r="I719" s="176">
        <f t="shared" si="9"/>
        <v>48</v>
      </c>
      <c r="J719" s="174">
        <v>4</v>
      </c>
      <c r="K719" s="174"/>
      <c r="L719" s="174">
        <v>420</v>
      </c>
      <c r="M719" s="183" t="s">
        <v>268</v>
      </c>
    </row>
    <row r="720" spans="1:13">
      <c r="A720" s="151"/>
      <c r="B720" s="174" t="s">
        <v>2208</v>
      </c>
      <c r="C720" s="174" t="s">
        <v>349</v>
      </c>
      <c r="D720" s="174" t="s">
        <v>1645</v>
      </c>
      <c r="E720" s="174" t="s">
        <v>1873</v>
      </c>
      <c r="F720" s="175" t="s">
        <v>2209</v>
      </c>
      <c r="G720" s="176" t="s">
        <v>524</v>
      </c>
      <c r="H720" s="184">
        <v>1</v>
      </c>
      <c r="I720" s="176">
        <f t="shared" si="9"/>
        <v>48</v>
      </c>
      <c r="J720" s="174">
        <v>4</v>
      </c>
      <c r="K720" s="174">
        <v>54</v>
      </c>
      <c r="L720" s="174">
        <v>234</v>
      </c>
      <c r="M720" s="174" t="s">
        <v>2208</v>
      </c>
    </row>
    <row r="721" spans="1:13">
      <c r="A721" s="151"/>
      <c r="B721" s="182" t="s">
        <v>2210</v>
      </c>
      <c r="C721" s="174" t="s">
        <v>349</v>
      </c>
      <c r="D721" s="174" t="s">
        <v>1645</v>
      </c>
      <c r="E721" s="182" t="s">
        <v>1902</v>
      </c>
      <c r="F721" s="181" t="s">
        <v>2211</v>
      </c>
      <c r="G721" s="184" t="s">
        <v>524</v>
      </c>
      <c r="H721" s="176">
        <v>1</v>
      </c>
      <c r="I721" s="176">
        <f t="shared" si="9"/>
        <v>48</v>
      </c>
      <c r="J721" s="182">
        <v>4</v>
      </c>
      <c r="K721" s="182">
        <v>54</v>
      </c>
      <c r="L721" s="182">
        <v>240</v>
      </c>
      <c r="M721" s="182" t="s">
        <v>2210</v>
      </c>
    </row>
    <row r="722" spans="1:13" ht="15">
      <c r="A722" s="151"/>
      <c r="B722" s="174" t="s">
        <v>2212</v>
      </c>
      <c r="C722" s="174" t="s">
        <v>349</v>
      </c>
      <c r="D722" s="174" t="s">
        <v>1637</v>
      </c>
      <c r="E722" s="174" t="s">
        <v>1908</v>
      </c>
      <c r="F722" s="175" t="s">
        <v>2213</v>
      </c>
      <c r="G722" s="174" t="s">
        <v>524</v>
      </c>
      <c r="H722" s="176">
        <v>1</v>
      </c>
      <c r="I722" s="176">
        <f t="shared" si="9"/>
        <v>48</v>
      </c>
      <c r="J722" s="174">
        <v>4</v>
      </c>
      <c r="K722" s="174">
        <v>25</v>
      </c>
      <c r="L722" s="185">
        <v>80</v>
      </c>
      <c r="M722" s="183" t="s">
        <v>268</v>
      </c>
    </row>
    <row r="723" spans="1:13">
      <c r="A723" s="151"/>
      <c r="B723" s="174" t="s">
        <v>268</v>
      </c>
      <c r="C723" s="174" t="s">
        <v>349</v>
      </c>
      <c r="D723" s="174" t="s">
        <v>1633</v>
      </c>
      <c r="E723" s="174" t="s">
        <v>1914</v>
      </c>
      <c r="F723" s="175" t="s">
        <v>2214</v>
      </c>
      <c r="G723" s="176" t="s">
        <v>524</v>
      </c>
      <c r="H723" s="176">
        <v>1</v>
      </c>
      <c r="I723" s="176">
        <f t="shared" si="9"/>
        <v>48</v>
      </c>
      <c r="J723" s="174">
        <v>4</v>
      </c>
      <c r="K723" s="174">
        <v>32</v>
      </c>
      <c r="L723" s="174">
        <v>112</v>
      </c>
      <c r="M723" s="174" t="s">
        <v>268</v>
      </c>
    </row>
    <row r="724" spans="1:13">
      <c r="A724" s="151"/>
      <c r="B724" s="174" t="s">
        <v>2215</v>
      </c>
      <c r="C724" s="174" t="s">
        <v>349</v>
      </c>
      <c r="D724" s="174" t="s">
        <v>1633</v>
      </c>
      <c r="E724" s="174" t="s">
        <v>1914</v>
      </c>
      <c r="F724" s="175" t="s">
        <v>2216</v>
      </c>
      <c r="G724" s="176" t="s">
        <v>524</v>
      </c>
      <c r="H724" s="176">
        <v>2</v>
      </c>
      <c r="I724" s="176">
        <f t="shared" si="9"/>
        <v>48</v>
      </c>
      <c r="J724" s="174">
        <v>4</v>
      </c>
      <c r="K724" s="174">
        <v>32</v>
      </c>
      <c r="L724" s="174">
        <v>118</v>
      </c>
      <c r="M724" s="174" t="s">
        <v>2215</v>
      </c>
    </row>
    <row r="725" spans="1:13">
      <c r="A725" s="151"/>
      <c r="B725" s="182" t="s">
        <v>2217</v>
      </c>
      <c r="C725" s="174" t="s">
        <v>349</v>
      </c>
      <c r="D725" s="174" t="s">
        <v>1633</v>
      </c>
      <c r="E725" s="182" t="s">
        <v>1914</v>
      </c>
      <c r="F725" s="181" t="s">
        <v>2218</v>
      </c>
      <c r="G725" s="184" t="s">
        <v>524</v>
      </c>
      <c r="H725" s="184">
        <v>1</v>
      </c>
      <c r="I725" s="176">
        <f t="shared" si="9"/>
        <v>48</v>
      </c>
      <c r="J725" s="182">
        <v>4</v>
      </c>
      <c r="K725" s="182">
        <v>32</v>
      </c>
      <c r="L725" s="182">
        <v>144</v>
      </c>
      <c r="M725" s="182" t="s">
        <v>2217</v>
      </c>
    </row>
    <row r="726" spans="1:13">
      <c r="A726" s="151"/>
      <c r="B726" s="174" t="s">
        <v>2219</v>
      </c>
      <c r="C726" s="174" t="s">
        <v>349</v>
      </c>
      <c r="D726" s="174" t="s">
        <v>1633</v>
      </c>
      <c r="E726" s="174" t="s">
        <v>1914</v>
      </c>
      <c r="F726" s="175" t="s">
        <v>2220</v>
      </c>
      <c r="G726" s="176" t="s">
        <v>524</v>
      </c>
      <c r="H726" s="176">
        <v>1</v>
      </c>
      <c r="I726" s="176">
        <f t="shared" si="9"/>
        <v>48</v>
      </c>
      <c r="J726" s="174">
        <v>4</v>
      </c>
      <c r="K726" s="174">
        <v>32</v>
      </c>
      <c r="L726" s="174">
        <v>102</v>
      </c>
      <c r="M726" s="174" t="s">
        <v>2219</v>
      </c>
    </row>
    <row r="727" spans="1:13">
      <c r="A727" s="151"/>
      <c r="B727" s="174" t="s">
        <v>2221</v>
      </c>
      <c r="C727" s="174" t="s">
        <v>349</v>
      </c>
      <c r="D727" s="174" t="s">
        <v>1633</v>
      </c>
      <c r="E727" s="174" t="s">
        <v>1914</v>
      </c>
      <c r="F727" s="175" t="s">
        <v>2222</v>
      </c>
      <c r="G727" s="176" t="s">
        <v>524</v>
      </c>
      <c r="H727" s="176">
        <v>1</v>
      </c>
      <c r="I727" s="176">
        <f t="shared" si="9"/>
        <v>48</v>
      </c>
      <c r="J727" s="174">
        <v>4</v>
      </c>
      <c r="K727" s="174">
        <v>32</v>
      </c>
      <c r="L727" s="174">
        <v>151</v>
      </c>
      <c r="M727" s="174" t="s">
        <v>2221</v>
      </c>
    </row>
    <row r="728" spans="1:13">
      <c r="A728" s="151"/>
      <c r="B728" s="174" t="s">
        <v>2223</v>
      </c>
      <c r="C728" s="174" t="s">
        <v>349</v>
      </c>
      <c r="D728" s="174" t="s">
        <v>1633</v>
      </c>
      <c r="E728" s="174" t="s">
        <v>1914</v>
      </c>
      <c r="F728" s="175" t="s">
        <v>2224</v>
      </c>
      <c r="G728" s="176" t="s">
        <v>1192</v>
      </c>
      <c r="H728" s="176">
        <v>1</v>
      </c>
      <c r="I728" s="176">
        <f t="shared" si="9"/>
        <v>48</v>
      </c>
      <c r="J728" s="174">
        <v>4</v>
      </c>
      <c r="K728" s="174">
        <v>32</v>
      </c>
      <c r="L728" s="174">
        <v>142</v>
      </c>
      <c r="M728" s="174" t="s">
        <v>2223</v>
      </c>
    </row>
    <row r="729" spans="1:13">
      <c r="A729" s="151"/>
      <c r="B729" s="174" t="s">
        <v>2225</v>
      </c>
      <c r="C729" s="174" t="s">
        <v>349</v>
      </c>
      <c r="D729" s="174" t="s">
        <v>1633</v>
      </c>
      <c r="E729" s="174" t="s">
        <v>1914</v>
      </c>
      <c r="F729" s="175" t="s">
        <v>2226</v>
      </c>
      <c r="G729" s="176" t="s">
        <v>524</v>
      </c>
      <c r="H729" s="176">
        <v>1</v>
      </c>
      <c r="I729" s="176">
        <f t="shared" si="9"/>
        <v>48</v>
      </c>
      <c r="J729" s="174">
        <v>4</v>
      </c>
      <c r="K729" s="174">
        <v>32</v>
      </c>
      <c r="L729" s="174">
        <v>118</v>
      </c>
      <c r="M729" s="174" t="s">
        <v>2225</v>
      </c>
    </row>
    <row r="730" spans="1:13">
      <c r="A730" s="151"/>
      <c r="B730" s="174" t="s">
        <v>2227</v>
      </c>
      <c r="C730" s="174" t="s">
        <v>349</v>
      </c>
      <c r="D730" s="174" t="s">
        <v>1633</v>
      </c>
      <c r="E730" s="174" t="s">
        <v>1914</v>
      </c>
      <c r="F730" s="175" t="s">
        <v>2228</v>
      </c>
      <c r="G730" s="176" t="s">
        <v>524</v>
      </c>
      <c r="H730" s="176">
        <v>2</v>
      </c>
      <c r="I730" s="176">
        <f t="shared" si="9"/>
        <v>48</v>
      </c>
      <c r="J730" s="174">
        <v>4</v>
      </c>
      <c r="K730" s="174">
        <v>32</v>
      </c>
      <c r="L730" s="174">
        <v>120</v>
      </c>
      <c r="M730" s="174" t="s">
        <v>2227</v>
      </c>
    </row>
    <row r="731" spans="1:13">
      <c r="A731" s="151"/>
      <c r="B731" s="174" t="s">
        <v>2229</v>
      </c>
      <c r="C731" s="174" t="s">
        <v>349</v>
      </c>
      <c r="D731" s="174" t="s">
        <v>1633</v>
      </c>
      <c r="E731" s="174" t="s">
        <v>1914</v>
      </c>
      <c r="F731" s="175" t="s">
        <v>2230</v>
      </c>
      <c r="G731" s="176" t="s">
        <v>524</v>
      </c>
      <c r="H731" s="176">
        <v>1</v>
      </c>
      <c r="I731" s="176">
        <f t="shared" si="9"/>
        <v>48</v>
      </c>
      <c r="J731" s="174">
        <v>4</v>
      </c>
      <c r="K731" s="174">
        <v>32</v>
      </c>
      <c r="L731" s="174">
        <v>105</v>
      </c>
      <c r="M731" s="174" t="s">
        <v>2229</v>
      </c>
    </row>
    <row r="732" spans="1:13">
      <c r="A732" s="151"/>
      <c r="B732" s="182" t="s">
        <v>2231</v>
      </c>
      <c r="C732" s="174" t="s">
        <v>349</v>
      </c>
      <c r="D732" s="174" t="s">
        <v>1633</v>
      </c>
      <c r="E732" s="182" t="s">
        <v>1755</v>
      </c>
      <c r="F732" s="181" t="s">
        <v>2232</v>
      </c>
      <c r="G732" s="184" t="s">
        <v>524</v>
      </c>
      <c r="H732" s="176">
        <v>1</v>
      </c>
      <c r="I732" s="176">
        <f t="shared" si="9"/>
        <v>48</v>
      </c>
      <c r="J732" s="182">
        <v>4</v>
      </c>
      <c r="K732" s="182">
        <v>25</v>
      </c>
      <c r="L732" s="182">
        <v>85</v>
      </c>
      <c r="M732" s="182" t="s">
        <v>2231</v>
      </c>
    </row>
    <row r="733" spans="1:13">
      <c r="A733" s="151"/>
      <c r="B733" s="182" t="s">
        <v>2233</v>
      </c>
      <c r="C733" s="174" t="s">
        <v>349</v>
      </c>
      <c r="D733" s="174" t="s">
        <v>1633</v>
      </c>
      <c r="E733" s="182" t="s">
        <v>1755</v>
      </c>
      <c r="F733" s="181" t="s">
        <v>2234</v>
      </c>
      <c r="G733" s="184" t="s">
        <v>524</v>
      </c>
      <c r="H733" s="176">
        <v>1</v>
      </c>
      <c r="I733" s="176">
        <f t="shared" si="9"/>
        <v>48</v>
      </c>
      <c r="J733" s="182">
        <v>4</v>
      </c>
      <c r="K733" s="182">
        <v>25</v>
      </c>
      <c r="L733" s="182">
        <v>112</v>
      </c>
      <c r="M733" s="182" t="s">
        <v>2233</v>
      </c>
    </row>
    <row r="734" spans="1:13">
      <c r="A734" s="151"/>
      <c r="B734" s="182" t="s">
        <v>2235</v>
      </c>
      <c r="C734" s="174" t="s">
        <v>349</v>
      </c>
      <c r="D734" s="174" t="s">
        <v>1633</v>
      </c>
      <c r="E734" s="182" t="s">
        <v>1755</v>
      </c>
      <c r="F734" s="181" t="s">
        <v>2236</v>
      </c>
      <c r="G734" s="184" t="s">
        <v>524</v>
      </c>
      <c r="H734" s="184">
        <v>1</v>
      </c>
      <c r="I734" s="176">
        <f t="shared" si="9"/>
        <v>48</v>
      </c>
      <c r="J734" s="182">
        <v>4</v>
      </c>
      <c r="K734" s="182">
        <v>25</v>
      </c>
      <c r="L734" s="182">
        <v>76</v>
      </c>
      <c r="M734" s="182" t="s">
        <v>2235</v>
      </c>
    </row>
    <row r="735" spans="1:13" ht="15">
      <c r="A735" s="151"/>
      <c r="B735" s="174" t="s">
        <v>2237</v>
      </c>
      <c r="C735" s="174" t="s">
        <v>349</v>
      </c>
      <c r="D735" s="174" t="s">
        <v>1637</v>
      </c>
      <c r="E735" s="174" t="s">
        <v>1983</v>
      </c>
      <c r="F735" s="175" t="s">
        <v>2238</v>
      </c>
      <c r="G735" s="176" t="s">
        <v>1192</v>
      </c>
      <c r="H735" s="176">
        <v>1</v>
      </c>
      <c r="I735" s="176">
        <f t="shared" si="9"/>
        <v>48</v>
      </c>
      <c r="J735" s="174">
        <v>4</v>
      </c>
      <c r="K735" s="174">
        <v>40</v>
      </c>
      <c r="L735" s="174">
        <v>172</v>
      </c>
      <c r="M735" s="183" t="s">
        <v>268</v>
      </c>
    </row>
    <row r="736" spans="1:13" ht="15">
      <c r="A736" s="151"/>
      <c r="B736" s="174" t="s">
        <v>2239</v>
      </c>
      <c r="C736" s="174" t="s">
        <v>349</v>
      </c>
      <c r="D736" s="174" t="s">
        <v>1637</v>
      </c>
      <c r="E736" s="174" t="s">
        <v>1986</v>
      </c>
      <c r="F736" s="175" t="s">
        <v>2240</v>
      </c>
      <c r="G736" s="176" t="s">
        <v>557</v>
      </c>
      <c r="H736" s="176">
        <v>1</v>
      </c>
      <c r="I736" s="176">
        <f t="shared" si="9"/>
        <v>48</v>
      </c>
      <c r="J736" s="174">
        <v>4</v>
      </c>
      <c r="K736" s="174">
        <v>60</v>
      </c>
      <c r="L736" s="174">
        <v>290</v>
      </c>
      <c r="M736" s="183" t="s">
        <v>268</v>
      </c>
    </row>
    <row r="737" spans="1:13" ht="15">
      <c r="A737" s="151"/>
      <c r="B737" s="174" t="s">
        <v>2241</v>
      </c>
      <c r="C737" s="174" t="s">
        <v>349</v>
      </c>
      <c r="D737" s="174" t="s">
        <v>1637</v>
      </c>
      <c r="E737" s="174" t="s">
        <v>1989</v>
      </c>
      <c r="F737" s="175" t="s">
        <v>2242</v>
      </c>
      <c r="G737" s="176" t="s">
        <v>524</v>
      </c>
      <c r="H737" s="176">
        <v>1</v>
      </c>
      <c r="I737" s="176">
        <f t="shared" si="9"/>
        <v>48</v>
      </c>
      <c r="J737" s="174">
        <v>4</v>
      </c>
      <c r="K737" s="174">
        <v>39</v>
      </c>
      <c r="L737" s="174">
        <v>148</v>
      </c>
      <c r="M737" s="183" t="s">
        <v>268</v>
      </c>
    </row>
    <row r="738" spans="1:13">
      <c r="A738" s="151"/>
      <c r="B738" s="174" t="s">
        <v>2243</v>
      </c>
      <c r="C738" s="174" t="s">
        <v>349</v>
      </c>
      <c r="D738" s="174" t="s">
        <v>1633</v>
      </c>
      <c r="E738" s="174" t="s">
        <v>1994</v>
      </c>
      <c r="F738" s="175" t="s">
        <v>2244</v>
      </c>
      <c r="G738" s="176" t="s">
        <v>524</v>
      </c>
      <c r="H738" s="176">
        <v>1</v>
      </c>
      <c r="I738" s="176">
        <f t="shared" si="9"/>
        <v>48</v>
      </c>
      <c r="J738" s="174">
        <v>4</v>
      </c>
      <c r="K738" s="174">
        <v>30</v>
      </c>
      <c r="L738" s="174">
        <v>105</v>
      </c>
      <c r="M738" s="174" t="s">
        <v>2243</v>
      </c>
    </row>
    <row r="739" spans="1:13">
      <c r="A739" s="151"/>
      <c r="B739" s="174" t="s">
        <v>2245</v>
      </c>
      <c r="C739" s="174" t="s">
        <v>349</v>
      </c>
      <c r="D739" s="174" t="s">
        <v>1633</v>
      </c>
      <c r="E739" s="174" t="s">
        <v>1994</v>
      </c>
      <c r="F739" s="175" t="s">
        <v>2246</v>
      </c>
      <c r="G739" s="176" t="s">
        <v>524</v>
      </c>
      <c r="H739" s="176">
        <v>1</v>
      </c>
      <c r="I739" s="176">
        <f t="shared" si="9"/>
        <v>48</v>
      </c>
      <c r="J739" s="174">
        <v>4</v>
      </c>
      <c r="K739" s="174">
        <v>30</v>
      </c>
      <c r="L739" s="174">
        <v>140</v>
      </c>
      <c r="M739" s="174" t="s">
        <v>2245</v>
      </c>
    </row>
    <row r="740" spans="1:13">
      <c r="A740" s="151"/>
      <c r="B740" s="174" t="s">
        <v>2247</v>
      </c>
      <c r="C740" s="174" t="s">
        <v>349</v>
      </c>
      <c r="D740" s="174" t="s">
        <v>1633</v>
      </c>
      <c r="E740" s="174" t="s">
        <v>1994</v>
      </c>
      <c r="F740" s="175" t="s">
        <v>2248</v>
      </c>
      <c r="G740" s="176" t="s">
        <v>524</v>
      </c>
      <c r="H740" s="176">
        <v>1</v>
      </c>
      <c r="I740" s="176">
        <f t="shared" si="9"/>
        <v>48</v>
      </c>
      <c r="J740" s="174">
        <v>4</v>
      </c>
      <c r="K740" s="174">
        <v>30</v>
      </c>
      <c r="L740" s="174">
        <v>91</v>
      </c>
      <c r="M740" s="174" t="s">
        <v>2247</v>
      </c>
    </row>
    <row r="741" spans="1:13" ht="15">
      <c r="A741" s="151"/>
      <c r="B741" s="174" t="s">
        <v>2249</v>
      </c>
      <c r="C741" s="174" t="s">
        <v>349</v>
      </c>
      <c r="D741" s="174" t="s">
        <v>1637</v>
      </c>
      <c r="E741" s="174" t="s">
        <v>1989</v>
      </c>
      <c r="F741" s="175" t="s">
        <v>2250</v>
      </c>
      <c r="G741" s="176" t="s">
        <v>557</v>
      </c>
      <c r="H741" s="176">
        <v>1</v>
      </c>
      <c r="I741" s="176">
        <f t="shared" si="9"/>
        <v>48</v>
      </c>
      <c r="J741" s="174">
        <v>4</v>
      </c>
      <c r="K741" s="174">
        <v>39</v>
      </c>
      <c r="L741" s="174">
        <v>204</v>
      </c>
      <c r="M741" s="183" t="s">
        <v>268</v>
      </c>
    </row>
    <row r="742" spans="1:13" ht="15">
      <c r="A742" s="151"/>
      <c r="B742" s="174" t="s">
        <v>2251</v>
      </c>
      <c r="C742" s="174" t="s">
        <v>349</v>
      </c>
      <c r="D742" s="174" t="s">
        <v>1637</v>
      </c>
      <c r="E742" s="174" t="s">
        <v>1983</v>
      </c>
      <c r="F742" s="175" t="s">
        <v>2238</v>
      </c>
      <c r="G742" s="176" t="s">
        <v>557</v>
      </c>
      <c r="H742" s="176">
        <v>1</v>
      </c>
      <c r="I742" s="176">
        <f t="shared" si="9"/>
        <v>48</v>
      </c>
      <c r="J742" s="174">
        <v>4</v>
      </c>
      <c r="K742" s="174">
        <v>40</v>
      </c>
      <c r="L742" s="174">
        <v>188</v>
      </c>
      <c r="M742" s="183" t="s">
        <v>268</v>
      </c>
    </row>
    <row r="743" spans="1:13">
      <c r="A743" s="151"/>
      <c r="B743" s="174" t="s">
        <v>2252</v>
      </c>
      <c r="C743" s="174" t="s">
        <v>349</v>
      </c>
      <c r="D743" s="174" t="s">
        <v>1633</v>
      </c>
      <c r="E743" s="174" t="s">
        <v>2024</v>
      </c>
      <c r="F743" s="175" t="s">
        <v>2244</v>
      </c>
      <c r="G743" s="176" t="s">
        <v>524</v>
      </c>
      <c r="H743" s="176">
        <v>1</v>
      </c>
      <c r="I743" s="176">
        <f t="shared" si="9"/>
        <v>48</v>
      </c>
      <c r="J743" s="174">
        <v>4</v>
      </c>
      <c r="K743" s="174">
        <v>28</v>
      </c>
      <c r="L743" s="174">
        <v>96</v>
      </c>
      <c r="M743" s="174" t="s">
        <v>2252</v>
      </c>
    </row>
    <row r="744" spans="1:13">
      <c r="A744" s="151"/>
      <c r="B744" s="174" t="s">
        <v>2253</v>
      </c>
      <c r="C744" s="174" t="s">
        <v>349</v>
      </c>
      <c r="D744" s="174" t="s">
        <v>1633</v>
      </c>
      <c r="E744" s="174" t="s">
        <v>2024</v>
      </c>
      <c r="F744" s="175" t="s">
        <v>2246</v>
      </c>
      <c r="G744" s="176" t="s">
        <v>524</v>
      </c>
      <c r="H744" s="176">
        <v>1</v>
      </c>
      <c r="I744" s="176">
        <f t="shared" si="9"/>
        <v>48</v>
      </c>
      <c r="J744" s="174">
        <v>4</v>
      </c>
      <c r="K744" s="174">
        <v>28</v>
      </c>
      <c r="L744" s="174">
        <v>131</v>
      </c>
      <c r="M744" s="174" t="s">
        <v>2253</v>
      </c>
    </row>
    <row r="745" spans="1:13">
      <c r="A745" s="151"/>
      <c r="B745" s="174" t="s">
        <v>2254</v>
      </c>
      <c r="C745" s="174" t="s">
        <v>349</v>
      </c>
      <c r="D745" s="174" t="s">
        <v>1633</v>
      </c>
      <c r="E745" s="174" t="s">
        <v>2024</v>
      </c>
      <c r="F745" s="175" t="s">
        <v>2248</v>
      </c>
      <c r="G745" s="176" t="s">
        <v>524</v>
      </c>
      <c r="H745" s="176">
        <v>1</v>
      </c>
      <c r="I745" s="176">
        <f t="shared" si="9"/>
        <v>48</v>
      </c>
      <c r="J745" s="174">
        <v>4</v>
      </c>
      <c r="K745" s="174">
        <v>28</v>
      </c>
      <c r="L745" s="174">
        <v>86</v>
      </c>
      <c r="M745" s="174" t="s">
        <v>2254</v>
      </c>
    </row>
    <row r="746" spans="1:13" ht="15">
      <c r="A746" s="151"/>
      <c r="B746" s="174" t="s">
        <v>2255</v>
      </c>
      <c r="C746" s="174" t="s">
        <v>349</v>
      </c>
      <c r="D746" s="174" t="s">
        <v>1637</v>
      </c>
      <c r="E746" s="174" t="s">
        <v>2036</v>
      </c>
      <c r="F746" s="175" t="s">
        <v>2256</v>
      </c>
      <c r="G746" s="176" t="s">
        <v>557</v>
      </c>
      <c r="H746" s="176">
        <v>1</v>
      </c>
      <c r="I746" s="176">
        <f t="shared" si="9"/>
        <v>48</v>
      </c>
      <c r="J746" s="174">
        <v>4</v>
      </c>
      <c r="K746" s="174">
        <v>110</v>
      </c>
      <c r="L746" s="174">
        <v>484</v>
      </c>
      <c r="M746" s="183" t="s">
        <v>268</v>
      </c>
    </row>
    <row r="747" spans="1:13">
      <c r="A747" s="151"/>
      <c r="B747" s="174" t="s">
        <v>2257</v>
      </c>
      <c r="C747" s="174" t="s">
        <v>349</v>
      </c>
      <c r="D747" s="174" t="s">
        <v>1645</v>
      </c>
      <c r="E747" s="174" t="s">
        <v>1873</v>
      </c>
      <c r="F747" s="175" t="s">
        <v>2258</v>
      </c>
      <c r="G747" s="176" t="s">
        <v>524</v>
      </c>
      <c r="H747" s="184">
        <v>1</v>
      </c>
      <c r="I747" s="176">
        <f t="shared" si="9"/>
        <v>48</v>
      </c>
      <c r="J747" s="174">
        <v>5</v>
      </c>
      <c r="K747" s="174">
        <v>54</v>
      </c>
      <c r="L747" s="174">
        <v>294</v>
      </c>
      <c r="M747" s="174" t="s">
        <v>2257</v>
      </c>
    </row>
    <row r="748" spans="1:13">
      <c r="A748" s="151"/>
      <c r="B748" s="174" t="s">
        <v>2259</v>
      </c>
      <c r="C748" s="174" t="s">
        <v>349</v>
      </c>
      <c r="D748" s="174" t="s">
        <v>1633</v>
      </c>
      <c r="E748" s="174" t="s">
        <v>1914</v>
      </c>
      <c r="F748" s="175" t="s">
        <v>2260</v>
      </c>
      <c r="G748" s="176" t="s">
        <v>524</v>
      </c>
      <c r="H748" s="184">
        <v>1</v>
      </c>
      <c r="I748" s="176">
        <f t="shared" si="9"/>
        <v>48</v>
      </c>
      <c r="J748" s="174">
        <v>5</v>
      </c>
      <c r="K748" s="174">
        <v>32</v>
      </c>
      <c r="L748" s="174">
        <v>148</v>
      </c>
      <c r="M748" s="174" t="s">
        <v>2259</v>
      </c>
    </row>
    <row r="749" spans="1:13" ht="15">
      <c r="A749" s="151"/>
      <c r="B749" s="174" t="s">
        <v>2261</v>
      </c>
      <c r="C749" s="174" t="s">
        <v>349</v>
      </c>
      <c r="D749" s="174" t="s">
        <v>1637</v>
      </c>
      <c r="E749" s="174" t="s">
        <v>1878</v>
      </c>
      <c r="F749" s="175" t="s">
        <v>2262</v>
      </c>
      <c r="G749" s="176" t="s">
        <v>1192</v>
      </c>
      <c r="H749" s="176">
        <v>1</v>
      </c>
      <c r="I749" s="176">
        <f t="shared" si="9"/>
        <v>48</v>
      </c>
      <c r="J749" s="174">
        <v>6</v>
      </c>
      <c r="K749" s="174">
        <v>34</v>
      </c>
      <c r="L749" s="174">
        <v>216</v>
      </c>
      <c r="M749" s="183" t="s">
        <v>2263</v>
      </c>
    </row>
    <row r="750" spans="1:13" ht="15">
      <c r="A750" s="151"/>
      <c r="B750" s="174" t="s">
        <v>2264</v>
      </c>
      <c r="C750" s="174" t="s">
        <v>349</v>
      </c>
      <c r="D750" s="174" t="s">
        <v>1637</v>
      </c>
      <c r="E750" s="174" t="s">
        <v>1886</v>
      </c>
      <c r="F750" s="175" t="s">
        <v>2265</v>
      </c>
      <c r="G750" s="174" t="s">
        <v>557</v>
      </c>
      <c r="H750" s="176">
        <v>1</v>
      </c>
      <c r="I750" s="176">
        <f t="shared" ref="I750:I813" si="10">MID(B750,2,1)*12</f>
        <v>48</v>
      </c>
      <c r="J750" s="174">
        <v>6</v>
      </c>
      <c r="K750" s="174">
        <v>55</v>
      </c>
      <c r="L750" s="174">
        <v>405</v>
      </c>
      <c r="M750" s="183" t="s">
        <v>2263</v>
      </c>
    </row>
    <row r="751" spans="1:13" ht="15">
      <c r="A751" s="151"/>
      <c r="B751" s="174" t="s">
        <v>2266</v>
      </c>
      <c r="C751" s="174" t="s">
        <v>349</v>
      </c>
      <c r="D751" s="174" t="s">
        <v>1637</v>
      </c>
      <c r="E751" s="174" t="s">
        <v>1878</v>
      </c>
      <c r="F751" s="175" t="s">
        <v>2262</v>
      </c>
      <c r="G751" s="176" t="s">
        <v>524</v>
      </c>
      <c r="H751" s="176">
        <v>1</v>
      </c>
      <c r="I751" s="176">
        <f t="shared" si="10"/>
        <v>48</v>
      </c>
      <c r="J751" s="174">
        <v>6</v>
      </c>
      <c r="K751" s="174">
        <v>34</v>
      </c>
      <c r="L751" s="174">
        <v>186</v>
      </c>
      <c r="M751" s="183" t="s">
        <v>2263</v>
      </c>
    </row>
    <row r="752" spans="1:13" ht="15">
      <c r="A752" s="151"/>
      <c r="B752" s="174" t="s">
        <v>2267</v>
      </c>
      <c r="C752" s="174" t="s">
        <v>349</v>
      </c>
      <c r="D752" s="174" t="s">
        <v>1637</v>
      </c>
      <c r="E752" s="174" t="s">
        <v>1878</v>
      </c>
      <c r="F752" s="175" t="s">
        <v>2262</v>
      </c>
      <c r="G752" s="176" t="s">
        <v>557</v>
      </c>
      <c r="H752" s="176">
        <v>1</v>
      </c>
      <c r="I752" s="176">
        <f t="shared" si="10"/>
        <v>48</v>
      </c>
      <c r="J752" s="174">
        <v>6</v>
      </c>
      <c r="K752" s="174">
        <v>34</v>
      </c>
      <c r="L752" s="174">
        <v>236</v>
      </c>
      <c r="M752" s="183" t="s">
        <v>2263</v>
      </c>
    </row>
    <row r="753" spans="1:13">
      <c r="A753" s="151"/>
      <c r="B753" s="174" t="s">
        <v>2268</v>
      </c>
      <c r="C753" s="174" t="s">
        <v>349</v>
      </c>
      <c r="D753" s="174" t="s">
        <v>1645</v>
      </c>
      <c r="E753" s="174" t="s">
        <v>1873</v>
      </c>
      <c r="F753" s="175" t="s">
        <v>2269</v>
      </c>
      <c r="G753" s="176" t="s">
        <v>524</v>
      </c>
      <c r="H753" s="176">
        <v>1</v>
      </c>
      <c r="I753" s="176">
        <f t="shared" si="10"/>
        <v>48</v>
      </c>
      <c r="J753" s="174">
        <v>6</v>
      </c>
      <c r="K753" s="174">
        <v>54</v>
      </c>
      <c r="L753" s="174">
        <v>351</v>
      </c>
      <c r="M753" s="174" t="s">
        <v>2268</v>
      </c>
    </row>
    <row r="754" spans="1:13">
      <c r="A754" s="151"/>
      <c r="B754" s="182" t="s">
        <v>2270</v>
      </c>
      <c r="C754" s="174" t="s">
        <v>349</v>
      </c>
      <c r="D754" s="174" t="s">
        <v>1645</v>
      </c>
      <c r="E754" s="182" t="s">
        <v>1902</v>
      </c>
      <c r="F754" s="181" t="s">
        <v>2271</v>
      </c>
      <c r="G754" s="184" t="s">
        <v>524</v>
      </c>
      <c r="H754" s="184">
        <v>1</v>
      </c>
      <c r="I754" s="176">
        <f t="shared" si="10"/>
        <v>48</v>
      </c>
      <c r="J754" s="182">
        <v>6</v>
      </c>
      <c r="K754" s="182">
        <v>54</v>
      </c>
      <c r="L754" s="182">
        <v>364</v>
      </c>
      <c r="M754" s="182" t="s">
        <v>2270</v>
      </c>
    </row>
    <row r="755" spans="1:13">
      <c r="A755" s="151"/>
      <c r="B755" s="174" t="s">
        <v>2263</v>
      </c>
      <c r="C755" s="174" t="s">
        <v>349</v>
      </c>
      <c r="D755" s="174" t="s">
        <v>1633</v>
      </c>
      <c r="E755" s="174" t="s">
        <v>1914</v>
      </c>
      <c r="F755" s="175" t="s">
        <v>2272</v>
      </c>
      <c r="G755" s="176" t="s">
        <v>524</v>
      </c>
      <c r="H755" s="176">
        <v>1</v>
      </c>
      <c r="I755" s="176">
        <f t="shared" si="10"/>
        <v>48</v>
      </c>
      <c r="J755" s="174">
        <v>6</v>
      </c>
      <c r="K755" s="174">
        <v>32</v>
      </c>
      <c r="L755" s="174">
        <v>175</v>
      </c>
      <c r="M755" s="174" t="s">
        <v>2263</v>
      </c>
    </row>
    <row r="756" spans="1:13">
      <c r="A756" s="151"/>
      <c r="B756" s="182" t="s">
        <v>2273</v>
      </c>
      <c r="C756" s="174" t="s">
        <v>349</v>
      </c>
      <c r="D756" s="174" t="s">
        <v>1633</v>
      </c>
      <c r="E756" s="182" t="s">
        <v>1914</v>
      </c>
      <c r="F756" s="181" t="s">
        <v>2274</v>
      </c>
      <c r="G756" s="184" t="s">
        <v>524</v>
      </c>
      <c r="H756" s="184">
        <v>1</v>
      </c>
      <c r="I756" s="176">
        <f t="shared" si="10"/>
        <v>48</v>
      </c>
      <c r="J756" s="182">
        <v>6</v>
      </c>
      <c r="K756" s="182">
        <v>32</v>
      </c>
      <c r="L756" s="182">
        <v>222</v>
      </c>
      <c r="M756" s="182" t="s">
        <v>2273</v>
      </c>
    </row>
    <row r="757" spans="1:13">
      <c r="A757" s="151"/>
      <c r="B757" s="174" t="s">
        <v>2275</v>
      </c>
      <c r="C757" s="174" t="s">
        <v>349</v>
      </c>
      <c r="D757" s="174" t="s">
        <v>1633</v>
      </c>
      <c r="E757" s="174" t="s">
        <v>1914</v>
      </c>
      <c r="F757" s="175" t="s">
        <v>2276</v>
      </c>
      <c r="G757" s="176" t="s">
        <v>524</v>
      </c>
      <c r="H757" s="184">
        <v>1</v>
      </c>
      <c r="I757" s="176">
        <f t="shared" si="10"/>
        <v>48</v>
      </c>
      <c r="J757" s="174">
        <v>6</v>
      </c>
      <c r="K757" s="174">
        <v>32</v>
      </c>
      <c r="L757" s="174">
        <v>156</v>
      </c>
      <c r="M757" s="174" t="s">
        <v>2275</v>
      </c>
    </row>
    <row r="758" spans="1:13">
      <c r="A758" s="151"/>
      <c r="B758" s="182" t="s">
        <v>2277</v>
      </c>
      <c r="C758" s="174" t="s">
        <v>349</v>
      </c>
      <c r="D758" s="174" t="s">
        <v>1633</v>
      </c>
      <c r="E758" s="182" t="s">
        <v>1914</v>
      </c>
      <c r="F758" s="181" t="s">
        <v>2278</v>
      </c>
      <c r="G758" s="184" t="s">
        <v>524</v>
      </c>
      <c r="H758" s="176">
        <v>1</v>
      </c>
      <c r="I758" s="176">
        <f t="shared" si="10"/>
        <v>48</v>
      </c>
      <c r="J758" s="182">
        <v>6</v>
      </c>
      <c r="K758" s="182">
        <v>32</v>
      </c>
      <c r="L758" s="182">
        <v>255</v>
      </c>
      <c r="M758" s="182" t="s">
        <v>2277</v>
      </c>
    </row>
    <row r="759" spans="1:13">
      <c r="A759" s="151"/>
      <c r="B759" s="174" t="s">
        <v>2279</v>
      </c>
      <c r="C759" s="174" t="s">
        <v>349</v>
      </c>
      <c r="D759" s="174" t="s">
        <v>1633</v>
      </c>
      <c r="E759" s="174" t="s">
        <v>1914</v>
      </c>
      <c r="F759" s="175" t="s">
        <v>2280</v>
      </c>
      <c r="G759" s="176" t="s">
        <v>524</v>
      </c>
      <c r="H759" s="176">
        <v>1</v>
      </c>
      <c r="I759" s="176">
        <f t="shared" si="10"/>
        <v>48</v>
      </c>
      <c r="J759" s="174">
        <v>6</v>
      </c>
      <c r="K759" s="174">
        <v>32</v>
      </c>
      <c r="L759" s="174">
        <v>182</v>
      </c>
      <c r="M759" s="174" t="s">
        <v>2279</v>
      </c>
    </row>
    <row r="760" spans="1:13" ht="15">
      <c r="A760" s="151"/>
      <c r="B760" s="174" t="s">
        <v>2281</v>
      </c>
      <c r="C760" s="174" t="s">
        <v>349</v>
      </c>
      <c r="D760" s="174" t="s">
        <v>1637</v>
      </c>
      <c r="E760" s="174" t="s">
        <v>1983</v>
      </c>
      <c r="F760" s="175" t="s">
        <v>2282</v>
      </c>
      <c r="G760" s="176" t="s">
        <v>1192</v>
      </c>
      <c r="H760" s="176">
        <v>1</v>
      </c>
      <c r="I760" s="176">
        <f t="shared" si="10"/>
        <v>48</v>
      </c>
      <c r="J760" s="174">
        <v>6</v>
      </c>
      <c r="K760" s="174">
        <v>40</v>
      </c>
      <c r="L760" s="174">
        <v>258</v>
      </c>
      <c r="M760" s="183" t="s">
        <v>2263</v>
      </c>
    </row>
    <row r="761" spans="1:13">
      <c r="A761" s="151"/>
      <c r="B761" s="182" t="s">
        <v>2283</v>
      </c>
      <c r="C761" s="174" t="s">
        <v>349</v>
      </c>
      <c r="D761" s="174" t="s">
        <v>1633</v>
      </c>
      <c r="E761" s="182" t="s">
        <v>1994</v>
      </c>
      <c r="F761" s="175" t="s">
        <v>2284</v>
      </c>
      <c r="G761" s="184" t="s">
        <v>524</v>
      </c>
      <c r="H761" s="184">
        <v>1</v>
      </c>
      <c r="I761" s="176">
        <f t="shared" si="10"/>
        <v>48</v>
      </c>
      <c r="J761" s="182">
        <v>6</v>
      </c>
      <c r="K761" s="182">
        <v>32</v>
      </c>
      <c r="L761" s="182">
        <v>158</v>
      </c>
      <c r="M761" s="182" t="s">
        <v>2283</v>
      </c>
    </row>
    <row r="762" spans="1:13" ht="15">
      <c r="A762" s="151"/>
      <c r="B762" s="174" t="s">
        <v>2285</v>
      </c>
      <c r="C762" s="174" t="s">
        <v>349</v>
      </c>
      <c r="D762" s="174" t="s">
        <v>1637</v>
      </c>
      <c r="E762" s="174" t="s">
        <v>1983</v>
      </c>
      <c r="F762" s="175" t="s">
        <v>2282</v>
      </c>
      <c r="G762" s="176" t="s">
        <v>557</v>
      </c>
      <c r="H762" s="176">
        <v>1</v>
      </c>
      <c r="I762" s="176">
        <f t="shared" si="10"/>
        <v>48</v>
      </c>
      <c r="J762" s="174">
        <v>6</v>
      </c>
      <c r="K762" s="174">
        <v>40</v>
      </c>
      <c r="L762" s="174">
        <v>282</v>
      </c>
      <c r="M762" s="183" t="s">
        <v>2263</v>
      </c>
    </row>
    <row r="763" spans="1:13">
      <c r="A763" s="151"/>
      <c r="B763" s="182" t="s">
        <v>2286</v>
      </c>
      <c r="C763" s="174" t="s">
        <v>349</v>
      </c>
      <c r="D763" s="174" t="s">
        <v>1633</v>
      </c>
      <c r="E763" s="182" t="s">
        <v>2024</v>
      </c>
      <c r="F763" s="175" t="s">
        <v>2287</v>
      </c>
      <c r="G763" s="184" t="s">
        <v>524</v>
      </c>
      <c r="H763" s="176">
        <v>1</v>
      </c>
      <c r="I763" s="176">
        <f t="shared" si="10"/>
        <v>48</v>
      </c>
      <c r="J763" s="182">
        <v>6</v>
      </c>
      <c r="K763" s="182">
        <v>32</v>
      </c>
      <c r="L763" s="182">
        <v>144</v>
      </c>
      <c r="M763" s="182" t="s">
        <v>2286</v>
      </c>
    </row>
    <row r="764" spans="1:13" ht="15">
      <c r="A764" s="151"/>
      <c r="B764" s="174" t="s">
        <v>2288</v>
      </c>
      <c r="C764" s="174" t="s">
        <v>349</v>
      </c>
      <c r="D764" s="174" t="s">
        <v>1637</v>
      </c>
      <c r="E764" s="174" t="s">
        <v>1878</v>
      </c>
      <c r="F764" s="175" t="s">
        <v>2289</v>
      </c>
      <c r="G764" s="176" t="s">
        <v>1192</v>
      </c>
      <c r="H764" s="176">
        <v>1</v>
      </c>
      <c r="I764" s="176">
        <f t="shared" si="10"/>
        <v>48</v>
      </c>
      <c r="J764" s="174">
        <v>8</v>
      </c>
      <c r="K764" s="174">
        <v>34</v>
      </c>
      <c r="L764" s="174">
        <v>288</v>
      </c>
      <c r="M764" s="183" t="s">
        <v>2290</v>
      </c>
    </row>
    <row r="765" spans="1:13" ht="15">
      <c r="A765" s="151"/>
      <c r="B765" s="174" t="s">
        <v>2291</v>
      </c>
      <c r="C765" s="174" t="s">
        <v>349</v>
      </c>
      <c r="D765" s="174" t="s">
        <v>1637</v>
      </c>
      <c r="E765" s="174" t="s">
        <v>1886</v>
      </c>
      <c r="F765" s="175" t="s">
        <v>2292</v>
      </c>
      <c r="G765" s="174" t="s">
        <v>557</v>
      </c>
      <c r="H765" s="176">
        <v>1</v>
      </c>
      <c r="I765" s="176">
        <f t="shared" si="10"/>
        <v>48</v>
      </c>
      <c r="J765" s="174">
        <v>8</v>
      </c>
      <c r="K765" s="174">
        <v>55</v>
      </c>
      <c r="L765" s="174">
        <v>540</v>
      </c>
      <c r="M765" s="183" t="s">
        <v>2290</v>
      </c>
    </row>
    <row r="766" spans="1:13">
      <c r="A766" s="151"/>
      <c r="B766" s="174" t="s">
        <v>2293</v>
      </c>
      <c r="C766" s="174" t="s">
        <v>349</v>
      </c>
      <c r="D766" s="174" t="s">
        <v>1645</v>
      </c>
      <c r="E766" s="174" t="s">
        <v>1873</v>
      </c>
      <c r="F766" s="175" t="s">
        <v>2294</v>
      </c>
      <c r="G766" s="176" t="s">
        <v>524</v>
      </c>
      <c r="H766" s="176">
        <v>1</v>
      </c>
      <c r="I766" s="176">
        <f t="shared" si="10"/>
        <v>48</v>
      </c>
      <c r="J766" s="174">
        <v>8</v>
      </c>
      <c r="K766" s="174">
        <v>54</v>
      </c>
      <c r="L766" s="174">
        <v>468</v>
      </c>
      <c r="M766" s="174" t="s">
        <v>2293</v>
      </c>
    </row>
    <row r="767" spans="1:13">
      <c r="A767" s="151"/>
      <c r="B767" s="174" t="s">
        <v>2290</v>
      </c>
      <c r="C767" s="174" t="s">
        <v>349</v>
      </c>
      <c r="D767" s="174" t="s">
        <v>1633</v>
      </c>
      <c r="E767" s="174" t="s">
        <v>1914</v>
      </c>
      <c r="F767" s="175" t="s">
        <v>2295</v>
      </c>
      <c r="G767" s="176" t="s">
        <v>524</v>
      </c>
      <c r="H767" s="184">
        <v>1</v>
      </c>
      <c r="I767" s="176">
        <f t="shared" si="10"/>
        <v>48</v>
      </c>
      <c r="J767" s="174">
        <v>8</v>
      </c>
      <c r="K767" s="174">
        <v>32</v>
      </c>
      <c r="L767" s="174">
        <v>224</v>
      </c>
      <c r="M767" s="174" t="s">
        <v>2290</v>
      </c>
    </row>
    <row r="768" spans="1:13">
      <c r="A768" s="151"/>
      <c r="B768" s="174" t="s">
        <v>2296</v>
      </c>
      <c r="C768" s="174" t="s">
        <v>349</v>
      </c>
      <c r="D768" s="174" t="s">
        <v>1633</v>
      </c>
      <c r="E768" s="174" t="s">
        <v>1914</v>
      </c>
      <c r="F768" s="175" t="s">
        <v>2297</v>
      </c>
      <c r="G768" s="176" t="s">
        <v>524</v>
      </c>
      <c r="H768" s="176">
        <v>1</v>
      </c>
      <c r="I768" s="176">
        <f t="shared" si="10"/>
        <v>48</v>
      </c>
      <c r="J768" s="174">
        <v>8</v>
      </c>
      <c r="K768" s="174">
        <v>32</v>
      </c>
      <c r="L768" s="174">
        <v>204</v>
      </c>
      <c r="M768" s="174" t="s">
        <v>2296</v>
      </c>
    </row>
    <row r="769" spans="1:13">
      <c r="A769" s="151"/>
      <c r="B769" s="182" t="s">
        <v>2298</v>
      </c>
      <c r="C769" s="174" t="s">
        <v>349</v>
      </c>
      <c r="D769" s="174" t="s">
        <v>1633</v>
      </c>
      <c r="E769" s="182" t="s">
        <v>2299</v>
      </c>
      <c r="F769" s="181" t="s">
        <v>2300</v>
      </c>
      <c r="G769" s="184" t="s">
        <v>524</v>
      </c>
      <c r="H769" s="184">
        <v>1</v>
      </c>
      <c r="I769" s="176">
        <f t="shared" si="10"/>
        <v>48</v>
      </c>
      <c r="J769" s="182">
        <v>8</v>
      </c>
      <c r="K769" s="182">
        <v>44</v>
      </c>
      <c r="L769" s="182">
        <v>392</v>
      </c>
      <c r="M769" s="182" t="s">
        <v>2298</v>
      </c>
    </row>
    <row r="770" spans="1:13">
      <c r="A770" s="151"/>
      <c r="B770" s="174" t="s">
        <v>2301</v>
      </c>
      <c r="C770" s="174" t="s">
        <v>349</v>
      </c>
      <c r="D770" s="174" t="s">
        <v>1645</v>
      </c>
      <c r="E770" s="174" t="s">
        <v>2302</v>
      </c>
      <c r="F770" s="175" t="s">
        <v>2303</v>
      </c>
      <c r="G770" s="176" t="s">
        <v>524</v>
      </c>
      <c r="H770" s="184">
        <v>1</v>
      </c>
      <c r="I770" s="176">
        <f t="shared" si="10"/>
        <v>60</v>
      </c>
      <c r="J770" s="174">
        <v>1</v>
      </c>
      <c r="K770" s="174">
        <v>80</v>
      </c>
      <c r="L770" s="174">
        <v>89</v>
      </c>
      <c r="M770" s="174" t="s">
        <v>2301</v>
      </c>
    </row>
    <row r="771" spans="1:13">
      <c r="A771" s="151"/>
      <c r="B771" s="174" t="s">
        <v>2304</v>
      </c>
      <c r="C771" s="174" t="s">
        <v>349</v>
      </c>
      <c r="D771" s="174" t="s">
        <v>1645</v>
      </c>
      <c r="E771" s="174" t="s">
        <v>2305</v>
      </c>
      <c r="F771" s="175" t="s">
        <v>2306</v>
      </c>
      <c r="G771" s="176" t="s">
        <v>524</v>
      </c>
      <c r="H771" s="176">
        <v>1</v>
      </c>
      <c r="I771" s="176">
        <f t="shared" si="10"/>
        <v>60</v>
      </c>
      <c r="J771" s="174">
        <v>1</v>
      </c>
      <c r="K771" s="174">
        <v>35</v>
      </c>
      <c r="L771" s="174">
        <v>39</v>
      </c>
      <c r="M771" s="174" t="s">
        <v>2304</v>
      </c>
    </row>
    <row r="772" spans="1:13">
      <c r="A772" s="151"/>
      <c r="B772" s="174" t="s">
        <v>2307</v>
      </c>
      <c r="C772" s="174" t="s">
        <v>349</v>
      </c>
      <c r="D772" s="174" t="s">
        <v>1633</v>
      </c>
      <c r="E772" s="174" t="s">
        <v>2308</v>
      </c>
      <c r="F772" s="175" t="s">
        <v>2309</v>
      </c>
      <c r="G772" s="176" t="s">
        <v>524</v>
      </c>
      <c r="H772" s="176">
        <v>1</v>
      </c>
      <c r="I772" s="176">
        <f t="shared" si="10"/>
        <v>60</v>
      </c>
      <c r="J772" s="174">
        <v>1</v>
      </c>
      <c r="K772" s="174">
        <v>55</v>
      </c>
      <c r="L772" s="174">
        <v>59</v>
      </c>
      <c r="M772" s="174" t="s">
        <v>2310</v>
      </c>
    </row>
    <row r="773" spans="1:13">
      <c r="A773" s="151"/>
      <c r="B773" s="174" t="s">
        <v>2311</v>
      </c>
      <c r="C773" s="174" t="s">
        <v>349</v>
      </c>
      <c r="D773" s="174" t="s">
        <v>1633</v>
      </c>
      <c r="E773" s="174" t="s">
        <v>2312</v>
      </c>
      <c r="F773" s="175" t="s">
        <v>2313</v>
      </c>
      <c r="G773" s="176" t="s">
        <v>524</v>
      </c>
      <c r="H773" s="176">
        <v>1</v>
      </c>
      <c r="I773" s="176">
        <f t="shared" si="10"/>
        <v>60</v>
      </c>
      <c r="J773" s="174">
        <v>1</v>
      </c>
      <c r="K773" s="174">
        <v>40</v>
      </c>
      <c r="L773" s="174">
        <v>36</v>
      </c>
      <c r="M773" s="174" t="s">
        <v>2311</v>
      </c>
    </row>
    <row r="774" spans="1:13">
      <c r="A774" s="151"/>
      <c r="B774" s="174" t="s">
        <v>2314</v>
      </c>
      <c r="C774" s="174" t="s">
        <v>349</v>
      </c>
      <c r="D774" s="174" t="s">
        <v>1633</v>
      </c>
      <c r="E774" s="174" t="s">
        <v>2312</v>
      </c>
      <c r="F774" s="175" t="s">
        <v>2315</v>
      </c>
      <c r="G774" s="176" t="s">
        <v>524</v>
      </c>
      <c r="H774" s="184">
        <v>1</v>
      </c>
      <c r="I774" s="176">
        <f t="shared" si="10"/>
        <v>60</v>
      </c>
      <c r="J774" s="174">
        <v>1</v>
      </c>
      <c r="K774" s="174">
        <v>40</v>
      </c>
      <c r="L774" s="174">
        <v>36</v>
      </c>
      <c r="M774" s="174" t="s">
        <v>2314</v>
      </c>
    </row>
    <row r="775" spans="1:13">
      <c r="A775" s="151"/>
      <c r="B775" s="174" t="s">
        <v>2316</v>
      </c>
      <c r="C775" s="174" t="s">
        <v>349</v>
      </c>
      <c r="D775" s="174" t="s">
        <v>1633</v>
      </c>
      <c r="E775" s="174" t="s">
        <v>2312</v>
      </c>
      <c r="F775" s="175" t="s">
        <v>2317</v>
      </c>
      <c r="G775" s="176" t="s">
        <v>524</v>
      </c>
      <c r="H775" s="176">
        <v>1</v>
      </c>
      <c r="I775" s="176">
        <f t="shared" si="10"/>
        <v>60</v>
      </c>
      <c r="J775" s="174">
        <v>1</v>
      </c>
      <c r="K775" s="174">
        <v>40</v>
      </c>
      <c r="L775" s="174">
        <v>35</v>
      </c>
      <c r="M775" s="174" t="s">
        <v>2316</v>
      </c>
    </row>
    <row r="776" spans="1:13">
      <c r="A776" s="151"/>
      <c r="B776" s="174" t="s">
        <v>2318</v>
      </c>
      <c r="C776" s="174" t="s">
        <v>349</v>
      </c>
      <c r="D776" s="174" t="s">
        <v>1633</v>
      </c>
      <c r="E776" s="174" t="s">
        <v>2312</v>
      </c>
      <c r="F776" s="175" t="s">
        <v>2319</v>
      </c>
      <c r="G776" s="176" t="s">
        <v>524</v>
      </c>
      <c r="H776" s="184">
        <v>1</v>
      </c>
      <c r="I776" s="176">
        <f t="shared" si="10"/>
        <v>60</v>
      </c>
      <c r="J776" s="174">
        <v>1</v>
      </c>
      <c r="K776" s="174">
        <v>40</v>
      </c>
      <c r="L776" s="174">
        <v>34</v>
      </c>
      <c r="M776" s="174" t="s">
        <v>2318</v>
      </c>
    </row>
    <row r="777" spans="1:13">
      <c r="A777" s="151"/>
      <c r="B777" s="174" t="s">
        <v>2320</v>
      </c>
      <c r="C777" s="174" t="s">
        <v>349</v>
      </c>
      <c r="D777" s="174" t="s">
        <v>1633</v>
      </c>
      <c r="E777" s="174" t="s">
        <v>2312</v>
      </c>
      <c r="F777" s="175" t="s">
        <v>2321</v>
      </c>
      <c r="G777" s="176" t="s">
        <v>524</v>
      </c>
      <c r="H777" s="176">
        <v>1</v>
      </c>
      <c r="I777" s="176">
        <f t="shared" si="10"/>
        <v>60</v>
      </c>
      <c r="J777" s="174">
        <v>1</v>
      </c>
      <c r="K777" s="174">
        <v>40</v>
      </c>
      <c r="L777" s="174">
        <v>43</v>
      </c>
      <c r="M777" s="174" t="s">
        <v>2320</v>
      </c>
    </row>
    <row r="778" spans="1:13" ht="15">
      <c r="A778" s="151"/>
      <c r="B778" s="174" t="s">
        <v>2322</v>
      </c>
      <c r="C778" s="174" t="s">
        <v>349</v>
      </c>
      <c r="D778" s="174" t="s">
        <v>1637</v>
      </c>
      <c r="E778" s="174" t="s">
        <v>2323</v>
      </c>
      <c r="F778" s="175" t="s">
        <v>2324</v>
      </c>
      <c r="G778" s="176" t="s">
        <v>1192</v>
      </c>
      <c r="H778" s="176">
        <v>1</v>
      </c>
      <c r="I778" s="176">
        <f t="shared" si="10"/>
        <v>60</v>
      </c>
      <c r="J778" s="174">
        <v>1</v>
      </c>
      <c r="K778" s="174">
        <v>75</v>
      </c>
      <c r="L778" s="174">
        <v>88</v>
      </c>
      <c r="M778" s="183" t="s">
        <v>2311</v>
      </c>
    </row>
    <row r="779" spans="1:13" ht="15">
      <c r="A779" s="151"/>
      <c r="B779" s="174" t="s">
        <v>2325</v>
      </c>
      <c r="C779" s="174" t="s">
        <v>349</v>
      </c>
      <c r="D779" s="174" t="s">
        <v>1637</v>
      </c>
      <c r="E779" s="174" t="s">
        <v>2323</v>
      </c>
      <c r="F779" s="175" t="s">
        <v>2324</v>
      </c>
      <c r="G779" s="176" t="s">
        <v>524</v>
      </c>
      <c r="H779" s="176">
        <v>1</v>
      </c>
      <c r="I779" s="176">
        <f t="shared" si="10"/>
        <v>60</v>
      </c>
      <c r="J779" s="174">
        <v>1</v>
      </c>
      <c r="K779" s="174">
        <v>75</v>
      </c>
      <c r="L779" s="174">
        <v>69</v>
      </c>
      <c r="M779" s="183" t="s">
        <v>2311</v>
      </c>
    </row>
    <row r="780" spans="1:13" ht="15">
      <c r="A780" s="151"/>
      <c r="B780" s="174" t="s">
        <v>2326</v>
      </c>
      <c r="C780" s="174" t="s">
        <v>349</v>
      </c>
      <c r="D780" s="174" t="s">
        <v>1637</v>
      </c>
      <c r="E780" s="174" t="s">
        <v>2323</v>
      </c>
      <c r="F780" s="175" t="s">
        <v>2324</v>
      </c>
      <c r="G780" s="176" t="s">
        <v>557</v>
      </c>
      <c r="H780" s="176">
        <v>1</v>
      </c>
      <c r="I780" s="176">
        <f t="shared" si="10"/>
        <v>60</v>
      </c>
      <c r="J780" s="174">
        <v>1</v>
      </c>
      <c r="K780" s="174">
        <v>75</v>
      </c>
      <c r="L780" s="174">
        <v>92</v>
      </c>
      <c r="M780" s="183" t="s">
        <v>2311</v>
      </c>
    </row>
    <row r="781" spans="1:13" ht="15">
      <c r="A781" s="151"/>
      <c r="B781" s="174" t="s">
        <v>2327</v>
      </c>
      <c r="C781" s="174" t="s">
        <v>349</v>
      </c>
      <c r="D781" s="174" t="s">
        <v>1637</v>
      </c>
      <c r="E781" s="174" t="s">
        <v>2328</v>
      </c>
      <c r="F781" s="175" t="s">
        <v>2329</v>
      </c>
      <c r="G781" s="176" t="s">
        <v>524</v>
      </c>
      <c r="H781" s="176">
        <v>1</v>
      </c>
      <c r="I781" s="176">
        <f t="shared" si="10"/>
        <v>60</v>
      </c>
      <c r="J781" s="174">
        <v>1</v>
      </c>
      <c r="K781" s="174">
        <v>50</v>
      </c>
      <c r="L781" s="174">
        <v>44</v>
      </c>
      <c r="M781" s="183" t="s">
        <v>2311</v>
      </c>
    </row>
    <row r="782" spans="1:13" ht="15">
      <c r="A782" s="151"/>
      <c r="B782" s="174" t="s">
        <v>2330</v>
      </c>
      <c r="C782" s="174" t="s">
        <v>349</v>
      </c>
      <c r="D782" s="174" t="s">
        <v>1637</v>
      </c>
      <c r="E782" s="174" t="s">
        <v>2328</v>
      </c>
      <c r="F782" s="175" t="s">
        <v>2329</v>
      </c>
      <c r="G782" s="176" t="s">
        <v>557</v>
      </c>
      <c r="H782" s="176">
        <v>1</v>
      </c>
      <c r="I782" s="176">
        <f t="shared" si="10"/>
        <v>60</v>
      </c>
      <c r="J782" s="174">
        <v>1</v>
      </c>
      <c r="K782" s="174">
        <v>50</v>
      </c>
      <c r="L782" s="174">
        <v>63</v>
      </c>
      <c r="M782" s="183" t="s">
        <v>2311</v>
      </c>
    </row>
    <row r="783" spans="1:13" ht="15">
      <c r="A783" s="151"/>
      <c r="B783" s="174" t="s">
        <v>2331</v>
      </c>
      <c r="C783" s="174" t="s">
        <v>349</v>
      </c>
      <c r="D783" s="174" t="s">
        <v>1637</v>
      </c>
      <c r="E783" s="174" t="s">
        <v>2332</v>
      </c>
      <c r="F783" s="175" t="s">
        <v>2333</v>
      </c>
      <c r="G783" s="176" t="s">
        <v>557</v>
      </c>
      <c r="H783" s="176">
        <v>1</v>
      </c>
      <c r="I783" s="176">
        <f t="shared" si="10"/>
        <v>60</v>
      </c>
      <c r="J783" s="174">
        <v>1</v>
      </c>
      <c r="K783" s="174">
        <v>135</v>
      </c>
      <c r="L783" s="174">
        <v>165</v>
      </c>
      <c r="M783" s="183" t="s">
        <v>2311</v>
      </c>
    </row>
    <row r="784" spans="1:13">
      <c r="A784" s="151"/>
      <c r="B784" s="174" t="s">
        <v>2334</v>
      </c>
      <c r="C784" s="174" t="s">
        <v>349</v>
      </c>
      <c r="D784" s="174" t="s">
        <v>1645</v>
      </c>
      <c r="E784" s="174" t="s">
        <v>2305</v>
      </c>
      <c r="F784" s="175" t="s">
        <v>2335</v>
      </c>
      <c r="G784" s="176" t="s">
        <v>524</v>
      </c>
      <c r="H784" s="184">
        <v>1</v>
      </c>
      <c r="I784" s="176">
        <f t="shared" si="10"/>
        <v>60</v>
      </c>
      <c r="J784" s="174">
        <v>2</v>
      </c>
      <c r="K784" s="174">
        <v>35</v>
      </c>
      <c r="L784" s="174">
        <v>76</v>
      </c>
      <c r="M784" s="174" t="s">
        <v>2334</v>
      </c>
    </row>
    <row r="785" spans="1:13">
      <c r="A785" s="151"/>
      <c r="B785" s="174" t="s">
        <v>2336</v>
      </c>
      <c r="C785" s="174" t="s">
        <v>349</v>
      </c>
      <c r="D785" s="174" t="s">
        <v>1633</v>
      </c>
      <c r="E785" s="174" t="s">
        <v>2308</v>
      </c>
      <c r="F785" s="175" t="s">
        <v>2337</v>
      </c>
      <c r="G785" s="176" t="s">
        <v>524</v>
      </c>
      <c r="H785" s="176">
        <v>1</v>
      </c>
      <c r="I785" s="176">
        <f t="shared" si="10"/>
        <v>60</v>
      </c>
      <c r="J785" s="174">
        <v>2</v>
      </c>
      <c r="K785" s="174">
        <v>55</v>
      </c>
      <c r="L785" s="174">
        <v>123</v>
      </c>
      <c r="M785" s="174" t="s">
        <v>2307</v>
      </c>
    </row>
    <row r="786" spans="1:13">
      <c r="A786" s="151"/>
      <c r="B786" s="174" t="s">
        <v>2338</v>
      </c>
      <c r="C786" s="174" t="s">
        <v>349</v>
      </c>
      <c r="D786" s="174" t="s">
        <v>1633</v>
      </c>
      <c r="E786" s="174" t="s">
        <v>2312</v>
      </c>
      <c r="F786" s="175" t="s">
        <v>2339</v>
      </c>
      <c r="G786" s="176" t="s">
        <v>524</v>
      </c>
      <c r="H786" s="184">
        <v>1</v>
      </c>
      <c r="I786" s="176">
        <f t="shared" si="10"/>
        <v>60</v>
      </c>
      <c r="J786" s="174">
        <v>2</v>
      </c>
      <c r="K786" s="174">
        <v>40</v>
      </c>
      <c r="L786" s="174">
        <v>72</v>
      </c>
      <c r="M786" s="174" t="s">
        <v>2338</v>
      </c>
    </row>
    <row r="787" spans="1:13">
      <c r="A787" s="151"/>
      <c r="B787" s="174" t="s">
        <v>2340</v>
      </c>
      <c r="C787" s="174" t="s">
        <v>349</v>
      </c>
      <c r="D787" s="174" t="s">
        <v>1633</v>
      </c>
      <c r="E787" s="174" t="s">
        <v>2312</v>
      </c>
      <c r="F787" s="175" t="s">
        <v>2341</v>
      </c>
      <c r="G787" s="176" t="s">
        <v>524</v>
      </c>
      <c r="H787" s="176">
        <v>1</v>
      </c>
      <c r="I787" s="176">
        <f t="shared" si="10"/>
        <v>60</v>
      </c>
      <c r="J787" s="174">
        <v>2</v>
      </c>
      <c r="K787" s="174">
        <v>40</v>
      </c>
      <c r="L787" s="174">
        <v>67</v>
      </c>
      <c r="M787" s="174" t="s">
        <v>2340</v>
      </c>
    </row>
    <row r="788" spans="1:13">
      <c r="A788" s="151"/>
      <c r="B788" s="174" t="s">
        <v>2342</v>
      </c>
      <c r="C788" s="174" t="s">
        <v>349</v>
      </c>
      <c r="D788" s="174" t="s">
        <v>1633</v>
      </c>
      <c r="E788" s="174" t="s">
        <v>2312</v>
      </c>
      <c r="F788" s="175" t="s">
        <v>2343</v>
      </c>
      <c r="G788" s="176" t="s">
        <v>524</v>
      </c>
      <c r="H788" s="184">
        <v>1</v>
      </c>
      <c r="I788" s="176">
        <f t="shared" si="10"/>
        <v>60</v>
      </c>
      <c r="J788" s="174">
        <v>2</v>
      </c>
      <c r="K788" s="174">
        <v>40</v>
      </c>
      <c r="L788" s="174">
        <v>80</v>
      </c>
      <c r="M788" s="174" t="s">
        <v>2342</v>
      </c>
    </row>
    <row r="789" spans="1:13">
      <c r="A789" s="151"/>
      <c r="B789" s="174" t="s">
        <v>2344</v>
      </c>
      <c r="C789" s="174" t="s">
        <v>349</v>
      </c>
      <c r="D789" s="174" t="s">
        <v>1633</v>
      </c>
      <c r="E789" s="174" t="s">
        <v>2312</v>
      </c>
      <c r="F789" s="175" t="s">
        <v>2345</v>
      </c>
      <c r="G789" s="176" t="s">
        <v>524</v>
      </c>
      <c r="H789" s="176">
        <v>1</v>
      </c>
      <c r="I789" s="176">
        <f t="shared" si="10"/>
        <v>60</v>
      </c>
      <c r="J789" s="174">
        <v>2</v>
      </c>
      <c r="K789" s="174">
        <v>40</v>
      </c>
      <c r="L789" s="174">
        <v>73</v>
      </c>
      <c r="M789" s="174" t="s">
        <v>2344</v>
      </c>
    </row>
    <row r="790" spans="1:13" ht="15">
      <c r="A790" s="151"/>
      <c r="B790" s="174" t="s">
        <v>2346</v>
      </c>
      <c r="C790" s="174" t="s">
        <v>349</v>
      </c>
      <c r="D790" s="174" t="s">
        <v>1637</v>
      </c>
      <c r="E790" s="174" t="s">
        <v>2323</v>
      </c>
      <c r="F790" s="175" t="s">
        <v>2347</v>
      </c>
      <c r="G790" s="176" t="s">
        <v>1192</v>
      </c>
      <c r="H790" s="176">
        <v>1</v>
      </c>
      <c r="I790" s="176">
        <f t="shared" si="10"/>
        <v>60</v>
      </c>
      <c r="J790" s="174">
        <v>2</v>
      </c>
      <c r="K790" s="174">
        <v>75</v>
      </c>
      <c r="L790" s="174">
        <v>176</v>
      </c>
      <c r="M790" s="183" t="s">
        <v>2338</v>
      </c>
    </row>
    <row r="791" spans="1:13" ht="15">
      <c r="A791" s="151"/>
      <c r="B791" s="174" t="s">
        <v>2348</v>
      </c>
      <c r="C791" s="174" t="s">
        <v>349</v>
      </c>
      <c r="D791" s="174" t="s">
        <v>1637</v>
      </c>
      <c r="E791" s="174" t="s">
        <v>2323</v>
      </c>
      <c r="F791" s="175" t="s">
        <v>2347</v>
      </c>
      <c r="G791" s="176" t="s">
        <v>524</v>
      </c>
      <c r="H791" s="176">
        <v>1</v>
      </c>
      <c r="I791" s="176">
        <f t="shared" si="10"/>
        <v>60</v>
      </c>
      <c r="J791" s="174">
        <v>2</v>
      </c>
      <c r="K791" s="174">
        <v>75</v>
      </c>
      <c r="L791" s="174">
        <v>138</v>
      </c>
      <c r="M791" s="183" t="s">
        <v>2338</v>
      </c>
    </row>
    <row r="792" spans="1:13" ht="15">
      <c r="A792" s="151"/>
      <c r="B792" s="174" t="s">
        <v>2349</v>
      </c>
      <c r="C792" s="174" t="s">
        <v>349</v>
      </c>
      <c r="D792" s="174" t="s">
        <v>1637</v>
      </c>
      <c r="E792" s="174" t="s">
        <v>2323</v>
      </c>
      <c r="F792" s="175" t="s">
        <v>2347</v>
      </c>
      <c r="G792" s="176" t="s">
        <v>557</v>
      </c>
      <c r="H792" s="176">
        <v>1</v>
      </c>
      <c r="I792" s="176">
        <f t="shared" si="10"/>
        <v>60</v>
      </c>
      <c r="J792" s="174">
        <v>2</v>
      </c>
      <c r="K792" s="174">
        <v>75</v>
      </c>
      <c r="L792" s="174">
        <v>168</v>
      </c>
      <c r="M792" s="183" t="s">
        <v>2338</v>
      </c>
    </row>
    <row r="793" spans="1:13" ht="15">
      <c r="A793" s="151"/>
      <c r="B793" s="174" t="s">
        <v>2350</v>
      </c>
      <c r="C793" s="174" t="s">
        <v>349</v>
      </c>
      <c r="D793" s="174" t="s">
        <v>1637</v>
      </c>
      <c r="E793" s="174" t="s">
        <v>2328</v>
      </c>
      <c r="F793" s="175" t="s">
        <v>2351</v>
      </c>
      <c r="G793" s="176" t="s">
        <v>524</v>
      </c>
      <c r="H793" s="176">
        <v>1</v>
      </c>
      <c r="I793" s="176">
        <f t="shared" si="10"/>
        <v>60</v>
      </c>
      <c r="J793" s="174">
        <v>2</v>
      </c>
      <c r="K793" s="174">
        <v>50</v>
      </c>
      <c r="L793" s="174">
        <v>88</v>
      </c>
      <c r="M793" s="183" t="s">
        <v>2338</v>
      </c>
    </row>
    <row r="794" spans="1:13" ht="15">
      <c r="A794" s="151"/>
      <c r="B794" s="174" t="s">
        <v>2352</v>
      </c>
      <c r="C794" s="174" t="s">
        <v>349</v>
      </c>
      <c r="D794" s="174" t="s">
        <v>1637</v>
      </c>
      <c r="E794" s="174" t="s">
        <v>2328</v>
      </c>
      <c r="F794" s="175" t="s">
        <v>2351</v>
      </c>
      <c r="G794" s="176" t="s">
        <v>557</v>
      </c>
      <c r="H794" s="176">
        <v>1</v>
      </c>
      <c r="I794" s="176">
        <f t="shared" si="10"/>
        <v>60</v>
      </c>
      <c r="J794" s="174">
        <v>2</v>
      </c>
      <c r="K794" s="174">
        <v>50</v>
      </c>
      <c r="L794" s="174">
        <v>128</v>
      </c>
      <c r="M794" s="183" t="s">
        <v>2338</v>
      </c>
    </row>
    <row r="795" spans="1:13" ht="15">
      <c r="A795" s="151"/>
      <c r="B795" s="174" t="s">
        <v>2353</v>
      </c>
      <c r="C795" s="174" t="s">
        <v>349</v>
      </c>
      <c r="D795" s="174" t="s">
        <v>1637</v>
      </c>
      <c r="E795" s="174" t="s">
        <v>2332</v>
      </c>
      <c r="F795" s="175" t="s">
        <v>2354</v>
      </c>
      <c r="G795" s="176" t="s">
        <v>557</v>
      </c>
      <c r="H795" s="176">
        <v>1</v>
      </c>
      <c r="I795" s="176">
        <f t="shared" si="10"/>
        <v>60</v>
      </c>
      <c r="J795" s="174">
        <v>2</v>
      </c>
      <c r="K795" s="174">
        <v>135</v>
      </c>
      <c r="L795" s="174">
        <v>310</v>
      </c>
      <c r="M795" s="183" t="s">
        <v>2338</v>
      </c>
    </row>
    <row r="796" spans="1:13">
      <c r="A796" s="151"/>
      <c r="B796" s="174" t="s">
        <v>2355</v>
      </c>
      <c r="C796" s="174" t="s">
        <v>349</v>
      </c>
      <c r="D796" s="174" t="s">
        <v>1633</v>
      </c>
      <c r="E796" s="174" t="s">
        <v>2312</v>
      </c>
      <c r="F796" s="175" t="s">
        <v>2356</v>
      </c>
      <c r="G796" s="176" t="s">
        <v>524</v>
      </c>
      <c r="H796" s="184">
        <v>1</v>
      </c>
      <c r="I796" s="176">
        <f t="shared" si="10"/>
        <v>60</v>
      </c>
      <c r="J796" s="174">
        <v>3</v>
      </c>
      <c r="K796" s="174">
        <v>40</v>
      </c>
      <c r="L796" s="174">
        <v>106</v>
      </c>
      <c r="M796" s="174" t="s">
        <v>2355</v>
      </c>
    </row>
    <row r="797" spans="1:13">
      <c r="A797" s="151"/>
      <c r="B797" s="174" t="s">
        <v>2357</v>
      </c>
      <c r="C797" s="174" t="s">
        <v>349</v>
      </c>
      <c r="D797" s="174" t="s">
        <v>1633</v>
      </c>
      <c r="E797" s="174" t="s">
        <v>2312</v>
      </c>
      <c r="F797" s="175" t="s">
        <v>2358</v>
      </c>
      <c r="G797" s="176" t="s">
        <v>524</v>
      </c>
      <c r="H797" s="176">
        <v>1</v>
      </c>
      <c r="I797" s="176">
        <f t="shared" si="10"/>
        <v>60</v>
      </c>
      <c r="J797" s="174">
        <v>3</v>
      </c>
      <c r="K797" s="174">
        <v>40</v>
      </c>
      <c r="L797" s="174">
        <v>108</v>
      </c>
      <c r="M797" s="174" t="s">
        <v>2357</v>
      </c>
    </row>
    <row r="798" spans="1:13">
      <c r="A798" s="151"/>
      <c r="B798" s="174" t="s">
        <v>2359</v>
      </c>
      <c r="C798" s="174" t="s">
        <v>349</v>
      </c>
      <c r="D798" s="174" t="s">
        <v>1633</v>
      </c>
      <c r="E798" s="174" t="s">
        <v>2312</v>
      </c>
      <c r="F798" s="175" t="s">
        <v>2360</v>
      </c>
      <c r="G798" s="176" t="s">
        <v>524</v>
      </c>
      <c r="H798" s="184">
        <v>1</v>
      </c>
      <c r="I798" s="176">
        <f t="shared" si="10"/>
        <v>60</v>
      </c>
      <c r="J798" s="174">
        <v>4</v>
      </c>
      <c r="K798" s="174">
        <v>40</v>
      </c>
      <c r="L798" s="174">
        <v>134</v>
      </c>
      <c r="M798" s="174" t="s">
        <v>2359</v>
      </c>
    </row>
    <row r="799" spans="1:13">
      <c r="A799" s="151"/>
      <c r="B799" s="174" t="s">
        <v>2361</v>
      </c>
      <c r="C799" s="174" t="s">
        <v>349</v>
      </c>
      <c r="D799" s="174" t="s">
        <v>1633</v>
      </c>
      <c r="E799" s="174" t="s">
        <v>2312</v>
      </c>
      <c r="F799" s="175" t="s">
        <v>2362</v>
      </c>
      <c r="G799" s="176" t="s">
        <v>524</v>
      </c>
      <c r="H799" s="176">
        <v>1</v>
      </c>
      <c r="I799" s="176">
        <f t="shared" si="10"/>
        <v>60</v>
      </c>
      <c r="J799" s="174">
        <v>4</v>
      </c>
      <c r="K799" s="174">
        <v>40</v>
      </c>
      <c r="L799" s="174">
        <v>126</v>
      </c>
      <c r="M799" s="174" t="s">
        <v>2361</v>
      </c>
    </row>
    <row r="800" spans="1:13" ht="15">
      <c r="A800" s="151"/>
      <c r="B800" s="174" t="s">
        <v>2363</v>
      </c>
      <c r="C800" s="174" t="s">
        <v>349</v>
      </c>
      <c r="D800" s="174" t="s">
        <v>1637</v>
      </c>
      <c r="E800" s="174" t="s">
        <v>2364</v>
      </c>
      <c r="F800" s="175" t="s">
        <v>2365</v>
      </c>
      <c r="G800" s="176" t="s">
        <v>524</v>
      </c>
      <c r="H800" s="176">
        <v>1</v>
      </c>
      <c r="I800" s="176">
        <f t="shared" si="10"/>
        <v>72</v>
      </c>
      <c r="J800" s="174">
        <v>1</v>
      </c>
      <c r="K800" s="174">
        <v>55</v>
      </c>
      <c r="L800" s="174">
        <v>68</v>
      </c>
      <c r="M800" s="183" t="s">
        <v>2366</v>
      </c>
    </row>
    <row r="801" spans="1:13" ht="15">
      <c r="A801" s="151"/>
      <c r="B801" s="174" t="s">
        <v>2367</v>
      </c>
      <c r="C801" s="174" t="s">
        <v>349</v>
      </c>
      <c r="D801" s="174" t="s">
        <v>1637</v>
      </c>
      <c r="E801" s="174" t="s">
        <v>2364</v>
      </c>
      <c r="F801" s="175" t="s">
        <v>2368</v>
      </c>
      <c r="G801" s="176" t="s">
        <v>1192</v>
      </c>
      <c r="H801" s="176">
        <v>1</v>
      </c>
      <c r="I801" s="176">
        <f t="shared" si="10"/>
        <v>72</v>
      </c>
      <c r="J801" s="174">
        <v>1</v>
      </c>
      <c r="K801" s="174">
        <v>55</v>
      </c>
      <c r="L801" s="174">
        <v>76</v>
      </c>
      <c r="M801" s="183" t="s">
        <v>2366</v>
      </c>
    </row>
    <row r="802" spans="1:13" ht="15">
      <c r="A802" s="151"/>
      <c r="B802" s="174" t="s">
        <v>2369</v>
      </c>
      <c r="C802" s="174" t="s">
        <v>349</v>
      </c>
      <c r="D802" s="174" t="s">
        <v>1637</v>
      </c>
      <c r="E802" s="174" t="s">
        <v>2370</v>
      </c>
      <c r="F802" s="175" t="s">
        <v>2371</v>
      </c>
      <c r="G802" s="176" t="s">
        <v>557</v>
      </c>
      <c r="H802" s="176">
        <v>1</v>
      </c>
      <c r="I802" s="176">
        <f t="shared" si="10"/>
        <v>72</v>
      </c>
      <c r="J802" s="174">
        <v>1</v>
      </c>
      <c r="K802" s="174">
        <v>85</v>
      </c>
      <c r="L802" s="174">
        <v>120</v>
      </c>
      <c r="M802" s="183" t="s">
        <v>2366</v>
      </c>
    </row>
    <row r="803" spans="1:13" ht="15">
      <c r="A803" s="151"/>
      <c r="B803" s="174" t="s">
        <v>2372</v>
      </c>
      <c r="C803" s="174" t="s">
        <v>349</v>
      </c>
      <c r="D803" s="174" t="s">
        <v>1637</v>
      </c>
      <c r="E803" s="174" t="s">
        <v>2364</v>
      </c>
      <c r="F803" s="175" t="s">
        <v>2368</v>
      </c>
      <c r="G803" s="176" t="s">
        <v>557</v>
      </c>
      <c r="H803" s="176">
        <v>1</v>
      </c>
      <c r="I803" s="176">
        <f t="shared" si="10"/>
        <v>72</v>
      </c>
      <c r="J803" s="174">
        <v>1</v>
      </c>
      <c r="K803" s="174">
        <v>55</v>
      </c>
      <c r="L803" s="174">
        <v>90</v>
      </c>
      <c r="M803" s="183" t="s">
        <v>2366</v>
      </c>
    </row>
    <row r="804" spans="1:13" ht="15">
      <c r="A804" s="151"/>
      <c r="B804" s="174" t="s">
        <v>2373</v>
      </c>
      <c r="C804" s="174" t="s">
        <v>349</v>
      </c>
      <c r="D804" s="174" t="s">
        <v>1637</v>
      </c>
      <c r="E804" s="174" t="s">
        <v>2374</v>
      </c>
      <c r="F804" s="175" t="s">
        <v>2375</v>
      </c>
      <c r="G804" s="176" t="s">
        <v>557</v>
      </c>
      <c r="H804" s="176">
        <v>1</v>
      </c>
      <c r="I804" s="176">
        <f t="shared" si="10"/>
        <v>72</v>
      </c>
      <c r="J804" s="174">
        <v>1</v>
      </c>
      <c r="K804" s="174">
        <v>160</v>
      </c>
      <c r="L804" s="174">
        <v>180</v>
      </c>
      <c r="M804" s="183" t="s">
        <v>2366</v>
      </c>
    </row>
    <row r="805" spans="1:13">
      <c r="A805" s="151"/>
      <c r="B805" s="174" t="s">
        <v>2376</v>
      </c>
      <c r="C805" s="174" t="s">
        <v>349</v>
      </c>
      <c r="D805" s="174" t="s">
        <v>1633</v>
      </c>
      <c r="E805" s="174" t="s">
        <v>2377</v>
      </c>
      <c r="F805" s="175" t="s">
        <v>2378</v>
      </c>
      <c r="G805" s="176" t="s">
        <v>524</v>
      </c>
      <c r="H805" s="184">
        <v>1</v>
      </c>
      <c r="I805" s="176">
        <f t="shared" si="10"/>
        <v>72</v>
      </c>
      <c r="J805" s="174">
        <v>2</v>
      </c>
      <c r="K805" s="174">
        <v>65</v>
      </c>
      <c r="L805" s="174">
        <v>147</v>
      </c>
      <c r="M805" s="174" t="s">
        <v>2376</v>
      </c>
    </row>
    <row r="806" spans="1:13" ht="15">
      <c r="A806" s="151"/>
      <c r="B806" s="174" t="s">
        <v>2379</v>
      </c>
      <c r="C806" s="174" t="s">
        <v>349</v>
      </c>
      <c r="D806" s="174" t="s">
        <v>1637</v>
      </c>
      <c r="E806" s="174" t="s">
        <v>2364</v>
      </c>
      <c r="F806" s="175" t="s">
        <v>2380</v>
      </c>
      <c r="G806" s="176" t="s">
        <v>524</v>
      </c>
      <c r="H806" s="176">
        <v>1</v>
      </c>
      <c r="I806" s="176">
        <f t="shared" si="10"/>
        <v>72</v>
      </c>
      <c r="J806" s="174">
        <v>2</v>
      </c>
      <c r="K806" s="174">
        <v>55</v>
      </c>
      <c r="L806" s="174">
        <v>108</v>
      </c>
      <c r="M806" s="183" t="s">
        <v>2381</v>
      </c>
    </row>
    <row r="807" spans="1:13" ht="15">
      <c r="A807" s="151"/>
      <c r="B807" s="174" t="s">
        <v>2382</v>
      </c>
      <c r="C807" s="174" t="s">
        <v>349</v>
      </c>
      <c r="D807" s="174" t="s">
        <v>1637</v>
      </c>
      <c r="E807" s="174" t="s">
        <v>2364</v>
      </c>
      <c r="F807" s="175" t="s">
        <v>2383</v>
      </c>
      <c r="G807" s="176" t="s">
        <v>1192</v>
      </c>
      <c r="H807" s="176">
        <v>1</v>
      </c>
      <c r="I807" s="176">
        <f t="shared" si="10"/>
        <v>72</v>
      </c>
      <c r="J807" s="174">
        <v>2</v>
      </c>
      <c r="K807" s="174">
        <v>55</v>
      </c>
      <c r="L807" s="174">
        <v>122</v>
      </c>
      <c r="M807" s="183" t="s">
        <v>2381</v>
      </c>
    </row>
    <row r="808" spans="1:13" ht="15">
      <c r="A808" s="151"/>
      <c r="B808" s="174" t="s">
        <v>2384</v>
      </c>
      <c r="C808" s="174" t="s">
        <v>349</v>
      </c>
      <c r="D808" s="174" t="s">
        <v>1637</v>
      </c>
      <c r="E808" s="174" t="s">
        <v>2370</v>
      </c>
      <c r="F808" s="175" t="s">
        <v>2385</v>
      </c>
      <c r="G808" s="176" t="s">
        <v>1192</v>
      </c>
      <c r="H808" s="176">
        <v>1</v>
      </c>
      <c r="I808" s="176">
        <f t="shared" si="10"/>
        <v>72</v>
      </c>
      <c r="J808" s="174">
        <v>2</v>
      </c>
      <c r="K808" s="174">
        <v>85</v>
      </c>
      <c r="L808" s="174">
        <v>194</v>
      </c>
      <c r="M808" s="183" t="s">
        <v>2381</v>
      </c>
    </row>
    <row r="809" spans="1:13" ht="15">
      <c r="A809" s="151"/>
      <c r="B809" s="174" t="s">
        <v>2386</v>
      </c>
      <c r="C809" s="174" t="s">
        <v>349</v>
      </c>
      <c r="D809" s="174" t="s">
        <v>1637</v>
      </c>
      <c r="E809" s="174" t="s">
        <v>2370</v>
      </c>
      <c r="F809" s="175" t="s">
        <v>2385</v>
      </c>
      <c r="G809" s="176" t="s">
        <v>557</v>
      </c>
      <c r="H809" s="176">
        <v>1</v>
      </c>
      <c r="I809" s="176">
        <f t="shared" si="10"/>
        <v>72</v>
      </c>
      <c r="J809" s="174">
        <v>2</v>
      </c>
      <c r="K809" s="174">
        <v>85</v>
      </c>
      <c r="L809" s="174">
        <v>220</v>
      </c>
      <c r="M809" s="183" t="s">
        <v>2381</v>
      </c>
    </row>
    <row r="810" spans="1:13" ht="15">
      <c r="A810" s="151"/>
      <c r="B810" s="174" t="s">
        <v>2387</v>
      </c>
      <c r="C810" s="174" t="s">
        <v>349</v>
      </c>
      <c r="D810" s="174" t="s">
        <v>1637</v>
      </c>
      <c r="E810" s="174" t="s">
        <v>2364</v>
      </c>
      <c r="F810" s="175" t="s">
        <v>2383</v>
      </c>
      <c r="G810" s="176" t="s">
        <v>524</v>
      </c>
      <c r="H810" s="176">
        <v>1</v>
      </c>
      <c r="I810" s="176">
        <f t="shared" si="10"/>
        <v>72</v>
      </c>
      <c r="J810" s="174">
        <v>2</v>
      </c>
      <c r="K810" s="174">
        <v>55</v>
      </c>
      <c r="L810" s="174">
        <v>108</v>
      </c>
      <c r="M810" s="183" t="s">
        <v>2381</v>
      </c>
    </row>
    <row r="811" spans="1:13" ht="15">
      <c r="A811" s="151"/>
      <c r="B811" s="174" t="s">
        <v>2388</v>
      </c>
      <c r="C811" s="174" t="s">
        <v>349</v>
      </c>
      <c r="D811" s="174" t="s">
        <v>1637</v>
      </c>
      <c r="E811" s="174" t="s">
        <v>2364</v>
      </c>
      <c r="F811" s="175" t="s">
        <v>2383</v>
      </c>
      <c r="G811" s="176" t="s">
        <v>557</v>
      </c>
      <c r="H811" s="176">
        <v>1</v>
      </c>
      <c r="I811" s="176">
        <f t="shared" si="10"/>
        <v>72</v>
      </c>
      <c r="J811" s="174">
        <v>2</v>
      </c>
      <c r="K811" s="174">
        <v>55</v>
      </c>
      <c r="L811" s="174">
        <v>145</v>
      </c>
      <c r="M811" s="183" t="s">
        <v>2381</v>
      </c>
    </row>
    <row r="812" spans="1:13" ht="15">
      <c r="A812" s="151"/>
      <c r="B812" s="174" t="s">
        <v>2389</v>
      </c>
      <c r="C812" s="174" t="s">
        <v>349</v>
      </c>
      <c r="D812" s="174" t="s">
        <v>1637</v>
      </c>
      <c r="E812" s="174" t="s">
        <v>2374</v>
      </c>
      <c r="F812" s="175" t="s">
        <v>2390</v>
      </c>
      <c r="G812" s="176" t="s">
        <v>557</v>
      </c>
      <c r="H812" s="176">
        <v>1</v>
      </c>
      <c r="I812" s="176">
        <f t="shared" si="10"/>
        <v>72</v>
      </c>
      <c r="J812" s="174">
        <v>2</v>
      </c>
      <c r="K812" s="174">
        <v>160</v>
      </c>
      <c r="L812" s="174">
        <v>330</v>
      </c>
      <c r="M812" s="183" t="s">
        <v>2381</v>
      </c>
    </row>
    <row r="813" spans="1:13" ht="15">
      <c r="A813" s="151"/>
      <c r="B813" s="174" t="s">
        <v>2391</v>
      </c>
      <c r="C813" s="174" t="s">
        <v>349</v>
      </c>
      <c r="D813" s="174" t="s">
        <v>1637</v>
      </c>
      <c r="E813" s="174" t="s">
        <v>2364</v>
      </c>
      <c r="F813" s="175" t="s">
        <v>2392</v>
      </c>
      <c r="G813" s="176" t="s">
        <v>524</v>
      </c>
      <c r="H813" s="176">
        <v>1</v>
      </c>
      <c r="I813" s="176">
        <f t="shared" si="10"/>
        <v>72</v>
      </c>
      <c r="J813" s="174">
        <v>3</v>
      </c>
      <c r="K813" s="174">
        <v>55</v>
      </c>
      <c r="L813" s="174">
        <v>176</v>
      </c>
      <c r="M813" s="183" t="s">
        <v>2393</v>
      </c>
    </row>
    <row r="814" spans="1:13" ht="15">
      <c r="A814" s="151"/>
      <c r="B814" s="174" t="s">
        <v>2394</v>
      </c>
      <c r="C814" s="174" t="s">
        <v>349</v>
      </c>
      <c r="D814" s="174" t="s">
        <v>1637</v>
      </c>
      <c r="E814" s="174" t="s">
        <v>2364</v>
      </c>
      <c r="F814" s="175" t="s">
        <v>2395</v>
      </c>
      <c r="G814" s="176" t="s">
        <v>557</v>
      </c>
      <c r="H814" s="176">
        <v>1</v>
      </c>
      <c r="I814" s="176">
        <f t="shared" ref="I814:I877" si="11">MID(B814,2,1)*12</f>
        <v>72</v>
      </c>
      <c r="J814" s="174">
        <v>3</v>
      </c>
      <c r="K814" s="174">
        <v>55</v>
      </c>
      <c r="L814" s="174">
        <v>202</v>
      </c>
      <c r="M814" s="183" t="s">
        <v>2393</v>
      </c>
    </row>
    <row r="815" spans="1:13" ht="15">
      <c r="A815" s="151"/>
      <c r="B815" s="174" t="s">
        <v>2396</v>
      </c>
      <c r="C815" s="174" t="s">
        <v>349</v>
      </c>
      <c r="D815" s="174" t="s">
        <v>1637</v>
      </c>
      <c r="E815" s="174" t="s">
        <v>2364</v>
      </c>
      <c r="F815" s="175" t="s">
        <v>2397</v>
      </c>
      <c r="G815" s="176" t="s">
        <v>524</v>
      </c>
      <c r="H815" s="176">
        <v>1</v>
      </c>
      <c r="I815" s="176">
        <f t="shared" si="11"/>
        <v>72</v>
      </c>
      <c r="J815" s="174">
        <v>4</v>
      </c>
      <c r="K815" s="174">
        <v>55</v>
      </c>
      <c r="L815" s="174">
        <v>216</v>
      </c>
      <c r="M815" s="183" t="s">
        <v>2398</v>
      </c>
    </row>
    <row r="816" spans="1:13" ht="15">
      <c r="A816" s="151"/>
      <c r="B816" s="174" t="s">
        <v>2399</v>
      </c>
      <c r="C816" s="174" t="s">
        <v>349</v>
      </c>
      <c r="D816" s="174" t="s">
        <v>1637</v>
      </c>
      <c r="E816" s="174" t="s">
        <v>2364</v>
      </c>
      <c r="F816" s="175" t="s">
        <v>2400</v>
      </c>
      <c r="G816" s="176" t="s">
        <v>1192</v>
      </c>
      <c r="H816" s="176">
        <v>1</v>
      </c>
      <c r="I816" s="176">
        <f t="shared" si="11"/>
        <v>72</v>
      </c>
      <c r="J816" s="174">
        <v>4</v>
      </c>
      <c r="K816" s="174">
        <v>55</v>
      </c>
      <c r="L816" s="174">
        <v>230</v>
      </c>
      <c r="M816" s="183" t="s">
        <v>2398</v>
      </c>
    </row>
    <row r="817" spans="1:13" ht="15">
      <c r="A817" s="151"/>
      <c r="B817" s="174" t="s">
        <v>2401</v>
      </c>
      <c r="C817" s="174" t="s">
        <v>349</v>
      </c>
      <c r="D817" s="174" t="s">
        <v>1637</v>
      </c>
      <c r="E817" s="174" t="s">
        <v>2370</v>
      </c>
      <c r="F817" s="175" t="s">
        <v>2402</v>
      </c>
      <c r="G817" s="176" t="s">
        <v>1192</v>
      </c>
      <c r="H817" s="176">
        <v>1</v>
      </c>
      <c r="I817" s="176">
        <f t="shared" si="11"/>
        <v>72</v>
      </c>
      <c r="J817" s="174">
        <v>4</v>
      </c>
      <c r="K817" s="174">
        <v>85</v>
      </c>
      <c r="L817" s="174">
        <v>388</v>
      </c>
      <c r="M817" s="183" t="s">
        <v>2398</v>
      </c>
    </row>
    <row r="818" spans="1:13" ht="15">
      <c r="A818" s="151"/>
      <c r="B818" s="174" t="s">
        <v>2403</v>
      </c>
      <c r="C818" s="174" t="s">
        <v>349</v>
      </c>
      <c r="D818" s="174" t="s">
        <v>1637</v>
      </c>
      <c r="E818" s="174" t="s">
        <v>2364</v>
      </c>
      <c r="F818" s="175" t="s">
        <v>2400</v>
      </c>
      <c r="G818" s="176" t="s">
        <v>557</v>
      </c>
      <c r="H818" s="176">
        <v>1</v>
      </c>
      <c r="I818" s="176">
        <f t="shared" si="11"/>
        <v>72</v>
      </c>
      <c r="J818" s="174">
        <v>4</v>
      </c>
      <c r="K818" s="174">
        <v>55</v>
      </c>
      <c r="L818" s="174">
        <v>244</v>
      </c>
      <c r="M818" s="183" t="s">
        <v>2398</v>
      </c>
    </row>
    <row r="819" spans="1:13" ht="15">
      <c r="A819" s="151"/>
      <c r="B819" s="174" t="s">
        <v>2404</v>
      </c>
      <c r="C819" s="174" t="s">
        <v>349</v>
      </c>
      <c r="D819" s="174" t="s">
        <v>1637</v>
      </c>
      <c r="E819" s="174" t="s">
        <v>2405</v>
      </c>
      <c r="F819" s="175" t="s">
        <v>2406</v>
      </c>
      <c r="G819" s="176" t="s">
        <v>1192</v>
      </c>
      <c r="H819" s="176">
        <v>1</v>
      </c>
      <c r="I819" s="176">
        <f t="shared" si="11"/>
        <v>96</v>
      </c>
      <c r="J819" s="174">
        <v>1</v>
      </c>
      <c r="K819" s="174">
        <v>60</v>
      </c>
      <c r="L819" s="174">
        <v>61</v>
      </c>
      <c r="M819" s="183" t="s">
        <v>2407</v>
      </c>
    </row>
    <row r="820" spans="1:13" ht="15">
      <c r="A820" s="151"/>
      <c r="B820" s="174" t="s">
        <v>2408</v>
      </c>
      <c r="C820" s="174" t="s">
        <v>349</v>
      </c>
      <c r="D820" s="174" t="s">
        <v>1637</v>
      </c>
      <c r="E820" s="174" t="s">
        <v>2405</v>
      </c>
      <c r="F820" s="175" t="s">
        <v>2409</v>
      </c>
      <c r="G820" s="176" t="s">
        <v>1192</v>
      </c>
      <c r="H820" s="176">
        <v>1</v>
      </c>
      <c r="I820" s="176">
        <f t="shared" si="11"/>
        <v>96</v>
      </c>
      <c r="J820" s="174">
        <v>1</v>
      </c>
      <c r="K820" s="174">
        <v>60</v>
      </c>
      <c r="L820" s="174">
        <v>62</v>
      </c>
      <c r="M820" s="183" t="s">
        <v>2407</v>
      </c>
    </row>
    <row r="821" spans="1:13" ht="15">
      <c r="A821" s="151"/>
      <c r="B821" s="174" t="s">
        <v>2410</v>
      </c>
      <c r="C821" s="174" t="s">
        <v>349</v>
      </c>
      <c r="D821" s="174" t="s">
        <v>1637</v>
      </c>
      <c r="E821" s="174" t="s">
        <v>2411</v>
      </c>
      <c r="F821" s="175" t="s">
        <v>2412</v>
      </c>
      <c r="G821" s="176" t="s">
        <v>524</v>
      </c>
      <c r="H821" s="176">
        <v>1</v>
      </c>
      <c r="I821" s="176">
        <f t="shared" si="11"/>
        <v>96</v>
      </c>
      <c r="J821" s="174">
        <v>1</v>
      </c>
      <c r="K821" s="174">
        <v>95</v>
      </c>
      <c r="L821" s="174">
        <v>80</v>
      </c>
      <c r="M821" s="183" t="s">
        <v>2413</v>
      </c>
    </row>
    <row r="822" spans="1:13" ht="15">
      <c r="A822" s="151"/>
      <c r="B822" s="174" t="s">
        <v>2414</v>
      </c>
      <c r="C822" s="174" t="s">
        <v>349</v>
      </c>
      <c r="D822" s="174" t="s">
        <v>1637</v>
      </c>
      <c r="E822" s="174" t="s">
        <v>2411</v>
      </c>
      <c r="F822" s="175" t="s">
        <v>2415</v>
      </c>
      <c r="G822" s="176" t="s">
        <v>524</v>
      </c>
      <c r="H822" s="176">
        <v>1</v>
      </c>
      <c r="I822" s="176">
        <f t="shared" si="11"/>
        <v>96</v>
      </c>
      <c r="J822" s="174">
        <v>1</v>
      </c>
      <c r="K822" s="174">
        <v>95</v>
      </c>
      <c r="L822" s="174">
        <v>85</v>
      </c>
      <c r="M822" s="183" t="s">
        <v>2413</v>
      </c>
    </row>
    <row r="823" spans="1:13" ht="15">
      <c r="A823" s="151"/>
      <c r="B823" s="174" t="s">
        <v>2416</v>
      </c>
      <c r="C823" s="174" t="s">
        <v>349</v>
      </c>
      <c r="D823" s="174" t="s">
        <v>1637</v>
      </c>
      <c r="E823" s="174" t="s">
        <v>2411</v>
      </c>
      <c r="F823" s="175" t="s">
        <v>2412</v>
      </c>
      <c r="G823" s="176" t="s">
        <v>557</v>
      </c>
      <c r="H823" s="176">
        <v>1</v>
      </c>
      <c r="I823" s="176">
        <f t="shared" si="11"/>
        <v>96</v>
      </c>
      <c r="J823" s="174">
        <v>1</v>
      </c>
      <c r="K823" s="174">
        <v>95</v>
      </c>
      <c r="L823" s="174">
        <v>125</v>
      </c>
      <c r="M823" s="183" t="s">
        <v>2413</v>
      </c>
    </row>
    <row r="824" spans="1:13" ht="15">
      <c r="A824" s="151"/>
      <c r="B824" s="174" t="s">
        <v>2417</v>
      </c>
      <c r="C824" s="174" t="s">
        <v>349</v>
      </c>
      <c r="D824" s="174" t="s">
        <v>1637</v>
      </c>
      <c r="E824" s="174" t="s">
        <v>2405</v>
      </c>
      <c r="F824" s="175" t="s">
        <v>2406</v>
      </c>
      <c r="G824" s="176" t="s">
        <v>524</v>
      </c>
      <c r="H824" s="176">
        <v>1</v>
      </c>
      <c r="I824" s="176">
        <f t="shared" si="11"/>
        <v>96</v>
      </c>
      <c r="J824" s="174">
        <v>1</v>
      </c>
      <c r="K824" s="174">
        <v>60</v>
      </c>
      <c r="L824" s="174">
        <v>60</v>
      </c>
      <c r="M824" s="183" t="s">
        <v>2407</v>
      </c>
    </row>
    <row r="825" spans="1:13" ht="15">
      <c r="A825" s="151"/>
      <c r="B825" s="174" t="s">
        <v>2418</v>
      </c>
      <c r="C825" s="174" t="s">
        <v>349</v>
      </c>
      <c r="D825" s="174" t="s">
        <v>1637</v>
      </c>
      <c r="E825" s="174" t="s">
        <v>2405</v>
      </c>
      <c r="F825" s="175" t="s">
        <v>2419</v>
      </c>
      <c r="G825" s="176" t="s">
        <v>524</v>
      </c>
      <c r="H825" s="176">
        <v>1</v>
      </c>
      <c r="I825" s="176">
        <f t="shared" si="11"/>
        <v>96</v>
      </c>
      <c r="J825" s="174">
        <v>1</v>
      </c>
      <c r="K825" s="174">
        <v>60</v>
      </c>
      <c r="L825" s="174">
        <v>55</v>
      </c>
      <c r="M825" s="183" t="s">
        <v>2407</v>
      </c>
    </row>
    <row r="826" spans="1:13" ht="15">
      <c r="A826" s="151"/>
      <c r="B826" s="174" t="s">
        <v>2420</v>
      </c>
      <c r="C826" s="174" t="s">
        <v>349</v>
      </c>
      <c r="D826" s="174" t="s">
        <v>1637</v>
      </c>
      <c r="E826" s="174" t="s">
        <v>2405</v>
      </c>
      <c r="F826" s="175" t="s">
        <v>2406</v>
      </c>
      <c r="G826" s="176" t="s">
        <v>557</v>
      </c>
      <c r="H826" s="176">
        <v>1</v>
      </c>
      <c r="I826" s="176">
        <f t="shared" si="11"/>
        <v>96</v>
      </c>
      <c r="J826" s="174">
        <v>1</v>
      </c>
      <c r="K826" s="174">
        <v>60</v>
      </c>
      <c r="L826" s="174">
        <v>83</v>
      </c>
      <c r="M826" s="183" t="s">
        <v>2407</v>
      </c>
    </row>
    <row r="827" spans="1:13" ht="15">
      <c r="A827" s="151"/>
      <c r="B827" s="174" t="s">
        <v>2421</v>
      </c>
      <c r="C827" s="174" t="s">
        <v>349</v>
      </c>
      <c r="D827" s="174" t="s">
        <v>1637</v>
      </c>
      <c r="E827" s="174" t="s">
        <v>2405</v>
      </c>
      <c r="F827" s="175" t="s">
        <v>2409</v>
      </c>
      <c r="G827" s="176" t="s">
        <v>557</v>
      </c>
      <c r="H827" s="176">
        <v>1</v>
      </c>
      <c r="I827" s="176">
        <f t="shared" si="11"/>
        <v>96</v>
      </c>
      <c r="J827" s="174">
        <v>1</v>
      </c>
      <c r="K827" s="174">
        <v>60</v>
      </c>
      <c r="L827" s="174">
        <v>64</v>
      </c>
      <c r="M827" s="183" t="s">
        <v>2407</v>
      </c>
    </row>
    <row r="828" spans="1:13" ht="15">
      <c r="A828" s="151"/>
      <c r="B828" s="174" t="s">
        <v>2422</v>
      </c>
      <c r="C828" s="174" t="s">
        <v>349</v>
      </c>
      <c r="D828" s="174" t="s">
        <v>1637</v>
      </c>
      <c r="E828" s="174" t="s">
        <v>2423</v>
      </c>
      <c r="F828" s="175" t="s">
        <v>2424</v>
      </c>
      <c r="G828" s="176" t="s">
        <v>557</v>
      </c>
      <c r="H828" s="176">
        <v>1</v>
      </c>
      <c r="I828" s="176">
        <f t="shared" si="11"/>
        <v>96</v>
      </c>
      <c r="J828" s="174">
        <v>1</v>
      </c>
      <c r="K828" s="174">
        <v>185</v>
      </c>
      <c r="L828" s="174">
        <v>200</v>
      </c>
      <c r="M828" s="183" t="s">
        <v>2413</v>
      </c>
    </row>
    <row r="829" spans="1:13">
      <c r="A829" s="151"/>
      <c r="B829" s="174" t="s">
        <v>2407</v>
      </c>
      <c r="C829" s="174" t="s">
        <v>349</v>
      </c>
      <c r="D829" s="174" t="s">
        <v>1633</v>
      </c>
      <c r="E829" s="174" t="s">
        <v>2425</v>
      </c>
      <c r="F829" s="175" t="s">
        <v>2426</v>
      </c>
      <c r="G829" s="176" t="s">
        <v>524</v>
      </c>
      <c r="H829" s="176">
        <v>1</v>
      </c>
      <c r="I829" s="176">
        <f t="shared" si="11"/>
        <v>96</v>
      </c>
      <c r="J829" s="174">
        <v>1</v>
      </c>
      <c r="K829" s="174">
        <v>59</v>
      </c>
      <c r="L829" s="174">
        <v>58</v>
      </c>
      <c r="M829" s="174" t="s">
        <v>2407</v>
      </c>
    </row>
    <row r="830" spans="1:13">
      <c r="A830" s="151"/>
      <c r="B830" s="174" t="s">
        <v>2427</v>
      </c>
      <c r="C830" s="174" t="s">
        <v>349</v>
      </c>
      <c r="D830" s="174" t="s">
        <v>1633</v>
      </c>
      <c r="E830" s="174" t="s">
        <v>2425</v>
      </c>
      <c r="F830" s="175" t="s">
        <v>2428</v>
      </c>
      <c r="G830" s="176" t="s">
        <v>524</v>
      </c>
      <c r="H830" s="184">
        <v>1</v>
      </c>
      <c r="I830" s="176">
        <f t="shared" si="11"/>
        <v>96</v>
      </c>
      <c r="J830" s="174">
        <v>1</v>
      </c>
      <c r="K830" s="174">
        <v>59</v>
      </c>
      <c r="L830" s="174">
        <v>55</v>
      </c>
      <c r="M830" s="174" t="s">
        <v>2427</v>
      </c>
    </row>
    <row r="831" spans="1:13">
      <c r="A831" s="151"/>
      <c r="B831" s="174" t="s">
        <v>2429</v>
      </c>
      <c r="C831" s="174" t="s">
        <v>349</v>
      </c>
      <c r="D831" s="174" t="s">
        <v>1633</v>
      </c>
      <c r="E831" s="174" t="s">
        <v>2425</v>
      </c>
      <c r="F831" s="175" t="s">
        <v>2430</v>
      </c>
      <c r="G831" s="176" t="s">
        <v>524</v>
      </c>
      <c r="H831" s="176">
        <v>1</v>
      </c>
      <c r="I831" s="176">
        <f t="shared" si="11"/>
        <v>96</v>
      </c>
      <c r="J831" s="174">
        <v>1</v>
      </c>
      <c r="K831" s="174">
        <v>59</v>
      </c>
      <c r="L831" s="174">
        <v>49</v>
      </c>
      <c r="M831" s="174" t="s">
        <v>2429</v>
      </c>
    </row>
    <row r="832" spans="1:13">
      <c r="A832" s="151"/>
      <c r="B832" s="174" t="s">
        <v>2431</v>
      </c>
      <c r="C832" s="174" t="s">
        <v>349</v>
      </c>
      <c r="D832" s="174" t="s">
        <v>1633</v>
      </c>
      <c r="E832" s="174" t="s">
        <v>2425</v>
      </c>
      <c r="F832" s="175" t="s">
        <v>2432</v>
      </c>
      <c r="G832" s="176" t="s">
        <v>524</v>
      </c>
      <c r="H832" s="184">
        <v>1</v>
      </c>
      <c r="I832" s="176">
        <f t="shared" si="11"/>
        <v>96</v>
      </c>
      <c r="J832" s="174">
        <v>1</v>
      </c>
      <c r="K832" s="174">
        <v>59</v>
      </c>
      <c r="L832" s="174">
        <v>68</v>
      </c>
      <c r="M832" s="174" t="s">
        <v>2431</v>
      </c>
    </row>
    <row r="833" spans="1:13">
      <c r="A833" s="151"/>
      <c r="B833" s="174" t="s">
        <v>2433</v>
      </c>
      <c r="C833" s="174" t="s">
        <v>349</v>
      </c>
      <c r="D833" s="174" t="s">
        <v>1633</v>
      </c>
      <c r="E833" s="174" t="s">
        <v>2425</v>
      </c>
      <c r="F833" s="175" t="s">
        <v>2434</v>
      </c>
      <c r="G833" s="176" t="s">
        <v>524</v>
      </c>
      <c r="H833" s="176">
        <v>1</v>
      </c>
      <c r="I833" s="176">
        <f t="shared" si="11"/>
        <v>96</v>
      </c>
      <c r="J833" s="174">
        <v>1</v>
      </c>
      <c r="K833" s="174">
        <v>59</v>
      </c>
      <c r="L833" s="174">
        <v>57</v>
      </c>
      <c r="M833" s="174" t="s">
        <v>2433</v>
      </c>
    </row>
    <row r="834" spans="1:13">
      <c r="A834" s="151"/>
      <c r="B834" s="174" t="s">
        <v>2435</v>
      </c>
      <c r="C834" s="174" t="s">
        <v>349</v>
      </c>
      <c r="D834" s="174" t="s">
        <v>1633</v>
      </c>
      <c r="E834" s="174" t="s">
        <v>2425</v>
      </c>
      <c r="F834" s="175" t="s">
        <v>2436</v>
      </c>
      <c r="G834" s="176" t="s">
        <v>524</v>
      </c>
      <c r="H834" s="184">
        <v>1</v>
      </c>
      <c r="I834" s="176">
        <f t="shared" si="11"/>
        <v>96</v>
      </c>
      <c r="J834" s="174">
        <v>1</v>
      </c>
      <c r="K834" s="174">
        <v>59</v>
      </c>
      <c r="L834" s="174">
        <v>71</v>
      </c>
      <c r="M834" s="174" t="s">
        <v>2435</v>
      </c>
    </row>
    <row r="835" spans="1:13">
      <c r="A835" s="151"/>
      <c r="B835" s="174" t="s">
        <v>2413</v>
      </c>
      <c r="C835" s="174" t="s">
        <v>349</v>
      </c>
      <c r="D835" s="174" t="s">
        <v>1633</v>
      </c>
      <c r="E835" s="174" t="s">
        <v>2437</v>
      </c>
      <c r="F835" s="175" t="s">
        <v>2438</v>
      </c>
      <c r="G835" s="176" t="s">
        <v>524</v>
      </c>
      <c r="H835" s="176">
        <v>1</v>
      </c>
      <c r="I835" s="176">
        <f t="shared" si="11"/>
        <v>96</v>
      </c>
      <c r="J835" s="174">
        <v>1</v>
      </c>
      <c r="K835" s="174">
        <v>86</v>
      </c>
      <c r="L835" s="174">
        <v>85</v>
      </c>
      <c r="M835" s="174" t="s">
        <v>2413</v>
      </c>
    </row>
    <row r="836" spans="1:13">
      <c r="A836" s="151"/>
      <c r="B836" s="174" t="s">
        <v>2439</v>
      </c>
      <c r="C836" s="174" t="s">
        <v>349</v>
      </c>
      <c r="D836" s="174" t="s">
        <v>1633</v>
      </c>
      <c r="E836" s="174" t="s">
        <v>2437</v>
      </c>
      <c r="F836" s="175" t="s">
        <v>2440</v>
      </c>
      <c r="G836" s="176" t="s">
        <v>524</v>
      </c>
      <c r="H836" s="184">
        <v>1</v>
      </c>
      <c r="I836" s="176">
        <f t="shared" si="11"/>
        <v>96</v>
      </c>
      <c r="J836" s="174">
        <v>1</v>
      </c>
      <c r="K836" s="174">
        <v>86</v>
      </c>
      <c r="L836" s="174">
        <v>80</v>
      </c>
      <c r="M836" s="174" t="s">
        <v>2439</v>
      </c>
    </row>
    <row r="837" spans="1:13" ht="15">
      <c r="A837" s="151"/>
      <c r="B837" s="174" t="s">
        <v>2441</v>
      </c>
      <c r="C837" s="174" t="s">
        <v>349</v>
      </c>
      <c r="D837" s="174" t="s">
        <v>1637</v>
      </c>
      <c r="E837" s="174" t="s">
        <v>2442</v>
      </c>
      <c r="F837" s="175" t="s">
        <v>2443</v>
      </c>
      <c r="G837" s="176" t="s">
        <v>1192</v>
      </c>
      <c r="H837" s="176">
        <v>1</v>
      </c>
      <c r="I837" s="176">
        <f t="shared" si="11"/>
        <v>96</v>
      </c>
      <c r="J837" s="174">
        <v>1</v>
      </c>
      <c r="K837" s="174">
        <v>75</v>
      </c>
      <c r="L837" s="174">
        <v>91</v>
      </c>
      <c r="M837" s="183" t="s">
        <v>2407</v>
      </c>
    </row>
    <row r="838" spans="1:13" ht="15">
      <c r="A838" s="151"/>
      <c r="B838" s="174" t="s">
        <v>2444</v>
      </c>
      <c r="C838" s="174" t="s">
        <v>349</v>
      </c>
      <c r="D838" s="174" t="s">
        <v>1637</v>
      </c>
      <c r="E838" s="174" t="s">
        <v>2445</v>
      </c>
      <c r="F838" s="175" t="s">
        <v>2446</v>
      </c>
      <c r="G838" s="176" t="s">
        <v>1192</v>
      </c>
      <c r="H838" s="176">
        <v>1</v>
      </c>
      <c r="I838" s="176">
        <f t="shared" si="11"/>
        <v>96</v>
      </c>
      <c r="J838" s="174">
        <v>1</v>
      </c>
      <c r="K838" s="174">
        <v>110</v>
      </c>
      <c r="L838" s="174">
        <v>132</v>
      </c>
      <c r="M838" s="183" t="s">
        <v>2413</v>
      </c>
    </row>
    <row r="839" spans="1:13" ht="15">
      <c r="A839" s="151"/>
      <c r="B839" s="174" t="s">
        <v>2447</v>
      </c>
      <c r="C839" s="174" t="s">
        <v>349</v>
      </c>
      <c r="D839" s="174" t="s">
        <v>1637</v>
      </c>
      <c r="E839" s="174" t="s">
        <v>2445</v>
      </c>
      <c r="F839" s="175" t="s">
        <v>2448</v>
      </c>
      <c r="G839" s="176" t="s">
        <v>524</v>
      </c>
      <c r="H839" s="176">
        <v>1</v>
      </c>
      <c r="I839" s="176">
        <f t="shared" si="11"/>
        <v>96</v>
      </c>
      <c r="J839" s="174">
        <v>1</v>
      </c>
      <c r="K839" s="174">
        <v>110</v>
      </c>
      <c r="L839" s="174">
        <v>98</v>
      </c>
      <c r="M839" s="183" t="s">
        <v>2413</v>
      </c>
    </row>
    <row r="840" spans="1:13" ht="15">
      <c r="A840" s="151"/>
      <c r="B840" s="174" t="s">
        <v>2449</v>
      </c>
      <c r="C840" s="174" t="s">
        <v>349</v>
      </c>
      <c r="D840" s="174" t="s">
        <v>1637</v>
      </c>
      <c r="E840" s="174" t="s">
        <v>2445</v>
      </c>
      <c r="F840" s="175" t="s">
        <v>2446</v>
      </c>
      <c r="G840" s="176" t="s">
        <v>557</v>
      </c>
      <c r="H840" s="176">
        <v>1</v>
      </c>
      <c r="I840" s="176">
        <f t="shared" si="11"/>
        <v>96</v>
      </c>
      <c r="J840" s="174">
        <v>1</v>
      </c>
      <c r="K840" s="174">
        <v>110</v>
      </c>
      <c r="L840" s="174">
        <v>145</v>
      </c>
      <c r="M840" s="183" t="s">
        <v>2413</v>
      </c>
    </row>
    <row r="841" spans="1:13" ht="15">
      <c r="A841" s="151"/>
      <c r="B841" s="174" t="s">
        <v>2450</v>
      </c>
      <c r="C841" s="174" t="s">
        <v>349</v>
      </c>
      <c r="D841" s="174" t="s">
        <v>1637</v>
      </c>
      <c r="E841" s="174" t="s">
        <v>2442</v>
      </c>
      <c r="F841" s="175" t="s">
        <v>2451</v>
      </c>
      <c r="G841" s="176" t="s">
        <v>524</v>
      </c>
      <c r="H841" s="176">
        <v>1</v>
      </c>
      <c r="I841" s="176">
        <f t="shared" si="11"/>
        <v>96</v>
      </c>
      <c r="J841" s="174">
        <v>1</v>
      </c>
      <c r="K841" s="174">
        <v>75</v>
      </c>
      <c r="L841" s="174">
        <v>70</v>
      </c>
      <c r="M841" s="183" t="s">
        <v>2407</v>
      </c>
    </row>
    <row r="842" spans="1:13" ht="15">
      <c r="A842" s="151"/>
      <c r="B842" s="174" t="s">
        <v>2452</v>
      </c>
      <c r="C842" s="174" t="s">
        <v>349</v>
      </c>
      <c r="D842" s="174" t="s">
        <v>1637</v>
      </c>
      <c r="E842" s="174" t="s">
        <v>2442</v>
      </c>
      <c r="F842" s="175" t="s">
        <v>2453</v>
      </c>
      <c r="G842" s="176" t="s">
        <v>524</v>
      </c>
      <c r="H842" s="176">
        <v>1</v>
      </c>
      <c r="I842" s="176">
        <f t="shared" si="11"/>
        <v>96</v>
      </c>
      <c r="J842" s="174">
        <v>1</v>
      </c>
      <c r="K842" s="174">
        <v>75</v>
      </c>
      <c r="L842" s="174">
        <v>67</v>
      </c>
      <c r="M842" s="183" t="s">
        <v>2407</v>
      </c>
    </row>
    <row r="843" spans="1:13" ht="15">
      <c r="A843" s="151"/>
      <c r="B843" s="174" t="s">
        <v>2454</v>
      </c>
      <c r="C843" s="174" t="s">
        <v>349</v>
      </c>
      <c r="D843" s="174" t="s">
        <v>1637</v>
      </c>
      <c r="E843" s="174" t="s">
        <v>2442</v>
      </c>
      <c r="F843" s="175" t="s">
        <v>2443</v>
      </c>
      <c r="G843" s="176" t="s">
        <v>557</v>
      </c>
      <c r="H843" s="176">
        <v>1</v>
      </c>
      <c r="I843" s="176">
        <f t="shared" si="11"/>
        <v>96</v>
      </c>
      <c r="J843" s="174">
        <v>1</v>
      </c>
      <c r="K843" s="174">
        <v>75</v>
      </c>
      <c r="L843" s="174">
        <v>100</v>
      </c>
      <c r="M843" s="183" t="s">
        <v>2407</v>
      </c>
    </row>
    <row r="844" spans="1:13" ht="15">
      <c r="A844" s="151"/>
      <c r="B844" s="174" t="s">
        <v>2455</v>
      </c>
      <c r="C844" s="174" t="s">
        <v>349</v>
      </c>
      <c r="D844" s="174" t="s">
        <v>1637</v>
      </c>
      <c r="E844" s="174" t="s">
        <v>2456</v>
      </c>
      <c r="F844" s="175" t="s">
        <v>2457</v>
      </c>
      <c r="G844" s="176" t="s">
        <v>557</v>
      </c>
      <c r="H844" s="176">
        <v>1</v>
      </c>
      <c r="I844" s="176">
        <f t="shared" si="11"/>
        <v>96</v>
      </c>
      <c r="J844" s="174">
        <v>1</v>
      </c>
      <c r="K844" s="174">
        <v>215</v>
      </c>
      <c r="L844" s="174">
        <v>230</v>
      </c>
      <c r="M844" s="183" t="s">
        <v>2413</v>
      </c>
    </row>
    <row r="845" spans="1:13" ht="15">
      <c r="A845" s="151"/>
      <c r="B845" s="174" t="s">
        <v>2458</v>
      </c>
      <c r="C845" s="174" t="s">
        <v>349</v>
      </c>
      <c r="D845" s="174" t="s">
        <v>1637</v>
      </c>
      <c r="E845" s="174" t="s">
        <v>2405</v>
      </c>
      <c r="F845" s="175" t="s">
        <v>2459</v>
      </c>
      <c r="G845" s="176" t="s">
        <v>1192</v>
      </c>
      <c r="H845" s="176">
        <v>1</v>
      </c>
      <c r="I845" s="176">
        <f t="shared" si="11"/>
        <v>96</v>
      </c>
      <c r="J845" s="174">
        <v>2</v>
      </c>
      <c r="K845" s="174">
        <v>60</v>
      </c>
      <c r="L845" s="174">
        <v>123</v>
      </c>
      <c r="M845" s="183" t="s">
        <v>2460</v>
      </c>
    </row>
    <row r="846" spans="1:13" ht="15">
      <c r="A846" s="151"/>
      <c r="B846" s="174" t="s">
        <v>2461</v>
      </c>
      <c r="C846" s="174" t="s">
        <v>349</v>
      </c>
      <c r="D846" s="174" t="s">
        <v>1637</v>
      </c>
      <c r="E846" s="174" t="s">
        <v>2411</v>
      </c>
      <c r="F846" s="175" t="s">
        <v>2462</v>
      </c>
      <c r="G846" s="176" t="s">
        <v>1192</v>
      </c>
      <c r="H846" s="176">
        <v>1</v>
      </c>
      <c r="I846" s="176">
        <f t="shared" si="11"/>
        <v>96</v>
      </c>
      <c r="J846" s="174">
        <v>2</v>
      </c>
      <c r="K846" s="174">
        <v>95</v>
      </c>
      <c r="L846" s="174">
        <v>207</v>
      </c>
      <c r="M846" s="183" t="s">
        <v>2463</v>
      </c>
    </row>
    <row r="847" spans="1:13" ht="15">
      <c r="A847" s="151"/>
      <c r="B847" s="174" t="s">
        <v>2464</v>
      </c>
      <c r="C847" s="174" t="s">
        <v>349</v>
      </c>
      <c r="D847" s="174" t="s">
        <v>1637</v>
      </c>
      <c r="E847" s="174" t="s">
        <v>2411</v>
      </c>
      <c r="F847" s="175" t="s">
        <v>2462</v>
      </c>
      <c r="G847" s="176" t="s">
        <v>524</v>
      </c>
      <c r="H847" s="176">
        <v>1</v>
      </c>
      <c r="I847" s="176">
        <f t="shared" si="11"/>
        <v>96</v>
      </c>
      <c r="J847" s="174">
        <v>2</v>
      </c>
      <c r="K847" s="174">
        <v>95</v>
      </c>
      <c r="L847" s="174">
        <v>170</v>
      </c>
      <c r="M847" s="183" t="s">
        <v>2463</v>
      </c>
    </row>
    <row r="848" spans="1:13" ht="15">
      <c r="A848" s="151"/>
      <c r="B848" s="174" t="s">
        <v>2465</v>
      </c>
      <c r="C848" s="174" t="s">
        <v>349</v>
      </c>
      <c r="D848" s="174" t="s">
        <v>1637</v>
      </c>
      <c r="E848" s="174" t="s">
        <v>2411</v>
      </c>
      <c r="F848" s="175" t="s">
        <v>2462</v>
      </c>
      <c r="G848" s="176" t="s">
        <v>557</v>
      </c>
      <c r="H848" s="176">
        <v>1</v>
      </c>
      <c r="I848" s="176">
        <f t="shared" si="11"/>
        <v>96</v>
      </c>
      <c r="J848" s="174">
        <v>2</v>
      </c>
      <c r="K848" s="174">
        <v>95</v>
      </c>
      <c r="L848" s="174">
        <v>227</v>
      </c>
      <c r="M848" s="183" t="s">
        <v>2463</v>
      </c>
    </row>
    <row r="849" spans="1:13" ht="15">
      <c r="A849" s="151"/>
      <c r="B849" s="174" t="s">
        <v>2466</v>
      </c>
      <c r="C849" s="174" t="s">
        <v>349</v>
      </c>
      <c r="D849" s="174" t="s">
        <v>1637</v>
      </c>
      <c r="E849" s="174" t="s">
        <v>2405</v>
      </c>
      <c r="F849" s="175" t="s">
        <v>2459</v>
      </c>
      <c r="G849" s="176" t="s">
        <v>524</v>
      </c>
      <c r="H849" s="176">
        <v>1</v>
      </c>
      <c r="I849" s="176">
        <f t="shared" si="11"/>
        <v>96</v>
      </c>
      <c r="J849" s="174">
        <v>2</v>
      </c>
      <c r="K849" s="174">
        <v>60</v>
      </c>
      <c r="L849" s="174">
        <v>110</v>
      </c>
      <c r="M849" s="183" t="s">
        <v>2460</v>
      </c>
    </row>
    <row r="850" spans="1:13" ht="15">
      <c r="A850" s="151"/>
      <c r="B850" s="174" t="s">
        <v>2467</v>
      </c>
      <c r="C850" s="174" t="s">
        <v>349</v>
      </c>
      <c r="D850" s="174" t="s">
        <v>1637</v>
      </c>
      <c r="E850" s="174" t="s">
        <v>2405</v>
      </c>
      <c r="F850" s="175" t="s">
        <v>2459</v>
      </c>
      <c r="G850" s="176" t="s">
        <v>557</v>
      </c>
      <c r="H850" s="176">
        <v>1</v>
      </c>
      <c r="I850" s="176">
        <f t="shared" si="11"/>
        <v>96</v>
      </c>
      <c r="J850" s="174">
        <v>2</v>
      </c>
      <c r="K850" s="174">
        <v>60</v>
      </c>
      <c r="L850" s="174">
        <v>138</v>
      </c>
      <c r="M850" s="183" t="s">
        <v>2460</v>
      </c>
    </row>
    <row r="851" spans="1:13" ht="15">
      <c r="A851" s="151"/>
      <c r="B851" s="174" t="s">
        <v>2468</v>
      </c>
      <c r="C851" s="174" t="s">
        <v>349</v>
      </c>
      <c r="D851" s="174" t="s">
        <v>1637</v>
      </c>
      <c r="E851" s="174" t="s">
        <v>2423</v>
      </c>
      <c r="F851" s="175" t="s">
        <v>2469</v>
      </c>
      <c r="G851" s="176" t="s">
        <v>557</v>
      </c>
      <c r="H851" s="176">
        <v>1</v>
      </c>
      <c r="I851" s="176">
        <f t="shared" si="11"/>
        <v>96</v>
      </c>
      <c r="J851" s="174">
        <v>2</v>
      </c>
      <c r="K851" s="174">
        <v>185</v>
      </c>
      <c r="L851" s="174">
        <v>390</v>
      </c>
      <c r="M851" s="183" t="s">
        <v>2463</v>
      </c>
    </row>
    <row r="852" spans="1:13">
      <c r="A852" s="151"/>
      <c r="B852" s="174" t="s">
        <v>2460</v>
      </c>
      <c r="C852" s="174" t="s">
        <v>349</v>
      </c>
      <c r="D852" s="174" t="s">
        <v>1633</v>
      </c>
      <c r="E852" s="174" t="s">
        <v>2425</v>
      </c>
      <c r="F852" s="175" t="s">
        <v>2470</v>
      </c>
      <c r="G852" s="176" t="s">
        <v>524</v>
      </c>
      <c r="H852" s="176">
        <v>1</v>
      </c>
      <c r="I852" s="176">
        <f t="shared" si="11"/>
        <v>96</v>
      </c>
      <c r="J852" s="174">
        <v>2</v>
      </c>
      <c r="K852" s="174">
        <v>59</v>
      </c>
      <c r="L852" s="174">
        <v>109</v>
      </c>
      <c r="M852" s="174" t="s">
        <v>2460</v>
      </c>
    </row>
    <row r="853" spans="1:13">
      <c r="A853" s="151"/>
      <c r="B853" s="174" t="s">
        <v>2471</v>
      </c>
      <c r="C853" s="174" t="s">
        <v>349</v>
      </c>
      <c r="D853" s="174" t="s">
        <v>1633</v>
      </c>
      <c r="E853" s="174" t="s">
        <v>2425</v>
      </c>
      <c r="F853" s="175" t="s">
        <v>2472</v>
      </c>
      <c r="G853" s="176" t="s">
        <v>524</v>
      </c>
      <c r="H853" s="184">
        <v>1</v>
      </c>
      <c r="I853" s="176">
        <f t="shared" si="11"/>
        <v>96</v>
      </c>
      <c r="J853" s="174">
        <v>2</v>
      </c>
      <c r="K853" s="174">
        <v>59</v>
      </c>
      <c r="L853" s="174">
        <v>98</v>
      </c>
      <c r="M853" s="174" t="s">
        <v>2471</v>
      </c>
    </row>
    <row r="854" spans="1:13">
      <c r="A854" s="151"/>
      <c r="B854" s="174" t="s">
        <v>2463</v>
      </c>
      <c r="C854" s="174" t="s">
        <v>349</v>
      </c>
      <c r="D854" s="174" t="s">
        <v>1633</v>
      </c>
      <c r="E854" s="174" t="s">
        <v>2437</v>
      </c>
      <c r="F854" s="175" t="s">
        <v>2473</v>
      </c>
      <c r="G854" s="176" t="s">
        <v>524</v>
      </c>
      <c r="H854" s="176">
        <v>1</v>
      </c>
      <c r="I854" s="176">
        <f t="shared" si="11"/>
        <v>96</v>
      </c>
      <c r="J854" s="174">
        <v>2</v>
      </c>
      <c r="K854" s="174">
        <v>86</v>
      </c>
      <c r="L854" s="174">
        <v>160</v>
      </c>
      <c r="M854" s="174" t="s">
        <v>2463</v>
      </c>
    </row>
    <row r="855" spans="1:13" ht="15">
      <c r="A855" s="151"/>
      <c r="B855" s="174" t="s">
        <v>2474</v>
      </c>
      <c r="C855" s="174" t="s">
        <v>349</v>
      </c>
      <c r="D855" s="174" t="s">
        <v>1637</v>
      </c>
      <c r="E855" s="174" t="s">
        <v>2442</v>
      </c>
      <c r="F855" s="175" t="s">
        <v>2475</v>
      </c>
      <c r="G855" s="176" t="s">
        <v>1192</v>
      </c>
      <c r="H855" s="176">
        <v>1</v>
      </c>
      <c r="I855" s="176">
        <f t="shared" si="11"/>
        <v>96</v>
      </c>
      <c r="J855" s="174">
        <v>2</v>
      </c>
      <c r="K855" s="174">
        <v>75</v>
      </c>
      <c r="L855" s="174">
        <v>158</v>
      </c>
      <c r="M855" s="183" t="s">
        <v>2460</v>
      </c>
    </row>
    <row r="856" spans="1:13" ht="15">
      <c r="A856" s="151"/>
      <c r="B856" s="174" t="s">
        <v>2476</v>
      </c>
      <c r="C856" s="174" t="s">
        <v>349</v>
      </c>
      <c r="D856" s="174" t="s">
        <v>1637</v>
      </c>
      <c r="E856" s="174" t="s">
        <v>2445</v>
      </c>
      <c r="F856" s="175" t="s">
        <v>2477</v>
      </c>
      <c r="G856" s="176" t="s">
        <v>1192</v>
      </c>
      <c r="H856" s="176">
        <v>1</v>
      </c>
      <c r="I856" s="176">
        <f t="shared" si="11"/>
        <v>96</v>
      </c>
      <c r="J856" s="174">
        <v>2</v>
      </c>
      <c r="K856" s="174">
        <v>110</v>
      </c>
      <c r="L856" s="174">
        <v>237</v>
      </c>
      <c r="M856" s="183" t="s">
        <v>2463</v>
      </c>
    </row>
    <row r="857" spans="1:13" ht="15">
      <c r="A857" s="151"/>
      <c r="B857" s="174" t="s">
        <v>2478</v>
      </c>
      <c r="C857" s="174" t="s">
        <v>349</v>
      </c>
      <c r="D857" s="174" t="s">
        <v>1637</v>
      </c>
      <c r="E857" s="174" t="s">
        <v>2445</v>
      </c>
      <c r="F857" s="175" t="s">
        <v>2477</v>
      </c>
      <c r="G857" s="176" t="s">
        <v>524</v>
      </c>
      <c r="H857" s="176">
        <v>1</v>
      </c>
      <c r="I857" s="176">
        <f t="shared" si="11"/>
        <v>96</v>
      </c>
      <c r="J857" s="174">
        <v>2</v>
      </c>
      <c r="K857" s="174">
        <v>110</v>
      </c>
      <c r="L857" s="174">
        <v>195</v>
      </c>
      <c r="M857" s="183" t="s">
        <v>2463</v>
      </c>
    </row>
    <row r="858" spans="1:13" ht="15">
      <c r="A858" s="151"/>
      <c r="B858" s="174" t="s">
        <v>2479</v>
      </c>
      <c r="C858" s="174" t="s">
        <v>349</v>
      </c>
      <c r="D858" s="174" t="s">
        <v>1637</v>
      </c>
      <c r="E858" s="174" t="s">
        <v>2445</v>
      </c>
      <c r="F858" s="175" t="s">
        <v>2477</v>
      </c>
      <c r="G858" s="176" t="s">
        <v>557</v>
      </c>
      <c r="H858" s="176">
        <v>1</v>
      </c>
      <c r="I858" s="176">
        <f t="shared" si="11"/>
        <v>96</v>
      </c>
      <c r="J858" s="174">
        <v>2</v>
      </c>
      <c r="K858" s="174">
        <v>110</v>
      </c>
      <c r="L858" s="174">
        <v>257</v>
      </c>
      <c r="M858" s="183" t="s">
        <v>2463</v>
      </c>
    </row>
    <row r="859" spans="1:13" ht="15">
      <c r="A859" s="151"/>
      <c r="B859" s="174" t="s">
        <v>2480</v>
      </c>
      <c r="C859" s="174" t="s">
        <v>349</v>
      </c>
      <c r="D859" s="174" t="s">
        <v>1637</v>
      </c>
      <c r="E859" s="174" t="s">
        <v>2442</v>
      </c>
      <c r="F859" s="175" t="s">
        <v>2481</v>
      </c>
      <c r="G859" s="176" t="s">
        <v>524</v>
      </c>
      <c r="H859" s="176">
        <v>1</v>
      </c>
      <c r="I859" s="176">
        <f t="shared" si="11"/>
        <v>96</v>
      </c>
      <c r="J859" s="174">
        <v>2</v>
      </c>
      <c r="K859" s="174">
        <v>75</v>
      </c>
      <c r="L859" s="174">
        <v>134</v>
      </c>
      <c r="M859" s="183" t="s">
        <v>2460</v>
      </c>
    </row>
    <row r="860" spans="1:13" ht="15">
      <c r="A860" s="151"/>
      <c r="B860" s="174" t="s">
        <v>2482</v>
      </c>
      <c r="C860" s="174" t="s">
        <v>349</v>
      </c>
      <c r="D860" s="174" t="s">
        <v>1637</v>
      </c>
      <c r="E860" s="174" t="s">
        <v>2442</v>
      </c>
      <c r="F860" s="175" t="s">
        <v>2475</v>
      </c>
      <c r="G860" s="176" t="s">
        <v>557</v>
      </c>
      <c r="H860" s="176">
        <v>1</v>
      </c>
      <c r="I860" s="176">
        <f t="shared" si="11"/>
        <v>96</v>
      </c>
      <c r="J860" s="174">
        <v>2</v>
      </c>
      <c r="K860" s="174">
        <v>75</v>
      </c>
      <c r="L860" s="174">
        <v>173</v>
      </c>
      <c r="M860" s="183" t="s">
        <v>2460</v>
      </c>
    </row>
    <row r="861" spans="1:13" ht="15">
      <c r="A861" s="151"/>
      <c r="B861" s="174" t="s">
        <v>2483</v>
      </c>
      <c r="C861" s="174" t="s">
        <v>349</v>
      </c>
      <c r="D861" s="174" t="s">
        <v>1637</v>
      </c>
      <c r="E861" s="174" t="s">
        <v>2456</v>
      </c>
      <c r="F861" s="175" t="s">
        <v>2484</v>
      </c>
      <c r="G861" s="176" t="s">
        <v>557</v>
      </c>
      <c r="H861" s="176">
        <v>1</v>
      </c>
      <c r="I861" s="176">
        <f t="shared" si="11"/>
        <v>96</v>
      </c>
      <c r="J861" s="174">
        <v>2</v>
      </c>
      <c r="K861" s="174">
        <v>215</v>
      </c>
      <c r="L861" s="174">
        <v>450</v>
      </c>
      <c r="M861" s="183" t="s">
        <v>2463</v>
      </c>
    </row>
    <row r="862" spans="1:13" ht="15">
      <c r="A862" s="151"/>
      <c r="B862" s="174" t="s">
        <v>2485</v>
      </c>
      <c r="C862" s="174" t="s">
        <v>349</v>
      </c>
      <c r="D862" s="174" t="s">
        <v>1637</v>
      </c>
      <c r="E862" s="174" t="s">
        <v>2405</v>
      </c>
      <c r="F862" s="175" t="s">
        <v>2486</v>
      </c>
      <c r="G862" s="176" t="s">
        <v>1192</v>
      </c>
      <c r="H862" s="176">
        <v>1</v>
      </c>
      <c r="I862" s="176">
        <f t="shared" si="11"/>
        <v>96</v>
      </c>
      <c r="J862" s="174">
        <v>3</v>
      </c>
      <c r="K862" s="174">
        <v>60</v>
      </c>
      <c r="L862" s="174">
        <v>210</v>
      </c>
      <c r="M862" s="183" t="s">
        <v>2487</v>
      </c>
    </row>
    <row r="863" spans="1:13" ht="15">
      <c r="A863" s="151"/>
      <c r="B863" s="174" t="s">
        <v>2488</v>
      </c>
      <c r="C863" s="174" t="s">
        <v>349</v>
      </c>
      <c r="D863" s="174" t="s">
        <v>1637</v>
      </c>
      <c r="E863" s="174" t="s">
        <v>2411</v>
      </c>
      <c r="F863" s="175" t="s">
        <v>2489</v>
      </c>
      <c r="G863" s="176" t="s">
        <v>2490</v>
      </c>
      <c r="H863" s="176">
        <v>1</v>
      </c>
      <c r="I863" s="176">
        <f t="shared" si="11"/>
        <v>96</v>
      </c>
      <c r="J863" s="174">
        <v>3</v>
      </c>
      <c r="K863" s="174">
        <v>95</v>
      </c>
      <c r="L863" s="174">
        <v>319</v>
      </c>
      <c r="M863" s="183" t="s">
        <v>2491</v>
      </c>
    </row>
    <row r="864" spans="1:13" ht="15">
      <c r="A864" s="151"/>
      <c r="B864" s="174" t="s">
        <v>2492</v>
      </c>
      <c r="C864" s="174" t="s">
        <v>349</v>
      </c>
      <c r="D864" s="174" t="s">
        <v>1637</v>
      </c>
      <c r="E864" s="174" t="s">
        <v>2411</v>
      </c>
      <c r="F864" s="175" t="s">
        <v>2493</v>
      </c>
      <c r="G864" s="176" t="s">
        <v>557</v>
      </c>
      <c r="H864" s="176">
        <v>1</v>
      </c>
      <c r="I864" s="176">
        <f t="shared" si="11"/>
        <v>96</v>
      </c>
      <c r="J864" s="174">
        <v>3</v>
      </c>
      <c r="K864" s="174">
        <v>95</v>
      </c>
      <c r="L864" s="174">
        <v>352</v>
      </c>
      <c r="M864" s="183" t="s">
        <v>2491</v>
      </c>
    </row>
    <row r="865" spans="1:13" ht="15">
      <c r="A865" s="151"/>
      <c r="B865" s="174" t="s">
        <v>2494</v>
      </c>
      <c r="C865" s="174" t="s">
        <v>349</v>
      </c>
      <c r="D865" s="174" t="s">
        <v>1637</v>
      </c>
      <c r="E865" s="174" t="s">
        <v>2405</v>
      </c>
      <c r="F865" s="175" t="s">
        <v>2486</v>
      </c>
      <c r="G865" s="176" t="s">
        <v>524</v>
      </c>
      <c r="H865" s="176">
        <v>1</v>
      </c>
      <c r="I865" s="176">
        <f t="shared" si="11"/>
        <v>96</v>
      </c>
      <c r="J865" s="174">
        <v>3</v>
      </c>
      <c r="K865" s="174">
        <v>60</v>
      </c>
      <c r="L865" s="174">
        <v>179</v>
      </c>
      <c r="M865" s="183" t="s">
        <v>2487</v>
      </c>
    </row>
    <row r="866" spans="1:13" ht="15">
      <c r="A866" s="151"/>
      <c r="B866" s="174" t="s">
        <v>2495</v>
      </c>
      <c r="C866" s="174" t="s">
        <v>349</v>
      </c>
      <c r="D866" s="174" t="s">
        <v>1637</v>
      </c>
      <c r="E866" s="174" t="s">
        <v>2405</v>
      </c>
      <c r="F866" s="175" t="s">
        <v>2486</v>
      </c>
      <c r="G866" s="176" t="s">
        <v>557</v>
      </c>
      <c r="H866" s="176">
        <v>1</v>
      </c>
      <c r="I866" s="176">
        <f t="shared" si="11"/>
        <v>96</v>
      </c>
      <c r="J866" s="174">
        <v>3</v>
      </c>
      <c r="K866" s="174">
        <v>60</v>
      </c>
      <c r="L866" s="174">
        <v>221</v>
      </c>
      <c r="M866" s="183" t="s">
        <v>2487</v>
      </c>
    </row>
    <row r="867" spans="1:13" ht="15">
      <c r="A867" s="151"/>
      <c r="B867" s="174" t="s">
        <v>2496</v>
      </c>
      <c r="C867" s="174" t="s">
        <v>349</v>
      </c>
      <c r="D867" s="174" t="s">
        <v>1637</v>
      </c>
      <c r="E867" s="174" t="s">
        <v>2423</v>
      </c>
      <c r="F867" s="175" t="s">
        <v>2497</v>
      </c>
      <c r="G867" s="176" t="s">
        <v>557</v>
      </c>
      <c r="H867" s="176">
        <v>1</v>
      </c>
      <c r="I867" s="176">
        <f t="shared" si="11"/>
        <v>96</v>
      </c>
      <c r="J867" s="174">
        <v>3</v>
      </c>
      <c r="K867" s="174">
        <v>185</v>
      </c>
      <c r="L867" s="174">
        <v>590</v>
      </c>
      <c r="M867" s="183" t="s">
        <v>2491</v>
      </c>
    </row>
    <row r="868" spans="1:13">
      <c r="A868" s="151"/>
      <c r="B868" s="174" t="s">
        <v>2487</v>
      </c>
      <c r="C868" s="174" t="s">
        <v>349</v>
      </c>
      <c r="D868" s="174" t="s">
        <v>1633</v>
      </c>
      <c r="E868" s="174" t="s">
        <v>2425</v>
      </c>
      <c r="F868" s="175" t="s">
        <v>2498</v>
      </c>
      <c r="G868" s="176" t="s">
        <v>524</v>
      </c>
      <c r="H868" s="184">
        <v>1</v>
      </c>
      <c r="I868" s="176">
        <f t="shared" si="11"/>
        <v>96</v>
      </c>
      <c r="J868" s="174">
        <v>3</v>
      </c>
      <c r="K868" s="174">
        <v>59</v>
      </c>
      <c r="L868" s="174">
        <v>167</v>
      </c>
      <c r="M868" s="174" t="s">
        <v>2487</v>
      </c>
    </row>
    <row r="869" spans="1:13" ht="15">
      <c r="A869" s="151"/>
      <c r="B869" s="174" t="s">
        <v>2499</v>
      </c>
      <c r="C869" s="174" t="s">
        <v>349</v>
      </c>
      <c r="D869" s="174" t="s">
        <v>1637</v>
      </c>
      <c r="E869" s="174" t="s">
        <v>2445</v>
      </c>
      <c r="F869" s="175" t="s">
        <v>2500</v>
      </c>
      <c r="G869" s="176" t="s">
        <v>557</v>
      </c>
      <c r="H869" s="176">
        <v>1</v>
      </c>
      <c r="I869" s="176">
        <f t="shared" si="11"/>
        <v>96</v>
      </c>
      <c r="J869" s="174">
        <v>3</v>
      </c>
      <c r="K869" s="174">
        <v>110</v>
      </c>
      <c r="L869" s="174">
        <v>392</v>
      </c>
      <c r="M869" s="183" t="s">
        <v>2491</v>
      </c>
    </row>
    <row r="870" spans="1:13" ht="15">
      <c r="A870" s="151"/>
      <c r="B870" s="174" t="s">
        <v>2501</v>
      </c>
      <c r="C870" s="174" t="s">
        <v>349</v>
      </c>
      <c r="D870" s="174" t="s">
        <v>1637</v>
      </c>
      <c r="E870" s="174" t="s">
        <v>2442</v>
      </c>
      <c r="F870" s="175" t="s">
        <v>2502</v>
      </c>
      <c r="G870" s="176" t="s">
        <v>557</v>
      </c>
      <c r="H870" s="176">
        <v>1</v>
      </c>
      <c r="I870" s="176">
        <f t="shared" si="11"/>
        <v>96</v>
      </c>
      <c r="J870" s="174">
        <v>3</v>
      </c>
      <c r="K870" s="174">
        <v>75</v>
      </c>
      <c r="L870" s="174">
        <v>273</v>
      </c>
      <c r="M870" s="183" t="s">
        <v>2487</v>
      </c>
    </row>
    <row r="871" spans="1:13" ht="15">
      <c r="A871" s="151"/>
      <c r="B871" s="174" t="s">
        <v>2503</v>
      </c>
      <c r="C871" s="174" t="s">
        <v>349</v>
      </c>
      <c r="D871" s="174" t="s">
        <v>1637</v>
      </c>
      <c r="E871" s="174" t="s">
        <v>2456</v>
      </c>
      <c r="F871" s="175" t="s">
        <v>2504</v>
      </c>
      <c r="G871" s="176" t="s">
        <v>557</v>
      </c>
      <c r="H871" s="176">
        <v>1</v>
      </c>
      <c r="I871" s="176">
        <f t="shared" si="11"/>
        <v>96</v>
      </c>
      <c r="J871" s="174">
        <v>3</v>
      </c>
      <c r="K871" s="174">
        <v>215</v>
      </c>
      <c r="L871" s="174">
        <v>680</v>
      </c>
      <c r="M871" s="183" t="s">
        <v>2491</v>
      </c>
    </row>
    <row r="872" spans="1:13" ht="15">
      <c r="A872" s="151"/>
      <c r="B872" s="174" t="s">
        <v>2505</v>
      </c>
      <c r="C872" s="174" t="s">
        <v>349</v>
      </c>
      <c r="D872" s="174" t="s">
        <v>1637</v>
      </c>
      <c r="E872" s="174" t="s">
        <v>2405</v>
      </c>
      <c r="F872" s="175" t="s">
        <v>2506</v>
      </c>
      <c r="G872" s="176" t="s">
        <v>1192</v>
      </c>
      <c r="H872" s="176">
        <v>1</v>
      </c>
      <c r="I872" s="176">
        <f t="shared" si="11"/>
        <v>96</v>
      </c>
      <c r="J872" s="174">
        <v>4</v>
      </c>
      <c r="K872" s="174">
        <v>60</v>
      </c>
      <c r="L872" s="174">
        <v>246</v>
      </c>
      <c r="M872" s="183" t="s">
        <v>2507</v>
      </c>
    </row>
    <row r="873" spans="1:13" ht="15">
      <c r="A873" s="151"/>
      <c r="B873" s="174" t="s">
        <v>2508</v>
      </c>
      <c r="C873" s="174" t="s">
        <v>349</v>
      </c>
      <c r="D873" s="174" t="s">
        <v>1637</v>
      </c>
      <c r="E873" s="174" t="s">
        <v>2411</v>
      </c>
      <c r="F873" s="175" t="s">
        <v>2509</v>
      </c>
      <c r="G873" s="176" t="s">
        <v>1192</v>
      </c>
      <c r="H873" s="176">
        <v>1</v>
      </c>
      <c r="I873" s="176">
        <f t="shared" si="11"/>
        <v>96</v>
      </c>
      <c r="J873" s="174">
        <v>4</v>
      </c>
      <c r="K873" s="174">
        <v>95</v>
      </c>
      <c r="L873" s="174">
        <v>414</v>
      </c>
      <c r="M873" s="183" t="s">
        <v>2510</v>
      </c>
    </row>
    <row r="874" spans="1:13" ht="15">
      <c r="A874" s="151"/>
      <c r="B874" s="174" t="s">
        <v>2511</v>
      </c>
      <c r="C874" s="174" t="s">
        <v>349</v>
      </c>
      <c r="D874" s="174" t="s">
        <v>1637</v>
      </c>
      <c r="E874" s="174" t="s">
        <v>2411</v>
      </c>
      <c r="F874" s="175" t="s">
        <v>2509</v>
      </c>
      <c r="G874" s="176" t="s">
        <v>524</v>
      </c>
      <c r="H874" s="176">
        <v>1</v>
      </c>
      <c r="I874" s="176">
        <f t="shared" si="11"/>
        <v>96</v>
      </c>
      <c r="J874" s="174">
        <v>4</v>
      </c>
      <c r="K874" s="174">
        <v>95</v>
      </c>
      <c r="L874" s="174">
        <v>340</v>
      </c>
      <c r="M874" s="183" t="s">
        <v>2510</v>
      </c>
    </row>
    <row r="875" spans="1:13" ht="15">
      <c r="A875" s="151"/>
      <c r="B875" s="174" t="s">
        <v>2512</v>
      </c>
      <c r="C875" s="174" t="s">
        <v>349</v>
      </c>
      <c r="D875" s="174" t="s">
        <v>1637</v>
      </c>
      <c r="E875" s="174" t="s">
        <v>2411</v>
      </c>
      <c r="F875" s="175" t="s">
        <v>2509</v>
      </c>
      <c r="G875" s="176" t="s">
        <v>557</v>
      </c>
      <c r="H875" s="176">
        <v>1</v>
      </c>
      <c r="I875" s="176">
        <f t="shared" si="11"/>
        <v>96</v>
      </c>
      <c r="J875" s="174">
        <v>4</v>
      </c>
      <c r="K875" s="174">
        <v>95</v>
      </c>
      <c r="L875" s="174">
        <v>454</v>
      </c>
      <c r="M875" s="183" t="s">
        <v>2510</v>
      </c>
    </row>
    <row r="876" spans="1:13" ht="15">
      <c r="A876" s="151"/>
      <c r="B876" s="174" t="s">
        <v>2513</v>
      </c>
      <c r="C876" s="174" t="s">
        <v>349</v>
      </c>
      <c r="D876" s="174" t="s">
        <v>1637</v>
      </c>
      <c r="E876" s="174" t="s">
        <v>2405</v>
      </c>
      <c r="F876" s="175" t="s">
        <v>2506</v>
      </c>
      <c r="G876" s="176" t="s">
        <v>524</v>
      </c>
      <c r="H876" s="176">
        <v>1</v>
      </c>
      <c r="I876" s="176">
        <f t="shared" si="11"/>
        <v>96</v>
      </c>
      <c r="J876" s="174">
        <v>4</v>
      </c>
      <c r="K876" s="174">
        <v>60</v>
      </c>
      <c r="L876" s="174">
        <v>220</v>
      </c>
      <c r="M876" s="183" t="s">
        <v>2507</v>
      </c>
    </row>
    <row r="877" spans="1:13" ht="15">
      <c r="A877" s="151"/>
      <c r="B877" s="174" t="s">
        <v>2514</v>
      </c>
      <c r="C877" s="174" t="s">
        <v>349</v>
      </c>
      <c r="D877" s="174" t="s">
        <v>1637</v>
      </c>
      <c r="E877" s="174" t="s">
        <v>2405</v>
      </c>
      <c r="F877" s="175" t="s">
        <v>2506</v>
      </c>
      <c r="G877" s="176" t="s">
        <v>557</v>
      </c>
      <c r="H877" s="176">
        <v>1</v>
      </c>
      <c r="I877" s="176">
        <f t="shared" si="11"/>
        <v>96</v>
      </c>
      <c r="J877" s="174">
        <v>4</v>
      </c>
      <c r="K877" s="174">
        <v>60</v>
      </c>
      <c r="L877" s="174">
        <v>276</v>
      </c>
      <c r="M877" s="183" t="s">
        <v>2507</v>
      </c>
    </row>
    <row r="878" spans="1:13" ht="15">
      <c r="A878" s="151"/>
      <c r="B878" s="174" t="s">
        <v>2515</v>
      </c>
      <c r="C878" s="174" t="s">
        <v>349</v>
      </c>
      <c r="D878" s="174" t="s">
        <v>1637</v>
      </c>
      <c r="E878" s="174" t="s">
        <v>2423</v>
      </c>
      <c r="F878" s="175" t="s">
        <v>2516</v>
      </c>
      <c r="G878" s="176" t="s">
        <v>557</v>
      </c>
      <c r="H878" s="176">
        <v>1</v>
      </c>
      <c r="I878" s="176">
        <f t="shared" ref="I878:I897" si="12">MID(B878,2,1)*12</f>
        <v>96</v>
      </c>
      <c r="J878" s="174">
        <v>4</v>
      </c>
      <c r="K878" s="174">
        <v>185</v>
      </c>
      <c r="L878" s="174">
        <v>780</v>
      </c>
      <c r="M878" s="183" t="s">
        <v>2510</v>
      </c>
    </row>
    <row r="879" spans="1:13">
      <c r="A879" s="151"/>
      <c r="B879" s="174" t="s">
        <v>2507</v>
      </c>
      <c r="C879" s="174" t="s">
        <v>349</v>
      </c>
      <c r="D879" s="174" t="s">
        <v>1633</v>
      </c>
      <c r="E879" s="174" t="s">
        <v>2425</v>
      </c>
      <c r="F879" s="175" t="s">
        <v>2517</v>
      </c>
      <c r="G879" s="176" t="s">
        <v>524</v>
      </c>
      <c r="H879" s="176">
        <v>1</v>
      </c>
      <c r="I879" s="176">
        <f t="shared" si="12"/>
        <v>96</v>
      </c>
      <c r="J879" s="174">
        <v>4</v>
      </c>
      <c r="K879" s="174">
        <v>59</v>
      </c>
      <c r="L879" s="174">
        <v>219</v>
      </c>
      <c r="M879" s="174" t="s">
        <v>2507</v>
      </c>
    </row>
    <row r="880" spans="1:13">
      <c r="A880" s="151"/>
      <c r="B880" s="174" t="s">
        <v>2510</v>
      </c>
      <c r="C880" s="174" t="s">
        <v>349</v>
      </c>
      <c r="D880" s="174" t="s">
        <v>1633</v>
      </c>
      <c r="E880" s="174" t="s">
        <v>2437</v>
      </c>
      <c r="F880" s="175" t="s">
        <v>2518</v>
      </c>
      <c r="G880" s="176" t="s">
        <v>524</v>
      </c>
      <c r="H880" s="184">
        <v>1</v>
      </c>
      <c r="I880" s="176">
        <f t="shared" si="12"/>
        <v>96</v>
      </c>
      <c r="J880" s="174">
        <v>4</v>
      </c>
      <c r="K880" s="174">
        <v>86</v>
      </c>
      <c r="L880" s="174">
        <v>320</v>
      </c>
      <c r="M880" s="174" t="s">
        <v>2510</v>
      </c>
    </row>
    <row r="881" spans="1:13" ht="15">
      <c r="A881" s="151"/>
      <c r="B881" s="174" t="s">
        <v>2519</v>
      </c>
      <c r="C881" s="174" t="s">
        <v>349</v>
      </c>
      <c r="D881" s="174" t="s">
        <v>1637</v>
      </c>
      <c r="E881" s="174" t="s">
        <v>2442</v>
      </c>
      <c r="F881" s="175" t="s">
        <v>2520</v>
      </c>
      <c r="G881" s="176" t="s">
        <v>1192</v>
      </c>
      <c r="H881" s="176">
        <v>1</v>
      </c>
      <c r="I881" s="176">
        <f t="shared" si="12"/>
        <v>96</v>
      </c>
      <c r="J881" s="174">
        <v>4</v>
      </c>
      <c r="K881" s="174">
        <v>75</v>
      </c>
      <c r="L881" s="174">
        <v>316</v>
      </c>
      <c r="M881" s="183" t="s">
        <v>2507</v>
      </c>
    </row>
    <row r="882" spans="1:13" ht="15">
      <c r="A882" s="151"/>
      <c r="B882" s="174" t="s">
        <v>2521</v>
      </c>
      <c r="C882" s="174" t="s">
        <v>349</v>
      </c>
      <c r="D882" s="174" t="s">
        <v>1637</v>
      </c>
      <c r="E882" s="174" t="s">
        <v>2445</v>
      </c>
      <c r="F882" s="175" t="s">
        <v>2522</v>
      </c>
      <c r="G882" s="176" t="s">
        <v>1192</v>
      </c>
      <c r="H882" s="176">
        <v>1</v>
      </c>
      <c r="I882" s="176">
        <f t="shared" si="12"/>
        <v>96</v>
      </c>
      <c r="J882" s="174">
        <v>4</v>
      </c>
      <c r="K882" s="174">
        <v>110</v>
      </c>
      <c r="L882" s="174">
        <v>474</v>
      </c>
      <c r="M882" s="183" t="s">
        <v>2510</v>
      </c>
    </row>
    <row r="883" spans="1:13" ht="15">
      <c r="A883" s="151"/>
      <c r="B883" s="174" t="s">
        <v>2523</v>
      </c>
      <c r="C883" s="174" t="s">
        <v>349</v>
      </c>
      <c r="D883" s="174" t="s">
        <v>1637</v>
      </c>
      <c r="E883" s="174" t="s">
        <v>2445</v>
      </c>
      <c r="F883" s="175" t="s">
        <v>2524</v>
      </c>
      <c r="G883" s="176" t="s">
        <v>524</v>
      </c>
      <c r="H883" s="176">
        <v>1</v>
      </c>
      <c r="I883" s="176">
        <f t="shared" si="12"/>
        <v>96</v>
      </c>
      <c r="J883" s="174">
        <v>4</v>
      </c>
      <c r="K883" s="174">
        <v>110</v>
      </c>
      <c r="L883" s="174">
        <v>390</v>
      </c>
      <c r="M883" s="183" t="s">
        <v>2510</v>
      </c>
    </row>
    <row r="884" spans="1:13" ht="15">
      <c r="A884" s="151"/>
      <c r="B884" s="174" t="s">
        <v>2525</v>
      </c>
      <c r="C884" s="174" t="s">
        <v>349</v>
      </c>
      <c r="D884" s="174" t="s">
        <v>1637</v>
      </c>
      <c r="E884" s="174" t="s">
        <v>2445</v>
      </c>
      <c r="F884" s="175" t="s">
        <v>2522</v>
      </c>
      <c r="G884" s="176" t="s">
        <v>557</v>
      </c>
      <c r="H884" s="176">
        <v>1</v>
      </c>
      <c r="I884" s="176">
        <f t="shared" si="12"/>
        <v>96</v>
      </c>
      <c r="J884" s="174">
        <v>4</v>
      </c>
      <c r="K884" s="174">
        <v>110</v>
      </c>
      <c r="L884" s="174">
        <v>514</v>
      </c>
      <c r="M884" s="183" t="s">
        <v>2510</v>
      </c>
    </row>
    <row r="885" spans="1:13" ht="15">
      <c r="A885" s="151"/>
      <c r="B885" s="174" t="s">
        <v>2526</v>
      </c>
      <c r="C885" s="174" t="s">
        <v>349</v>
      </c>
      <c r="D885" s="174" t="s">
        <v>1637</v>
      </c>
      <c r="E885" s="174" t="s">
        <v>2442</v>
      </c>
      <c r="F885" s="175" t="s">
        <v>2527</v>
      </c>
      <c r="G885" s="176" t="s">
        <v>524</v>
      </c>
      <c r="H885" s="176">
        <v>1</v>
      </c>
      <c r="I885" s="176">
        <f t="shared" si="12"/>
        <v>96</v>
      </c>
      <c r="J885" s="174">
        <v>4</v>
      </c>
      <c r="K885" s="174">
        <v>75</v>
      </c>
      <c r="L885" s="174">
        <v>268</v>
      </c>
      <c r="M885" s="183" t="s">
        <v>2507</v>
      </c>
    </row>
    <row r="886" spans="1:13" ht="15">
      <c r="A886" s="151"/>
      <c r="B886" s="174" t="s">
        <v>2528</v>
      </c>
      <c r="C886" s="174" t="s">
        <v>349</v>
      </c>
      <c r="D886" s="174" t="s">
        <v>1637</v>
      </c>
      <c r="E886" s="174" t="s">
        <v>2442</v>
      </c>
      <c r="F886" s="175" t="s">
        <v>2520</v>
      </c>
      <c r="G886" s="176" t="s">
        <v>557</v>
      </c>
      <c r="H886" s="176">
        <v>1</v>
      </c>
      <c r="I886" s="176">
        <f t="shared" si="12"/>
        <v>96</v>
      </c>
      <c r="J886" s="174">
        <v>4</v>
      </c>
      <c r="K886" s="174">
        <v>75</v>
      </c>
      <c r="L886" s="174">
        <v>346</v>
      </c>
      <c r="M886" s="183" t="s">
        <v>2507</v>
      </c>
    </row>
    <row r="887" spans="1:13" ht="15">
      <c r="A887" s="151"/>
      <c r="B887" s="174" t="s">
        <v>2529</v>
      </c>
      <c r="C887" s="174" t="s">
        <v>349</v>
      </c>
      <c r="D887" s="174" t="s">
        <v>1637</v>
      </c>
      <c r="E887" s="174" t="s">
        <v>2456</v>
      </c>
      <c r="F887" s="175" t="s">
        <v>2530</v>
      </c>
      <c r="G887" s="176" t="s">
        <v>557</v>
      </c>
      <c r="H887" s="176">
        <v>1</v>
      </c>
      <c r="I887" s="176">
        <f t="shared" si="12"/>
        <v>96</v>
      </c>
      <c r="J887" s="174">
        <v>4</v>
      </c>
      <c r="K887" s="174">
        <v>215</v>
      </c>
      <c r="L887" s="174">
        <v>900</v>
      </c>
      <c r="M887" s="183" t="s">
        <v>2510</v>
      </c>
    </row>
    <row r="888" spans="1:13" ht="15">
      <c r="A888" s="151"/>
      <c r="B888" s="174" t="s">
        <v>2531</v>
      </c>
      <c r="C888" s="174" t="s">
        <v>349</v>
      </c>
      <c r="D888" s="174" t="s">
        <v>1637</v>
      </c>
      <c r="E888" s="174" t="s">
        <v>2405</v>
      </c>
      <c r="F888" s="175" t="s">
        <v>2532</v>
      </c>
      <c r="G888" s="176" t="s">
        <v>1192</v>
      </c>
      <c r="H888" s="176">
        <v>1</v>
      </c>
      <c r="I888" s="176">
        <f t="shared" si="12"/>
        <v>96</v>
      </c>
      <c r="J888" s="174">
        <v>6</v>
      </c>
      <c r="K888" s="174">
        <v>60</v>
      </c>
      <c r="L888" s="174">
        <v>369</v>
      </c>
      <c r="M888" s="183" t="s">
        <v>2533</v>
      </c>
    </row>
    <row r="889" spans="1:13" ht="15">
      <c r="A889" s="151"/>
      <c r="B889" s="174" t="s">
        <v>2534</v>
      </c>
      <c r="C889" s="174" t="s">
        <v>349</v>
      </c>
      <c r="D889" s="174" t="s">
        <v>1637</v>
      </c>
      <c r="E889" s="174" t="s">
        <v>2411</v>
      </c>
      <c r="F889" s="175" t="s">
        <v>2535</v>
      </c>
      <c r="G889" s="176" t="s">
        <v>557</v>
      </c>
      <c r="H889" s="176">
        <v>1</v>
      </c>
      <c r="I889" s="176">
        <f t="shared" si="12"/>
        <v>96</v>
      </c>
      <c r="J889" s="174">
        <v>6</v>
      </c>
      <c r="K889" s="174">
        <v>95</v>
      </c>
      <c r="L889" s="174">
        <v>721</v>
      </c>
      <c r="M889" s="183" t="s">
        <v>2536</v>
      </c>
    </row>
    <row r="890" spans="1:13" ht="15">
      <c r="A890" s="151"/>
      <c r="B890" s="174" t="s">
        <v>2537</v>
      </c>
      <c r="C890" s="174" t="s">
        <v>349</v>
      </c>
      <c r="D890" s="174" t="s">
        <v>1637</v>
      </c>
      <c r="E890" s="174" t="s">
        <v>2405</v>
      </c>
      <c r="F890" s="175" t="s">
        <v>2532</v>
      </c>
      <c r="G890" s="176" t="s">
        <v>524</v>
      </c>
      <c r="H890" s="176">
        <v>1</v>
      </c>
      <c r="I890" s="176">
        <f t="shared" si="12"/>
        <v>96</v>
      </c>
      <c r="J890" s="174">
        <v>6</v>
      </c>
      <c r="K890" s="174">
        <v>60</v>
      </c>
      <c r="L890" s="174">
        <v>330</v>
      </c>
      <c r="M890" s="183" t="s">
        <v>2533</v>
      </c>
    </row>
    <row r="891" spans="1:13">
      <c r="A891" s="151"/>
      <c r="B891" s="174" t="s">
        <v>2533</v>
      </c>
      <c r="C891" s="174" t="s">
        <v>349</v>
      </c>
      <c r="D891" s="174" t="s">
        <v>1633</v>
      </c>
      <c r="E891" s="174" t="s">
        <v>2425</v>
      </c>
      <c r="F891" s="175" t="s">
        <v>2538</v>
      </c>
      <c r="G891" s="176" t="s">
        <v>524</v>
      </c>
      <c r="H891" s="176">
        <v>1</v>
      </c>
      <c r="I891" s="176">
        <f t="shared" si="12"/>
        <v>96</v>
      </c>
      <c r="J891" s="174">
        <v>6</v>
      </c>
      <c r="K891" s="174">
        <v>59</v>
      </c>
      <c r="L891" s="174">
        <v>328</v>
      </c>
      <c r="M891" s="174" t="s">
        <v>2533</v>
      </c>
    </row>
    <row r="892" spans="1:13">
      <c r="A892" s="151"/>
      <c r="B892" s="174" t="s">
        <v>1736</v>
      </c>
      <c r="C892" s="174" t="s">
        <v>2539</v>
      </c>
      <c r="D892" s="174" t="s">
        <v>2540</v>
      </c>
      <c r="E892" s="174" t="s">
        <v>2310</v>
      </c>
      <c r="F892" s="175" t="s">
        <v>2541</v>
      </c>
      <c r="G892" s="174" t="s">
        <v>2310</v>
      </c>
      <c r="H892" s="174">
        <v>1</v>
      </c>
      <c r="I892" s="176">
        <f t="shared" si="12"/>
        <v>24</v>
      </c>
      <c r="J892" s="174">
        <v>6</v>
      </c>
      <c r="K892" s="174">
        <v>17</v>
      </c>
      <c r="L892" s="174">
        <f t="shared" ref="L892:L897" si="13">ROUND(J892*K892*0.85,0)</f>
        <v>87</v>
      </c>
      <c r="M892" s="174" t="s">
        <v>2310</v>
      </c>
    </row>
    <row r="893" spans="1:13">
      <c r="A893" s="151"/>
      <c r="B893" s="174" t="s">
        <v>1867</v>
      </c>
      <c r="C893" s="174" t="s">
        <v>2539</v>
      </c>
      <c r="D893" s="174" t="s">
        <v>2540</v>
      </c>
      <c r="E893" s="174" t="s">
        <v>2310</v>
      </c>
      <c r="F893" s="175" t="s">
        <v>2542</v>
      </c>
      <c r="G893" s="174" t="s">
        <v>2310</v>
      </c>
      <c r="H893" s="174">
        <v>1</v>
      </c>
      <c r="I893" s="176">
        <f t="shared" si="12"/>
        <v>36</v>
      </c>
      <c r="J893" s="174">
        <v>6</v>
      </c>
      <c r="K893" s="174">
        <v>25</v>
      </c>
      <c r="L893" s="174">
        <f t="shared" si="13"/>
        <v>128</v>
      </c>
      <c r="M893" s="174" t="s">
        <v>2310</v>
      </c>
    </row>
    <row r="894" spans="1:13">
      <c r="A894" s="151"/>
      <c r="B894" s="174" t="s">
        <v>2366</v>
      </c>
      <c r="C894" s="174" t="s">
        <v>2539</v>
      </c>
      <c r="D894" s="174" t="s">
        <v>2540</v>
      </c>
      <c r="E894" s="174" t="s">
        <v>2310</v>
      </c>
      <c r="F894" s="175" t="s">
        <v>2543</v>
      </c>
      <c r="G894" s="174" t="s">
        <v>2310</v>
      </c>
      <c r="H894" s="174">
        <v>1</v>
      </c>
      <c r="I894" s="176">
        <f t="shared" si="12"/>
        <v>72</v>
      </c>
      <c r="J894" s="174">
        <v>1</v>
      </c>
      <c r="K894" s="174">
        <v>65</v>
      </c>
      <c r="L894" s="174">
        <f t="shared" si="13"/>
        <v>55</v>
      </c>
      <c r="M894" s="174" t="s">
        <v>2310</v>
      </c>
    </row>
    <row r="895" spans="1:13">
      <c r="A895" s="151"/>
      <c r="B895" s="174" t="s">
        <v>2381</v>
      </c>
      <c r="C895" s="174" t="s">
        <v>2539</v>
      </c>
      <c r="D895" s="174" t="s">
        <v>2540</v>
      </c>
      <c r="E895" s="174" t="s">
        <v>2310</v>
      </c>
      <c r="F895" s="175" t="s">
        <v>2544</v>
      </c>
      <c r="G895" s="174" t="s">
        <v>2310</v>
      </c>
      <c r="H895" s="174">
        <v>1</v>
      </c>
      <c r="I895" s="176">
        <f t="shared" si="12"/>
        <v>72</v>
      </c>
      <c r="J895" s="174">
        <v>2</v>
      </c>
      <c r="K895" s="174">
        <v>65</v>
      </c>
      <c r="L895" s="174">
        <f t="shared" si="13"/>
        <v>111</v>
      </c>
      <c r="M895" s="174" t="s">
        <v>2310</v>
      </c>
    </row>
    <row r="896" spans="1:13">
      <c r="A896" s="151"/>
      <c r="B896" s="174" t="s">
        <v>2393</v>
      </c>
      <c r="C896" s="174" t="s">
        <v>2539</v>
      </c>
      <c r="D896" s="174" t="s">
        <v>2540</v>
      </c>
      <c r="E896" s="174" t="s">
        <v>2310</v>
      </c>
      <c r="F896" s="175" t="s">
        <v>2545</v>
      </c>
      <c r="G896" s="174" t="s">
        <v>2310</v>
      </c>
      <c r="H896" s="174">
        <v>1</v>
      </c>
      <c r="I896" s="176">
        <f t="shared" si="12"/>
        <v>72</v>
      </c>
      <c r="J896" s="174">
        <v>3</v>
      </c>
      <c r="K896" s="174">
        <v>65</v>
      </c>
      <c r="L896" s="174">
        <f t="shared" si="13"/>
        <v>166</v>
      </c>
      <c r="M896" s="174" t="s">
        <v>2310</v>
      </c>
    </row>
    <row r="897" spans="1:13">
      <c r="A897" s="151"/>
      <c r="B897" s="174" t="s">
        <v>2398</v>
      </c>
      <c r="C897" s="174" t="s">
        <v>2539</v>
      </c>
      <c r="D897" s="174" t="s">
        <v>2540</v>
      </c>
      <c r="E897" s="174" t="s">
        <v>2310</v>
      </c>
      <c r="F897" s="175" t="s">
        <v>2546</v>
      </c>
      <c r="G897" s="174" t="s">
        <v>2310</v>
      </c>
      <c r="H897" s="174">
        <v>1</v>
      </c>
      <c r="I897" s="176">
        <f t="shared" si="12"/>
        <v>72</v>
      </c>
      <c r="J897" s="174">
        <v>4</v>
      </c>
      <c r="K897" s="174">
        <v>65</v>
      </c>
      <c r="L897" s="174">
        <f t="shared" si="13"/>
        <v>221</v>
      </c>
      <c r="M897" s="174" t="s">
        <v>2310</v>
      </c>
    </row>
    <row r="898" spans="1:13">
      <c r="A898" s="151"/>
      <c r="B898" s="174" t="s">
        <v>2491</v>
      </c>
      <c r="C898" s="174" t="s">
        <v>2539</v>
      </c>
      <c r="D898" s="174" t="s">
        <v>2540</v>
      </c>
      <c r="E898" s="174" t="s">
        <v>2310</v>
      </c>
      <c r="F898" s="175" t="s">
        <v>2547</v>
      </c>
      <c r="G898" s="174" t="s">
        <v>2310</v>
      </c>
      <c r="H898" s="174">
        <v>1</v>
      </c>
      <c r="I898" s="174">
        <v>96</v>
      </c>
      <c r="J898" s="174">
        <v>3</v>
      </c>
      <c r="K898" s="174">
        <v>86</v>
      </c>
      <c r="L898" s="174">
        <f>ROUND(J898*K898*0.98,0)</f>
        <v>253</v>
      </c>
      <c r="M898" s="174" t="s">
        <v>2310</v>
      </c>
    </row>
    <row r="899" spans="1:13">
      <c r="A899" s="151"/>
      <c r="B899" s="174" t="s">
        <v>2536</v>
      </c>
      <c r="C899" s="174" t="s">
        <v>2539</v>
      </c>
      <c r="D899" s="174" t="s">
        <v>2540</v>
      </c>
      <c r="E899" s="174" t="s">
        <v>2310</v>
      </c>
      <c r="F899" s="175" t="s">
        <v>2548</v>
      </c>
      <c r="G899" s="174" t="s">
        <v>2310</v>
      </c>
      <c r="H899" s="174">
        <v>1</v>
      </c>
      <c r="I899" s="174">
        <v>96</v>
      </c>
      <c r="J899" s="174">
        <v>6</v>
      </c>
      <c r="K899" s="174">
        <v>86</v>
      </c>
      <c r="L899" s="174">
        <f>ROUND(J899*K899*0.98,0)</f>
        <v>506</v>
      </c>
      <c r="M899" s="174" t="s">
        <v>2310</v>
      </c>
    </row>
    <row r="900" spans="1:13" ht="15">
      <c r="A900" s="151"/>
      <c r="B900" s="174" t="s">
        <v>2549</v>
      </c>
      <c r="C900" s="174" t="s">
        <v>582</v>
      </c>
      <c r="D900" s="174" t="s">
        <v>582</v>
      </c>
      <c r="E900" s="174" t="s">
        <v>2550</v>
      </c>
      <c r="F900" s="175" t="s">
        <v>2551</v>
      </c>
      <c r="G900" s="176" t="s">
        <v>1192</v>
      </c>
      <c r="H900" s="176">
        <v>1</v>
      </c>
      <c r="I900" s="176">
        <v>24</v>
      </c>
      <c r="J900" s="174">
        <v>1</v>
      </c>
      <c r="K900" s="174">
        <v>34</v>
      </c>
      <c r="L900" s="174">
        <v>43</v>
      </c>
      <c r="M900" s="183" t="s">
        <v>2552</v>
      </c>
    </row>
    <row r="901" spans="1:13">
      <c r="A901" s="151"/>
      <c r="B901" s="174" t="s">
        <v>2552</v>
      </c>
      <c r="C901" s="174" t="s">
        <v>582</v>
      </c>
      <c r="D901" s="174" t="s">
        <v>582</v>
      </c>
      <c r="E901" s="174" t="s">
        <v>2553</v>
      </c>
      <c r="F901" s="175" t="s">
        <v>2554</v>
      </c>
      <c r="G901" s="176" t="s">
        <v>524</v>
      </c>
      <c r="H901" s="176">
        <v>1</v>
      </c>
      <c r="I901" s="176">
        <v>24</v>
      </c>
      <c r="J901" s="174">
        <v>1</v>
      </c>
      <c r="K901" s="174">
        <v>32</v>
      </c>
      <c r="L901" s="174">
        <v>31</v>
      </c>
      <c r="M901" s="174" t="s">
        <v>2552</v>
      </c>
    </row>
    <row r="902" spans="1:13">
      <c r="A902" s="151"/>
      <c r="B902" s="174" t="s">
        <v>2555</v>
      </c>
      <c r="C902" s="174" t="s">
        <v>582</v>
      </c>
      <c r="D902" s="174" t="s">
        <v>582</v>
      </c>
      <c r="E902" s="174" t="s">
        <v>2553</v>
      </c>
      <c r="F902" s="175" t="s">
        <v>2556</v>
      </c>
      <c r="G902" s="176" t="s">
        <v>524</v>
      </c>
      <c r="H902" s="176">
        <v>1</v>
      </c>
      <c r="I902" s="176">
        <v>24</v>
      </c>
      <c r="J902" s="174">
        <v>1</v>
      </c>
      <c r="K902" s="174">
        <v>32</v>
      </c>
      <c r="L902" s="174">
        <v>32</v>
      </c>
      <c r="M902" s="174" t="s">
        <v>2555</v>
      </c>
    </row>
    <row r="903" spans="1:13">
      <c r="A903" s="151"/>
      <c r="B903" s="174" t="s">
        <v>2557</v>
      </c>
      <c r="C903" s="174" t="s">
        <v>582</v>
      </c>
      <c r="D903" s="174" t="s">
        <v>582</v>
      </c>
      <c r="E903" s="174" t="s">
        <v>2553</v>
      </c>
      <c r="F903" s="175" t="s">
        <v>2558</v>
      </c>
      <c r="G903" s="174" t="s">
        <v>524</v>
      </c>
      <c r="H903" s="176">
        <v>1</v>
      </c>
      <c r="I903" s="176">
        <v>24</v>
      </c>
      <c r="J903" s="174">
        <v>1</v>
      </c>
      <c r="K903" s="174">
        <v>31</v>
      </c>
      <c r="L903" s="185">
        <v>27</v>
      </c>
      <c r="M903" s="185" t="s">
        <v>2557</v>
      </c>
    </row>
    <row r="904" spans="1:13" ht="15">
      <c r="A904" s="151"/>
      <c r="B904" s="174" t="s">
        <v>2559</v>
      </c>
      <c r="C904" s="174" t="s">
        <v>582</v>
      </c>
      <c r="D904" s="174" t="s">
        <v>582</v>
      </c>
      <c r="E904" s="174" t="s">
        <v>2550</v>
      </c>
      <c r="F904" s="175" t="s">
        <v>2560</v>
      </c>
      <c r="G904" s="176" t="s">
        <v>1192</v>
      </c>
      <c r="H904" s="176">
        <v>1</v>
      </c>
      <c r="I904" s="176">
        <v>24</v>
      </c>
      <c r="J904" s="174">
        <v>2</v>
      </c>
      <c r="K904" s="174">
        <v>34</v>
      </c>
      <c r="L904" s="174">
        <v>72</v>
      </c>
      <c r="M904" s="183" t="s">
        <v>2561</v>
      </c>
    </row>
    <row r="905" spans="1:13" ht="15">
      <c r="A905" s="151"/>
      <c r="B905" s="174" t="s">
        <v>2562</v>
      </c>
      <c r="C905" s="174" t="s">
        <v>582</v>
      </c>
      <c r="D905" s="174" t="s">
        <v>582</v>
      </c>
      <c r="E905" s="174" t="s">
        <v>2550</v>
      </c>
      <c r="F905" s="175" t="s">
        <v>2560</v>
      </c>
      <c r="G905" s="176" t="s">
        <v>557</v>
      </c>
      <c r="H905" s="176">
        <v>1</v>
      </c>
      <c r="I905" s="176">
        <v>24</v>
      </c>
      <c r="J905" s="174">
        <v>2</v>
      </c>
      <c r="K905" s="174">
        <v>34</v>
      </c>
      <c r="L905" s="174">
        <v>82</v>
      </c>
      <c r="M905" s="183" t="s">
        <v>2561</v>
      </c>
    </row>
    <row r="906" spans="1:13">
      <c r="A906" s="151"/>
      <c r="B906" s="174" t="s">
        <v>2561</v>
      </c>
      <c r="C906" s="174" t="s">
        <v>582</v>
      </c>
      <c r="D906" s="174" t="s">
        <v>582</v>
      </c>
      <c r="E906" s="174" t="s">
        <v>2553</v>
      </c>
      <c r="F906" s="175" t="s">
        <v>2563</v>
      </c>
      <c r="G906" s="176" t="s">
        <v>524</v>
      </c>
      <c r="H906" s="176">
        <v>1</v>
      </c>
      <c r="I906" s="176">
        <v>24</v>
      </c>
      <c r="J906" s="174">
        <v>2</v>
      </c>
      <c r="K906" s="174">
        <v>32</v>
      </c>
      <c r="L906" s="174">
        <v>59</v>
      </c>
      <c r="M906" s="174" t="s">
        <v>2561</v>
      </c>
    </row>
    <row r="907" spans="1:13">
      <c r="A907" s="151"/>
      <c r="B907" s="174" t="s">
        <v>2564</v>
      </c>
      <c r="C907" s="174" t="s">
        <v>582</v>
      </c>
      <c r="D907" s="174" t="s">
        <v>582</v>
      </c>
      <c r="E907" s="174" t="s">
        <v>2553</v>
      </c>
      <c r="F907" s="175" t="s">
        <v>2565</v>
      </c>
      <c r="G907" s="176" t="s">
        <v>524</v>
      </c>
      <c r="H907" s="176">
        <v>1</v>
      </c>
      <c r="I907" s="176">
        <v>24</v>
      </c>
      <c r="J907" s="174">
        <v>2</v>
      </c>
      <c r="K907" s="174">
        <v>32</v>
      </c>
      <c r="L907" s="174">
        <v>56</v>
      </c>
      <c r="M907" s="174" t="s">
        <v>2564</v>
      </c>
    </row>
    <row r="908" spans="1:13">
      <c r="A908" s="151"/>
      <c r="B908" s="174" t="s">
        <v>2566</v>
      </c>
      <c r="C908" s="174" t="s">
        <v>582</v>
      </c>
      <c r="D908" s="174" t="s">
        <v>582</v>
      </c>
      <c r="E908" s="174" t="s">
        <v>2553</v>
      </c>
      <c r="F908" s="175" t="s">
        <v>2567</v>
      </c>
      <c r="G908" s="176" t="s">
        <v>524</v>
      </c>
      <c r="H908" s="176">
        <v>1</v>
      </c>
      <c r="I908" s="176">
        <v>24</v>
      </c>
      <c r="J908" s="174">
        <v>2</v>
      </c>
      <c r="K908" s="174">
        <v>32</v>
      </c>
      <c r="L908" s="174">
        <v>51</v>
      </c>
      <c r="M908" s="174" t="s">
        <v>2566</v>
      </c>
    </row>
    <row r="909" spans="1:13">
      <c r="A909" s="151"/>
      <c r="B909" s="174" t="s">
        <v>2568</v>
      </c>
      <c r="C909" s="174" t="s">
        <v>582</v>
      </c>
      <c r="D909" s="174" t="s">
        <v>582</v>
      </c>
      <c r="E909" s="174" t="s">
        <v>2553</v>
      </c>
      <c r="F909" s="175" t="s">
        <v>2569</v>
      </c>
      <c r="G909" s="176" t="s">
        <v>524</v>
      </c>
      <c r="H909" s="176">
        <v>1</v>
      </c>
      <c r="I909" s="176">
        <v>24</v>
      </c>
      <c r="J909" s="174">
        <v>2</v>
      </c>
      <c r="K909" s="174">
        <v>32</v>
      </c>
      <c r="L909" s="174">
        <v>65</v>
      </c>
      <c r="M909" s="174" t="s">
        <v>2568</v>
      </c>
    </row>
    <row r="910" spans="1:13">
      <c r="A910" s="151"/>
      <c r="B910" s="174" t="s">
        <v>2570</v>
      </c>
      <c r="C910" s="174" t="s">
        <v>582</v>
      </c>
      <c r="D910" s="174" t="s">
        <v>582</v>
      </c>
      <c r="E910" s="174" t="s">
        <v>2553</v>
      </c>
      <c r="F910" s="175" t="s">
        <v>2571</v>
      </c>
      <c r="G910" s="176" t="s">
        <v>524</v>
      </c>
      <c r="H910" s="176">
        <v>1</v>
      </c>
      <c r="I910" s="176">
        <v>24</v>
      </c>
      <c r="J910" s="174">
        <v>2</v>
      </c>
      <c r="K910" s="174">
        <v>32</v>
      </c>
      <c r="L910" s="174">
        <v>52</v>
      </c>
      <c r="M910" s="174" t="s">
        <v>2570</v>
      </c>
    </row>
    <row r="911" spans="1:13">
      <c r="A911" s="151"/>
      <c r="B911" s="174" t="s">
        <v>2572</v>
      </c>
      <c r="C911" s="174" t="s">
        <v>582</v>
      </c>
      <c r="D911" s="174" t="s">
        <v>582</v>
      </c>
      <c r="E911" s="174" t="s">
        <v>2553</v>
      </c>
      <c r="F911" s="175" t="s">
        <v>2573</v>
      </c>
      <c r="G911" s="176" t="s">
        <v>524</v>
      </c>
      <c r="H911" s="176">
        <v>1</v>
      </c>
      <c r="I911" s="176">
        <v>24</v>
      </c>
      <c r="J911" s="174">
        <v>2</v>
      </c>
      <c r="K911" s="174">
        <v>32</v>
      </c>
      <c r="L911" s="174">
        <v>60</v>
      </c>
      <c r="M911" s="174" t="s">
        <v>2572</v>
      </c>
    </row>
    <row r="912" spans="1:13">
      <c r="A912" s="151"/>
      <c r="B912" s="174" t="s">
        <v>2574</v>
      </c>
      <c r="C912" s="174" t="s">
        <v>582</v>
      </c>
      <c r="D912" s="174" t="s">
        <v>582</v>
      </c>
      <c r="E912" s="174" t="s">
        <v>2553</v>
      </c>
      <c r="F912" s="175" t="s">
        <v>2575</v>
      </c>
      <c r="G912" s="176" t="s">
        <v>524</v>
      </c>
      <c r="H912" s="176">
        <v>1</v>
      </c>
      <c r="I912" s="176">
        <v>24</v>
      </c>
      <c r="J912" s="174">
        <v>2</v>
      </c>
      <c r="K912" s="174">
        <v>32</v>
      </c>
      <c r="L912" s="174">
        <v>59</v>
      </c>
      <c r="M912" s="174" t="s">
        <v>2574</v>
      </c>
    </row>
    <row r="913" spans="1:13">
      <c r="A913" s="151"/>
      <c r="B913" s="174" t="s">
        <v>2576</v>
      </c>
      <c r="C913" s="174" t="s">
        <v>582</v>
      </c>
      <c r="D913" s="174" t="s">
        <v>582</v>
      </c>
      <c r="E913" s="174" t="s">
        <v>2553</v>
      </c>
      <c r="F913" s="175" t="s">
        <v>2577</v>
      </c>
      <c r="G913" s="174" t="s">
        <v>524</v>
      </c>
      <c r="H913" s="176">
        <v>1</v>
      </c>
      <c r="I913" s="176">
        <v>24</v>
      </c>
      <c r="J913" s="186">
        <v>2</v>
      </c>
      <c r="K913" s="174">
        <v>31</v>
      </c>
      <c r="L913" s="185">
        <v>54</v>
      </c>
      <c r="M913" s="185" t="s">
        <v>2576</v>
      </c>
    </row>
    <row r="914" spans="1:13" ht="15">
      <c r="A914" s="151"/>
      <c r="B914" s="174" t="s">
        <v>2578</v>
      </c>
      <c r="C914" s="174" t="s">
        <v>582</v>
      </c>
      <c r="D914" s="174" t="s">
        <v>582</v>
      </c>
      <c r="E914" s="174" t="s">
        <v>2579</v>
      </c>
      <c r="F914" s="175" t="s">
        <v>2580</v>
      </c>
      <c r="G914" s="176" t="s">
        <v>1192</v>
      </c>
      <c r="H914" s="176">
        <v>1</v>
      </c>
      <c r="I914" s="176">
        <v>24</v>
      </c>
      <c r="J914" s="174">
        <v>2</v>
      </c>
      <c r="K914" s="174">
        <v>40</v>
      </c>
      <c r="L914" s="174">
        <v>85</v>
      </c>
      <c r="M914" s="183" t="s">
        <v>2561</v>
      </c>
    </row>
    <row r="915" spans="1:13" ht="15">
      <c r="A915" s="151"/>
      <c r="B915" s="174" t="s">
        <v>2581</v>
      </c>
      <c r="C915" s="174" t="s">
        <v>582</v>
      </c>
      <c r="D915" s="174" t="s">
        <v>582</v>
      </c>
      <c r="E915" s="174" t="s">
        <v>2579</v>
      </c>
      <c r="F915" s="175" t="s">
        <v>2580</v>
      </c>
      <c r="G915" s="176" t="s">
        <v>557</v>
      </c>
      <c r="H915" s="176">
        <v>1</v>
      </c>
      <c r="I915" s="176">
        <v>24</v>
      </c>
      <c r="J915" s="174">
        <v>2</v>
      </c>
      <c r="K915" s="174">
        <v>40</v>
      </c>
      <c r="L915" s="174">
        <v>96</v>
      </c>
      <c r="M915" s="183" t="s">
        <v>2561</v>
      </c>
    </row>
    <row r="916" spans="1:13" ht="15">
      <c r="A916" s="151"/>
      <c r="B916" s="174" t="s">
        <v>2582</v>
      </c>
      <c r="C916" s="174" t="s">
        <v>582</v>
      </c>
      <c r="D916" s="174" t="s">
        <v>582</v>
      </c>
      <c r="E916" s="174" t="s">
        <v>2550</v>
      </c>
      <c r="F916" s="175" t="s">
        <v>2583</v>
      </c>
      <c r="G916" s="176" t="s">
        <v>1192</v>
      </c>
      <c r="H916" s="176">
        <v>1</v>
      </c>
      <c r="I916" s="176">
        <v>24</v>
      </c>
      <c r="J916" s="174">
        <v>3</v>
      </c>
      <c r="K916" s="174">
        <v>35</v>
      </c>
      <c r="L916" s="174">
        <v>115</v>
      </c>
      <c r="M916" s="183" t="s">
        <v>2584</v>
      </c>
    </row>
    <row r="917" spans="1:13">
      <c r="A917" s="151"/>
      <c r="B917" s="174" t="s">
        <v>2584</v>
      </c>
      <c r="C917" s="174" t="s">
        <v>582</v>
      </c>
      <c r="D917" s="174" t="s">
        <v>582</v>
      </c>
      <c r="E917" s="174" t="s">
        <v>2553</v>
      </c>
      <c r="F917" s="175" t="s">
        <v>2585</v>
      </c>
      <c r="G917" s="176" t="s">
        <v>524</v>
      </c>
      <c r="H917" s="176">
        <v>1</v>
      </c>
      <c r="I917" s="176">
        <v>24</v>
      </c>
      <c r="J917" s="174">
        <v>3</v>
      </c>
      <c r="K917" s="174">
        <v>32</v>
      </c>
      <c r="L917" s="174">
        <v>89</v>
      </c>
      <c r="M917" s="174" t="s">
        <v>2584</v>
      </c>
    </row>
    <row r="918" spans="1:13">
      <c r="A918" s="151"/>
      <c r="B918" s="174" t="s">
        <v>2586</v>
      </c>
      <c r="C918" s="174" t="s">
        <v>582</v>
      </c>
      <c r="D918" s="174" t="s">
        <v>582</v>
      </c>
      <c r="E918" s="174" t="s">
        <v>2553</v>
      </c>
      <c r="F918" s="175" t="s">
        <v>2587</v>
      </c>
      <c r="G918" s="176" t="s">
        <v>524</v>
      </c>
      <c r="H918" s="176">
        <v>1</v>
      </c>
      <c r="I918" s="176">
        <v>24</v>
      </c>
      <c r="J918" s="174">
        <v>3</v>
      </c>
      <c r="K918" s="174">
        <v>32</v>
      </c>
      <c r="L918" s="174">
        <v>78</v>
      </c>
      <c r="M918" s="174" t="s">
        <v>2586</v>
      </c>
    </row>
    <row r="919" spans="1:13">
      <c r="A919" s="151"/>
      <c r="B919" s="172" t="s">
        <v>2588</v>
      </c>
      <c r="C919" s="172"/>
      <c r="D919" s="174" t="s">
        <v>2589</v>
      </c>
      <c r="E919" s="174" t="s">
        <v>2310</v>
      </c>
      <c r="F919" s="173"/>
      <c r="G919" s="174" t="s">
        <v>2310</v>
      </c>
      <c r="H919" s="174"/>
      <c r="I919" s="172"/>
      <c r="J919" s="172"/>
      <c r="K919" s="172"/>
      <c r="L919" s="172"/>
      <c r="M919" s="214" t="str">
        <f>B919</f>
        <v>Enter Custom Fixture</v>
      </c>
    </row>
    <row r="920" spans="1:13">
      <c r="A920" s="151"/>
      <c r="B920" s="172" t="s">
        <v>2588</v>
      </c>
      <c r="C920" s="172"/>
      <c r="D920" s="174" t="s">
        <v>2589</v>
      </c>
      <c r="E920" s="174" t="s">
        <v>2310</v>
      </c>
      <c r="F920" s="173"/>
      <c r="G920" s="174" t="s">
        <v>2310</v>
      </c>
      <c r="H920" s="174"/>
      <c r="I920" s="172"/>
      <c r="J920" s="172"/>
      <c r="K920" s="172"/>
      <c r="L920" s="172"/>
      <c r="M920" s="214" t="str">
        <f t="shared" ref="M920:M976" si="14">B920</f>
        <v>Enter Custom Fixture</v>
      </c>
    </row>
    <row r="921" spans="1:13">
      <c r="A921" s="151"/>
      <c r="B921" s="172" t="s">
        <v>2588</v>
      </c>
      <c r="C921" s="172"/>
      <c r="D921" s="174" t="s">
        <v>2589</v>
      </c>
      <c r="E921" s="174" t="s">
        <v>2310</v>
      </c>
      <c r="F921" s="173"/>
      <c r="G921" s="174" t="s">
        <v>2310</v>
      </c>
      <c r="H921" s="174"/>
      <c r="I921" s="172"/>
      <c r="J921" s="172"/>
      <c r="K921" s="172"/>
      <c r="L921" s="172"/>
      <c r="M921" s="214" t="str">
        <f t="shared" si="14"/>
        <v>Enter Custom Fixture</v>
      </c>
    </row>
    <row r="922" spans="1:13">
      <c r="A922" s="151"/>
      <c r="B922" s="172" t="s">
        <v>2588</v>
      </c>
      <c r="C922" s="172"/>
      <c r="D922" s="174" t="s">
        <v>2589</v>
      </c>
      <c r="E922" s="174" t="s">
        <v>2310</v>
      </c>
      <c r="F922" s="173"/>
      <c r="G922" s="174" t="s">
        <v>2310</v>
      </c>
      <c r="H922" s="174"/>
      <c r="I922" s="172"/>
      <c r="J922" s="172"/>
      <c r="K922" s="172"/>
      <c r="L922" s="172"/>
      <c r="M922" s="214" t="str">
        <f t="shared" si="14"/>
        <v>Enter Custom Fixture</v>
      </c>
    </row>
    <row r="923" spans="1:13">
      <c r="A923" s="151"/>
      <c r="B923" s="172" t="s">
        <v>2588</v>
      </c>
      <c r="C923" s="172"/>
      <c r="D923" s="174" t="s">
        <v>2589</v>
      </c>
      <c r="E923" s="174" t="s">
        <v>2310</v>
      </c>
      <c r="F923" s="173"/>
      <c r="G923" s="174" t="s">
        <v>2310</v>
      </c>
      <c r="H923" s="174"/>
      <c r="I923" s="172"/>
      <c r="J923" s="172"/>
      <c r="K923" s="172"/>
      <c r="L923" s="172"/>
      <c r="M923" s="214" t="str">
        <f t="shared" si="14"/>
        <v>Enter Custom Fixture</v>
      </c>
    </row>
    <row r="924" spans="1:13">
      <c r="A924" s="151"/>
      <c r="B924" s="172" t="s">
        <v>2588</v>
      </c>
      <c r="C924" s="172"/>
      <c r="D924" s="174" t="s">
        <v>2589</v>
      </c>
      <c r="E924" s="174" t="s">
        <v>2310</v>
      </c>
      <c r="F924" s="173"/>
      <c r="G924" s="174" t="s">
        <v>2310</v>
      </c>
      <c r="H924" s="174"/>
      <c r="I924" s="172"/>
      <c r="J924" s="172"/>
      <c r="K924" s="172"/>
      <c r="L924" s="172"/>
      <c r="M924" s="214" t="str">
        <f t="shared" si="14"/>
        <v>Enter Custom Fixture</v>
      </c>
    </row>
    <row r="925" spans="1:13">
      <c r="A925" s="151"/>
      <c r="B925" s="172" t="s">
        <v>2588</v>
      </c>
      <c r="C925" s="172"/>
      <c r="D925" s="174" t="s">
        <v>2589</v>
      </c>
      <c r="E925" s="174" t="s">
        <v>2310</v>
      </c>
      <c r="F925" s="173"/>
      <c r="G925" s="174" t="s">
        <v>2310</v>
      </c>
      <c r="H925" s="174"/>
      <c r="I925" s="172"/>
      <c r="J925" s="172"/>
      <c r="K925" s="172"/>
      <c r="L925" s="172"/>
      <c r="M925" s="214" t="str">
        <f t="shared" si="14"/>
        <v>Enter Custom Fixture</v>
      </c>
    </row>
    <row r="926" spans="1:13">
      <c r="A926" s="151"/>
      <c r="B926" s="172" t="s">
        <v>2588</v>
      </c>
      <c r="C926" s="172"/>
      <c r="D926" s="174" t="s">
        <v>2589</v>
      </c>
      <c r="E926" s="174" t="s">
        <v>2310</v>
      </c>
      <c r="F926" s="173"/>
      <c r="G926" s="174" t="s">
        <v>2310</v>
      </c>
      <c r="H926" s="174"/>
      <c r="I926" s="172"/>
      <c r="J926" s="172"/>
      <c r="K926" s="172"/>
      <c r="L926" s="172"/>
      <c r="M926" s="214" t="str">
        <f t="shared" si="14"/>
        <v>Enter Custom Fixture</v>
      </c>
    </row>
    <row r="927" spans="1:13">
      <c r="A927" s="151"/>
      <c r="B927" s="172" t="s">
        <v>2588</v>
      </c>
      <c r="C927" s="172"/>
      <c r="D927" s="174" t="s">
        <v>2589</v>
      </c>
      <c r="E927" s="174" t="s">
        <v>2310</v>
      </c>
      <c r="F927" s="173"/>
      <c r="G927" s="174" t="s">
        <v>2310</v>
      </c>
      <c r="H927" s="174"/>
      <c r="I927" s="172"/>
      <c r="J927" s="172"/>
      <c r="K927" s="172"/>
      <c r="L927" s="172"/>
      <c r="M927" s="214" t="str">
        <f t="shared" si="14"/>
        <v>Enter Custom Fixture</v>
      </c>
    </row>
    <row r="928" spans="1:13">
      <c r="A928" s="151"/>
      <c r="B928" s="172" t="s">
        <v>2588</v>
      </c>
      <c r="C928" s="172"/>
      <c r="D928" s="174" t="s">
        <v>2589</v>
      </c>
      <c r="E928" s="174" t="s">
        <v>2310</v>
      </c>
      <c r="F928" s="173"/>
      <c r="G928" s="174" t="s">
        <v>2310</v>
      </c>
      <c r="H928" s="174"/>
      <c r="I928" s="172"/>
      <c r="J928" s="172"/>
      <c r="K928" s="172"/>
      <c r="L928" s="172"/>
      <c r="M928" s="214" t="str">
        <f t="shared" si="14"/>
        <v>Enter Custom Fixture</v>
      </c>
    </row>
    <row r="929" spans="1:13">
      <c r="A929" s="151"/>
      <c r="B929" s="172" t="s">
        <v>2588</v>
      </c>
      <c r="C929" s="172"/>
      <c r="D929" s="174" t="s">
        <v>2589</v>
      </c>
      <c r="E929" s="174" t="s">
        <v>2310</v>
      </c>
      <c r="F929" s="173"/>
      <c r="G929" s="174" t="s">
        <v>2310</v>
      </c>
      <c r="H929" s="174"/>
      <c r="I929" s="172"/>
      <c r="J929" s="172"/>
      <c r="K929" s="172"/>
      <c r="L929" s="172"/>
      <c r="M929" s="214" t="str">
        <f t="shared" si="14"/>
        <v>Enter Custom Fixture</v>
      </c>
    </row>
    <row r="930" spans="1:13">
      <c r="A930" s="151"/>
      <c r="B930" s="172" t="s">
        <v>2588</v>
      </c>
      <c r="C930" s="172"/>
      <c r="D930" s="174" t="s">
        <v>2589</v>
      </c>
      <c r="E930" s="174" t="s">
        <v>2310</v>
      </c>
      <c r="F930" s="173"/>
      <c r="G930" s="174" t="s">
        <v>2310</v>
      </c>
      <c r="H930" s="174"/>
      <c r="I930" s="172"/>
      <c r="J930" s="172"/>
      <c r="K930" s="172"/>
      <c r="L930" s="172"/>
      <c r="M930" s="214" t="str">
        <f t="shared" si="14"/>
        <v>Enter Custom Fixture</v>
      </c>
    </row>
    <row r="931" spans="1:13">
      <c r="A931" s="151"/>
      <c r="B931" s="172" t="s">
        <v>2588</v>
      </c>
      <c r="C931" s="172"/>
      <c r="D931" s="174" t="s">
        <v>2589</v>
      </c>
      <c r="E931" s="174" t="s">
        <v>2310</v>
      </c>
      <c r="F931" s="173"/>
      <c r="G931" s="174" t="s">
        <v>2310</v>
      </c>
      <c r="H931" s="174"/>
      <c r="I931" s="172"/>
      <c r="J931" s="172"/>
      <c r="K931" s="172"/>
      <c r="L931" s="172"/>
      <c r="M931" s="214" t="str">
        <f t="shared" si="14"/>
        <v>Enter Custom Fixture</v>
      </c>
    </row>
    <row r="932" spans="1:13">
      <c r="A932" s="151"/>
      <c r="B932" s="172" t="s">
        <v>2588</v>
      </c>
      <c r="C932" s="172"/>
      <c r="D932" s="174" t="s">
        <v>2589</v>
      </c>
      <c r="E932" s="174" t="s">
        <v>2310</v>
      </c>
      <c r="F932" s="173"/>
      <c r="G932" s="174" t="s">
        <v>2310</v>
      </c>
      <c r="H932" s="174"/>
      <c r="I932" s="172"/>
      <c r="J932" s="172"/>
      <c r="K932" s="172"/>
      <c r="L932" s="172"/>
      <c r="M932" s="214" t="str">
        <f t="shared" si="14"/>
        <v>Enter Custom Fixture</v>
      </c>
    </row>
    <row r="933" spans="1:13">
      <c r="A933" s="151"/>
      <c r="B933" s="172" t="s">
        <v>2588</v>
      </c>
      <c r="C933" s="172"/>
      <c r="D933" s="174" t="s">
        <v>2589</v>
      </c>
      <c r="E933" s="174" t="s">
        <v>2310</v>
      </c>
      <c r="F933" s="173"/>
      <c r="G933" s="174" t="s">
        <v>2310</v>
      </c>
      <c r="H933" s="174"/>
      <c r="I933" s="172"/>
      <c r="J933" s="172"/>
      <c r="K933" s="172"/>
      <c r="L933" s="172"/>
      <c r="M933" s="214" t="str">
        <f t="shared" si="14"/>
        <v>Enter Custom Fixture</v>
      </c>
    </row>
    <row r="934" spans="1:13">
      <c r="A934" s="151"/>
      <c r="B934" s="172" t="s">
        <v>2588</v>
      </c>
      <c r="C934" s="172"/>
      <c r="D934" s="174" t="s">
        <v>2589</v>
      </c>
      <c r="E934" s="174" t="s">
        <v>2310</v>
      </c>
      <c r="F934" s="173"/>
      <c r="G934" s="174" t="s">
        <v>2310</v>
      </c>
      <c r="H934" s="174"/>
      <c r="I934" s="172"/>
      <c r="J934" s="172"/>
      <c r="K934" s="172"/>
      <c r="L934" s="172"/>
      <c r="M934" s="214" t="str">
        <f t="shared" si="14"/>
        <v>Enter Custom Fixture</v>
      </c>
    </row>
    <row r="935" spans="1:13">
      <c r="A935" s="151"/>
      <c r="B935" s="172" t="s">
        <v>2588</v>
      </c>
      <c r="C935" s="172"/>
      <c r="D935" s="174" t="s">
        <v>2589</v>
      </c>
      <c r="E935" s="174" t="s">
        <v>2310</v>
      </c>
      <c r="F935" s="173"/>
      <c r="G935" s="174" t="s">
        <v>2310</v>
      </c>
      <c r="H935" s="174"/>
      <c r="I935" s="172"/>
      <c r="J935" s="172"/>
      <c r="K935" s="172"/>
      <c r="L935" s="172"/>
      <c r="M935" s="214" t="str">
        <f t="shared" si="14"/>
        <v>Enter Custom Fixture</v>
      </c>
    </row>
    <row r="936" spans="1:13">
      <c r="A936" s="151"/>
      <c r="B936" s="172" t="s">
        <v>2588</v>
      </c>
      <c r="C936" s="172"/>
      <c r="D936" s="174" t="s">
        <v>2589</v>
      </c>
      <c r="E936" s="174" t="s">
        <v>2310</v>
      </c>
      <c r="F936" s="173"/>
      <c r="G936" s="174" t="s">
        <v>2310</v>
      </c>
      <c r="H936" s="174"/>
      <c r="I936" s="172"/>
      <c r="J936" s="172"/>
      <c r="K936" s="172"/>
      <c r="L936" s="172"/>
      <c r="M936" s="214" t="str">
        <f t="shared" si="14"/>
        <v>Enter Custom Fixture</v>
      </c>
    </row>
    <row r="937" spans="1:13">
      <c r="A937" s="151"/>
      <c r="B937" s="172" t="s">
        <v>2588</v>
      </c>
      <c r="C937" s="172"/>
      <c r="D937" s="174" t="s">
        <v>2589</v>
      </c>
      <c r="E937" s="174" t="s">
        <v>2310</v>
      </c>
      <c r="F937" s="173"/>
      <c r="G937" s="174" t="s">
        <v>2310</v>
      </c>
      <c r="H937" s="174"/>
      <c r="I937" s="172"/>
      <c r="J937" s="172"/>
      <c r="K937" s="172"/>
      <c r="L937" s="172"/>
      <c r="M937" s="214" t="str">
        <f t="shared" si="14"/>
        <v>Enter Custom Fixture</v>
      </c>
    </row>
    <row r="938" spans="1:13">
      <c r="A938" s="151"/>
      <c r="B938" s="172" t="s">
        <v>2588</v>
      </c>
      <c r="C938" s="172"/>
      <c r="D938" s="174" t="s">
        <v>2589</v>
      </c>
      <c r="E938" s="174" t="s">
        <v>2310</v>
      </c>
      <c r="F938" s="173"/>
      <c r="G938" s="174" t="s">
        <v>2310</v>
      </c>
      <c r="H938" s="174"/>
      <c r="I938" s="172"/>
      <c r="J938" s="172"/>
      <c r="K938" s="172"/>
      <c r="L938" s="172"/>
      <c r="M938" s="214" t="str">
        <f t="shared" si="14"/>
        <v>Enter Custom Fixture</v>
      </c>
    </row>
    <row r="939" spans="1:13">
      <c r="A939" s="151"/>
      <c r="B939" s="172" t="s">
        <v>2588</v>
      </c>
      <c r="C939" s="172"/>
      <c r="D939" s="174" t="s">
        <v>2589</v>
      </c>
      <c r="E939" s="174" t="s">
        <v>2310</v>
      </c>
      <c r="F939" s="173"/>
      <c r="G939" s="174" t="s">
        <v>2310</v>
      </c>
      <c r="H939" s="174"/>
      <c r="I939" s="172"/>
      <c r="J939" s="172"/>
      <c r="K939" s="172"/>
      <c r="L939" s="172"/>
      <c r="M939" s="214" t="str">
        <f t="shared" si="14"/>
        <v>Enter Custom Fixture</v>
      </c>
    </row>
    <row r="940" spans="1:13">
      <c r="A940" s="151"/>
      <c r="B940" s="172" t="s">
        <v>2588</v>
      </c>
      <c r="C940" s="172"/>
      <c r="D940" s="174" t="s">
        <v>2589</v>
      </c>
      <c r="E940" s="174" t="s">
        <v>2310</v>
      </c>
      <c r="F940" s="173"/>
      <c r="G940" s="174" t="s">
        <v>2310</v>
      </c>
      <c r="H940" s="174"/>
      <c r="I940" s="172"/>
      <c r="J940" s="172"/>
      <c r="K940" s="172"/>
      <c r="L940" s="172"/>
      <c r="M940" s="214" t="str">
        <f t="shared" si="14"/>
        <v>Enter Custom Fixture</v>
      </c>
    </row>
    <row r="941" spans="1:13">
      <c r="A941" s="151"/>
      <c r="B941" s="172" t="s">
        <v>2588</v>
      </c>
      <c r="C941" s="172"/>
      <c r="D941" s="174" t="s">
        <v>2589</v>
      </c>
      <c r="E941" s="174" t="s">
        <v>2310</v>
      </c>
      <c r="F941" s="173"/>
      <c r="G941" s="174" t="s">
        <v>2310</v>
      </c>
      <c r="H941" s="174"/>
      <c r="I941" s="172"/>
      <c r="J941" s="172"/>
      <c r="K941" s="172"/>
      <c r="L941" s="172"/>
      <c r="M941" s="214" t="str">
        <f t="shared" si="14"/>
        <v>Enter Custom Fixture</v>
      </c>
    </row>
    <row r="942" spans="1:13">
      <c r="A942" s="151"/>
      <c r="B942" s="172" t="s">
        <v>2588</v>
      </c>
      <c r="C942" s="172"/>
      <c r="D942" s="174" t="s">
        <v>2589</v>
      </c>
      <c r="E942" s="174" t="s">
        <v>2310</v>
      </c>
      <c r="F942" s="173"/>
      <c r="G942" s="174" t="s">
        <v>2310</v>
      </c>
      <c r="H942" s="174"/>
      <c r="I942" s="172"/>
      <c r="J942" s="172"/>
      <c r="K942" s="172"/>
      <c r="L942" s="172"/>
      <c r="M942" s="214" t="str">
        <f t="shared" si="14"/>
        <v>Enter Custom Fixture</v>
      </c>
    </row>
    <row r="943" spans="1:13">
      <c r="A943" s="151"/>
      <c r="B943" s="172" t="s">
        <v>2588</v>
      </c>
      <c r="C943" s="172"/>
      <c r="D943" s="174" t="s">
        <v>2589</v>
      </c>
      <c r="E943" s="174" t="s">
        <v>2310</v>
      </c>
      <c r="F943" s="173"/>
      <c r="G943" s="174" t="s">
        <v>2310</v>
      </c>
      <c r="H943" s="174"/>
      <c r="I943" s="172"/>
      <c r="J943" s="172"/>
      <c r="K943" s="172"/>
      <c r="L943" s="172"/>
      <c r="M943" s="214" t="str">
        <f t="shared" si="14"/>
        <v>Enter Custom Fixture</v>
      </c>
    </row>
    <row r="944" spans="1:13">
      <c r="A944" s="151"/>
      <c r="B944" s="172" t="s">
        <v>2588</v>
      </c>
      <c r="C944" s="172"/>
      <c r="D944" s="174" t="s">
        <v>2589</v>
      </c>
      <c r="E944" s="174" t="s">
        <v>2310</v>
      </c>
      <c r="F944" s="173"/>
      <c r="G944" s="174" t="s">
        <v>2310</v>
      </c>
      <c r="H944" s="174"/>
      <c r="I944" s="172"/>
      <c r="J944" s="172"/>
      <c r="K944" s="172"/>
      <c r="L944" s="172"/>
      <c r="M944" s="214" t="str">
        <f t="shared" si="14"/>
        <v>Enter Custom Fixture</v>
      </c>
    </row>
    <row r="945" spans="1:13">
      <c r="A945" s="151"/>
      <c r="B945" s="172" t="s">
        <v>2588</v>
      </c>
      <c r="C945" s="172"/>
      <c r="D945" s="174" t="s">
        <v>2589</v>
      </c>
      <c r="E945" s="174" t="s">
        <v>2310</v>
      </c>
      <c r="F945" s="173"/>
      <c r="G945" s="174" t="s">
        <v>2310</v>
      </c>
      <c r="H945" s="174"/>
      <c r="I945" s="172"/>
      <c r="J945" s="172"/>
      <c r="K945" s="172"/>
      <c r="L945" s="172"/>
      <c r="M945" s="214" t="str">
        <f t="shared" si="14"/>
        <v>Enter Custom Fixture</v>
      </c>
    </row>
    <row r="946" spans="1:13">
      <c r="A946" s="151"/>
      <c r="B946" s="172" t="s">
        <v>2588</v>
      </c>
      <c r="C946" s="172"/>
      <c r="D946" s="174" t="s">
        <v>2589</v>
      </c>
      <c r="E946" s="174" t="s">
        <v>2310</v>
      </c>
      <c r="F946" s="173"/>
      <c r="G946" s="174" t="s">
        <v>2310</v>
      </c>
      <c r="H946" s="174"/>
      <c r="I946" s="172"/>
      <c r="J946" s="172"/>
      <c r="K946" s="172"/>
      <c r="L946" s="172"/>
      <c r="M946" s="214" t="str">
        <f t="shared" si="14"/>
        <v>Enter Custom Fixture</v>
      </c>
    </row>
    <row r="947" spans="1:13">
      <c r="A947" s="151"/>
      <c r="B947" s="172" t="s">
        <v>2588</v>
      </c>
      <c r="C947" s="172"/>
      <c r="D947" s="174" t="s">
        <v>2589</v>
      </c>
      <c r="E947" s="174" t="s">
        <v>2310</v>
      </c>
      <c r="F947" s="173"/>
      <c r="G947" s="174" t="s">
        <v>2310</v>
      </c>
      <c r="H947" s="174"/>
      <c r="I947" s="172"/>
      <c r="J947" s="172"/>
      <c r="K947" s="172"/>
      <c r="L947" s="172"/>
      <c r="M947" s="214" t="str">
        <f t="shared" si="14"/>
        <v>Enter Custom Fixture</v>
      </c>
    </row>
    <row r="948" spans="1:13">
      <c r="A948" s="151"/>
      <c r="B948" s="172" t="s">
        <v>2588</v>
      </c>
      <c r="C948" s="172"/>
      <c r="D948" s="174" t="s">
        <v>2589</v>
      </c>
      <c r="E948" s="174" t="s">
        <v>2310</v>
      </c>
      <c r="F948" s="173"/>
      <c r="G948" s="174" t="s">
        <v>2310</v>
      </c>
      <c r="H948" s="174"/>
      <c r="I948" s="172"/>
      <c r="J948" s="172"/>
      <c r="K948" s="172"/>
      <c r="L948" s="172"/>
      <c r="M948" s="214" t="str">
        <f t="shared" si="14"/>
        <v>Enter Custom Fixture</v>
      </c>
    </row>
    <row r="949" spans="1:13">
      <c r="A949" s="151"/>
      <c r="B949" s="172" t="s">
        <v>2588</v>
      </c>
      <c r="C949" s="172"/>
      <c r="D949" s="174" t="s">
        <v>2589</v>
      </c>
      <c r="E949" s="174" t="s">
        <v>2310</v>
      </c>
      <c r="F949" s="173"/>
      <c r="G949" s="174" t="s">
        <v>2310</v>
      </c>
      <c r="H949" s="174"/>
      <c r="I949" s="172"/>
      <c r="J949" s="172"/>
      <c r="K949" s="172"/>
      <c r="L949" s="172"/>
      <c r="M949" s="214" t="str">
        <f t="shared" si="14"/>
        <v>Enter Custom Fixture</v>
      </c>
    </row>
    <row r="950" spans="1:13">
      <c r="A950" s="151"/>
      <c r="B950" s="172" t="s">
        <v>2588</v>
      </c>
      <c r="C950" s="172"/>
      <c r="D950" s="174" t="s">
        <v>2589</v>
      </c>
      <c r="E950" s="174" t="s">
        <v>2310</v>
      </c>
      <c r="F950" s="173"/>
      <c r="G950" s="174" t="s">
        <v>2310</v>
      </c>
      <c r="H950" s="174"/>
      <c r="I950" s="172"/>
      <c r="J950" s="172"/>
      <c r="K950" s="172"/>
      <c r="L950" s="172"/>
      <c r="M950" s="214" t="str">
        <f t="shared" si="14"/>
        <v>Enter Custom Fixture</v>
      </c>
    </row>
    <row r="951" spans="1:13">
      <c r="A951" s="151"/>
      <c r="B951" s="172" t="s">
        <v>2588</v>
      </c>
      <c r="C951" s="172"/>
      <c r="D951" s="174" t="s">
        <v>2589</v>
      </c>
      <c r="E951" s="174" t="s">
        <v>2310</v>
      </c>
      <c r="F951" s="173"/>
      <c r="G951" s="174" t="s">
        <v>2310</v>
      </c>
      <c r="H951" s="174"/>
      <c r="I951" s="172"/>
      <c r="J951" s="172"/>
      <c r="K951" s="172"/>
      <c r="L951" s="172"/>
      <c r="M951" s="214" t="str">
        <f t="shared" si="14"/>
        <v>Enter Custom Fixture</v>
      </c>
    </row>
    <row r="952" spans="1:13">
      <c r="A952" s="151"/>
      <c r="B952" s="172" t="s">
        <v>2588</v>
      </c>
      <c r="C952" s="172"/>
      <c r="D952" s="174" t="s">
        <v>2589</v>
      </c>
      <c r="E952" s="174" t="s">
        <v>2310</v>
      </c>
      <c r="F952" s="173"/>
      <c r="G952" s="174" t="s">
        <v>2310</v>
      </c>
      <c r="H952" s="174"/>
      <c r="I952" s="172"/>
      <c r="J952" s="172"/>
      <c r="K952" s="172"/>
      <c r="L952" s="172"/>
      <c r="M952" s="214" t="str">
        <f t="shared" si="14"/>
        <v>Enter Custom Fixture</v>
      </c>
    </row>
    <row r="953" spans="1:13">
      <c r="A953" s="151"/>
      <c r="B953" s="172" t="s">
        <v>2588</v>
      </c>
      <c r="C953" s="172"/>
      <c r="D953" s="174" t="s">
        <v>2589</v>
      </c>
      <c r="E953" s="174" t="s">
        <v>2310</v>
      </c>
      <c r="F953" s="173"/>
      <c r="G953" s="174" t="s">
        <v>2310</v>
      </c>
      <c r="H953" s="174"/>
      <c r="I953" s="172"/>
      <c r="J953" s="172"/>
      <c r="K953" s="172"/>
      <c r="L953" s="172"/>
      <c r="M953" s="214" t="str">
        <f t="shared" si="14"/>
        <v>Enter Custom Fixture</v>
      </c>
    </row>
    <row r="954" spans="1:13">
      <c r="A954" s="151"/>
      <c r="B954" s="172" t="s">
        <v>2588</v>
      </c>
      <c r="C954" s="172"/>
      <c r="D954" s="174" t="s">
        <v>2589</v>
      </c>
      <c r="E954" s="174" t="s">
        <v>2310</v>
      </c>
      <c r="F954" s="173"/>
      <c r="G954" s="174" t="s">
        <v>2310</v>
      </c>
      <c r="H954" s="174"/>
      <c r="I954" s="172"/>
      <c r="J954" s="172"/>
      <c r="K954" s="172"/>
      <c r="L954" s="172"/>
      <c r="M954" s="214" t="str">
        <f t="shared" si="14"/>
        <v>Enter Custom Fixture</v>
      </c>
    </row>
    <row r="955" spans="1:13">
      <c r="A955" s="151"/>
      <c r="B955" s="172" t="s">
        <v>2588</v>
      </c>
      <c r="C955" s="172"/>
      <c r="D955" s="174" t="s">
        <v>2589</v>
      </c>
      <c r="E955" s="174" t="s">
        <v>2310</v>
      </c>
      <c r="F955" s="173"/>
      <c r="G955" s="174" t="s">
        <v>2310</v>
      </c>
      <c r="H955" s="174"/>
      <c r="I955" s="172"/>
      <c r="J955" s="172"/>
      <c r="K955" s="172"/>
      <c r="L955" s="172"/>
      <c r="M955" s="214" t="str">
        <f t="shared" si="14"/>
        <v>Enter Custom Fixture</v>
      </c>
    </row>
    <row r="956" spans="1:13">
      <c r="A956" s="151"/>
      <c r="B956" s="172" t="s">
        <v>2588</v>
      </c>
      <c r="C956" s="172"/>
      <c r="D956" s="174" t="s">
        <v>2589</v>
      </c>
      <c r="E956" s="174" t="s">
        <v>2310</v>
      </c>
      <c r="F956" s="173"/>
      <c r="G956" s="174" t="s">
        <v>2310</v>
      </c>
      <c r="H956" s="174"/>
      <c r="I956" s="172"/>
      <c r="J956" s="172"/>
      <c r="K956" s="172"/>
      <c r="L956" s="172"/>
      <c r="M956" s="214" t="str">
        <f t="shared" si="14"/>
        <v>Enter Custom Fixture</v>
      </c>
    </row>
    <row r="957" spans="1:13">
      <c r="A957" s="151"/>
      <c r="B957" s="172" t="s">
        <v>2588</v>
      </c>
      <c r="C957" s="172"/>
      <c r="D957" s="174" t="s">
        <v>2589</v>
      </c>
      <c r="E957" s="174" t="s">
        <v>2310</v>
      </c>
      <c r="F957" s="173"/>
      <c r="G957" s="174" t="s">
        <v>2310</v>
      </c>
      <c r="H957" s="174"/>
      <c r="I957" s="172"/>
      <c r="J957" s="172"/>
      <c r="K957" s="172"/>
      <c r="L957" s="172"/>
      <c r="M957" s="214" t="str">
        <f t="shared" si="14"/>
        <v>Enter Custom Fixture</v>
      </c>
    </row>
    <row r="958" spans="1:13">
      <c r="A958" s="151"/>
      <c r="B958" s="172" t="s">
        <v>2588</v>
      </c>
      <c r="C958" s="172"/>
      <c r="D958" s="174" t="s">
        <v>2589</v>
      </c>
      <c r="E958" s="174" t="s">
        <v>2310</v>
      </c>
      <c r="F958" s="173"/>
      <c r="G958" s="174" t="s">
        <v>2310</v>
      </c>
      <c r="H958" s="174"/>
      <c r="I958" s="172"/>
      <c r="J958" s="172"/>
      <c r="K958" s="172"/>
      <c r="L958" s="172"/>
      <c r="M958" s="214" t="str">
        <f t="shared" si="14"/>
        <v>Enter Custom Fixture</v>
      </c>
    </row>
    <row r="959" spans="1:13">
      <c r="A959" s="151"/>
      <c r="B959" s="172" t="s">
        <v>2588</v>
      </c>
      <c r="C959" s="172"/>
      <c r="D959" s="174" t="s">
        <v>2589</v>
      </c>
      <c r="E959" s="174" t="s">
        <v>2310</v>
      </c>
      <c r="F959" s="173"/>
      <c r="G959" s="174" t="s">
        <v>2310</v>
      </c>
      <c r="H959" s="174"/>
      <c r="I959" s="172"/>
      <c r="J959" s="172"/>
      <c r="K959" s="172"/>
      <c r="L959" s="172"/>
      <c r="M959" s="214" t="str">
        <f t="shared" si="14"/>
        <v>Enter Custom Fixture</v>
      </c>
    </row>
    <row r="960" spans="1:13">
      <c r="A960" s="151"/>
      <c r="B960" s="172" t="s">
        <v>2588</v>
      </c>
      <c r="C960" s="172"/>
      <c r="D960" s="174" t="s">
        <v>2589</v>
      </c>
      <c r="E960" s="174" t="s">
        <v>2310</v>
      </c>
      <c r="F960" s="173"/>
      <c r="G960" s="174" t="s">
        <v>2310</v>
      </c>
      <c r="H960" s="174"/>
      <c r="I960" s="172"/>
      <c r="J960" s="172"/>
      <c r="K960" s="172"/>
      <c r="L960" s="172"/>
      <c r="M960" s="214" t="str">
        <f t="shared" si="14"/>
        <v>Enter Custom Fixture</v>
      </c>
    </row>
    <row r="961" spans="1:13">
      <c r="A961" s="151"/>
      <c r="B961" s="172" t="s">
        <v>2588</v>
      </c>
      <c r="C961" s="172"/>
      <c r="D961" s="174" t="s">
        <v>2589</v>
      </c>
      <c r="E961" s="174" t="s">
        <v>2310</v>
      </c>
      <c r="F961" s="173"/>
      <c r="G961" s="174" t="s">
        <v>2310</v>
      </c>
      <c r="H961" s="174"/>
      <c r="I961" s="172"/>
      <c r="J961" s="172"/>
      <c r="K961" s="172"/>
      <c r="L961" s="172"/>
      <c r="M961" s="214" t="str">
        <f t="shared" si="14"/>
        <v>Enter Custom Fixture</v>
      </c>
    </row>
    <row r="962" spans="1:13">
      <c r="A962" s="151"/>
      <c r="B962" s="172" t="s">
        <v>2588</v>
      </c>
      <c r="C962" s="172"/>
      <c r="D962" s="174" t="s">
        <v>2589</v>
      </c>
      <c r="E962" s="174" t="s">
        <v>2310</v>
      </c>
      <c r="F962" s="173"/>
      <c r="G962" s="174" t="s">
        <v>2310</v>
      </c>
      <c r="H962" s="174"/>
      <c r="I962" s="172"/>
      <c r="J962" s="172"/>
      <c r="K962" s="172"/>
      <c r="L962" s="172"/>
      <c r="M962" s="214" t="str">
        <f t="shared" si="14"/>
        <v>Enter Custom Fixture</v>
      </c>
    </row>
    <row r="963" spans="1:13">
      <c r="A963" s="151"/>
      <c r="B963" s="172" t="s">
        <v>2588</v>
      </c>
      <c r="C963" s="172"/>
      <c r="D963" s="174" t="s">
        <v>2589</v>
      </c>
      <c r="E963" s="174" t="s">
        <v>2310</v>
      </c>
      <c r="F963" s="173"/>
      <c r="G963" s="174" t="s">
        <v>2310</v>
      </c>
      <c r="H963" s="174"/>
      <c r="I963" s="172"/>
      <c r="J963" s="172"/>
      <c r="K963" s="172"/>
      <c r="L963" s="172"/>
      <c r="M963" s="214" t="str">
        <f t="shared" si="14"/>
        <v>Enter Custom Fixture</v>
      </c>
    </row>
    <row r="964" spans="1:13">
      <c r="A964" s="151"/>
      <c r="B964" s="172" t="s">
        <v>2588</v>
      </c>
      <c r="C964" s="172"/>
      <c r="D964" s="174" t="s">
        <v>2589</v>
      </c>
      <c r="E964" s="174" t="s">
        <v>2310</v>
      </c>
      <c r="F964" s="173"/>
      <c r="G964" s="174" t="s">
        <v>2310</v>
      </c>
      <c r="H964" s="174"/>
      <c r="I964" s="172"/>
      <c r="J964" s="172"/>
      <c r="K964" s="172"/>
      <c r="L964" s="172"/>
      <c r="M964" s="214" t="str">
        <f t="shared" si="14"/>
        <v>Enter Custom Fixture</v>
      </c>
    </row>
    <row r="965" spans="1:13">
      <c r="A965" s="151"/>
      <c r="B965" s="172" t="s">
        <v>2588</v>
      </c>
      <c r="C965" s="172"/>
      <c r="D965" s="174" t="s">
        <v>2589</v>
      </c>
      <c r="E965" s="174" t="s">
        <v>2310</v>
      </c>
      <c r="F965" s="173"/>
      <c r="G965" s="174" t="s">
        <v>2310</v>
      </c>
      <c r="H965" s="174"/>
      <c r="I965" s="172"/>
      <c r="J965" s="172"/>
      <c r="K965" s="172"/>
      <c r="L965" s="172"/>
      <c r="M965" s="214" t="str">
        <f t="shared" si="14"/>
        <v>Enter Custom Fixture</v>
      </c>
    </row>
    <row r="966" spans="1:13">
      <c r="A966" s="151"/>
      <c r="B966" s="172" t="s">
        <v>2588</v>
      </c>
      <c r="C966" s="172"/>
      <c r="D966" s="174" t="s">
        <v>2589</v>
      </c>
      <c r="E966" s="174" t="s">
        <v>2310</v>
      </c>
      <c r="F966" s="173"/>
      <c r="G966" s="174" t="s">
        <v>2310</v>
      </c>
      <c r="H966" s="174"/>
      <c r="I966" s="172"/>
      <c r="J966" s="172"/>
      <c r="K966" s="172"/>
      <c r="L966" s="172"/>
      <c r="M966" s="214" t="str">
        <f t="shared" si="14"/>
        <v>Enter Custom Fixture</v>
      </c>
    </row>
    <row r="967" spans="1:13">
      <c r="A967" s="151"/>
      <c r="B967" s="172" t="s">
        <v>2588</v>
      </c>
      <c r="C967" s="172"/>
      <c r="D967" s="174" t="s">
        <v>2589</v>
      </c>
      <c r="E967" s="174" t="s">
        <v>2310</v>
      </c>
      <c r="F967" s="173"/>
      <c r="G967" s="174" t="s">
        <v>2310</v>
      </c>
      <c r="H967" s="174"/>
      <c r="I967" s="172"/>
      <c r="J967" s="172"/>
      <c r="K967" s="172"/>
      <c r="L967" s="172"/>
      <c r="M967" s="214" t="str">
        <f t="shared" si="14"/>
        <v>Enter Custom Fixture</v>
      </c>
    </row>
    <row r="968" spans="1:13">
      <c r="A968" s="151"/>
      <c r="B968" s="172" t="s">
        <v>2588</v>
      </c>
      <c r="C968" s="172"/>
      <c r="D968" s="174" t="s">
        <v>2589</v>
      </c>
      <c r="E968" s="174" t="s">
        <v>2310</v>
      </c>
      <c r="F968" s="173"/>
      <c r="G968" s="174" t="s">
        <v>2310</v>
      </c>
      <c r="H968" s="174"/>
      <c r="I968" s="172"/>
      <c r="J968" s="172"/>
      <c r="K968" s="172"/>
      <c r="L968" s="172"/>
      <c r="M968" s="214" t="str">
        <f t="shared" si="14"/>
        <v>Enter Custom Fixture</v>
      </c>
    </row>
    <row r="969" spans="1:13">
      <c r="A969" s="151"/>
      <c r="B969" s="172" t="s">
        <v>2588</v>
      </c>
      <c r="C969" s="172"/>
      <c r="D969" s="174" t="s">
        <v>2589</v>
      </c>
      <c r="E969" s="174" t="s">
        <v>2310</v>
      </c>
      <c r="F969" s="173"/>
      <c r="G969" s="174" t="s">
        <v>2310</v>
      </c>
      <c r="H969" s="174"/>
      <c r="I969" s="172"/>
      <c r="J969" s="172"/>
      <c r="K969" s="172"/>
      <c r="L969" s="172"/>
      <c r="M969" s="214" t="str">
        <f t="shared" si="14"/>
        <v>Enter Custom Fixture</v>
      </c>
    </row>
    <row r="970" spans="1:13">
      <c r="A970" s="151"/>
      <c r="B970" s="172" t="s">
        <v>2588</v>
      </c>
      <c r="C970" s="172"/>
      <c r="D970" s="174" t="s">
        <v>2589</v>
      </c>
      <c r="E970" s="174" t="s">
        <v>2310</v>
      </c>
      <c r="F970" s="173"/>
      <c r="G970" s="174" t="s">
        <v>2310</v>
      </c>
      <c r="H970" s="174"/>
      <c r="I970" s="172"/>
      <c r="J970" s="172"/>
      <c r="K970" s="172"/>
      <c r="L970" s="172"/>
      <c r="M970" s="214" t="str">
        <f t="shared" si="14"/>
        <v>Enter Custom Fixture</v>
      </c>
    </row>
    <row r="971" spans="1:13">
      <c r="A971" s="151"/>
      <c r="B971" s="172" t="s">
        <v>2588</v>
      </c>
      <c r="C971" s="172"/>
      <c r="D971" s="174" t="s">
        <v>2589</v>
      </c>
      <c r="E971" s="174" t="s">
        <v>2310</v>
      </c>
      <c r="F971" s="173"/>
      <c r="G971" s="174" t="s">
        <v>2310</v>
      </c>
      <c r="H971" s="174"/>
      <c r="I971" s="172"/>
      <c r="J971" s="172"/>
      <c r="K971" s="172"/>
      <c r="L971" s="172"/>
      <c r="M971" s="214" t="str">
        <f t="shared" si="14"/>
        <v>Enter Custom Fixture</v>
      </c>
    </row>
    <row r="972" spans="1:13">
      <c r="A972" s="151"/>
      <c r="B972" s="172" t="s">
        <v>2588</v>
      </c>
      <c r="C972" s="172"/>
      <c r="D972" s="174" t="s">
        <v>2589</v>
      </c>
      <c r="E972" s="174" t="s">
        <v>2310</v>
      </c>
      <c r="F972" s="173"/>
      <c r="G972" s="174" t="s">
        <v>2310</v>
      </c>
      <c r="H972" s="174"/>
      <c r="I972" s="172"/>
      <c r="J972" s="172"/>
      <c r="K972" s="172"/>
      <c r="L972" s="172"/>
      <c r="M972" s="214" t="str">
        <f t="shared" si="14"/>
        <v>Enter Custom Fixture</v>
      </c>
    </row>
    <row r="973" spans="1:13">
      <c r="A973" s="151"/>
      <c r="B973" s="172" t="s">
        <v>2588</v>
      </c>
      <c r="C973" s="172"/>
      <c r="D973" s="174" t="s">
        <v>2589</v>
      </c>
      <c r="E973" s="174" t="s">
        <v>2310</v>
      </c>
      <c r="F973" s="173"/>
      <c r="G973" s="174" t="s">
        <v>2310</v>
      </c>
      <c r="H973" s="174"/>
      <c r="I973" s="172"/>
      <c r="J973" s="172"/>
      <c r="K973" s="172"/>
      <c r="L973" s="172"/>
      <c r="M973" s="214" t="str">
        <f t="shared" si="14"/>
        <v>Enter Custom Fixture</v>
      </c>
    </row>
    <row r="974" spans="1:13">
      <c r="A974" s="151"/>
      <c r="B974" s="172" t="s">
        <v>2588</v>
      </c>
      <c r="C974" s="172"/>
      <c r="D974" s="174" t="s">
        <v>2589</v>
      </c>
      <c r="E974" s="174" t="s">
        <v>2310</v>
      </c>
      <c r="F974" s="173"/>
      <c r="G974" s="174" t="s">
        <v>2310</v>
      </c>
      <c r="H974" s="174"/>
      <c r="I974" s="172"/>
      <c r="J974" s="172"/>
      <c r="K974" s="172"/>
      <c r="L974" s="172"/>
      <c r="M974" s="214" t="str">
        <f t="shared" si="14"/>
        <v>Enter Custom Fixture</v>
      </c>
    </row>
    <row r="975" spans="1:13">
      <c r="A975" s="151"/>
      <c r="B975" s="172" t="s">
        <v>2588</v>
      </c>
      <c r="C975" s="172"/>
      <c r="D975" s="174" t="s">
        <v>2589</v>
      </c>
      <c r="E975" s="174" t="s">
        <v>2310</v>
      </c>
      <c r="F975" s="173"/>
      <c r="G975" s="174" t="s">
        <v>2310</v>
      </c>
      <c r="H975" s="174"/>
      <c r="I975" s="172"/>
      <c r="J975" s="172"/>
      <c r="K975" s="172"/>
      <c r="L975" s="172"/>
      <c r="M975" s="214" t="str">
        <f t="shared" si="14"/>
        <v>Enter Custom Fixture</v>
      </c>
    </row>
    <row r="976" spans="1:13">
      <c r="A976" s="151"/>
      <c r="B976" s="172" t="s">
        <v>2588</v>
      </c>
      <c r="C976" s="172"/>
      <c r="D976" s="174" t="s">
        <v>2589</v>
      </c>
      <c r="E976" s="174" t="s">
        <v>2310</v>
      </c>
      <c r="F976" s="173"/>
      <c r="G976" s="174" t="s">
        <v>2310</v>
      </c>
      <c r="H976" s="174"/>
      <c r="I976" s="172"/>
      <c r="J976" s="172"/>
      <c r="K976" s="172"/>
      <c r="L976" s="172"/>
      <c r="M976" s="214" t="str">
        <f t="shared" si="14"/>
        <v>Enter Custom Fixture</v>
      </c>
    </row>
    <row r="977" s="151" customFormat="1"/>
    <row r="978" s="151" customFormat="1"/>
    <row r="979" s="151" customFormat="1"/>
    <row r="980" s="151" customFormat="1"/>
    <row r="981" s="151" customFormat="1"/>
    <row r="982" s="151" customFormat="1"/>
    <row r="983" s="151" customFormat="1"/>
    <row r="984" s="151" customFormat="1"/>
    <row r="985" s="151" customFormat="1"/>
    <row r="986" s="151" customFormat="1"/>
    <row r="987" s="151" customFormat="1"/>
    <row r="988" s="151" customFormat="1"/>
    <row r="989" s="151" customFormat="1"/>
    <row r="990" s="151" customFormat="1"/>
    <row r="991" s="151" customFormat="1"/>
    <row r="992" s="151" customFormat="1"/>
    <row r="993" s="151" customFormat="1"/>
    <row r="994" s="151" customFormat="1"/>
    <row r="995" s="151" customFormat="1"/>
    <row r="996" s="151" customFormat="1"/>
    <row r="997" s="151" customFormat="1"/>
    <row r="998" s="151" customFormat="1"/>
    <row r="999" s="151" customFormat="1"/>
    <row r="1000" s="151" customFormat="1"/>
    <row r="1001" s="151" customFormat="1"/>
    <row r="1002" s="151" customFormat="1"/>
    <row r="1003" s="151" customFormat="1"/>
    <row r="1004" s="151" customFormat="1"/>
    <row r="1005" s="151" customFormat="1"/>
    <row r="1006" s="151" customFormat="1" hidden="1"/>
  </sheetData>
  <sheetProtection algorithmName="SHA-512" hashValue="bNuUo9utl/+G0TwWSBd2aYL4UIZ///yJKQV0OsZXBf1iBeDOefZ5jdQu8qzSGMgYojjFMcAVGpdojxJ0svbrQQ==" saltValue="JCEBfSIwGwpnxK/NIOUcmg==" spinCount="100000" sheet="1" formatColumns="0" selectLockedCells="1" autoFilter="0"/>
  <protectedRanges>
    <protectedRange sqref="B7:M976" name="AllowFilter"/>
  </protectedRanges>
  <autoFilter ref="B7:M976" xr:uid="{00000000-0009-0000-0000-000006000000}"/>
  <mergeCells count="2">
    <mergeCell ref="B4:M5"/>
    <mergeCell ref="B6:E6"/>
  </mergeCells>
  <dataValidations count="5">
    <dataValidation allowBlank="1" showInputMessage="1" showErrorMessage="1" prompt="Input fixture description to match submitted cut sheets." sqref="F792:F849" xr:uid="{00000000-0002-0000-0600-000000000000}"/>
    <dataValidation allowBlank="1" showInputMessage="1" showErrorMessage="1" prompt="Input total fixture wattage." sqref="L792:L849" xr:uid="{00000000-0002-0000-0600-000001000000}"/>
    <dataValidation allowBlank="1" showDropDown="1" showErrorMessage="1" prompt="Choose a fixture code that represents the mandated baseline to which this fixture will be compared." sqref="M792:M849" xr:uid="{00000000-0002-0000-0600-000002000000}"/>
    <dataValidation type="list" allowBlank="1" showInputMessage="1" showErrorMessage="1" sqref="C919:C976" xr:uid="{00000000-0002-0000-0600-000003000000}">
      <formula1>$T$8:$T$16</formula1>
    </dataValidation>
    <dataValidation type="textLength" operator="lessThanOrEqual" allowBlank="1" showInputMessage="1" showErrorMessage="1" errorTitle="Max Character Length Exceeded" error="Description must be less than 56 characters." sqref="F919:F976" xr:uid="{1D099DAE-BAD9-446F-8A70-032B8975CE05}">
      <formula1>55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0.249977111117893"/>
  </sheetPr>
  <dimension ref="A1"/>
  <sheetViews>
    <sheetView workbookViewId="0">
      <selection activeCell="L34" sqref="L34"/>
    </sheetView>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J35"/>
  <sheetViews>
    <sheetView showGridLines="0" topLeftCell="A20" workbookViewId="0">
      <selection activeCell="B35" sqref="B35"/>
    </sheetView>
  </sheetViews>
  <sheetFormatPr defaultRowHeight="15"/>
  <cols>
    <col min="2" max="2" width="18.42578125" bestFit="1" customWidth="1"/>
    <col min="3" max="3" width="12" bestFit="1" customWidth="1"/>
    <col min="4" max="4" width="18.5703125" bestFit="1" customWidth="1"/>
    <col min="5" max="5" width="48.42578125" bestFit="1" customWidth="1"/>
    <col min="6" max="6" width="31.85546875" customWidth="1"/>
    <col min="10" max="10" width="12" customWidth="1"/>
  </cols>
  <sheetData>
    <row r="2" spans="2:10" ht="20.25">
      <c r="B2" s="376" t="s">
        <v>2590</v>
      </c>
      <c r="C2" s="376"/>
      <c r="D2" s="376"/>
      <c r="E2" s="376"/>
      <c r="F2" s="376"/>
    </row>
    <row r="4" spans="2:10">
      <c r="B4" s="24" t="s">
        <v>2591</v>
      </c>
      <c r="D4" s="25" t="s">
        <v>2592</v>
      </c>
      <c r="E4" s="26" t="s">
        <v>2593</v>
      </c>
      <c r="F4" s="25"/>
      <c r="I4" s="140" t="s">
        <v>2706</v>
      </c>
      <c r="J4" s="140" cm="1">
        <f t="array" ref="J4">LOOKUP(2,1/(B:B&lt;&gt;""),B:B)</f>
        <v>6.03</v>
      </c>
    </row>
    <row r="5" spans="2:10">
      <c r="B5" s="24" t="s">
        <v>2594</v>
      </c>
      <c r="D5" s="25" t="s">
        <v>2592</v>
      </c>
      <c r="E5" s="26" t="s">
        <v>2595</v>
      </c>
      <c r="F5" s="25"/>
      <c r="I5" s="140" t="s">
        <v>2707</v>
      </c>
      <c r="J5" s="141" cm="1">
        <f t="array" ref="J5">LOOKUP(2,1/(C:C&lt;&gt;""),C:C)</f>
        <v>45464</v>
      </c>
    </row>
    <row r="7" spans="2:10">
      <c r="B7" s="27" t="s">
        <v>2596</v>
      </c>
      <c r="C7" s="28" t="s">
        <v>2597</v>
      </c>
      <c r="D7" s="28" t="s">
        <v>2598</v>
      </c>
      <c r="E7" s="29" t="s">
        <v>2599</v>
      </c>
      <c r="F7" s="30" t="s">
        <v>2600</v>
      </c>
    </row>
    <row r="8" spans="2:10">
      <c r="B8" s="31">
        <v>1</v>
      </c>
      <c r="C8" s="60">
        <v>43098</v>
      </c>
      <c r="D8" s="60" t="s">
        <v>2601</v>
      </c>
      <c r="E8" s="32"/>
      <c r="F8" s="57" t="s">
        <v>2602</v>
      </c>
    </row>
    <row r="9" spans="2:10">
      <c r="B9" s="56">
        <v>1.1000000000000001</v>
      </c>
      <c r="C9" s="10">
        <v>43116</v>
      </c>
      <c r="D9" s="9" t="s">
        <v>2603</v>
      </c>
      <c r="E9" s="1" t="s">
        <v>2604</v>
      </c>
      <c r="F9" s="58" t="s">
        <v>2602</v>
      </c>
    </row>
    <row r="10" spans="2:10">
      <c r="B10" s="56">
        <v>1.2</v>
      </c>
      <c r="C10" s="10">
        <v>43123</v>
      </c>
      <c r="D10" s="9" t="s">
        <v>2605</v>
      </c>
      <c r="E10" s="1" t="s">
        <v>2606</v>
      </c>
      <c r="F10" s="58" t="s">
        <v>2602</v>
      </c>
    </row>
    <row r="11" spans="2:10">
      <c r="B11" s="56">
        <v>1.3</v>
      </c>
      <c r="C11" s="10">
        <v>43124</v>
      </c>
      <c r="D11" s="1" t="s">
        <v>2607</v>
      </c>
      <c r="E11" s="1" t="s">
        <v>2608</v>
      </c>
      <c r="F11" s="58" t="s">
        <v>2602</v>
      </c>
    </row>
    <row r="12" spans="2:10">
      <c r="B12" s="56">
        <v>1.4</v>
      </c>
      <c r="C12" s="10">
        <v>43139</v>
      </c>
      <c r="D12" s="1" t="s">
        <v>2609</v>
      </c>
      <c r="E12" s="1" t="s">
        <v>2610</v>
      </c>
      <c r="F12" s="58" t="s">
        <v>2602</v>
      </c>
    </row>
    <row r="13" spans="2:10" ht="90">
      <c r="B13" s="56">
        <v>1.5</v>
      </c>
      <c r="C13" s="10">
        <v>43154</v>
      </c>
      <c r="D13" s="5" t="s">
        <v>2611</v>
      </c>
      <c r="E13" s="5" t="s">
        <v>2612</v>
      </c>
      <c r="F13" s="58" t="s">
        <v>2602</v>
      </c>
    </row>
    <row r="14" spans="2:10" ht="45">
      <c r="B14" s="56">
        <v>1.6</v>
      </c>
      <c r="C14" s="10">
        <v>43166</v>
      </c>
      <c r="D14" s="1" t="s">
        <v>2613</v>
      </c>
      <c r="E14" s="5" t="s">
        <v>2614</v>
      </c>
      <c r="F14" s="58" t="s">
        <v>2602</v>
      </c>
    </row>
    <row r="15" spans="2:10">
      <c r="B15" s="56">
        <v>1.7</v>
      </c>
      <c r="C15" s="10">
        <v>43187</v>
      </c>
      <c r="D15" s="1" t="s">
        <v>2615</v>
      </c>
      <c r="E15" s="1" t="s">
        <v>2616</v>
      </c>
      <c r="F15" s="58" t="s">
        <v>2602</v>
      </c>
    </row>
    <row r="16" spans="2:10" ht="75">
      <c r="B16" s="56">
        <v>1.8</v>
      </c>
      <c r="C16" s="7">
        <v>43293</v>
      </c>
      <c r="D16" s="5" t="s">
        <v>2617</v>
      </c>
      <c r="E16" s="5" t="s">
        <v>2618</v>
      </c>
      <c r="F16" s="19" t="s">
        <v>2602</v>
      </c>
    </row>
    <row r="17" spans="2:6" ht="120">
      <c r="B17" s="56">
        <v>1.9</v>
      </c>
      <c r="C17" s="7">
        <v>43441</v>
      </c>
      <c r="D17" s="1" t="s">
        <v>2619</v>
      </c>
      <c r="E17" s="5" t="s">
        <v>2620</v>
      </c>
      <c r="F17" s="19" t="s">
        <v>2602</v>
      </c>
    </row>
    <row r="18" spans="2:6" ht="45">
      <c r="B18" s="65">
        <v>2</v>
      </c>
      <c r="C18" s="7">
        <v>43718</v>
      </c>
      <c r="D18" s="1" t="s">
        <v>2621</v>
      </c>
      <c r="E18" s="5" t="s">
        <v>2622</v>
      </c>
      <c r="F18" s="19" t="s">
        <v>2602</v>
      </c>
    </row>
    <row r="19" spans="2:6" ht="45">
      <c r="B19" s="65">
        <v>3</v>
      </c>
      <c r="C19" s="7">
        <v>43896</v>
      </c>
      <c r="D19" s="1" t="s">
        <v>2623</v>
      </c>
      <c r="E19" s="5" t="s">
        <v>2624</v>
      </c>
      <c r="F19" s="19" t="s">
        <v>2602</v>
      </c>
    </row>
    <row r="20" spans="2:6" ht="30">
      <c r="B20" s="65">
        <v>3.1</v>
      </c>
      <c r="C20" s="7">
        <v>43924</v>
      </c>
      <c r="D20" s="1" t="s">
        <v>2623</v>
      </c>
      <c r="E20" s="5" t="s">
        <v>2625</v>
      </c>
      <c r="F20" s="19" t="s">
        <v>2602</v>
      </c>
    </row>
    <row r="21" spans="2:6" ht="36" customHeight="1">
      <c r="B21" s="65">
        <v>4</v>
      </c>
      <c r="C21" s="7">
        <v>44187</v>
      </c>
      <c r="D21" s="1" t="s">
        <v>2626</v>
      </c>
      <c r="E21" s="5" t="s">
        <v>2627</v>
      </c>
      <c r="F21" s="19" t="s">
        <v>2628</v>
      </c>
    </row>
    <row r="22" spans="2:6" ht="30">
      <c r="B22" s="65">
        <v>4.0999999999999996</v>
      </c>
      <c r="C22" s="7">
        <v>44244</v>
      </c>
      <c r="D22" s="5" t="s">
        <v>2629</v>
      </c>
      <c r="E22" s="5" t="s">
        <v>2630</v>
      </c>
      <c r="F22" s="19" t="s">
        <v>2628</v>
      </c>
    </row>
    <row r="23" spans="2:6" ht="45">
      <c r="B23" s="65">
        <v>4.2</v>
      </c>
      <c r="C23" s="7">
        <v>44356</v>
      </c>
      <c r="D23" s="1" t="s">
        <v>2619</v>
      </c>
      <c r="E23" s="5" t="s">
        <v>2631</v>
      </c>
      <c r="F23" s="19" t="s">
        <v>2628</v>
      </c>
    </row>
    <row r="24" spans="2:6" ht="30">
      <c r="B24" s="65">
        <v>4.3</v>
      </c>
      <c r="C24" s="7">
        <v>44540</v>
      </c>
      <c r="D24" s="1" t="s">
        <v>2632</v>
      </c>
      <c r="E24" s="5" t="s">
        <v>2633</v>
      </c>
      <c r="F24" s="19" t="s">
        <v>2634</v>
      </c>
    </row>
    <row r="25" spans="2:6" ht="45">
      <c r="B25" s="65">
        <v>4.4000000000000004</v>
      </c>
      <c r="C25" s="7">
        <v>44694</v>
      </c>
      <c r="D25" s="1" t="s">
        <v>2704</v>
      </c>
      <c r="E25" s="5" t="s">
        <v>2705</v>
      </c>
      <c r="F25" s="19" t="s">
        <v>2634</v>
      </c>
    </row>
    <row r="26" spans="2:6">
      <c r="B26" s="65">
        <v>4.5</v>
      </c>
      <c r="C26" s="7">
        <v>44777</v>
      </c>
      <c r="D26" s="1" t="s">
        <v>2710</v>
      </c>
      <c r="E26" s="5" t="s">
        <v>2716</v>
      </c>
      <c r="F26" s="19" t="s">
        <v>2634</v>
      </c>
    </row>
    <row r="27" spans="2:6">
      <c r="B27" s="65">
        <v>4.5999999999999996</v>
      </c>
      <c r="C27" s="7">
        <v>44932</v>
      </c>
      <c r="D27" s="1" t="s">
        <v>2714</v>
      </c>
      <c r="E27" s="5" t="s">
        <v>2715</v>
      </c>
      <c r="F27" s="19" t="s">
        <v>2634</v>
      </c>
    </row>
    <row r="28" spans="2:6">
      <c r="B28" s="65">
        <v>4.7</v>
      </c>
      <c r="C28" s="7">
        <v>44967</v>
      </c>
      <c r="D28" s="1" t="s">
        <v>2717</v>
      </c>
      <c r="E28" s="5" t="s">
        <v>2718</v>
      </c>
      <c r="F28" s="19" t="s">
        <v>2634</v>
      </c>
    </row>
    <row r="29" spans="2:6" ht="45">
      <c r="B29" s="65">
        <v>4.8</v>
      </c>
      <c r="C29" s="7">
        <v>45133</v>
      </c>
      <c r="D29" s="1" t="s">
        <v>2716</v>
      </c>
      <c r="E29" s="5" t="s">
        <v>2774</v>
      </c>
      <c r="F29" s="19" t="s">
        <v>2634</v>
      </c>
    </row>
    <row r="30" spans="2:6" ht="45">
      <c r="B30" s="65">
        <v>4.9000000000000004</v>
      </c>
      <c r="C30" s="7">
        <v>45224</v>
      </c>
      <c r="D30" s="1" t="s">
        <v>2775</v>
      </c>
      <c r="E30" s="5" t="s">
        <v>2776</v>
      </c>
      <c r="F30" s="19" t="s">
        <v>2634</v>
      </c>
    </row>
    <row r="31" spans="2:6">
      <c r="B31" s="65">
        <v>6</v>
      </c>
      <c r="C31" s="7">
        <v>45316</v>
      </c>
      <c r="D31" s="1" t="s">
        <v>2782</v>
      </c>
      <c r="E31" s="1" t="s">
        <v>2785</v>
      </c>
      <c r="F31" s="19" t="s">
        <v>2783</v>
      </c>
    </row>
    <row r="32" spans="2:6">
      <c r="B32" s="217">
        <v>6.01</v>
      </c>
      <c r="C32" s="7">
        <v>45352</v>
      </c>
      <c r="D32" s="1" t="s">
        <v>2786</v>
      </c>
      <c r="E32" s="1" t="s">
        <v>2787</v>
      </c>
      <c r="F32" s="19" t="s">
        <v>2783</v>
      </c>
    </row>
    <row r="33" spans="2:6">
      <c r="B33" s="217">
        <v>6.02</v>
      </c>
      <c r="C33" s="7">
        <v>45464</v>
      </c>
      <c r="D33" s="1" t="s">
        <v>2786</v>
      </c>
      <c r="E33" s="1" t="s">
        <v>2804</v>
      </c>
      <c r="F33" s="19" t="s">
        <v>2634</v>
      </c>
    </row>
    <row r="34" spans="2:6">
      <c r="B34" s="217">
        <v>6.03</v>
      </c>
      <c r="C34" s="7">
        <v>45464</v>
      </c>
      <c r="D34" s="1" t="s">
        <v>2839</v>
      </c>
      <c r="E34" s="1"/>
      <c r="F34" s="19" t="s">
        <v>2634</v>
      </c>
    </row>
    <row r="35" spans="2:6">
      <c r="B35" s="217"/>
      <c r="C35" s="21"/>
      <c r="D35" s="21"/>
      <c r="E35" s="21"/>
      <c r="F35" s="17"/>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788742-c24c-455f-83e9-59d89e3de440">
      <Terms xmlns="http://schemas.microsoft.com/office/infopath/2007/PartnerControls"/>
    </lcf76f155ced4ddcb4097134ff3c332f>
    <TaxCatchAll xmlns="52741100-c965-4fd4-8aa7-2d9d842b1c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F96E70731EB54292983A8187A83857" ma:contentTypeVersion="19" ma:contentTypeDescription="Create a new document." ma:contentTypeScope="" ma:versionID="8337ff5e10216785962b073bc0064131">
  <xsd:schema xmlns:xsd="http://www.w3.org/2001/XMLSchema" xmlns:xs="http://www.w3.org/2001/XMLSchema" xmlns:p="http://schemas.microsoft.com/office/2006/metadata/properties" xmlns:ns2="98788742-c24c-455f-83e9-59d89e3de440" xmlns:ns3="52741100-c965-4fd4-8aa7-2d9d842b1c91" targetNamespace="http://schemas.microsoft.com/office/2006/metadata/properties" ma:root="true" ma:fieldsID="d085211609b0e51669eb912f5f9ac8e6" ns2:_="" ns3:_="">
    <xsd:import namespace="98788742-c24c-455f-83e9-59d89e3de440"/>
    <xsd:import namespace="52741100-c965-4fd4-8aa7-2d9d842b1c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788742-c24c-455f-83e9-59d89e3de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6033a7-fbac-4cd0-8a8a-00b65ae7f6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741100-c965-4fd4-8aa7-2d9d842b1c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59b68ff-026d-4505-85f4-9dfcb1bec11e}" ma:internalName="TaxCatchAll" ma:showField="CatchAllData" ma:web="52741100-c965-4fd4-8aa7-2d9d842b1c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ED284-3D65-4A18-8357-9AB4BD55C2E1}">
  <ds:schemaRefs>
    <ds:schemaRef ds:uri="http://www.w3.org/XML/1998/namespace"/>
    <ds:schemaRef ds:uri="http://purl.org/dc/elements/1.1/"/>
    <ds:schemaRef ds:uri="http://schemas.microsoft.com/office/2006/documentManagement/types"/>
    <ds:schemaRef ds:uri="http://purl.org/dc/terms/"/>
    <ds:schemaRef ds:uri="http://purl.org/dc/dcmitype/"/>
    <ds:schemaRef ds:uri="98788742-c24c-455f-83e9-59d89e3de440"/>
    <ds:schemaRef ds:uri="http://schemas.microsoft.com/office/infopath/2007/PartnerControls"/>
    <ds:schemaRef ds:uri="http://schemas.openxmlformats.org/package/2006/metadata/core-properties"/>
    <ds:schemaRef ds:uri="52741100-c965-4fd4-8aa7-2d9d842b1c91"/>
    <ds:schemaRef ds:uri="http://schemas.microsoft.com/office/2006/metadata/properties"/>
  </ds:schemaRefs>
</ds:datastoreItem>
</file>

<file path=customXml/itemProps2.xml><?xml version="1.0" encoding="utf-8"?>
<ds:datastoreItem xmlns:ds="http://schemas.openxmlformats.org/officeDocument/2006/customXml" ds:itemID="{5D4BB54B-9BD5-4357-9C86-145F5DF27470}">
  <ds:schemaRefs>
    <ds:schemaRef ds:uri="http://schemas.microsoft.com/sharepoint/v3/contenttype/forms"/>
  </ds:schemaRefs>
</ds:datastoreItem>
</file>

<file path=customXml/itemProps3.xml><?xml version="1.0" encoding="utf-8"?>
<ds:datastoreItem xmlns:ds="http://schemas.openxmlformats.org/officeDocument/2006/customXml" ds:itemID="{62288381-E535-4B23-8A56-EF70044F4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788742-c24c-455f-83e9-59d89e3de440"/>
    <ds:schemaRef ds:uri="52741100-c965-4fd4-8aa7-2d9d842b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43</vt:i4>
      </vt:variant>
    </vt:vector>
  </HeadingPairs>
  <TitlesOfParts>
    <vt:vector size="53" baseType="lpstr">
      <vt:lpstr>Instructions</vt:lpstr>
      <vt:lpstr>Methodology</vt:lpstr>
      <vt:lpstr>Prescriptive Rebate Table</vt:lpstr>
      <vt:lpstr>Project Info &amp; Summary</vt:lpstr>
      <vt:lpstr>Calculator</vt:lpstr>
      <vt:lpstr>Additional Opportunities</vt:lpstr>
      <vt:lpstr>Lookups</vt:lpstr>
      <vt:lpstr>Fixture Codes</vt:lpstr>
      <vt:lpstr>Report</vt:lpstr>
      <vt:lpstr>Version Log</vt:lpstr>
      <vt:lpstr>AC</vt:lpstr>
      <vt:lpstr>All</vt:lpstr>
      <vt:lpstr>All_Fixtures</vt:lpstr>
      <vt:lpstr>BuildingTypefromApp</vt:lpstr>
      <vt:lpstr>CFLs_and_Custom</vt:lpstr>
      <vt:lpstr>Custom_Fixtures</vt:lpstr>
      <vt:lpstr>Daylight_Controls</vt:lpstr>
      <vt:lpstr>Dual_Daylight_Occupancy_Controls</vt:lpstr>
      <vt:lpstr>Education</vt:lpstr>
      <vt:lpstr>Exit_Signs</vt:lpstr>
      <vt:lpstr>Exit_Signs_and_Custom</vt:lpstr>
      <vt:lpstr>Fluorescents_and_Custom</vt:lpstr>
      <vt:lpstr>Freezer</vt:lpstr>
      <vt:lpstr>Grocery</vt:lpstr>
      <vt:lpstr>Health</vt:lpstr>
      <vt:lpstr>HIDs_and_Custom</vt:lpstr>
      <vt:lpstr>HP</vt:lpstr>
      <vt:lpstr>Incandescents_and_Custom</vt:lpstr>
      <vt:lpstr>LED_Display_Case_Luminaires</vt:lpstr>
      <vt:lpstr>LED_ENERGY_STAR_Fixtures</vt:lpstr>
      <vt:lpstr>LED_Exterior_Luminaires</vt:lpstr>
      <vt:lpstr>LED_Flat_Panel_Luminaires</vt:lpstr>
      <vt:lpstr>LED_High_Low_Bay_Luminaires</vt:lpstr>
      <vt:lpstr>LED_Interior_Directional_Luminaires</vt:lpstr>
      <vt:lpstr>LED_Linear_Ambient_Stairwell_Luminaires</vt:lpstr>
      <vt:lpstr>LED_Replacement_Lamps</vt:lpstr>
      <vt:lpstr>LED_Retrofit_Kits</vt:lpstr>
      <vt:lpstr>LED_Troffer_Luminaires</vt:lpstr>
      <vt:lpstr>LEDs_and_Custom</vt:lpstr>
      <vt:lpstr>Lighting_Custom</vt:lpstr>
      <vt:lpstr>Lighting_Other</vt:lpstr>
      <vt:lpstr>Linear_Fluorescents</vt:lpstr>
      <vt:lpstr>Multi_Family</vt:lpstr>
      <vt:lpstr>Networked_Lighting_Controls</vt:lpstr>
      <vt:lpstr>None</vt:lpstr>
      <vt:lpstr>Occupancy_Vacancy_Controls</vt:lpstr>
      <vt:lpstr>Office</vt:lpstr>
      <vt:lpstr>Refrigerated</vt:lpstr>
      <vt:lpstr>Retail</vt:lpstr>
      <vt:lpstr>Selected_Building_Type_from_App</vt:lpstr>
      <vt:lpstr>Street_and_Area_Lighting</vt:lpstr>
      <vt:lpstr>Unknown</vt:lpstr>
      <vt:lpstr>Warehouse_Industrial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Stevenson</dc:creator>
  <cp:keywords/>
  <dc:description/>
  <cp:lastModifiedBy>Conor McGrail</cp:lastModifiedBy>
  <cp:revision/>
  <cp:lastPrinted>2022-05-05T14:07:51Z</cp:lastPrinted>
  <dcterms:created xsi:type="dcterms:W3CDTF">2017-12-08T21:07:04Z</dcterms:created>
  <dcterms:modified xsi:type="dcterms:W3CDTF">2024-06-21T16:15:09Z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0x0101001BF96E70731EB54292983A8187A83857</vt:lpwstr>
  </property>
  <property fmtid="{D5CDD505-2E9C-101B-9397-08002B2CF9AE}" pid="3" name="MediaServiceImageTags">
    <vt:lpwstr/>
  </property>
  <property fmtid="{D5CDD505-2E9C-101B-9397-08002B2CF9AE}" pid="4" name="_AdHocReviewCycleID">
    <vt:i4>-1695831497</vt:i4>
  </property>
  <property fmtid="{D5CDD505-2E9C-101B-9397-08002B2CF9AE}" pid="5" name="_NewReviewCycle">
    <vt:lpwstr/>
  </property>
  <property fmtid="{D5CDD505-2E9C-101B-9397-08002B2CF9AE}" pid="6" name="_EmailSubject">
    <vt:lpwstr>Data Export Update</vt:lpwstr>
  </property>
  <property fmtid="{D5CDD505-2E9C-101B-9397-08002B2CF9AE}" pid="7" name="_AuthorEmail">
    <vt:lpwstr>conor.mcgrail@clearesult.com</vt:lpwstr>
  </property>
  <property fmtid="{D5CDD505-2E9C-101B-9397-08002B2CF9AE}" pid="8" name="_AuthorEmailDisplayName">
    <vt:lpwstr>Conor McGrail</vt:lpwstr>
  </property>
  <property fmtid="{D5CDD505-2E9C-101B-9397-08002B2CF9AE}" pid="9" name="_ReviewingToolsShownOnce">
    <vt:lpwstr/>
  </property>
</Properties>
</file>