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conor.mcgrail\Downloads\"/>
    </mc:Choice>
  </mc:AlternateContent>
  <xr:revisionPtr revIDLastSave="0" documentId="13_ncr:1_{97C620BE-802A-42F9-98E5-38875B856163}" xr6:coauthVersionLast="47" xr6:coauthVersionMax="47" xr10:uidLastSave="{00000000-0000-0000-0000-000000000000}"/>
  <workbookProtection workbookAlgorithmName="SHA-512" workbookHashValue="svKiCacQrSkWbMRnmYxSq2i9vCMohZsZQdyw6aA0bqd7aXcguZtD1obzLB+xil0HMfTnOFgqwv/wu/HSkJ8gMQ==" workbookSaltValue="WXxs+cF8lstzY2dIMJlIVg==" workbookSpinCount="100000" lockStructure="1"/>
  <bookViews>
    <workbookView xWindow="57480" yWindow="-120" windowWidth="29040" windowHeight="15840" tabRatio="926" activeTab="2" xr2:uid="{00000000-000D-0000-FFFF-FFFF00000000}"/>
  </bookViews>
  <sheets>
    <sheet name=" Instructions" sheetId="31" r:id="rId1"/>
    <sheet name="Methodology" sheetId="52" r:id="rId2"/>
    <sheet name="Summary" sheetId="42" r:id="rId3"/>
    <sheet name="Commercial Clothes Washer" sheetId="33" r:id="rId4"/>
    <sheet name="Non Comm Clothes Washer" sheetId="47" state="hidden" r:id="rId5"/>
    <sheet name="Clothes Dryer" sheetId="36" r:id="rId6"/>
    <sheet name="Refrigerator" sheetId="37" r:id="rId7"/>
    <sheet name="Freezer" sheetId="46" r:id="rId8"/>
    <sheet name="Heat Pump Water Heater" sheetId="38" r:id="rId9"/>
    <sheet name="Water Cooler" sheetId="45" r:id="rId10"/>
    <sheet name="Dehumidifier " sheetId="44" r:id="rId11"/>
    <sheet name="EV Charger" sheetId="51" r:id="rId12"/>
    <sheet name="Data Export" sheetId="48" state="hidden" r:id="rId13"/>
    <sheet name="Lookup Tables" sheetId="34" state="hidden" r:id="rId14"/>
    <sheet name="Version Log" sheetId="40" state="hidden" r:id="rId15"/>
    <sheet name="2023 Record of Revisions" sheetId="50" state="hidden" r:id="rId16"/>
  </sheets>
  <externalReferences>
    <externalReference r:id="rId17"/>
    <externalReference r:id="rId18"/>
  </externalReferences>
  <definedNames>
    <definedName name="_ftn1" localSheetId="13">'Lookup Tables'!$J$133</definedName>
    <definedName name="_ftn2" localSheetId="13">'Lookup Tables'!$J$134</definedName>
    <definedName name="_ftnref1" localSheetId="13">'Lookup Tables'!$L$122</definedName>
    <definedName name="_ftnref2" localSheetId="13">'Lookup Tables'!$N$122</definedName>
    <definedName name="ACC_Cost" localSheetId="14">'[1]HVAC Equipment Lookups'!$S$13:$U$17</definedName>
    <definedName name="ACC_Cost">'[2]HVAC Equipment Lookups'!$S$13:$U$17</definedName>
    <definedName name="ACC_FL" localSheetId="14">'[1]HVAC Equipment Lookups'!$S$12:$U$12</definedName>
    <definedName name="ACC_FL">'[2]HVAC Equipment Lookups'!$S$12:$U$12</definedName>
    <definedName name="ACC_size" localSheetId="14">'[1]HVAC Equipment Lookups'!$R$13:$R$17</definedName>
    <definedName name="ACC_size">'[2]HVAC Equipment Lookups'!$R$13:$R$17</definedName>
    <definedName name="BuildingTypes" localSheetId="14">'[1]HVAC Lookups'!$H$4:$H$40</definedName>
    <definedName name="BuildingTypes">'[2]HVAC Lookups'!$H$4:$H$40</definedName>
    <definedName name="CapacityUnits" localSheetId="14">'[1]HVAC Lookups'!$B$12:$B$13</definedName>
    <definedName name="CapacityUnits">'[2]HVAC Lookups'!$B$12:$B$13</definedName>
    <definedName name="Centrifugal_Cost" localSheetId="14">'[1]HVAC Equipment Lookups'!$AC$13:$AE$17</definedName>
    <definedName name="Centrifugal_Cost">'[2]HVAC Equipment Lookups'!$AC$13:$AE$17</definedName>
    <definedName name="Centrifugal_FL" localSheetId="14">'[1]HVAC Equipment Lookups'!$AC$12:$AE$12</definedName>
    <definedName name="Centrifugal_FL">'[2]HVAC Equipment Lookups'!$AC$12:$AE$12</definedName>
    <definedName name="Centrifugal_size" localSheetId="14">'[1]HVAC Equipment Lookups'!$AB$13:$AB$17</definedName>
    <definedName name="Centrifugal_size">'[2]HVAC Equipment Lookups'!$AB$13:$AB$17</definedName>
    <definedName name="CF" localSheetId="14">'[1]VFD Calculations'!$C$8</definedName>
    <definedName name="CF">'[2]VFD Calculations'!$C$8</definedName>
    <definedName name="DMS_Cost" localSheetId="14">'[1]HVAC Equipment Lookups'!$V$45:$Y$48</definedName>
    <definedName name="DMS_Cost">'[2]HVAC Equipment Lookups'!$V$45:$Y$48</definedName>
    <definedName name="DMS_PL" localSheetId="14">'[1]HVAC Equipment Lookups'!$U$45:$U$48</definedName>
    <definedName name="DMS_PL">'[2]HVAC Equipment Lookups'!$U$45:$U$48</definedName>
    <definedName name="DMS_size" localSheetId="14">'[1]HVAC Equipment Lookups'!$V$44:$Y$44</definedName>
    <definedName name="DMS_size">'[2]HVAC Equipment Lookups'!$V$44:$Y$44</definedName>
    <definedName name="DSF" localSheetId="14">'[1]VFD Calculations'!$G$4:$G$6</definedName>
    <definedName name="DSF">'[2]VFD Calculations'!$G$4:$G$6</definedName>
    <definedName name="EfficiencyUnits" localSheetId="14">'[1]HVAC Lookups'!$B$8:$B$9</definedName>
    <definedName name="EfficiencyUnits">'[2]HVAC Lookups'!$B$8:$B$9</definedName>
    <definedName name="EFLHc" localSheetId="14">'[1]HVAC Lookups'!$J$4:$J$40</definedName>
    <definedName name="EFLHc">'[2]HVAC Lookups'!$J$4:$J$40</definedName>
    <definedName name="EFLHchiller" localSheetId="14">'[1]HVAC Lookups'!$L$4:$L$40</definedName>
    <definedName name="EFLHchiller">'[2]HVAC Lookups'!$L$4:$L$40</definedName>
    <definedName name="EFLHh" localSheetId="14">'[1]HVAC Lookups'!$K$4:$K$40</definedName>
    <definedName name="EFLHh">'[2]HVAC Lookups'!$K$4:$K$40</definedName>
    <definedName name="EquipmentType" localSheetId="14">'[1]HVAC Lookups'!$D$3:$D$17</definedName>
    <definedName name="EquipmentType">'[2]HVAC Lookups'!$D$3:$D$17</definedName>
    <definedName name="ESF" localSheetId="14">'[1]VFD Calculations'!$F$4:$F$6</definedName>
    <definedName name="ESF">'[2]VFD Calculations'!$F$4:$F$6</definedName>
    <definedName name="HeatingType" localSheetId="14">'[1]HVAC Lookups'!$F$48:$F$49</definedName>
    <definedName name="HeatingType">'[2]HVAC Lookups'!$F$48:$F$49</definedName>
    <definedName name="Hours" localSheetId="14">'[1]VFD Calculations'!$D$43:$F$79</definedName>
    <definedName name="Hours">'[2]VFD Calculations'!$D$43:$F$79</definedName>
    <definedName name="incentives" localSheetId="14">'[1]VFD Calculations'!$I$43:$I$58</definedName>
    <definedName name="incentives">'[2]VFD Calculations'!$I$43:$I$58</definedName>
    <definedName name="installation" localSheetId="14">'[1]Smart Thermostat Lookups'!$E$12:$E$15</definedName>
    <definedName name="installation">'[2]Smart Thermostat Lookups'!$E$12:$E$15</definedName>
    <definedName name="LF" localSheetId="14">'[1]VFD Calculations'!$C$7</definedName>
    <definedName name="LF">'[2]VFD Calculations'!$C$7</definedName>
    <definedName name="MaufYear" localSheetId="14">'[1]HVAC Lookups'!#REF!</definedName>
    <definedName name="MaufYear">'[2]HVAC Lookups'!#REF!</definedName>
    <definedName name="motorsizes" localSheetId="14">'[1]VFD Calculations'!$H$43:$H$58</definedName>
    <definedName name="motorsizes">'[2]VFD Calculations'!$H$43:$H$58</definedName>
    <definedName name="nobypass" localSheetId="14">'[1]VFD Calculations'!$N$43:$N$58</definedName>
    <definedName name="nobypass">'[2]VFD Calculations'!$N$43:$N$58</definedName>
    <definedName name="PostControlTypes" localSheetId="14">'[1]VFD Calculations'!$B$23:$B$24</definedName>
    <definedName name="PostControlTypes">'[2]VFD Calculations'!$B$23:$B$24</definedName>
    <definedName name="PreControlTypes" localSheetId="14">'[1]VFD Calculations'!$B$14:$B$22</definedName>
    <definedName name="PreControlTypes">'[2]VFD Calculations'!$B$14:$B$22</definedName>
    <definedName name="ReplacementType" localSheetId="14">'[1]HVAC Lookups'!$B$3:$B$5</definedName>
    <definedName name="ReplacementType">'[2]HVAC Lookups'!$B$3:$B$5</definedName>
    <definedName name="Scroll_Cost" localSheetId="14">'[1]HVAC Equipment Lookups'!$X$13:$AA$16</definedName>
    <definedName name="Scroll_Cost">'[2]HVAC Equipment Lookups'!$X$13:$AA$16</definedName>
    <definedName name="Scroll_FL" localSheetId="14">'[1]HVAC Equipment Lookups'!$X$12:$AA$12</definedName>
    <definedName name="Scroll_FL">'[2]HVAC Equipment Lookups'!$X$12:$AA$12</definedName>
    <definedName name="Scroll_size" localSheetId="14">'[1]HVAC Equipment Lookups'!$W$13:$W$16</definedName>
    <definedName name="Scroll_size">'[2]HVAC Equipment Lookups'!$W$13:$W$16</definedName>
    <definedName name="StatCost" localSheetId="14">'[1]Smart Thermostat Lookups'!$F$12:$F$15</definedName>
    <definedName name="StatCost">'[2]Smart Thermostat Lookups'!$F$12:$F$15</definedName>
    <definedName name="TerminalMin" localSheetId="14">'[1]HVAC Equipment Lookups'!$M$68:$M$70</definedName>
    <definedName name="TerminalMin">'[2]HVAC Equipment Lookups'!$M$68:$M$70</definedName>
    <definedName name="VFDapps" localSheetId="14">'[1]VFD Calculations'!$D$42:$F$42</definedName>
    <definedName name="VFDapps">'[2]VFD Calculations'!$D$42:$F$42</definedName>
    <definedName name="withbypass" localSheetId="14">'[1]VFD Calculations'!$M$43:$M$58</definedName>
    <definedName name="withbypass">'[2]VFD Calculations'!$M$43:$M$58</definedName>
    <definedName name="YN" localSheetId="14">'[1]VFD Calculations'!$P$43:$P$45</definedName>
    <definedName name="YN">'[2]VFD Calculations'!$P$43:$P$45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42" l="1"/>
  <c r="I2" i="42"/>
  <c r="F20" i="42"/>
  <c r="F19" i="42"/>
  <c r="F18" i="42"/>
  <c r="F17" i="42"/>
  <c r="F16" i="42"/>
  <c r="F15" i="42"/>
  <c r="F14" i="42"/>
  <c r="F13" i="42"/>
  <c r="F12" i="42"/>
  <c r="J16" i="44"/>
  <c r="J17" i="44"/>
  <c r="J18" i="44"/>
  <c r="J19" i="44"/>
  <c r="J20" i="44"/>
  <c r="J21" i="44"/>
  <c r="J22" i="44"/>
  <c r="J23" i="44"/>
  <c r="J24" i="44"/>
  <c r="J15" i="44"/>
  <c r="F7" i="42" l="1"/>
  <c r="J18" i="42" l="1"/>
  <c r="I18" i="42"/>
  <c r="K7" i="45"/>
  <c r="H141" i="34"/>
  <c r="H140" i="34"/>
  <c r="H139" i="34"/>
  <c r="H138" i="34"/>
  <c r="G141" i="34"/>
  <c r="B7" i="45" s="1"/>
  <c r="H18" i="42" s="1"/>
  <c r="G140" i="34"/>
  <c r="G139" i="34"/>
  <c r="G138" i="34"/>
  <c r="J7" i="45"/>
  <c r="C7" i="45"/>
  <c r="G18" i="42" s="1"/>
  <c r="J7" i="38"/>
  <c r="I17" i="42" s="1"/>
  <c r="I7" i="38"/>
  <c r="J17" i="42" s="1"/>
  <c r="B7" i="38"/>
  <c r="H17" i="42" s="1"/>
  <c r="C7" i="38"/>
  <c r="G17" i="42" s="1"/>
  <c r="F4" i="34"/>
  <c r="G4" i="34"/>
  <c r="E4" i="34"/>
  <c r="D4" i="34"/>
  <c r="C4" i="34"/>
  <c r="F7" i="34"/>
  <c r="F6" i="34"/>
  <c r="F5" i="34"/>
  <c r="M4" i="34"/>
  <c r="N16" i="36"/>
  <c r="N17" i="36"/>
  <c r="N18" i="36"/>
  <c r="N19" i="36"/>
  <c r="N20" i="36"/>
  <c r="N21" i="36"/>
  <c r="N22" i="36"/>
  <c r="N23" i="36"/>
  <c r="N24" i="36"/>
  <c r="N15" i="36"/>
  <c r="L9" i="36" s="1"/>
  <c r="I14" i="42" s="1"/>
  <c r="O16" i="37"/>
  <c r="O17" i="37"/>
  <c r="O18" i="37"/>
  <c r="O19" i="37"/>
  <c r="O20" i="37"/>
  <c r="O21" i="37"/>
  <c r="O22" i="37"/>
  <c r="O23" i="37"/>
  <c r="O24" i="37"/>
  <c r="O15" i="37"/>
  <c r="C15" i="37"/>
  <c r="D15" i="37"/>
  <c r="K6" i="51"/>
  <c r="J20" i="42" s="1"/>
  <c r="E7" i="42" s="1"/>
  <c r="G211" i="34"/>
  <c r="E211" i="34"/>
  <c r="D211" i="34"/>
  <c r="C211" i="34"/>
  <c r="O9" i="37" l="1"/>
  <c r="I15" i="42" s="1"/>
  <c r="F211" i="34"/>
  <c r="C6" i="51" s="1"/>
  <c r="G20" i="42" s="1"/>
  <c r="G7" i="42" s="1"/>
  <c r="H211" i="34" l="1"/>
  <c r="I211" i="34" s="1"/>
  <c r="B6" i="51" s="1"/>
  <c r="H20" i="42" s="1"/>
  <c r="H7" i="42" s="1"/>
  <c r="J211" i="34"/>
  <c r="R95" i="34"/>
  <c r="R96" i="34"/>
  <c r="R97" i="34"/>
  <c r="R98" i="34"/>
  <c r="R99" i="34"/>
  <c r="R100" i="34"/>
  <c r="R101" i="34"/>
  <c r="Q95" i="34"/>
  <c r="Q96" i="34"/>
  <c r="Q97" i="34"/>
  <c r="Q98" i="34"/>
  <c r="Q99" i="34"/>
  <c r="Q100" i="34"/>
  <c r="Q101" i="34"/>
  <c r="R94" i="34"/>
  <c r="Q94" i="34"/>
  <c r="P95" i="34"/>
  <c r="P96" i="34"/>
  <c r="P97" i="34"/>
  <c r="P98" i="34"/>
  <c r="P99" i="34"/>
  <c r="P100" i="34"/>
  <c r="P101" i="34"/>
  <c r="P94" i="34"/>
  <c r="I95" i="34"/>
  <c r="I96" i="34"/>
  <c r="I97" i="34"/>
  <c r="I98" i="34"/>
  <c r="I99" i="34"/>
  <c r="I100" i="34"/>
  <c r="I101" i="34"/>
  <c r="H95" i="34"/>
  <c r="H96" i="34"/>
  <c r="H97" i="34"/>
  <c r="H98" i="34"/>
  <c r="H99" i="34"/>
  <c r="H100" i="34"/>
  <c r="H101" i="34"/>
  <c r="I94" i="34"/>
  <c r="H94" i="34"/>
  <c r="G95" i="34"/>
  <c r="G96" i="34"/>
  <c r="G97" i="34"/>
  <c r="G98" i="34"/>
  <c r="G99" i="34"/>
  <c r="G100" i="34"/>
  <c r="G94" i="34"/>
  <c r="J6" i="51" l="1"/>
  <c r="I20" i="42" s="1"/>
  <c r="I7" i="42" s="1"/>
  <c r="N130" i="34"/>
  <c r="N127" i="34"/>
  <c r="F140" i="34" l="1"/>
  <c r="F139" i="34"/>
  <c r="F141" i="34"/>
  <c r="F138" i="34"/>
  <c r="E122" i="34" l="1"/>
  <c r="F124" i="34"/>
  <c r="D122" i="34"/>
  <c r="V82" i="34"/>
  <c r="S82" i="34"/>
  <c r="D15" i="36" l="1"/>
  <c r="E112" i="34"/>
  <c r="F112" i="34"/>
  <c r="F111" i="34"/>
  <c r="E111" i="34"/>
  <c r="E121" i="34" l="1"/>
  <c r="S81" i="34"/>
  <c r="U81" i="34" s="1"/>
  <c r="S80" i="34"/>
  <c r="U80" i="34" s="1"/>
  <c r="T82" i="34"/>
  <c r="S79" i="34"/>
  <c r="U79" i="34" s="1"/>
  <c r="S83" i="34"/>
  <c r="T83" i="34" s="1"/>
  <c r="S78" i="34"/>
  <c r="T78" i="34" s="1"/>
  <c r="D6" i="34" l="1"/>
  <c r="E6" i="34" s="1"/>
  <c r="D7" i="34"/>
  <c r="E7" i="34" s="1"/>
  <c r="D5" i="34"/>
  <c r="T79" i="34"/>
  <c r="T81" i="34"/>
  <c r="U78" i="34"/>
  <c r="U83" i="34"/>
  <c r="U82" i="34"/>
  <c r="T80" i="34"/>
  <c r="E5" i="34" l="1"/>
  <c r="M16" i="46"/>
  <c r="M17" i="46"/>
  <c r="M18" i="46"/>
  <c r="M19" i="46"/>
  <c r="M20" i="46"/>
  <c r="M21" i="46"/>
  <c r="M22" i="46"/>
  <c r="M23" i="46"/>
  <c r="M24" i="46"/>
  <c r="M15" i="46"/>
  <c r="L101" i="34"/>
  <c r="K101" i="34"/>
  <c r="J101" i="34"/>
  <c r="L100" i="34"/>
  <c r="K100" i="34"/>
  <c r="J100" i="34"/>
  <c r="L99" i="34"/>
  <c r="K99" i="34"/>
  <c r="J99" i="34"/>
  <c r="L98" i="34"/>
  <c r="K98" i="34"/>
  <c r="J98" i="34"/>
  <c r="L97" i="34"/>
  <c r="K97" i="34"/>
  <c r="J97" i="34"/>
  <c r="L96" i="34"/>
  <c r="K96" i="34"/>
  <c r="J96" i="34"/>
  <c r="L95" i="34"/>
  <c r="K95" i="34"/>
  <c r="J95" i="34"/>
  <c r="L94" i="34"/>
  <c r="K94" i="34"/>
  <c r="J94" i="34"/>
  <c r="C9" i="37" l="1"/>
  <c r="C8" i="37"/>
  <c r="C7" i="37"/>
  <c r="C9" i="36"/>
  <c r="C8" i="36"/>
  <c r="C7" i="36"/>
  <c r="D24" i="44" l="1" a="1"/>
  <c r="D24" i="44" s="1"/>
  <c r="D15" i="44" a="1"/>
  <c r="D15" i="44" s="1"/>
  <c r="O15" i="44" s="1"/>
  <c r="O24" i="44" l="1"/>
  <c r="C24" i="44"/>
  <c r="C15" i="44"/>
  <c r="C21" i="36"/>
  <c r="C22" i="36"/>
  <c r="D185" i="34" l="1"/>
  <c r="G184" i="34" s="1"/>
  <c r="D186" i="34"/>
  <c r="G185" i="34" s="1"/>
  <c r="D187" i="34"/>
  <c r="G186" i="34" s="1"/>
  <c r="D188" i="34"/>
  <c r="G187" i="34" s="1"/>
  <c r="D189" i="34"/>
  <c r="D190" i="34"/>
  <c r="D191" i="34"/>
  <c r="G190" i="34" s="1"/>
  <c r="D192" i="34"/>
  <c r="G191" i="34" s="1"/>
  <c r="D193" i="34"/>
  <c r="G192" i="34" s="1"/>
  <c r="D184" i="34"/>
  <c r="G183" i="34" s="1"/>
  <c r="J184" i="34"/>
  <c r="M184" i="34" s="1"/>
  <c r="J185" i="34"/>
  <c r="M185" i="34" s="1"/>
  <c r="J186" i="34"/>
  <c r="M186" i="34" s="1"/>
  <c r="J187" i="34"/>
  <c r="M187" i="34" s="1"/>
  <c r="J188" i="34"/>
  <c r="M188" i="34" s="1"/>
  <c r="J189" i="34"/>
  <c r="J190" i="34"/>
  <c r="J191" i="34"/>
  <c r="M191" i="34" s="1"/>
  <c r="J192" i="34"/>
  <c r="M192" i="34" s="1"/>
  <c r="J183" i="34"/>
  <c r="M183" i="34" s="1"/>
  <c r="P184" i="34"/>
  <c r="S184" i="34" s="1"/>
  <c r="P185" i="34"/>
  <c r="S185" i="34" s="1"/>
  <c r="P186" i="34"/>
  <c r="S186" i="34" s="1"/>
  <c r="P187" i="34"/>
  <c r="S187" i="34" s="1"/>
  <c r="P188" i="34"/>
  <c r="S188" i="34" s="1"/>
  <c r="P189" i="34"/>
  <c r="S189" i="34" s="1"/>
  <c r="P190" i="34"/>
  <c r="P191" i="34"/>
  <c r="S191" i="34" s="1"/>
  <c r="P192" i="34"/>
  <c r="S192" i="34" s="1"/>
  <c r="P183" i="34"/>
  <c r="S183" i="34" s="1"/>
  <c r="AB184" i="34"/>
  <c r="AE184" i="34" s="1"/>
  <c r="AB185" i="34"/>
  <c r="AB186" i="34"/>
  <c r="AE186" i="34" s="1"/>
  <c r="AB187" i="34"/>
  <c r="AE187" i="34" s="1"/>
  <c r="AB188" i="34"/>
  <c r="AE188" i="34" s="1"/>
  <c r="AB189" i="34"/>
  <c r="AE189" i="34" s="1"/>
  <c r="AB190" i="34"/>
  <c r="AE190" i="34" s="1"/>
  <c r="AB191" i="34"/>
  <c r="AB192" i="34"/>
  <c r="AB183" i="34"/>
  <c r="AE183" i="34" s="1"/>
  <c r="AB169" i="34"/>
  <c r="AE169" i="34" s="1"/>
  <c r="AB170" i="34"/>
  <c r="AE170" i="34" s="1"/>
  <c r="AB171" i="34"/>
  <c r="AE171" i="34" s="1"/>
  <c r="AB172" i="34"/>
  <c r="AB173" i="34"/>
  <c r="AB174" i="34"/>
  <c r="AE174" i="34" s="1"/>
  <c r="AB175" i="34"/>
  <c r="AE175" i="34" s="1"/>
  <c r="AB176" i="34"/>
  <c r="AE176" i="34" s="1"/>
  <c r="AB177" i="34"/>
  <c r="AB168" i="34"/>
  <c r="AE168" i="34" s="1"/>
  <c r="V169" i="34"/>
  <c r="Y169" i="34" s="1"/>
  <c r="V170" i="34"/>
  <c r="V171" i="34"/>
  <c r="V172" i="34"/>
  <c r="Y172" i="34" s="1"/>
  <c r="V173" i="34"/>
  <c r="Y173" i="34" s="1"/>
  <c r="V174" i="34"/>
  <c r="Y174" i="34" s="1"/>
  <c r="V175" i="34"/>
  <c r="Y175" i="34" s="1"/>
  <c r="V176" i="34"/>
  <c r="Y176" i="34" s="1"/>
  <c r="V177" i="34"/>
  <c r="Y177" i="34" s="1"/>
  <c r="V168" i="34"/>
  <c r="Y168" i="34" s="1"/>
  <c r="P169" i="34"/>
  <c r="S169" i="34" s="1"/>
  <c r="P170" i="34"/>
  <c r="P171" i="34"/>
  <c r="S171" i="34" s="1"/>
  <c r="P172" i="34"/>
  <c r="S172" i="34" s="1"/>
  <c r="P173" i="34"/>
  <c r="S173" i="34" s="1"/>
  <c r="P174" i="34"/>
  <c r="S174" i="34" s="1"/>
  <c r="P175" i="34"/>
  <c r="S175" i="34" s="1"/>
  <c r="P176" i="34"/>
  <c r="S176" i="34" s="1"/>
  <c r="P177" i="34"/>
  <c r="S177" i="34" s="1"/>
  <c r="P168" i="34"/>
  <c r="S168" i="34" s="1"/>
  <c r="J169" i="34"/>
  <c r="J170" i="34"/>
  <c r="J171" i="34"/>
  <c r="M171" i="34" s="1"/>
  <c r="J172" i="34"/>
  <c r="M172" i="34" s="1"/>
  <c r="J173" i="34"/>
  <c r="M173" i="34" s="1"/>
  <c r="J174" i="34"/>
  <c r="M174" i="34" s="1"/>
  <c r="J175" i="34"/>
  <c r="M175" i="34" s="1"/>
  <c r="J176" i="34"/>
  <c r="M176" i="34" s="1"/>
  <c r="J177" i="34"/>
  <c r="M177" i="34" s="1"/>
  <c r="J168" i="34"/>
  <c r="D170" i="34"/>
  <c r="D171" i="34"/>
  <c r="D172" i="34"/>
  <c r="D173" i="34"/>
  <c r="D174" i="34"/>
  <c r="D175" i="34"/>
  <c r="D176" i="34"/>
  <c r="D177" i="34"/>
  <c r="D178" i="34"/>
  <c r="D169" i="34"/>
  <c r="E169" i="34" s="1"/>
  <c r="C63" i="34"/>
  <c r="D63" i="34"/>
  <c r="E63" i="34"/>
  <c r="F63" i="34"/>
  <c r="G63" i="34"/>
  <c r="H63" i="34"/>
  <c r="C64" i="34"/>
  <c r="Q64" i="34" s="1"/>
  <c r="N14" i="47" s="1"/>
  <c r="D64" i="34"/>
  <c r="E64" i="34"/>
  <c r="F64" i="34"/>
  <c r="G64" i="34"/>
  <c r="H64" i="34"/>
  <c r="C65" i="34"/>
  <c r="Q65" i="34" s="1"/>
  <c r="N15" i="47" s="1"/>
  <c r="D65" i="34"/>
  <c r="E65" i="34"/>
  <c r="F65" i="34"/>
  <c r="G65" i="34"/>
  <c r="H65" i="34"/>
  <c r="C66" i="34"/>
  <c r="Q66" i="34" s="1"/>
  <c r="N16" i="47" s="1"/>
  <c r="D66" i="34"/>
  <c r="E66" i="34"/>
  <c r="F66" i="34"/>
  <c r="G66" i="34"/>
  <c r="H66" i="34"/>
  <c r="C67" i="34"/>
  <c r="D67" i="34"/>
  <c r="E67" i="34"/>
  <c r="F67" i="34"/>
  <c r="G67" i="34"/>
  <c r="H67" i="34"/>
  <c r="C68" i="34"/>
  <c r="Q68" i="34" s="1"/>
  <c r="N18" i="47" s="1"/>
  <c r="D68" i="34"/>
  <c r="E68" i="34"/>
  <c r="F68" i="34"/>
  <c r="G68" i="34"/>
  <c r="H68" i="34"/>
  <c r="C69" i="34"/>
  <c r="Q69" i="34" s="1"/>
  <c r="N19" i="47" s="1"/>
  <c r="D69" i="34"/>
  <c r="E69" i="34"/>
  <c r="F69" i="34"/>
  <c r="G69" i="34"/>
  <c r="H69" i="34"/>
  <c r="C70" i="34"/>
  <c r="Q70" i="34" s="1"/>
  <c r="N20" i="47" s="1"/>
  <c r="D70" i="34"/>
  <c r="E70" i="34"/>
  <c r="F70" i="34"/>
  <c r="G70" i="34"/>
  <c r="H70" i="34"/>
  <c r="C71" i="34"/>
  <c r="D71" i="34"/>
  <c r="E71" i="34"/>
  <c r="F71" i="34"/>
  <c r="G71" i="34"/>
  <c r="H71" i="34"/>
  <c r="H61" i="34"/>
  <c r="H62" i="34"/>
  <c r="G62" i="34"/>
  <c r="F62" i="34"/>
  <c r="E62" i="34"/>
  <c r="D62" i="34"/>
  <c r="C62" i="34"/>
  <c r="Q62" i="34" s="1"/>
  <c r="N12" i="47" s="1"/>
  <c r="D7" i="47"/>
  <c r="D6" i="47"/>
  <c r="D5" i="47"/>
  <c r="I68" i="34" l="1"/>
  <c r="I71" i="34"/>
  <c r="I67" i="34"/>
  <c r="I64" i="34"/>
  <c r="I69" i="34"/>
  <c r="I65" i="34"/>
  <c r="I70" i="34"/>
  <c r="I66" i="34"/>
  <c r="I63" i="34"/>
  <c r="K69" i="34"/>
  <c r="K65" i="34"/>
  <c r="I62" i="34"/>
  <c r="Q71" i="34"/>
  <c r="N21" i="47" s="1"/>
  <c r="Q67" i="34"/>
  <c r="N17" i="47" s="1"/>
  <c r="Q63" i="34"/>
  <c r="N13" i="47" s="1"/>
  <c r="J62" i="34"/>
  <c r="J70" i="34"/>
  <c r="L66" i="34"/>
  <c r="L62" i="34"/>
  <c r="L68" i="34"/>
  <c r="L64" i="34"/>
  <c r="L71" i="34"/>
  <c r="L67" i="34"/>
  <c r="L63" i="34"/>
  <c r="K62" i="34"/>
  <c r="K68" i="34"/>
  <c r="K64" i="34"/>
  <c r="J66" i="34"/>
  <c r="L70" i="34"/>
  <c r="J69" i="34"/>
  <c r="J65" i="34"/>
  <c r="K71" i="34"/>
  <c r="K67" i="34"/>
  <c r="K63" i="34"/>
  <c r="L69" i="34"/>
  <c r="L65" i="34"/>
  <c r="J68" i="34"/>
  <c r="J64" i="34"/>
  <c r="K70" i="34"/>
  <c r="K66" i="34"/>
  <c r="J71" i="34"/>
  <c r="J67" i="34"/>
  <c r="J63" i="34"/>
  <c r="N7" i="47" l="1"/>
  <c r="M62" i="34"/>
  <c r="M63" i="34"/>
  <c r="M69" i="34"/>
  <c r="O65" i="34"/>
  <c r="P65" i="34" s="1"/>
  <c r="M70" i="34"/>
  <c r="M66" i="34"/>
  <c r="M64" i="34"/>
  <c r="M71" i="34"/>
  <c r="M67" i="34"/>
  <c r="M65" i="34"/>
  <c r="M68" i="34"/>
  <c r="O69" i="34"/>
  <c r="P69" i="34" s="1"/>
  <c r="J13" i="42"/>
  <c r="O70" i="34"/>
  <c r="P70" i="34" s="1"/>
  <c r="O66" i="34"/>
  <c r="P66" i="34" s="1"/>
  <c r="O64" i="34"/>
  <c r="P64" i="34" s="1"/>
  <c r="O71" i="34"/>
  <c r="P71" i="34" s="1"/>
  <c r="O63" i="34"/>
  <c r="P63" i="34" s="1"/>
  <c r="O68" i="34"/>
  <c r="P68" i="34" s="1"/>
  <c r="O67" i="34"/>
  <c r="P67" i="34" s="1"/>
  <c r="O62" i="34"/>
  <c r="P62" i="34" s="1"/>
  <c r="H36" i="34"/>
  <c r="H37" i="34"/>
  <c r="H38" i="34"/>
  <c r="H39" i="34"/>
  <c r="H40" i="34"/>
  <c r="H41" i="34"/>
  <c r="H42" i="34"/>
  <c r="H43" i="34"/>
  <c r="H44" i="34"/>
  <c r="H35" i="34"/>
  <c r="G36" i="34"/>
  <c r="G37" i="34"/>
  <c r="G38" i="34"/>
  <c r="G39" i="34"/>
  <c r="G40" i="34"/>
  <c r="G41" i="34"/>
  <c r="G42" i="34"/>
  <c r="G43" i="34"/>
  <c r="G44" i="34"/>
  <c r="G35" i="34"/>
  <c r="F36" i="34"/>
  <c r="F37" i="34"/>
  <c r="F38" i="34"/>
  <c r="F39" i="34"/>
  <c r="F40" i="34"/>
  <c r="F41" i="34"/>
  <c r="F42" i="34"/>
  <c r="F43" i="34"/>
  <c r="F44" i="34"/>
  <c r="F35" i="34"/>
  <c r="E36" i="34"/>
  <c r="E37" i="34"/>
  <c r="E38" i="34"/>
  <c r="E39" i="34"/>
  <c r="E40" i="34"/>
  <c r="E41" i="34"/>
  <c r="E42" i="34"/>
  <c r="E43" i="34"/>
  <c r="E44" i="34"/>
  <c r="E35" i="34"/>
  <c r="D36" i="34"/>
  <c r="D37" i="34"/>
  <c r="D38" i="34"/>
  <c r="D39" i="34"/>
  <c r="D40" i="34"/>
  <c r="D41" i="34"/>
  <c r="D42" i="34"/>
  <c r="D43" i="34"/>
  <c r="D44" i="34"/>
  <c r="D35" i="34"/>
  <c r="C36" i="34"/>
  <c r="C37" i="34"/>
  <c r="C38" i="34"/>
  <c r="C39" i="34"/>
  <c r="C40" i="34"/>
  <c r="C41" i="34"/>
  <c r="C42" i="34"/>
  <c r="C43" i="34"/>
  <c r="C44" i="34"/>
  <c r="C35" i="34"/>
  <c r="N15" i="37"/>
  <c r="N64" i="34" l="1"/>
  <c r="C14" i="47" s="1"/>
  <c r="R64" i="34"/>
  <c r="O14" i="47" s="1"/>
  <c r="N66" i="34"/>
  <c r="C16" i="47" s="1"/>
  <c r="R66" i="34"/>
  <c r="O16" i="47" s="1"/>
  <c r="R70" i="34"/>
  <c r="O20" i="47" s="1"/>
  <c r="N70" i="34"/>
  <c r="C20" i="47" s="1"/>
  <c r="R68" i="34"/>
  <c r="O18" i="47" s="1"/>
  <c r="N68" i="34"/>
  <c r="C18" i="47" s="1"/>
  <c r="R69" i="34"/>
  <c r="O19" i="47" s="1"/>
  <c r="N69" i="34"/>
  <c r="R65" i="34"/>
  <c r="O15" i="47" s="1"/>
  <c r="N65" i="34"/>
  <c r="C15" i="47" s="1"/>
  <c r="R63" i="34"/>
  <c r="O13" i="47" s="1"/>
  <c r="N63" i="34"/>
  <c r="C13" i="47" s="1"/>
  <c r="N71" i="34"/>
  <c r="C21" i="47" s="1"/>
  <c r="R71" i="34"/>
  <c r="O21" i="47" s="1"/>
  <c r="N67" i="34"/>
  <c r="C17" i="47" s="1"/>
  <c r="R67" i="34"/>
  <c r="O17" i="47" s="1"/>
  <c r="R62" i="34"/>
  <c r="O12" i="47" s="1"/>
  <c r="N62" i="34"/>
  <c r="J5" i="34"/>
  <c r="D19" i="47"/>
  <c r="B20" i="48" s="1"/>
  <c r="C20" i="48" s="1"/>
  <c r="J42" i="34"/>
  <c r="J35" i="34"/>
  <c r="K35" i="34"/>
  <c r="J37" i="34"/>
  <c r="K37" i="34"/>
  <c r="K36" i="34"/>
  <c r="J36" i="34"/>
  <c r="J43" i="34"/>
  <c r="K43" i="34"/>
  <c r="K42" i="34"/>
  <c r="J44" i="34"/>
  <c r="K44" i="34"/>
  <c r="D15" i="47"/>
  <c r="B16" i="48" s="1"/>
  <c r="C16" i="48" s="1"/>
  <c r="D18" i="47"/>
  <c r="B19" i="48" s="1"/>
  <c r="C19" i="48" s="1"/>
  <c r="J41" i="34"/>
  <c r="K41" i="34"/>
  <c r="K40" i="34"/>
  <c r="J40" i="34"/>
  <c r="J39" i="34"/>
  <c r="K39" i="34"/>
  <c r="J38" i="34"/>
  <c r="K38" i="34"/>
  <c r="D17" i="47"/>
  <c r="B18" i="48" s="1"/>
  <c r="C18" i="48" s="1"/>
  <c r="D20" i="47"/>
  <c r="B21" i="48" s="1"/>
  <c r="C19" i="47"/>
  <c r="D21" i="47"/>
  <c r="B22" i="48" s="1"/>
  <c r="C22" i="48" s="1"/>
  <c r="D16" i="47"/>
  <c r="B17" i="48" s="1"/>
  <c r="D12" i="47"/>
  <c r="D14" i="47"/>
  <c r="B15" i="48" s="1"/>
  <c r="C15" i="48" s="1"/>
  <c r="D13" i="47"/>
  <c r="B14" i="48" s="1"/>
  <c r="C14" i="48" s="1"/>
  <c r="L44" i="34"/>
  <c r="L43" i="34"/>
  <c r="L42" i="34"/>
  <c r="L41" i="34"/>
  <c r="L40" i="34"/>
  <c r="L39" i="34"/>
  <c r="L38" i="34"/>
  <c r="L37" i="34"/>
  <c r="L36" i="34"/>
  <c r="M44" i="34"/>
  <c r="M43" i="34"/>
  <c r="M42" i="34"/>
  <c r="M41" i="34"/>
  <c r="M40" i="34"/>
  <c r="M39" i="34"/>
  <c r="M38" i="34"/>
  <c r="M37" i="34"/>
  <c r="M36" i="34"/>
  <c r="M35" i="34"/>
  <c r="L35" i="34"/>
  <c r="L197" i="34"/>
  <c r="L198" i="34"/>
  <c r="L199" i="34"/>
  <c r="L200" i="34"/>
  <c r="L201" i="34"/>
  <c r="L202" i="34"/>
  <c r="L203" i="34"/>
  <c r="L204" i="34"/>
  <c r="L205" i="34"/>
  <c r="K196" i="34"/>
  <c r="M196" i="34" s="1"/>
  <c r="L196" i="34"/>
  <c r="K197" i="34"/>
  <c r="M197" i="34" s="1"/>
  <c r="K198" i="34"/>
  <c r="M198" i="34" s="1"/>
  <c r="K199" i="34"/>
  <c r="M199" i="34" s="1"/>
  <c r="K200" i="34"/>
  <c r="M200" i="34" s="1"/>
  <c r="K201" i="34"/>
  <c r="M201" i="34" s="1"/>
  <c r="K202" i="34"/>
  <c r="M202" i="34" s="1"/>
  <c r="K203" i="34"/>
  <c r="M203" i="34" s="1"/>
  <c r="K204" i="34"/>
  <c r="M204" i="34" s="1"/>
  <c r="K205" i="34"/>
  <c r="M205" i="34" s="1"/>
  <c r="F197" i="34"/>
  <c r="F198" i="34"/>
  <c r="F199" i="34"/>
  <c r="F200" i="34"/>
  <c r="F201" i="34"/>
  <c r="F202" i="34"/>
  <c r="F203" i="34"/>
  <c r="F204" i="34"/>
  <c r="F205" i="34"/>
  <c r="E198" i="34"/>
  <c r="G197" i="34" s="1"/>
  <c r="E199" i="34"/>
  <c r="G198" i="34" s="1"/>
  <c r="E200" i="34"/>
  <c r="G199" i="34" s="1"/>
  <c r="E201" i="34"/>
  <c r="G200" i="34" s="1"/>
  <c r="E202" i="34"/>
  <c r="G201" i="34" s="1"/>
  <c r="E203" i="34"/>
  <c r="G202" i="34" s="1"/>
  <c r="E204" i="34"/>
  <c r="G203" i="34" s="1"/>
  <c r="E205" i="34"/>
  <c r="G204" i="34" s="1"/>
  <c r="E206" i="34"/>
  <c r="G205" i="34" s="1"/>
  <c r="E197" i="34"/>
  <c r="F196" i="34"/>
  <c r="AD184" i="34"/>
  <c r="AC185" i="34"/>
  <c r="AD186" i="34"/>
  <c r="AD187" i="34"/>
  <c r="AD188" i="34"/>
  <c r="AC191" i="34"/>
  <c r="AC183" i="34"/>
  <c r="V184" i="34"/>
  <c r="Y184" i="34" s="1"/>
  <c r="V185" i="34"/>
  <c r="V186" i="34"/>
  <c r="V187" i="34"/>
  <c r="V188" i="34"/>
  <c r="V189" i="34"/>
  <c r="V190" i="34"/>
  <c r="V191" i="34"/>
  <c r="V192" i="34"/>
  <c r="Y192" i="34" s="1"/>
  <c r="V183" i="34"/>
  <c r="Y183" i="34" s="1"/>
  <c r="Q184" i="34"/>
  <c r="Q186" i="34"/>
  <c r="Q187" i="34"/>
  <c r="Q188" i="34"/>
  <c r="R189" i="34"/>
  <c r="R190" i="34"/>
  <c r="Q192" i="34"/>
  <c r="R183" i="34"/>
  <c r="L183" i="34"/>
  <c r="L184" i="34"/>
  <c r="K186" i="34"/>
  <c r="L189" i="34"/>
  <c r="L190" i="34"/>
  <c r="K191" i="34"/>
  <c r="L192" i="34"/>
  <c r="F184" i="34"/>
  <c r="F187" i="34"/>
  <c r="E189" i="34"/>
  <c r="F189" i="34"/>
  <c r="F190" i="34"/>
  <c r="F192" i="34"/>
  <c r="X168" i="34"/>
  <c r="AD168" i="34"/>
  <c r="AD169" i="34"/>
  <c r="AC173" i="34"/>
  <c r="AD174" i="34"/>
  <c r="W170" i="34"/>
  <c r="W171" i="34"/>
  <c r="X172" i="34"/>
  <c r="W173" i="34"/>
  <c r="X175" i="34"/>
  <c r="Q169" i="34"/>
  <c r="R170" i="34"/>
  <c r="R171" i="34"/>
  <c r="Q172" i="34"/>
  <c r="R173" i="34"/>
  <c r="R174" i="34"/>
  <c r="Q177" i="34"/>
  <c r="R168" i="34"/>
  <c r="K169" i="34"/>
  <c r="K170" i="34"/>
  <c r="K171" i="34"/>
  <c r="L172" i="34"/>
  <c r="K173" i="34"/>
  <c r="L174" i="34"/>
  <c r="L176" i="34"/>
  <c r="F169" i="34"/>
  <c r="C9" i="46"/>
  <c r="C8" i="46"/>
  <c r="C7" i="46"/>
  <c r="O7" i="47" l="1"/>
  <c r="I13" i="42" s="1"/>
  <c r="O20" i="48"/>
  <c r="E20" i="48"/>
  <c r="AF20" i="48"/>
  <c r="V20" i="48"/>
  <c r="D20" i="48"/>
  <c r="N20" i="48"/>
  <c r="T20" i="48"/>
  <c r="AK20" i="48"/>
  <c r="Z20" i="48"/>
  <c r="A20" i="48"/>
  <c r="AC20" i="48"/>
  <c r="G20" i="48"/>
  <c r="AP20" i="48"/>
  <c r="AM20" i="48"/>
  <c r="AN20" i="48"/>
  <c r="L20" i="48"/>
  <c r="AL20" i="48"/>
  <c r="F20" i="48"/>
  <c r="Y20" i="48"/>
  <c r="H20" i="48"/>
  <c r="AM19" i="48"/>
  <c r="AP19" i="48"/>
  <c r="N35" i="34"/>
  <c r="E16" i="48"/>
  <c r="AL16" i="48"/>
  <c r="N16" i="48"/>
  <c r="AF16" i="48"/>
  <c r="F19" i="48"/>
  <c r="O19" i="48"/>
  <c r="AK16" i="48"/>
  <c r="Y19" i="48"/>
  <c r="G5" i="34"/>
  <c r="M7" i="47"/>
  <c r="G13" i="42" s="1"/>
  <c r="A16" i="48"/>
  <c r="Z16" i="48"/>
  <c r="L16" i="48"/>
  <c r="B13" i="48"/>
  <c r="C13" i="48" s="1"/>
  <c r="AN16" i="48"/>
  <c r="V16" i="48"/>
  <c r="AF19" i="48"/>
  <c r="G19" i="48"/>
  <c r="L19" i="48"/>
  <c r="T19" i="48"/>
  <c r="V19" i="48"/>
  <c r="AK19" i="48"/>
  <c r="G16" i="48"/>
  <c r="AP16" i="48"/>
  <c r="AM16" i="48"/>
  <c r="H16" i="48"/>
  <c r="Y16" i="48"/>
  <c r="F16" i="48"/>
  <c r="D16" i="48"/>
  <c r="T16" i="48"/>
  <c r="O16" i="48"/>
  <c r="AC16" i="48"/>
  <c r="E19" i="48"/>
  <c r="Z19" i="48"/>
  <c r="N19" i="48"/>
  <c r="AC19" i="48"/>
  <c r="A19" i="48"/>
  <c r="D19" i="48"/>
  <c r="AL19" i="48"/>
  <c r="H19" i="48"/>
  <c r="AN19" i="48"/>
  <c r="AF21" i="48"/>
  <c r="C21" i="48"/>
  <c r="AF17" i="48"/>
  <c r="C17" i="48"/>
  <c r="N38" i="34"/>
  <c r="X190" i="34"/>
  <c r="Y190" i="34"/>
  <c r="G196" i="34"/>
  <c r="X189" i="34"/>
  <c r="Y189" i="34"/>
  <c r="X188" i="34"/>
  <c r="Y188" i="34"/>
  <c r="W191" i="34"/>
  <c r="X187" i="34"/>
  <c r="Y187" i="34"/>
  <c r="W186" i="34"/>
  <c r="Y186" i="34"/>
  <c r="X185" i="34"/>
  <c r="T18" i="48"/>
  <c r="AC18" i="48"/>
  <c r="AK18" i="48"/>
  <c r="V18" i="48"/>
  <c r="Z18" i="48"/>
  <c r="D18" i="48"/>
  <c r="L18" i="48"/>
  <c r="H18" i="48"/>
  <c r="Y18" i="48"/>
  <c r="AL18" i="48"/>
  <c r="N18" i="48"/>
  <c r="O18" i="48"/>
  <c r="AP18" i="48"/>
  <c r="AN18" i="48"/>
  <c r="AM18" i="48"/>
  <c r="E18" i="48"/>
  <c r="G18" i="48"/>
  <c r="F18" i="48"/>
  <c r="A18" i="48"/>
  <c r="AF18" i="48"/>
  <c r="AC15" i="48"/>
  <c r="O15" i="48"/>
  <c r="T15" i="48"/>
  <c r="D15" i="48"/>
  <c r="V15" i="48"/>
  <c r="AM15" i="48"/>
  <c r="H15" i="48"/>
  <c r="AL15" i="48"/>
  <c r="AN15" i="48"/>
  <c r="L15" i="48"/>
  <c r="Z15" i="48"/>
  <c r="N15" i="48"/>
  <c r="AK15" i="48"/>
  <c r="AP15" i="48"/>
  <c r="Y15" i="48"/>
  <c r="E15" i="48"/>
  <c r="F15" i="48"/>
  <c r="G15" i="48"/>
  <c r="A15" i="48"/>
  <c r="AF15" i="48"/>
  <c r="H17" i="48"/>
  <c r="T17" i="48"/>
  <c r="L17" i="48"/>
  <c r="AM17" i="48"/>
  <c r="Y17" i="48"/>
  <c r="AC17" i="48"/>
  <c r="AN17" i="48"/>
  <c r="Z17" i="48"/>
  <c r="AK17" i="48"/>
  <c r="N17" i="48"/>
  <c r="D17" i="48"/>
  <c r="O17" i="48"/>
  <c r="V17" i="48"/>
  <c r="AP17" i="48"/>
  <c r="AL17" i="48"/>
  <c r="F17" i="48"/>
  <c r="E17" i="48"/>
  <c r="G17" i="48"/>
  <c r="A17" i="48"/>
  <c r="H21" i="48"/>
  <c r="T21" i="48"/>
  <c r="AM21" i="48"/>
  <c r="N21" i="48"/>
  <c r="AC21" i="48"/>
  <c r="AL21" i="48"/>
  <c r="AN21" i="48"/>
  <c r="L21" i="48"/>
  <c r="AP21" i="48"/>
  <c r="AK21" i="48"/>
  <c r="O21" i="48"/>
  <c r="Z21" i="48"/>
  <c r="Y21" i="48"/>
  <c r="D21" i="48"/>
  <c r="V21" i="48"/>
  <c r="F21" i="48"/>
  <c r="G21" i="48"/>
  <c r="E21" i="48"/>
  <c r="A21" i="48"/>
  <c r="N22" i="48"/>
  <c r="AP22" i="48"/>
  <c r="V22" i="48"/>
  <c r="AK22" i="48"/>
  <c r="AM22" i="48"/>
  <c r="AL22" i="48"/>
  <c r="AC22" i="48"/>
  <c r="H22" i="48"/>
  <c r="AN22" i="48"/>
  <c r="D22" i="48"/>
  <c r="Z22" i="48"/>
  <c r="L22" i="48"/>
  <c r="Y22" i="48"/>
  <c r="T22" i="48"/>
  <c r="O22" i="48"/>
  <c r="G22" i="48"/>
  <c r="E22" i="48"/>
  <c r="F22" i="48"/>
  <c r="A22" i="48"/>
  <c r="AC14" i="48"/>
  <c r="AP14" i="48"/>
  <c r="V14" i="48"/>
  <c r="O14" i="48"/>
  <c r="AM14" i="48"/>
  <c r="AK14" i="48"/>
  <c r="AL14" i="48"/>
  <c r="D14" i="48"/>
  <c r="N14" i="48"/>
  <c r="AN14" i="48"/>
  <c r="H14" i="48"/>
  <c r="Z14" i="48"/>
  <c r="Y14" i="48"/>
  <c r="T14" i="48"/>
  <c r="L14" i="48"/>
  <c r="G14" i="48"/>
  <c r="E14" i="48"/>
  <c r="F14" i="48"/>
  <c r="A14" i="48"/>
  <c r="AF14" i="48"/>
  <c r="AF22" i="48"/>
  <c r="B54" i="48"/>
  <c r="C54" i="48" s="1"/>
  <c r="N44" i="34"/>
  <c r="C12" i="47"/>
  <c r="L7" i="47" s="1"/>
  <c r="N39" i="34"/>
  <c r="O36" i="34"/>
  <c r="O40" i="34"/>
  <c r="O44" i="34"/>
  <c r="S39" i="34"/>
  <c r="O39" i="34"/>
  <c r="S43" i="34"/>
  <c r="O43" i="34"/>
  <c r="P37" i="34"/>
  <c r="T37" i="34"/>
  <c r="P41" i="34"/>
  <c r="T41" i="34"/>
  <c r="S36" i="34"/>
  <c r="N36" i="34"/>
  <c r="S40" i="34"/>
  <c r="N40" i="34"/>
  <c r="S44" i="34"/>
  <c r="N43" i="34"/>
  <c r="P38" i="34"/>
  <c r="T38" i="34"/>
  <c r="P42" i="34"/>
  <c r="T42" i="34"/>
  <c r="O35" i="34"/>
  <c r="S35" i="34"/>
  <c r="S37" i="34"/>
  <c r="N37" i="34"/>
  <c r="O37" i="34"/>
  <c r="S41" i="34"/>
  <c r="O41" i="34"/>
  <c r="N41" i="34"/>
  <c r="P39" i="34"/>
  <c r="T39" i="34"/>
  <c r="P43" i="34"/>
  <c r="T43" i="34"/>
  <c r="S38" i="34"/>
  <c r="O38" i="34"/>
  <c r="S42" i="34"/>
  <c r="N42" i="34"/>
  <c r="O42" i="34"/>
  <c r="P36" i="34"/>
  <c r="T36" i="34"/>
  <c r="P40" i="34"/>
  <c r="T40" i="34"/>
  <c r="P44" i="34"/>
  <c r="T44" i="34"/>
  <c r="P35" i="34"/>
  <c r="T35" i="34"/>
  <c r="K185" i="34"/>
  <c r="K188" i="34"/>
  <c r="E171" i="34"/>
  <c r="K190" i="34"/>
  <c r="M190" i="34" s="1"/>
  <c r="Q168" i="34"/>
  <c r="L168" i="34"/>
  <c r="E184" i="34"/>
  <c r="K168" i="34"/>
  <c r="M168" i="34" s="1"/>
  <c r="W176" i="34"/>
  <c r="K187" i="34"/>
  <c r="K184" i="34"/>
  <c r="R184" i="34"/>
  <c r="E172" i="34"/>
  <c r="R192" i="34"/>
  <c r="AC172" i="34"/>
  <c r="W192" i="34"/>
  <c r="L185" i="34"/>
  <c r="W185" i="34"/>
  <c r="Y185" i="34" s="1"/>
  <c r="X184" i="34"/>
  <c r="K177" i="34"/>
  <c r="AD173" i="34"/>
  <c r="AE173" i="34" s="1"/>
  <c r="E191" i="34"/>
  <c r="AD172" i="34"/>
  <c r="E186" i="34"/>
  <c r="AD171" i="34"/>
  <c r="F188" i="34"/>
  <c r="G188" i="34" s="1"/>
  <c r="AC188" i="34"/>
  <c r="L173" i="34"/>
  <c r="Q176" i="34"/>
  <c r="F185" i="34"/>
  <c r="L188" i="34"/>
  <c r="AD185" i="34"/>
  <c r="AE185" i="34" s="1"/>
  <c r="L171" i="34"/>
  <c r="L170" i="34"/>
  <c r="M170" i="34" s="1"/>
  <c r="X173" i="34"/>
  <c r="X192" i="34"/>
  <c r="K175" i="34"/>
  <c r="Q170" i="34"/>
  <c r="S170" i="34" s="1"/>
  <c r="AC177" i="34"/>
  <c r="AD170" i="34"/>
  <c r="E188" i="34"/>
  <c r="L187" i="34"/>
  <c r="R185" i="34"/>
  <c r="W184" i="34"/>
  <c r="AC190" i="34"/>
  <c r="Q171" i="34"/>
  <c r="R187" i="34"/>
  <c r="R172" i="34"/>
  <c r="AC171" i="34"/>
  <c r="X191" i="34"/>
  <c r="Y191" i="34" s="1"/>
  <c r="AC170" i="34"/>
  <c r="F191" i="34"/>
  <c r="X186" i="34"/>
  <c r="AD191" i="34"/>
  <c r="AE191" i="34" s="1"/>
  <c r="R169" i="34"/>
  <c r="AC169" i="34"/>
  <c r="Q185" i="34"/>
  <c r="Q173" i="34"/>
  <c r="E192" i="34"/>
  <c r="W190" i="34"/>
  <c r="W183" i="34"/>
  <c r="F183" i="34"/>
  <c r="W169" i="34"/>
  <c r="K176" i="34"/>
  <c r="L175" i="34"/>
  <c r="X171" i="34"/>
  <c r="Y171" i="34" s="1"/>
  <c r="Q175" i="34"/>
  <c r="R177" i="34"/>
  <c r="W177" i="34"/>
  <c r="X170" i="34"/>
  <c r="Y170" i="34" s="1"/>
  <c r="AC176" i="34"/>
  <c r="AD177" i="34"/>
  <c r="E187" i="34"/>
  <c r="K192" i="34"/>
  <c r="R188" i="34"/>
  <c r="W189" i="34"/>
  <c r="AC189" i="34"/>
  <c r="AD190" i="34"/>
  <c r="Q174" i="34"/>
  <c r="R176" i="34"/>
  <c r="X169" i="34"/>
  <c r="AC175" i="34"/>
  <c r="AD176" i="34"/>
  <c r="F186" i="34"/>
  <c r="L191" i="34"/>
  <c r="W188" i="34"/>
  <c r="AD189" i="34"/>
  <c r="R175" i="34"/>
  <c r="W175" i="34"/>
  <c r="X177" i="34"/>
  <c r="AC174" i="34"/>
  <c r="AD175" i="34"/>
  <c r="E185" i="34"/>
  <c r="R186" i="34"/>
  <c r="W187" i="34"/>
  <c r="AC187" i="34"/>
  <c r="K172" i="34"/>
  <c r="X176" i="34"/>
  <c r="E193" i="34"/>
  <c r="AC186" i="34"/>
  <c r="W172" i="34"/>
  <c r="AC184" i="34"/>
  <c r="L177" i="34"/>
  <c r="L169" i="34"/>
  <c r="M169" i="34" s="1"/>
  <c r="L186" i="34"/>
  <c r="AD183" i="34"/>
  <c r="K183" i="34"/>
  <c r="X183" i="34"/>
  <c r="Q183" i="34"/>
  <c r="Q191" i="34"/>
  <c r="Q190" i="34"/>
  <c r="S190" i="34" s="1"/>
  <c r="R191" i="34"/>
  <c r="Q189" i="34"/>
  <c r="E190" i="34"/>
  <c r="G189" i="34" s="1"/>
  <c r="W174" i="34"/>
  <c r="X174" i="34"/>
  <c r="K189" i="34"/>
  <c r="M189" i="34" s="1"/>
  <c r="W168" i="34"/>
  <c r="AC168" i="34"/>
  <c r="K174" i="34"/>
  <c r="E170" i="34"/>
  <c r="G169" i="34" s="1"/>
  <c r="F170" i="34"/>
  <c r="F168" i="34"/>
  <c r="G168" i="34" s="1"/>
  <c r="N16" i="44"/>
  <c r="N17" i="44"/>
  <c r="N18" i="44"/>
  <c r="N19" i="44"/>
  <c r="N20" i="44"/>
  <c r="N21" i="44"/>
  <c r="N22" i="44"/>
  <c r="N23" i="44"/>
  <c r="N24" i="44"/>
  <c r="C7" i="44"/>
  <c r="C8" i="44"/>
  <c r="C9" i="44"/>
  <c r="F125" i="34"/>
  <c r="F126" i="34"/>
  <c r="F127" i="34"/>
  <c r="D16" i="44" l="1" a="1"/>
  <c r="D16" i="44" s="1"/>
  <c r="O16" i="44" s="1"/>
  <c r="D17" i="44" a="1"/>
  <c r="D17" i="44" s="1"/>
  <c r="D21" i="44" a="1"/>
  <c r="D21" i="44" s="1"/>
  <c r="B61" i="48" s="1"/>
  <c r="C61" i="48" s="1"/>
  <c r="D22" i="44" a="1"/>
  <c r="D22" i="44" s="1"/>
  <c r="B62" i="48" s="1"/>
  <c r="C62" i="48" s="1"/>
  <c r="D20" i="44" a="1"/>
  <c r="D20" i="44" s="1"/>
  <c r="B60" i="48" s="1"/>
  <c r="C60" i="48" s="1"/>
  <c r="D18" i="44" a="1"/>
  <c r="D18" i="44" s="1"/>
  <c r="D19" i="44" a="1"/>
  <c r="D19" i="44" s="1"/>
  <c r="B59" i="48" s="1"/>
  <c r="C59" i="48" s="1"/>
  <c r="D23" i="44" a="1"/>
  <c r="D23" i="44" s="1"/>
  <c r="B63" i="48" s="1"/>
  <c r="C63" i="48" s="1"/>
  <c r="Q38" i="34"/>
  <c r="O13" i="48"/>
  <c r="A13" i="48"/>
  <c r="AM13" i="48"/>
  <c r="V13" i="48"/>
  <c r="Z13" i="48"/>
  <c r="F13" i="48"/>
  <c r="AP13" i="48"/>
  <c r="AK13" i="48"/>
  <c r="T13" i="48"/>
  <c r="E13" i="48"/>
  <c r="AL13" i="48"/>
  <c r="L13" i="48"/>
  <c r="N13" i="48"/>
  <c r="D13" i="48"/>
  <c r="AN13" i="48"/>
  <c r="AF13" i="48"/>
  <c r="H13" i="42"/>
  <c r="G13" i="48"/>
  <c r="Y13" i="48"/>
  <c r="AC13" i="48"/>
  <c r="H13" i="48"/>
  <c r="AE177" i="34"/>
  <c r="AE172" i="34"/>
  <c r="G170" i="34"/>
  <c r="D17" i="46" s="1"/>
  <c r="Q41" i="34"/>
  <c r="Q37" i="34"/>
  <c r="Q43" i="34"/>
  <c r="Q36" i="34"/>
  <c r="Q44" i="34"/>
  <c r="Q35" i="34"/>
  <c r="Q40" i="34"/>
  <c r="Q39" i="34"/>
  <c r="Q42" i="34"/>
  <c r="AZ54" i="48"/>
  <c r="BA54" i="48"/>
  <c r="S54" i="48"/>
  <c r="X54" i="48"/>
  <c r="AP54" i="48"/>
  <c r="AF54" i="48"/>
  <c r="AN54" i="48"/>
  <c r="AM54" i="48"/>
  <c r="AK54" i="48"/>
  <c r="AL54" i="48"/>
  <c r="E54" i="48"/>
  <c r="G54" i="48"/>
  <c r="F54" i="48"/>
  <c r="A54" i="48"/>
  <c r="D54" i="48"/>
  <c r="B64" i="48"/>
  <c r="C64" i="48" s="1"/>
  <c r="D16" i="46"/>
  <c r="U42" i="34"/>
  <c r="V42" i="34" s="1"/>
  <c r="U35" i="34"/>
  <c r="V35" i="34" s="1"/>
  <c r="U38" i="34"/>
  <c r="V38" i="34" s="1"/>
  <c r="U41" i="34"/>
  <c r="V41" i="34" s="1"/>
  <c r="U37" i="34"/>
  <c r="V37" i="34" s="1"/>
  <c r="U44" i="34"/>
  <c r="V44" i="34" s="1"/>
  <c r="U36" i="34"/>
  <c r="V36" i="34" s="1"/>
  <c r="U39" i="34"/>
  <c r="V39" i="34" s="1"/>
  <c r="U40" i="34"/>
  <c r="V40" i="34" s="1"/>
  <c r="U43" i="34"/>
  <c r="V43" i="34" s="1"/>
  <c r="F171" i="34"/>
  <c r="C16" i="44" l="1"/>
  <c r="N17" i="46"/>
  <c r="C17" i="46"/>
  <c r="K16" i="46"/>
  <c r="B44" i="48" s="1"/>
  <c r="C44" i="48" s="1"/>
  <c r="N16" i="46"/>
  <c r="C16" i="46"/>
  <c r="O17" i="44"/>
  <c r="C17" i="44"/>
  <c r="C23" i="44"/>
  <c r="AF63" i="48" s="1"/>
  <c r="O23" i="44"/>
  <c r="C19" i="44"/>
  <c r="O19" i="44"/>
  <c r="C18" i="44"/>
  <c r="O18" i="44"/>
  <c r="C20" i="44"/>
  <c r="O20" i="44"/>
  <c r="O22" i="44"/>
  <c r="O9" i="44" s="1"/>
  <c r="I19" i="42" s="1"/>
  <c r="C22" i="44"/>
  <c r="C21" i="44"/>
  <c r="O21" i="44"/>
  <c r="W44" i="34"/>
  <c r="O21" i="33" s="1"/>
  <c r="I44" i="34"/>
  <c r="C21" i="33" s="1"/>
  <c r="W43" i="34"/>
  <c r="O20" i="33" s="1"/>
  <c r="I43" i="34"/>
  <c r="C20" i="33" s="1"/>
  <c r="I40" i="34"/>
  <c r="C17" i="33" s="1"/>
  <c r="W40" i="34"/>
  <c r="O17" i="33" s="1"/>
  <c r="W37" i="34"/>
  <c r="O14" i="33" s="1"/>
  <c r="I37" i="34"/>
  <c r="C14" i="33" s="1"/>
  <c r="W35" i="34"/>
  <c r="O12" i="33" s="1"/>
  <c r="I35" i="34"/>
  <c r="C12" i="33" s="1"/>
  <c r="W36" i="34"/>
  <c r="O13" i="33" s="1"/>
  <c r="I36" i="34"/>
  <c r="C13" i="33" s="1"/>
  <c r="I42" i="34"/>
  <c r="C19" i="33" s="1"/>
  <c r="W42" i="34"/>
  <c r="O19" i="33" s="1"/>
  <c r="W41" i="34"/>
  <c r="O18" i="33" s="1"/>
  <c r="I41" i="34"/>
  <c r="C18" i="33" s="1"/>
  <c r="W39" i="34"/>
  <c r="O16" i="33" s="1"/>
  <c r="I39" i="34"/>
  <c r="C16" i="33" s="1"/>
  <c r="W38" i="34"/>
  <c r="O15" i="33" s="1"/>
  <c r="I38" i="34"/>
  <c r="C15" i="33" s="1"/>
  <c r="R37" i="34"/>
  <c r="N14" i="33" s="1"/>
  <c r="R36" i="34"/>
  <c r="N13" i="33" s="1"/>
  <c r="G171" i="34"/>
  <c r="D18" i="46" s="1"/>
  <c r="R43" i="34"/>
  <c r="N20" i="33" s="1"/>
  <c r="R42" i="34"/>
  <c r="N19" i="33" s="1"/>
  <c r="R44" i="34"/>
  <c r="N21" i="33" s="1"/>
  <c r="R35" i="34"/>
  <c r="N12" i="33" s="1"/>
  <c r="D14" i="33"/>
  <c r="H64" i="48"/>
  <c r="AX64" i="48"/>
  <c r="AY64" i="48"/>
  <c r="H63" i="48"/>
  <c r="AX63" i="48"/>
  <c r="AY63" i="48"/>
  <c r="H62" i="48"/>
  <c r="AX62" i="48"/>
  <c r="AY62" i="48"/>
  <c r="H59" i="48"/>
  <c r="AY59" i="48"/>
  <c r="AX59" i="48"/>
  <c r="H60" i="48"/>
  <c r="AY60" i="48"/>
  <c r="AX60" i="48"/>
  <c r="H61" i="48"/>
  <c r="AX61" i="48"/>
  <c r="AY61" i="48"/>
  <c r="R39" i="34"/>
  <c r="N16" i="33" s="1"/>
  <c r="R40" i="34"/>
  <c r="N17" i="33" s="1"/>
  <c r="R41" i="34"/>
  <c r="N18" i="33" s="1"/>
  <c r="D15" i="33"/>
  <c r="R38" i="34"/>
  <c r="N15" i="33" s="1"/>
  <c r="AP64" i="48"/>
  <c r="AF64" i="48"/>
  <c r="AP63" i="48"/>
  <c r="AF62" i="48"/>
  <c r="AP62" i="48"/>
  <c r="AP61" i="48"/>
  <c r="AF61" i="48"/>
  <c r="AP60" i="48"/>
  <c r="AF60" i="48"/>
  <c r="AP59" i="48"/>
  <c r="AF59" i="48"/>
  <c r="AM59" i="48"/>
  <c r="AK59" i="48"/>
  <c r="AN59" i="48"/>
  <c r="AL59" i="48"/>
  <c r="AK64" i="48"/>
  <c r="AL64" i="48"/>
  <c r="AN64" i="48"/>
  <c r="AM64" i="48"/>
  <c r="AL62" i="48"/>
  <c r="AM62" i="48"/>
  <c r="AN62" i="48"/>
  <c r="AK62" i="48"/>
  <c r="AM61" i="48"/>
  <c r="AK61" i="48"/>
  <c r="AN61" i="48"/>
  <c r="AL61" i="48"/>
  <c r="AN63" i="48"/>
  <c r="AK63" i="48"/>
  <c r="AL63" i="48"/>
  <c r="AM63" i="48"/>
  <c r="AM60" i="48"/>
  <c r="AL60" i="48"/>
  <c r="AN60" i="48"/>
  <c r="AK60" i="48"/>
  <c r="L60" i="48"/>
  <c r="I60" i="48"/>
  <c r="L61" i="48"/>
  <c r="I61" i="48"/>
  <c r="L63" i="48"/>
  <c r="I63" i="48"/>
  <c r="L64" i="48"/>
  <c r="I64" i="48"/>
  <c r="L59" i="48"/>
  <c r="I59" i="48"/>
  <c r="L62" i="48"/>
  <c r="I62" i="48"/>
  <c r="F60" i="48"/>
  <c r="G60" i="48"/>
  <c r="E61" i="48"/>
  <c r="F61" i="48"/>
  <c r="G61" i="48"/>
  <c r="E63" i="48"/>
  <c r="F63" i="48"/>
  <c r="G63" i="48"/>
  <c r="G64" i="48"/>
  <c r="F64" i="48"/>
  <c r="F59" i="48"/>
  <c r="G59" i="48"/>
  <c r="F62" i="48"/>
  <c r="G62" i="48"/>
  <c r="D16" i="33"/>
  <c r="D62" i="48"/>
  <c r="E62" i="48"/>
  <c r="D59" i="48"/>
  <c r="E59" i="48"/>
  <c r="D60" i="48"/>
  <c r="E60" i="48"/>
  <c r="D64" i="48"/>
  <c r="E64" i="48"/>
  <c r="A61" i="48"/>
  <c r="D61" i="48"/>
  <c r="A63" i="48"/>
  <c r="D63" i="48"/>
  <c r="A60" i="48"/>
  <c r="A59" i="48"/>
  <c r="A62" i="48"/>
  <c r="A64" i="48"/>
  <c r="B57" i="48"/>
  <c r="C57" i="48" s="1"/>
  <c r="B58" i="48"/>
  <c r="C58" i="48" s="1"/>
  <c r="B56" i="48"/>
  <c r="C56" i="48" s="1"/>
  <c r="D18" i="33"/>
  <c r="D17" i="33"/>
  <c r="D19" i="33"/>
  <c r="D21" i="33"/>
  <c r="D20" i="33"/>
  <c r="D15" i="46"/>
  <c r="D12" i="33"/>
  <c r="D13" i="33"/>
  <c r="K17" i="46"/>
  <c r="B45" i="48" s="1"/>
  <c r="C45" i="48" s="1"/>
  <c r="F172" i="34"/>
  <c r="E173" i="34"/>
  <c r="L9" i="44"/>
  <c r="G19" i="42" s="1"/>
  <c r="O7" i="33" l="1"/>
  <c r="I12" i="42" s="1"/>
  <c r="M9" i="44"/>
  <c r="H19" i="42" s="1"/>
  <c r="AN44" i="48"/>
  <c r="G44" i="48"/>
  <c r="F44" i="48"/>
  <c r="AK44" i="48"/>
  <c r="BB44" i="48"/>
  <c r="E44" i="48"/>
  <c r="K44" i="48"/>
  <c r="D44" i="48"/>
  <c r="AF44" i="48"/>
  <c r="AL44" i="48"/>
  <c r="BC44" i="48"/>
  <c r="N18" i="46"/>
  <c r="C18" i="46"/>
  <c r="K15" i="46"/>
  <c r="B43" i="48" s="1"/>
  <c r="C43" i="48" s="1"/>
  <c r="N15" i="46"/>
  <c r="C15" i="46"/>
  <c r="AM44" i="48"/>
  <c r="A44" i="48"/>
  <c r="AP44" i="48"/>
  <c r="S44" i="48"/>
  <c r="B5" i="48"/>
  <c r="C5" i="48" s="1"/>
  <c r="L7" i="33"/>
  <c r="H12" i="42" s="1"/>
  <c r="B3" i="48"/>
  <c r="C3" i="48" s="1"/>
  <c r="M7" i="33"/>
  <c r="G12" i="42" s="1"/>
  <c r="K18" i="46"/>
  <c r="B46" i="48" s="1"/>
  <c r="C46" i="48" s="1"/>
  <c r="G172" i="34"/>
  <c r="D19" i="46" s="1"/>
  <c r="B6" i="48"/>
  <c r="C6" i="48" s="1"/>
  <c r="K45" i="48"/>
  <c r="BB45" i="48"/>
  <c r="S45" i="48"/>
  <c r="BC45" i="48"/>
  <c r="H58" i="48"/>
  <c r="AX58" i="48"/>
  <c r="AY58" i="48"/>
  <c r="H56" i="48"/>
  <c r="AX56" i="48"/>
  <c r="AY56" i="48"/>
  <c r="H57" i="48"/>
  <c r="AX57" i="48"/>
  <c r="AY57" i="48"/>
  <c r="N7" i="33"/>
  <c r="J12" i="42" s="1"/>
  <c r="AP45" i="48"/>
  <c r="AF45" i="48"/>
  <c r="AP56" i="48"/>
  <c r="AF56" i="48"/>
  <c r="AP58" i="48"/>
  <c r="AF58" i="48"/>
  <c r="AF57" i="48"/>
  <c r="AP57" i="48"/>
  <c r="B12" i="48"/>
  <c r="C12" i="48" s="1"/>
  <c r="B10" i="48"/>
  <c r="C10" i="48" s="1"/>
  <c r="B7" i="48"/>
  <c r="C7" i="48" s="1"/>
  <c r="B11" i="48"/>
  <c r="C11" i="48" s="1"/>
  <c r="B8" i="48"/>
  <c r="C8" i="48" s="1"/>
  <c r="B9" i="48"/>
  <c r="C9" i="48" s="1"/>
  <c r="B4" i="48"/>
  <c r="C4" i="48" s="1"/>
  <c r="AN56" i="48"/>
  <c r="AL56" i="48"/>
  <c r="AK56" i="48"/>
  <c r="AM56" i="48"/>
  <c r="AM58" i="48"/>
  <c r="AK58" i="48"/>
  <c r="AN58" i="48"/>
  <c r="AL58" i="48"/>
  <c r="AK57" i="48"/>
  <c r="AN57" i="48"/>
  <c r="AL57" i="48"/>
  <c r="AM57" i="48"/>
  <c r="AL45" i="48"/>
  <c r="AM45" i="48"/>
  <c r="AK45" i="48"/>
  <c r="AN45" i="48"/>
  <c r="L56" i="48"/>
  <c r="I56" i="48"/>
  <c r="L58" i="48"/>
  <c r="I58" i="48"/>
  <c r="L57" i="48"/>
  <c r="I57" i="48"/>
  <c r="G56" i="48"/>
  <c r="F56" i="48"/>
  <c r="G58" i="48"/>
  <c r="F58" i="48"/>
  <c r="G57" i="48"/>
  <c r="F57" i="48"/>
  <c r="F45" i="48"/>
  <c r="G45" i="48"/>
  <c r="D45" i="48"/>
  <c r="E45" i="48"/>
  <c r="D56" i="48"/>
  <c r="E56" i="48"/>
  <c r="D58" i="48"/>
  <c r="E58" i="48"/>
  <c r="D57" i="48"/>
  <c r="E57" i="48"/>
  <c r="A58" i="48"/>
  <c r="A57" i="48"/>
  <c r="A56" i="48"/>
  <c r="A45" i="48"/>
  <c r="E174" i="34"/>
  <c r="F173" i="34"/>
  <c r="B33" i="48"/>
  <c r="C33" i="48" s="1"/>
  <c r="N15" i="44"/>
  <c r="B55" i="48" s="1"/>
  <c r="C55" i="48" s="1"/>
  <c r="AP43" i="48" l="1"/>
  <c r="AL43" i="48"/>
  <c r="AN43" i="48"/>
  <c r="AM43" i="48"/>
  <c r="F43" i="48"/>
  <c r="AF43" i="48"/>
  <c r="A43" i="48"/>
  <c r="G43" i="48"/>
  <c r="AK43" i="48"/>
  <c r="BB43" i="48"/>
  <c r="E43" i="48"/>
  <c r="D43" i="48"/>
  <c r="S43" i="48"/>
  <c r="K43" i="48"/>
  <c r="K19" i="46"/>
  <c r="B47" i="48" s="1"/>
  <c r="C47" i="48" s="1"/>
  <c r="N19" i="46"/>
  <c r="C19" i="46"/>
  <c r="BC43" i="48"/>
  <c r="O3" i="48"/>
  <c r="AM3" i="48"/>
  <c r="G3" i="48"/>
  <c r="N3" i="48"/>
  <c r="AL3" i="48"/>
  <c r="AK3" i="48"/>
  <c r="AV5" i="48"/>
  <c r="AM5" i="48"/>
  <c r="L5" i="48"/>
  <c r="H5" i="48"/>
  <c r="Y5" i="48"/>
  <c r="K5" i="48"/>
  <c r="AP5" i="48"/>
  <c r="AU5" i="48"/>
  <c r="AC5" i="48"/>
  <c r="V5" i="48"/>
  <c r="AJ5" i="48"/>
  <c r="AR5" i="48"/>
  <c r="AS5" i="48"/>
  <c r="AN5" i="48"/>
  <c r="AQ5" i="48"/>
  <c r="AF5" i="48"/>
  <c r="AK5" i="48"/>
  <c r="D5" i="48"/>
  <c r="O5" i="48"/>
  <c r="F5" i="48"/>
  <c r="E5" i="48"/>
  <c r="A5" i="48"/>
  <c r="T5" i="48"/>
  <c r="AL5" i="48"/>
  <c r="N5" i="48"/>
  <c r="G5" i="48"/>
  <c r="Z5" i="48"/>
  <c r="L3" i="48"/>
  <c r="E3" i="48"/>
  <c r="A3" i="48"/>
  <c r="H3" i="48"/>
  <c r="Z3" i="48"/>
  <c r="Y3" i="48"/>
  <c r="K3" i="48"/>
  <c r="D3" i="48"/>
  <c r="F3" i="48"/>
  <c r="V3" i="48"/>
  <c r="AF3" i="48"/>
  <c r="AP3" i="48"/>
  <c r="AV3" i="48"/>
  <c r="AN3" i="48"/>
  <c r="AW3" i="48"/>
  <c r="AW5" i="48"/>
  <c r="AT5" i="48"/>
  <c r="A6" i="48"/>
  <c r="O6" i="48"/>
  <c r="AN6" i="48"/>
  <c r="G6" i="48"/>
  <c r="AC6" i="48"/>
  <c r="AL6" i="48"/>
  <c r="AP6" i="48"/>
  <c r="AR6" i="48"/>
  <c r="AS6" i="48"/>
  <c r="N6" i="48"/>
  <c r="AQ6" i="48"/>
  <c r="D6" i="48"/>
  <c r="Y6" i="48"/>
  <c r="H6" i="48"/>
  <c r="L6" i="48"/>
  <c r="AK6" i="48"/>
  <c r="AF6" i="48"/>
  <c r="AS3" i="48"/>
  <c r="AC3" i="48"/>
  <c r="T3" i="48"/>
  <c r="AJ3" i="48"/>
  <c r="AU3" i="48"/>
  <c r="AT3" i="48"/>
  <c r="AR3" i="48"/>
  <c r="AQ3" i="48"/>
  <c r="A46" i="48"/>
  <c r="F46" i="48"/>
  <c r="AK46" i="48"/>
  <c r="S46" i="48"/>
  <c r="E46" i="48"/>
  <c r="AM46" i="48"/>
  <c r="D46" i="48"/>
  <c r="AN46" i="48"/>
  <c r="AF46" i="48"/>
  <c r="K46" i="48"/>
  <c r="AP46" i="48"/>
  <c r="BB46" i="48"/>
  <c r="G46" i="48"/>
  <c r="AL46" i="48"/>
  <c r="BC46" i="48"/>
  <c r="G173" i="34"/>
  <c r="D20" i="46" s="1"/>
  <c r="Z6" i="48"/>
  <c r="AW6" i="48"/>
  <c r="AU6" i="48"/>
  <c r="D11" i="48"/>
  <c r="AM6" i="48"/>
  <c r="V6" i="48"/>
  <c r="E6" i="48"/>
  <c r="F6" i="48"/>
  <c r="K6" i="48"/>
  <c r="AJ6" i="48"/>
  <c r="T6" i="48"/>
  <c r="AV6" i="48"/>
  <c r="AT6" i="48"/>
  <c r="AR4" i="48"/>
  <c r="AU4" i="48"/>
  <c r="AT4" i="48"/>
  <c r="AS4" i="48"/>
  <c r="AW4" i="48"/>
  <c r="AQ4" i="48"/>
  <c r="AV4" i="48"/>
  <c r="AQ11" i="48"/>
  <c r="AV11" i="48"/>
  <c r="AR11" i="48"/>
  <c r="AU11" i="48"/>
  <c r="AT11" i="48"/>
  <c r="AS11" i="48"/>
  <c r="AW11" i="48"/>
  <c r="Z12" i="48"/>
  <c r="AS12" i="48"/>
  <c r="AW12" i="48"/>
  <c r="AQ12" i="48"/>
  <c r="AV12" i="48"/>
  <c r="AR12" i="48"/>
  <c r="AU12" i="48"/>
  <c r="AT12" i="48"/>
  <c r="AG33" i="48"/>
  <c r="AE33" i="48"/>
  <c r="H55" i="48"/>
  <c r="AX55" i="48"/>
  <c r="AY55" i="48"/>
  <c r="AQ10" i="48"/>
  <c r="AV10" i="48"/>
  <c r="AR10" i="48"/>
  <c r="AU10" i="48"/>
  <c r="AT10" i="48"/>
  <c r="AS10" i="48"/>
  <c r="AW10" i="48"/>
  <c r="AS8" i="48"/>
  <c r="AU8" i="48"/>
  <c r="AQ8" i="48"/>
  <c r="AT8" i="48"/>
  <c r="AV8" i="48"/>
  <c r="AW8" i="48"/>
  <c r="AR8" i="48"/>
  <c r="AR7" i="48"/>
  <c r="AS7" i="48"/>
  <c r="AT7" i="48"/>
  <c r="AU7" i="48"/>
  <c r="AV7" i="48"/>
  <c r="AW7" i="48"/>
  <c r="AQ7" i="48"/>
  <c r="AW9" i="48"/>
  <c r="AQ9" i="48"/>
  <c r="AT9" i="48"/>
  <c r="AR9" i="48"/>
  <c r="AS9" i="48"/>
  <c r="AU9" i="48"/>
  <c r="AV9" i="48"/>
  <c r="H8" i="48"/>
  <c r="Z8" i="48"/>
  <c r="T8" i="48"/>
  <c r="Z4" i="48"/>
  <c r="T4" i="48"/>
  <c r="H4" i="48"/>
  <c r="H11" i="48"/>
  <c r="Z11" i="48"/>
  <c r="T11" i="48"/>
  <c r="Q33" i="48"/>
  <c r="S33" i="48"/>
  <c r="AD33" i="48"/>
  <c r="Z7" i="48"/>
  <c r="T7" i="48"/>
  <c r="H7" i="48"/>
  <c r="T9" i="48"/>
  <c r="H9" i="48"/>
  <c r="Z9" i="48"/>
  <c r="L10" i="48"/>
  <c r="T10" i="48"/>
  <c r="H10" i="48"/>
  <c r="Z10" i="48"/>
  <c r="AM12" i="48"/>
  <c r="H12" i="48"/>
  <c r="T12" i="48"/>
  <c r="AP33" i="48"/>
  <c r="AP4" i="48"/>
  <c r="AJ4" i="48"/>
  <c r="V12" i="48"/>
  <c r="AJ9" i="48"/>
  <c r="AP9" i="48"/>
  <c r="AJ8" i="48"/>
  <c r="AP8" i="48"/>
  <c r="AJ11" i="48"/>
  <c r="AP11" i="48"/>
  <c r="AM10" i="48"/>
  <c r="E10" i="48"/>
  <c r="G12" i="48"/>
  <c r="AJ12" i="48"/>
  <c r="AP12" i="48"/>
  <c r="A12" i="48"/>
  <c r="F12" i="48"/>
  <c r="L12" i="48"/>
  <c r="AJ10" i="48"/>
  <c r="AP10" i="48"/>
  <c r="AK10" i="48"/>
  <c r="D10" i="48"/>
  <c r="F11" i="48"/>
  <c r="AL12" i="48"/>
  <c r="E12" i="48"/>
  <c r="AP7" i="48"/>
  <c r="AJ7" i="48"/>
  <c r="AP55" i="48"/>
  <c r="AF55" i="48"/>
  <c r="AN4" i="48"/>
  <c r="AF4" i="48"/>
  <c r="Y4" i="48"/>
  <c r="Y11" i="48"/>
  <c r="AF11" i="48"/>
  <c r="D12" i="48"/>
  <c r="AF12" i="48"/>
  <c r="Y12" i="48"/>
  <c r="G4" i="48"/>
  <c r="E4" i="48"/>
  <c r="AM11" i="48"/>
  <c r="O4" i="48"/>
  <c r="O7" i="48"/>
  <c r="Y7" i="48"/>
  <c r="AF7" i="48"/>
  <c r="L11" i="48"/>
  <c r="A9" i="48"/>
  <c r="Y9" i="48"/>
  <c r="AF9" i="48"/>
  <c r="AK4" i="48"/>
  <c r="V10" i="48"/>
  <c r="Y10" i="48"/>
  <c r="AF10" i="48"/>
  <c r="AM4" i="48"/>
  <c r="F8" i="48"/>
  <c r="Y8" i="48"/>
  <c r="AF8" i="48"/>
  <c r="L7" i="48"/>
  <c r="A7" i="48"/>
  <c r="D7" i="48"/>
  <c r="O9" i="48"/>
  <c r="AL7" i="48"/>
  <c r="E7" i="48"/>
  <c r="G7" i="48"/>
  <c r="AK7" i="48"/>
  <c r="V7" i="48"/>
  <c r="AM7" i="48"/>
  <c r="N7" i="48"/>
  <c r="F7" i="48"/>
  <c r="AN7" i="48"/>
  <c r="AC9" i="48"/>
  <c r="K9" i="48"/>
  <c r="F4" i="48"/>
  <c r="AN10" i="48"/>
  <c r="AN12" i="48"/>
  <c r="AC4" i="48"/>
  <c r="K4" i="48"/>
  <c r="AC8" i="48"/>
  <c r="K8" i="48"/>
  <c r="AC10" i="48"/>
  <c r="K10" i="48"/>
  <c r="AL4" i="48"/>
  <c r="AK9" i="48"/>
  <c r="N4" i="48"/>
  <c r="AC11" i="48"/>
  <c r="K11" i="48"/>
  <c r="AL9" i="48"/>
  <c r="A10" i="48"/>
  <c r="D4" i="48"/>
  <c r="G10" i="48"/>
  <c r="AN11" i="48"/>
  <c r="L4" i="48"/>
  <c r="L9" i="48"/>
  <c r="V4" i="48"/>
  <c r="F9" i="48"/>
  <c r="AC12" i="48"/>
  <c r="K12" i="48"/>
  <c r="A4" i="48"/>
  <c r="D9" i="48"/>
  <c r="G9" i="48"/>
  <c r="AL11" i="48"/>
  <c r="AK12" i="48"/>
  <c r="O11" i="48"/>
  <c r="O12" i="48"/>
  <c r="AC7" i="48"/>
  <c r="K7" i="48"/>
  <c r="N12" i="48"/>
  <c r="G8" i="48"/>
  <c r="AK8" i="48"/>
  <c r="N8" i="48"/>
  <c r="AL8" i="48"/>
  <c r="V9" i="48"/>
  <c r="A8" i="48"/>
  <c r="E11" i="48"/>
  <c r="G11" i="48"/>
  <c r="F10" i="48"/>
  <c r="AL10" i="48"/>
  <c r="AM8" i="48"/>
  <c r="O10" i="48"/>
  <c r="N11" i="48"/>
  <c r="N10" i="48"/>
  <c r="AN8" i="48"/>
  <c r="E8" i="48"/>
  <c r="L8" i="48"/>
  <c r="O8" i="48"/>
  <c r="D8" i="48"/>
  <c r="AM9" i="48"/>
  <c r="V8" i="48"/>
  <c r="N9" i="48"/>
  <c r="A11" i="48"/>
  <c r="E9" i="48"/>
  <c r="AK11" i="48"/>
  <c r="AN9" i="48"/>
  <c r="V11" i="48"/>
  <c r="AK55" i="48"/>
  <c r="AL55" i="48"/>
  <c r="AM55" i="48"/>
  <c r="AN55" i="48"/>
  <c r="M33" i="48"/>
  <c r="N33" i="48" s="1"/>
  <c r="V33" i="48"/>
  <c r="AK33" i="48"/>
  <c r="AN33" i="48"/>
  <c r="AM33" i="48"/>
  <c r="AL33" i="48"/>
  <c r="L55" i="48"/>
  <c r="I55" i="48"/>
  <c r="F33" i="48"/>
  <c r="G33" i="48"/>
  <c r="F55" i="48"/>
  <c r="G55" i="48"/>
  <c r="D55" i="48"/>
  <c r="E55" i="48"/>
  <c r="D33" i="48"/>
  <c r="E33" i="48"/>
  <c r="A55" i="48"/>
  <c r="A33" i="48"/>
  <c r="F174" i="34"/>
  <c r="E175" i="34"/>
  <c r="N9" i="44"/>
  <c r="J19" i="42" s="1"/>
  <c r="F47" i="48" l="1"/>
  <c r="D47" i="48"/>
  <c r="AK47" i="48"/>
  <c r="AF47" i="48"/>
  <c r="BC47" i="48"/>
  <c r="AP47" i="48"/>
  <c r="S47" i="48"/>
  <c r="BB47" i="48"/>
  <c r="A47" i="48"/>
  <c r="AM47" i="48"/>
  <c r="AN47" i="48"/>
  <c r="K47" i="48"/>
  <c r="E47" i="48"/>
  <c r="G47" i="48"/>
  <c r="AL47" i="48"/>
  <c r="N20" i="46"/>
  <c r="C20" i="46"/>
  <c r="G174" i="34"/>
  <c r="D21" i="46" s="1"/>
  <c r="K20" i="46"/>
  <c r="B48" i="48" s="1"/>
  <c r="C48" i="48" s="1"/>
  <c r="F175" i="34"/>
  <c r="E176" i="34"/>
  <c r="D21" i="37"/>
  <c r="M15" i="36"/>
  <c r="K21" i="46" l="1"/>
  <c r="B49" i="48" s="1"/>
  <c r="C49" i="48" s="1"/>
  <c r="N21" i="46"/>
  <c r="C21" i="46"/>
  <c r="G175" i="34"/>
  <c r="D22" i="46" s="1"/>
  <c r="K48" i="48"/>
  <c r="BB48" i="48"/>
  <c r="S48" i="48"/>
  <c r="BC48" i="48"/>
  <c r="AP48" i="48"/>
  <c r="AN48" i="48"/>
  <c r="AL48" i="48"/>
  <c r="AM48" i="48"/>
  <c r="AK48" i="48"/>
  <c r="F48" i="48"/>
  <c r="G48" i="48"/>
  <c r="D48" i="48"/>
  <c r="E48" i="48"/>
  <c r="A48" i="48"/>
  <c r="B23" i="48"/>
  <c r="C23" i="48" s="1"/>
  <c r="F177" i="34"/>
  <c r="AF48" i="48"/>
  <c r="F176" i="34"/>
  <c r="E177" i="34"/>
  <c r="K49" i="48" l="1"/>
  <c r="A49" i="48"/>
  <c r="AL49" i="48"/>
  <c r="D49" i="48"/>
  <c r="F49" i="48"/>
  <c r="AN49" i="48"/>
  <c r="G49" i="48"/>
  <c r="AP49" i="48"/>
  <c r="E49" i="48"/>
  <c r="AM49" i="48"/>
  <c r="AF49" i="48"/>
  <c r="AK49" i="48"/>
  <c r="BC49" i="48"/>
  <c r="S49" i="48"/>
  <c r="BB49" i="48"/>
  <c r="K22" i="46"/>
  <c r="B50" i="48" s="1"/>
  <c r="C50" i="48" s="1"/>
  <c r="C22" i="46"/>
  <c r="N22" i="46"/>
  <c r="J7" i="34"/>
  <c r="J6" i="34"/>
  <c r="G176" i="34"/>
  <c r="D23" i="46" s="1"/>
  <c r="AI23" i="48"/>
  <c r="AH23" i="48"/>
  <c r="O23" i="48"/>
  <c r="P23" i="48"/>
  <c r="AB23" i="48"/>
  <c r="U23" i="48"/>
  <c r="R23" i="48"/>
  <c r="Z23" i="48"/>
  <c r="AP23" i="48"/>
  <c r="AM23" i="48"/>
  <c r="V23" i="48"/>
  <c r="AL23" i="48"/>
  <c r="AK23" i="48"/>
  <c r="AN23" i="48"/>
  <c r="G23" i="48"/>
  <c r="F23" i="48"/>
  <c r="D23" i="48"/>
  <c r="E23" i="48"/>
  <c r="A23" i="48"/>
  <c r="E178" i="34"/>
  <c r="G177" i="34" s="1"/>
  <c r="AD192" i="34"/>
  <c r="AC192" i="34"/>
  <c r="AE192" i="34" s="1"/>
  <c r="D7" i="33"/>
  <c r="D6" i="33"/>
  <c r="D5" i="33"/>
  <c r="K23" i="46" l="1"/>
  <c r="B51" i="48" s="1"/>
  <c r="C51" i="48" s="1"/>
  <c r="C23" i="46"/>
  <c r="N23" i="46"/>
  <c r="AN50" i="48"/>
  <c r="AK50" i="48"/>
  <c r="D50" i="48"/>
  <c r="AF50" i="48"/>
  <c r="E50" i="48"/>
  <c r="AP50" i="48"/>
  <c r="BC50" i="48"/>
  <c r="A50" i="48"/>
  <c r="S50" i="48"/>
  <c r="F50" i="48"/>
  <c r="BB50" i="48"/>
  <c r="G50" i="48"/>
  <c r="K50" i="48"/>
  <c r="AM50" i="48"/>
  <c r="AL50" i="48"/>
  <c r="G7" i="34"/>
  <c r="G6" i="34"/>
  <c r="D24" i="46"/>
  <c r="AN51" i="48" l="1"/>
  <c r="AF51" i="48"/>
  <c r="BB51" i="48"/>
  <c r="BC51" i="48"/>
  <c r="S51" i="48"/>
  <c r="A51" i="48"/>
  <c r="D51" i="48"/>
  <c r="F51" i="48"/>
  <c r="AL51" i="48"/>
  <c r="G51" i="48"/>
  <c r="K51" i="48"/>
  <c r="AK51" i="48"/>
  <c r="AM51" i="48"/>
  <c r="E51" i="48"/>
  <c r="AP51" i="48"/>
  <c r="K24" i="46"/>
  <c r="B52" i="48" s="1"/>
  <c r="C52" i="48" s="1"/>
  <c r="N24" i="46"/>
  <c r="C24" i="46"/>
  <c r="J9" i="46" s="1"/>
  <c r="H16" i="42" s="1"/>
  <c r="I9" i="46"/>
  <c r="G16" i="42" s="1"/>
  <c r="N24" i="37"/>
  <c r="N23" i="37"/>
  <c r="N22" i="37"/>
  <c r="N21" i="37"/>
  <c r="B39" i="48" s="1"/>
  <c r="C39" i="48" s="1"/>
  <c r="N20" i="37"/>
  <c r="N19" i="37"/>
  <c r="N18" i="37"/>
  <c r="N17" i="37"/>
  <c r="N16" i="37"/>
  <c r="M24" i="36"/>
  <c r="M23" i="36"/>
  <c r="M22" i="36"/>
  <c r="M21" i="36"/>
  <c r="M20" i="36"/>
  <c r="M19" i="36"/>
  <c r="M18" i="36"/>
  <c r="M17" i="36"/>
  <c r="M16" i="36"/>
  <c r="N9" i="46" l="1"/>
  <c r="I16" i="42" s="1"/>
  <c r="K9" i="46"/>
  <c r="J16" i="42" s="1"/>
  <c r="AE39" i="48"/>
  <c r="AG39" i="48"/>
  <c r="K52" i="48"/>
  <c r="S52" i="48"/>
  <c r="BC52" i="48"/>
  <c r="BB52" i="48"/>
  <c r="AD39" i="48"/>
  <c r="Q39" i="48"/>
  <c r="S39" i="48"/>
  <c r="AP39" i="48"/>
  <c r="AP52" i="48"/>
  <c r="AF52" i="48"/>
  <c r="M39" i="48"/>
  <c r="N39" i="48" s="1"/>
  <c r="AM39" i="48"/>
  <c r="AK39" i="48"/>
  <c r="AL39" i="48"/>
  <c r="AN39" i="48"/>
  <c r="V39" i="48"/>
  <c r="AM52" i="48"/>
  <c r="AL52" i="48"/>
  <c r="AK52" i="48"/>
  <c r="AN52" i="48"/>
  <c r="G39" i="48"/>
  <c r="F39" i="48"/>
  <c r="F52" i="48"/>
  <c r="G52" i="48"/>
  <c r="D39" i="48"/>
  <c r="E39" i="48"/>
  <c r="D52" i="48"/>
  <c r="E52" i="48"/>
  <c r="A52" i="48"/>
  <c r="A39" i="48"/>
  <c r="B53" i="48" a="1"/>
  <c r="B53" i="48" s="1"/>
  <c r="C53" i="48" s="1"/>
  <c r="M9" i="36"/>
  <c r="W53" i="48" l="1"/>
  <c r="AP53" i="48"/>
  <c r="AM53" i="48"/>
  <c r="AL53" i="48"/>
  <c r="AK53" i="48"/>
  <c r="V53" i="48"/>
  <c r="AN53" i="48"/>
  <c r="E53" i="48"/>
  <c r="G53" i="48"/>
  <c r="F53" i="48"/>
  <c r="A53" i="48"/>
  <c r="D53" i="48"/>
  <c r="C24" i="37"/>
  <c r="D24" i="37"/>
  <c r="B42" i="48" s="1"/>
  <c r="C42" i="48" s="1"/>
  <c r="C23" i="37"/>
  <c r="D23" i="37"/>
  <c r="B41" i="48" s="1"/>
  <c r="C41" i="48" s="1"/>
  <c r="C22" i="37"/>
  <c r="D22" i="37"/>
  <c r="B40" i="48" s="1"/>
  <c r="C40" i="48" s="1"/>
  <c r="C21" i="37"/>
  <c r="AF39" i="48" s="1"/>
  <c r="C20" i="37"/>
  <c r="D20" i="37"/>
  <c r="B38" i="48" s="1"/>
  <c r="C38" i="48" s="1"/>
  <c r="C19" i="37"/>
  <c r="D19" i="37"/>
  <c r="B37" i="48" s="1"/>
  <c r="C37" i="48" s="1"/>
  <c r="C18" i="37"/>
  <c r="D18" i="37"/>
  <c r="B36" i="48" s="1"/>
  <c r="C36" i="48" s="1"/>
  <c r="C17" i="37"/>
  <c r="D17" i="37"/>
  <c r="B35" i="48" s="1"/>
  <c r="C35" i="48" s="1"/>
  <c r="C16" i="37"/>
  <c r="D16" i="37"/>
  <c r="B34" i="48" s="1"/>
  <c r="C34" i="48" s="1"/>
  <c r="AF33" i="48"/>
  <c r="C24" i="36"/>
  <c r="D24" i="36"/>
  <c r="B32" i="48" s="1"/>
  <c r="C32" i="48" s="1"/>
  <c r="C23" i="36"/>
  <c r="D23" i="36"/>
  <c r="B31" i="48" s="1"/>
  <c r="C31" i="48" s="1"/>
  <c r="D22" i="36"/>
  <c r="B30" i="48" s="1"/>
  <c r="C30" i="48" s="1"/>
  <c r="D21" i="36"/>
  <c r="B29" i="48" s="1"/>
  <c r="C29" i="48" s="1"/>
  <c r="C20" i="36"/>
  <c r="D20" i="36"/>
  <c r="B28" i="48" s="1"/>
  <c r="C28" i="48" s="1"/>
  <c r="C19" i="36"/>
  <c r="D19" i="36"/>
  <c r="B27" i="48" s="1"/>
  <c r="C27" i="48" s="1"/>
  <c r="C18" i="36"/>
  <c r="D18" i="36"/>
  <c r="B26" i="48" s="1"/>
  <c r="C26" i="48" s="1"/>
  <c r="C17" i="36"/>
  <c r="D17" i="36"/>
  <c r="B25" i="48" s="1"/>
  <c r="C25" i="48" s="1"/>
  <c r="C16" i="36"/>
  <c r="D16" i="36"/>
  <c r="B24" i="48" s="1"/>
  <c r="C24" i="48" s="1"/>
  <c r="C15" i="36"/>
  <c r="AF23" i="48" s="1"/>
  <c r="AF53" i="48" l="1"/>
  <c r="AI24" i="48"/>
  <c r="AH24" i="48"/>
  <c r="AI30" i="48"/>
  <c r="AH30" i="48"/>
  <c r="AG35" i="48"/>
  <c r="AE35" i="48"/>
  <c r="AI25" i="48"/>
  <c r="AH25" i="48"/>
  <c r="AI31" i="48"/>
  <c r="AH31" i="48"/>
  <c r="AG40" i="48"/>
  <c r="AE40" i="48"/>
  <c r="AG34" i="48"/>
  <c r="AE34" i="48"/>
  <c r="AI26" i="48"/>
  <c r="AH26" i="48"/>
  <c r="AG36" i="48"/>
  <c r="AE36" i="48"/>
  <c r="AE38" i="48"/>
  <c r="AG38" i="48"/>
  <c r="AI29" i="48"/>
  <c r="AH29" i="48"/>
  <c r="AI32" i="48"/>
  <c r="AH32" i="48"/>
  <c r="AG41" i="48"/>
  <c r="AE41" i="48"/>
  <c r="AI28" i="48"/>
  <c r="AH28" i="48"/>
  <c r="AI27" i="48"/>
  <c r="AH27" i="48"/>
  <c r="AG37" i="48"/>
  <c r="AE37" i="48"/>
  <c r="AG42" i="48"/>
  <c r="AE42" i="48"/>
  <c r="O25" i="48"/>
  <c r="P25" i="48"/>
  <c r="U25" i="48"/>
  <c r="AB25" i="48"/>
  <c r="Z25" i="48"/>
  <c r="R25" i="48"/>
  <c r="O29" i="48"/>
  <c r="Z29" i="48"/>
  <c r="P29" i="48"/>
  <c r="AB29" i="48"/>
  <c r="U29" i="48"/>
  <c r="R29" i="48"/>
  <c r="O31" i="48"/>
  <c r="AB31" i="48"/>
  <c r="Z31" i="48"/>
  <c r="U31" i="48"/>
  <c r="R31" i="48"/>
  <c r="P31" i="48"/>
  <c r="AD40" i="48"/>
  <c r="Q40" i="48"/>
  <c r="S40" i="48"/>
  <c r="AD34" i="48"/>
  <c r="S34" i="48"/>
  <c r="Q34" i="48"/>
  <c r="Q35" i="48"/>
  <c r="S35" i="48"/>
  <c r="AD35" i="48"/>
  <c r="O26" i="48"/>
  <c r="AB26" i="48"/>
  <c r="U26" i="48"/>
  <c r="R26" i="48"/>
  <c r="Z26" i="48"/>
  <c r="P26" i="48"/>
  <c r="Q36" i="48"/>
  <c r="S36" i="48"/>
  <c r="AD36" i="48"/>
  <c r="O27" i="48"/>
  <c r="U27" i="48"/>
  <c r="R27" i="48"/>
  <c r="P27" i="48"/>
  <c r="AB27" i="48"/>
  <c r="Z27" i="48"/>
  <c r="S41" i="48"/>
  <c r="AD41" i="48"/>
  <c r="Q41" i="48"/>
  <c r="Q38" i="48"/>
  <c r="AD38" i="48"/>
  <c r="S38" i="48"/>
  <c r="O32" i="48"/>
  <c r="AB32" i="48"/>
  <c r="P32" i="48"/>
  <c r="U32" i="48"/>
  <c r="R32" i="48"/>
  <c r="Z32" i="48"/>
  <c r="Q37" i="48"/>
  <c r="S37" i="48"/>
  <c r="AD37" i="48"/>
  <c r="O30" i="48"/>
  <c r="Z30" i="48"/>
  <c r="P30" i="48"/>
  <c r="AB30" i="48"/>
  <c r="U30" i="48"/>
  <c r="R30" i="48"/>
  <c r="O24" i="48"/>
  <c r="P24" i="48"/>
  <c r="U24" i="48"/>
  <c r="R24" i="48"/>
  <c r="Z24" i="48"/>
  <c r="AB24" i="48"/>
  <c r="O28" i="48"/>
  <c r="Z28" i="48"/>
  <c r="P28" i="48"/>
  <c r="AB28" i="48"/>
  <c r="U28" i="48"/>
  <c r="R28" i="48"/>
  <c r="AD42" i="48"/>
  <c r="S42" i="48"/>
  <c r="Q42" i="48"/>
  <c r="AF38" i="48"/>
  <c r="AP38" i="48"/>
  <c r="V25" i="48"/>
  <c r="AP25" i="48"/>
  <c r="AF25" i="48"/>
  <c r="AP29" i="48"/>
  <c r="AF29" i="48"/>
  <c r="AP34" i="48"/>
  <c r="AF34" i="48"/>
  <c r="AP40" i="48"/>
  <c r="AF40" i="48"/>
  <c r="AF30" i="48"/>
  <c r="AP30" i="48"/>
  <c r="V26" i="48"/>
  <c r="AF26" i="48"/>
  <c r="AP26" i="48"/>
  <c r="V27" i="48"/>
  <c r="AP27" i="48"/>
  <c r="AF27" i="48"/>
  <c r="AP41" i="48"/>
  <c r="AF41" i="48"/>
  <c r="AF35" i="48"/>
  <c r="AP35" i="48"/>
  <c r="AF31" i="48"/>
  <c r="AP31" i="48"/>
  <c r="AP32" i="48"/>
  <c r="AF32" i="48"/>
  <c r="AP37" i="48"/>
  <c r="AF37" i="48"/>
  <c r="AP36" i="48"/>
  <c r="AF36" i="48"/>
  <c r="V24" i="48"/>
  <c r="AP24" i="48"/>
  <c r="AF24" i="48"/>
  <c r="V28" i="48"/>
  <c r="AP28" i="48"/>
  <c r="AF28" i="48"/>
  <c r="AF42" i="48"/>
  <c r="AP42" i="48"/>
  <c r="M41" i="48"/>
  <c r="N41" i="48" s="1"/>
  <c r="AM41" i="48"/>
  <c r="AK41" i="48"/>
  <c r="AN41" i="48"/>
  <c r="AL41" i="48"/>
  <c r="V41" i="48"/>
  <c r="AM32" i="48"/>
  <c r="AK32" i="48"/>
  <c r="V32" i="48"/>
  <c r="AN32" i="48"/>
  <c r="AL32" i="48"/>
  <c r="M38" i="48"/>
  <c r="N38" i="48" s="1"/>
  <c r="AN38" i="48"/>
  <c r="AK38" i="48"/>
  <c r="V38" i="48"/>
  <c r="AL38" i="48"/>
  <c r="AM38" i="48"/>
  <c r="AL29" i="48"/>
  <c r="AM29" i="48"/>
  <c r="AK29" i="48"/>
  <c r="V29" i="48"/>
  <c r="AN29" i="48"/>
  <c r="M42" i="48"/>
  <c r="N42" i="48" s="1"/>
  <c r="V42" i="48"/>
  <c r="AM42" i="48"/>
  <c r="AK42" i="48"/>
  <c r="AN42" i="48"/>
  <c r="AL42" i="48"/>
  <c r="M35" i="48"/>
  <c r="N35" i="48" s="1"/>
  <c r="V35" i="48"/>
  <c r="AM35" i="48"/>
  <c r="AK35" i="48"/>
  <c r="AN35" i="48"/>
  <c r="AL35" i="48"/>
  <c r="M34" i="48"/>
  <c r="N34" i="48" s="1"/>
  <c r="V34" i="48"/>
  <c r="AM34" i="48"/>
  <c r="AK34" i="48"/>
  <c r="AN34" i="48"/>
  <c r="AL34" i="48"/>
  <c r="V30" i="48"/>
  <c r="AN30" i="48"/>
  <c r="AM30" i="48"/>
  <c r="AK30" i="48"/>
  <c r="AL30" i="48"/>
  <c r="AK31" i="48"/>
  <c r="V31" i="48"/>
  <c r="AL31" i="48"/>
  <c r="AN31" i="48"/>
  <c r="AM31" i="48"/>
  <c r="M40" i="48"/>
  <c r="N40" i="48" s="1"/>
  <c r="AM40" i="48"/>
  <c r="AN40" i="48"/>
  <c r="AL40" i="48"/>
  <c r="AK40" i="48"/>
  <c r="V40" i="48"/>
  <c r="M37" i="48"/>
  <c r="N37" i="48" s="1"/>
  <c r="AL37" i="48"/>
  <c r="V37" i="48"/>
  <c r="AN37" i="48"/>
  <c r="AK37" i="48"/>
  <c r="AM37" i="48"/>
  <c r="M36" i="48"/>
  <c r="N36" i="48" s="1"/>
  <c r="V36" i="48"/>
  <c r="AM36" i="48"/>
  <c r="AK36" i="48"/>
  <c r="AN36" i="48"/>
  <c r="AL36" i="48"/>
  <c r="AM28" i="48"/>
  <c r="AK28" i="48"/>
  <c r="AN28" i="48"/>
  <c r="AL28" i="48"/>
  <c r="AK27" i="48"/>
  <c r="AM27" i="48"/>
  <c r="AN27" i="48"/>
  <c r="AL27" i="48"/>
  <c r="AK26" i="48"/>
  <c r="AN26" i="48"/>
  <c r="AL26" i="48"/>
  <c r="AM26" i="48"/>
  <c r="AN25" i="48"/>
  <c r="AK25" i="48"/>
  <c r="AL25" i="48"/>
  <c r="AM25" i="48"/>
  <c r="AN24" i="48"/>
  <c r="AL24" i="48"/>
  <c r="AK24" i="48"/>
  <c r="AM24" i="48"/>
  <c r="F41" i="48"/>
  <c r="G41" i="48"/>
  <c r="F42" i="48"/>
  <c r="G42" i="48"/>
  <c r="G38" i="48"/>
  <c r="F38" i="48"/>
  <c r="G25" i="48"/>
  <c r="F25" i="48"/>
  <c r="F29" i="48"/>
  <c r="G29" i="48"/>
  <c r="F32" i="48"/>
  <c r="G32" i="48"/>
  <c r="G37" i="48"/>
  <c r="F37" i="48"/>
  <c r="F28" i="48"/>
  <c r="G28" i="48"/>
  <c r="F34" i="48"/>
  <c r="G34" i="48"/>
  <c r="F30" i="48"/>
  <c r="G30" i="48"/>
  <c r="F35" i="48"/>
  <c r="G35" i="48"/>
  <c r="G36" i="48"/>
  <c r="F36" i="48"/>
  <c r="G27" i="48"/>
  <c r="F27" i="48"/>
  <c r="F24" i="48"/>
  <c r="G24" i="48"/>
  <c r="G26" i="48"/>
  <c r="F26" i="48"/>
  <c r="F31" i="48"/>
  <c r="G31" i="48"/>
  <c r="F40" i="48"/>
  <c r="G40" i="48"/>
  <c r="D36" i="48"/>
  <c r="E36" i="48"/>
  <c r="D41" i="48"/>
  <c r="E41" i="48"/>
  <c r="D37" i="48"/>
  <c r="E37" i="48"/>
  <c r="D32" i="48"/>
  <c r="E32" i="48"/>
  <c r="D28" i="48"/>
  <c r="E28" i="48"/>
  <c r="D42" i="48"/>
  <c r="E42" i="48"/>
  <c r="D27" i="48"/>
  <c r="E27" i="48"/>
  <c r="D34" i="48"/>
  <c r="E34" i="48"/>
  <c r="D38" i="48"/>
  <c r="E38" i="48"/>
  <c r="D24" i="48"/>
  <c r="E24" i="48"/>
  <c r="D25" i="48"/>
  <c r="E25" i="48"/>
  <c r="D29" i="48"/>
  <c r="E29" i="48"/>
  <c r="D30" i="48"/>
  <c r="E30" i="48"/>
  <c r="D35" i="48"/>
  <c r="E35" i="48"/>
  <c r="D26" i="48"/>
  <c r="E26" i="48"/>
  <c r="D31" i="48"/>
  <c r="E31" i="48"/>
  <c r="D40" i="48"/>
  <c r="E40" i="48"/>
  <c r="A40" i="48"/>
  <c r="A36" i="48"/>
  <c r="A41" i="48"/>
  <c r="A37" i="48"/>
  <c r="A42" i="48"/>
  <c r="A34" i="48"/>
  <c r="A38" i="48"/>
  <c r="A35" i="48"/>
  <c r="A26" i="48"/>
  <c r="A31" i="48"/>
  <c r="A32" i="48"/>
  <c r="A27" i="48"/>
  <c r="A24" i="48"/>
  <c r="A28" i="48"/>
  <c r="A25" i="48"/>
  <c r="A29" i="48"/>
  <c r="A30" i="48"/>
  <c r="L9" i="37"/>
  <c r="G15" i="42" s="1"/>
  <c r="J9" i="36"/>
  <c r="G14" i="42" s="1"/>
  <c r="J14" i="42"/>
  <c r="K9" i="36"/>
  <c r="H14" i="42" s="1"/>
  <c r="M9" i="37"/>
  <c r="H15" i="42" s="1"/>
  <c r="N9" i="37"/>
  <c r="J15" i="42" s="1"/>
  <c r="B2" i="48" l="1" a="1"/>
  <c r="B2" i="48" s="1"/>
  <c r="C2" i="48" s="1"/>
  <c r="J2" i="48" l="1"/>
  <c r="H2" i="48"/>
  <c r="AP2" i="48"/>
  <c r="AO40" i="48" s="1"/>
  <c r="AF2" i="48"/>
  <c r="AN2" i="48"/>
  <c r="AL2" i="48"/>
  <c r="AM2" i="48"/>
  <c r="AK2" i="48"/>
  <c r="F2" i="48"/>
  <c r="G2" i="48"/>
  <c r="A2" i="48"/>
  <c r="E2" i="48"/>
  <c r="D2" i="48"/>
  <c r="AO46" i="48" l="1"/>
  <c r="AO45" i="48"/>
  <c r="AO50" i="48"/>
  <c r="AO49" i="48"/>
  <c r="AO48" i="48"/>
  <c r="AO47" i="48"/>
  <c r="AO52" i="48"/>
  <c r="AO51" i="48"/>
  <c r="AO56" i="48"/>
  <c r="AO59" i="48"/>
  <c r="AO58" i="48"/>
  <c r="AO61" i="48"/>
  <c r="AO60" i="48"/>
  <c r="AO63" i="48"/>
  <c r="AO62" i="48"/>
  <c r="AO57" i="48"/>
  <c r="AO64" i="48"/>
  <c r="AO15" i="48"/>
  <c r="AO11" i="48"/>
  <c r="AO9" i="48"/>
  <c r="AO12" i="48"/>
  <c r="AO17" i="48"/>
  <c r="AO28" i="48"/>
  <c r="AO33" i="48"/>
  <c r="AO13" i="48"/>
  <c r="AO41" i="48"/>
  <c r="AO29" i="48"/>
  <c r="AO42" i="48"/>
  <c r="AO6" i="48"/>
  <c r="AO14" i="48"/>
  <c r="AO18" i="48"/>
  <c r="AO23" i="48"/>
  <c r="AO38" i="48"/>
  <c r="AO34" i="48"/>
  <c r="AO32" i="48"/>
  <c r="AO19" i="48"/>
  <c r="AO36" i="48"/>
  <c r="AO37" i="48"/>
  <c r="AO31" i="48"/>
  <c r="AO27" i="48"/>
  <c r="AO44" i="48"/>
  <c r="AO53" i="48"/>
  <c r="AO39" i="48"/>
  <c r="AO2" i="48"/>
  <c r="AO35" i="48"/>
  <c r="AO54" i="48"/>
  <c r="AO22" i="48"/>
  <c r="AO8" i="48"/>
  <c r="AO43" i="48"/>
  <c r="AO10" i="48"/>
  <c r="AO7" i="48"/>
  <c r="AO16" i="48"/>
  <c r="AO26" i="48"/>
  <c r="AO4" i="48"/>
  <c r="AO5" i="48"/>
  <c r="AO55" i="48"/>
  <c r="AO24" i="48"/>
  <c r="AO25" i="48"/>
  <c r="AO3" i="48"/>
  <c r="AO20" i="48"/>
  <c r="AO21" i="48"/>
  <c r="AO30"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<sst xmlns="http://schemas.openxmlformats.org/spreadsheetml/2006/main" count="1042" uniqueCount="509">
  <si>
    <t>Calculator for Appliance Measures</t>
  </si>
  <si>
    <t xml:space="preserve">***This calculator is used for estimating savings and incentives from the installation of appliance measures. The measure inputs used in this calculator, by an applicant, will be reviewed by the Program in order to determine the final incentive amount. The Program reserves the right to inspect any and all measures prior to any incentive payment.  
</t>
  </si>
  <si>
    <t>Input Instructions</t>
  </si>
  <si>
    <t xml:space="preserve">Grey cells are calculated values. </t>
  </si>
  <si>
    <t>Worksheet Summary</t>
  </si>
  <si>
    <t>Summary</t>
  </si>
  <si>
    <t>Summary of Equipment Cost, Calculator Savings, and Incentives</t>
  </si>
  <si>
    <t>Methodology</t>
  </si>
  <si>
    <t>Defines the methodology used for all measures in this workbook.</t>
  </si>
  <si>
    <t>Pre Rinse Spray Valves</t>
  </si>
  <si>
    <t>Calculates energy savings when a pre-rinse spray valve is installed in a commercial kitchen.</t>
  </si>
  <si>
    <t>Commercial Clothes Washer</t>
  </si>
  <si>
    <r>
      <t>Calculates energy savings for Commercial Clothes Washer meeting ENERGY STAR</t>
    </r>
    <r>
      <rPr>
        <sz val="11"/>
        <rFont val="Calibri"/>
        <family val="2"/>
      </rPr>
      <t>®</t>
    </r>
    <r>
      <rPr>
        <sz val="11"/>
        <rFont val="Arial"/>
        <family val="2"/>
      </rPr>
      <t xml:space="preserve"> criteria. </t>
    </r>
  </si>
  <si>
    <t>Non Comm Clothes Washer</t>
  </si>
  <si>
    <r>
      <t>Calculates energy savings for Non-Commercial Clothes Washer meeting ENERGY STAR</t>
    </r>
    <r>
      <rPr>
        <sz val="11"/>
        <rFont val="Calibri"/>
        <family val="2"/>
      </rPr>
      <t>®</t>
    </r>
    <r>
      <rPr>
        <sz val="11"/>
        <rFont val="Arial"/>
        <family val="2"/>
      </rPr>
      <t xml:space="preserve">, CEE Tier 2 or CEE Tier 3 criteria. </t>
    </r>
  </si>
  <si>
    <t>Clothes Dryer</t>
  </si>
  <si>
    <t>Calculates energy savings for installation of a residential clothes dryer meeting the ENERGY STAR criteria.</t>
  </si>
  <si>
    <t>Refrigerator</t>
  </si>
  <si>
    <t>Calculates energy savings for a new refrigerator meeting ENERGY STAR, CEE Tier 2 or CEE Tier 3 specifications.</t>
  </si>
  <si>
    <t>Heat Pump Water Heater</t>
  </si>
  <si>
    <t>Calculates energy savings for installation of a Heat Pump water heater in place of a standard electric water heater. Applies to time of sale or new construction opportunities.</t>
  </si>
  <si>
    <t>Freezer</t>
  </si>
  <si>
    <t>Calculates energy savings for installation of an Energy Star freezer in place of a model meeting the federal standard. Applies to time of sale or new construction opportunities.</t>
  </si>
  <si>
    <t>Dehumidifier</t>
  </si>
  <si>
    <t>Calculates energy savings for installation of a portable dehumidifier meeting the minimum qualifying efficiency standard established by the current ENERGY STAR (Version 5.0) in place of a unit that meets the minimum federal standard efficiency. Applies to time of sale or new construction opportunities.</t>
  </si>
  <si>
    <t>Water Cooler</t>
  </si>
  <si>
    <t>Calculates energy savings for installation of an Energy Star water cooler in place of a standard efficiency unit. Applies to time of sale or new construction opportunities.</t>
  </si>
  <si>
    <t>Version Log</t>
  </si>
  <si>
    <t>The Version Log Worksheet tracks updates and changes made to the workbook.</t>
  </si>
  <si>
    <t>Pre-Rinse Spray Valves</t>
  </si>
  <si>
    <t>Non-Commercial Clothes Washer</t>
  </si>
  <si>
    <t>Refrigerator (Time of Sale)</t>
  </si>
  <si>
    <t>C&amp;I Heat Pump Water Heater</t>
  </si>
  <si>
    <t>Version:</t>
  </si>
  <si>
    <t>Last Updated:</t>
  </si>
  <si>
    <t>Date</t>
  </si>
  <si>
    <t>Project Name</t>
  </si>
  <si>
    <t>Total Incentive ($)</t>
  </si>
  <si>
    <t>Site Address</t>
  </si>
  <si>
    <t>Building Type</t>
  </si>
  <si>
    <t>Total Project Cost</t>
  </si>
  <si>
    <t>Measure Name</t>
  </si>
  <si>
    <t>Equipment Cost</t>
  </si>
  <si>
    <t>Savings</t>
  </si>
  <si>
    <t>Incentive</t>
  </si>
  <si>
    <t>kW</t>
  </si>
  <si>
    <t>kWh</t>
  </si>
  <si>
    <t>Non Commercial Clothes Washer</t>
  </si>
  <si>
    <t>Pre-Rinse Spray Valve</t>
  </si>
  <si>
    <t>ES Freezer C&amp;I</t>
  </si>
  <si>
    <t>Water Cooler C&amp;I</t>
  </si>
  <si>
    <t>Dehumidifier - C&amp;I</t>
  </si>
  <si>
    <t>Location</t>
  </si>
  <si>
    <t>Make/Manufacturer</t>
  </si>
  <si>
    <t>Model Number</t>
  </si>
  <si>
    <t>Facility Type*</t>
  </si>
  <si>
    <t>Total Equipment Cost*</t>
  </si>
  <si>
    <t>Annual Energy Savings (kWh)</t>
  </si>
  <si>
    <t>Peak Demand Savings (kW)</t>
  </si>
  <si>
    <t>SUMMARY</t>
  </si>
  <si>
    <t>Incentive ($)</t>
  </si>
  <si>
    <t>ENERGY STAR Commercial Clothes Washers</t>
  </si>
  <si>
    <t>Line</t>
  </si>
  <si>
    <t xml:space="preserve">Model Number </t>
  </si>
  <si>
    <t>Quantity</t>
  </si>
  <si>
    <t>Facility Type</t>
  </si>
  <si>
    <t>Loading Type</t>
  </si>
  <si>
    <t>Water Heater Fuel Type</t>
  </si>
  <si>
    <t>Dryer Fuel Type</t>
  </si>
  <si>
    <t>Clothes Washer Capacity (cubic ft)</t>
  </si>
  <si>
    <t>Total Equipment Cost</t>
  </si>
  <si>
    <t>Efficiency Level</t>
  </si>
  <si>
    <t>Clothes Dryer Type</t>
  </si>
  <si>
    <t>Volume</t>
  </si>
  <si>
    <t>Voltage</t>
  </si>
  <si>
    <t>Product Type</t>
  </si>
  <si>
    <t>Energy Savings (kWh)</t>
  </si>
  <si>
    <t>Efficiency Type</t>
  </si>
  <si>
    <t>Configuration</t>
  </si>
  <si>
    <t>Through-door Ice</t>
  </si>
  <si>
    <t>Defrost Type</t>
  </si>
  <si>
    <t>Product Class</t>
  </si>
  <si>
    <t>kWhBase</t>
  </si>
  <si>
    <t>Number of units*</t>
  </si>
  <si>
    <t>Capacity</t>
  </si>
  <si>
    <t>Capacity Duplicate</t>
  </si>
  <si>
    <t>Size</t>
  </si>
  <si>
    <t>Annual Operating Hours</t>
  </si>
  <si>
    <t>Notes:</t>
  </si>
  <si>
    <t>Columns G and H are hidden. Column G copies the capacity entered in column F or pulls in the default average capacity for units with unknown capacity.</t>
  </si>
  <si>
    <t xml:space="preserve"> Column F determines the size of the unit based on capacity and pulls the appropriate values from the lookup table to be used in the Savings calculation.</t>
  </si>
  <si>
    <t>Line Item</t>
  </si>
  <si>
    <t>Project Measure Name</t>
  </si>
  <si>
    <t>Description/Product Style</t>
  </si>
  <si>
    <t>Annual Electric Energy Savings (kWh)</t>
  </si>
  <si>
    <t>Installation Type</t>
  </si>
  <si>
    <t>Model</t>
  </si>
  <si>
    <t>Coincident Factor</t>
  </si>
  <si>
    <t>Annual Operating Hours (hours/year)</t>
  </si>
  <si>
    <t>Annual Water Savings (gallons)</t>
  </si>
  <si>
    <t>Application</t>
  </si>
  <si>
    <t>Capacity (cubic feet)</t>
  </si>
  <si>
    <t>CEE Tier</t>
  </si>
  <si>
    <t>ENERGY STAR Certified</t>
  </si>
  <si>
    <t>Clothes Dryer Fuel Type</t>
  </si>
  <si>
    <t>Baseline CEF (lbs/kWh)</t>
  </si>
  <si>
    <t>Baseline Energy Use (kWh/year)</t>
  </si>
  <si>
    <t>Baseline MEF</t>
  </si>
  <si>
    <t>Efficient CEF (lbs/kWh)</t>
  </si>
  <si>
    <t xml:space="preserve">Equipment Cost ($)
</t>
  </si>
  <si>
    <t>Efficient Energy Factor</t>
  </si>
  <si>
    <t>Efficient Energy Use (kWh/year)</t>
  </si>
  <si>
    <t>Efficient MEF</t>
  </si>
  <si>
    <t>Factor 1</t>
  </si>
  <si>
    <t>Factor 2</t>
  </si>
  <si>
    <t>Load (lbs)</t>
  </si>
  <si>
    <t>Load Configuration</t>
  </si>
  <si>
    <t>Percent Less Energy Use than US Federal</t>
  </si>
  <si>
    <t>Refrigerator Configuration</t>
  </si>
  <si>
    <t>SC Peak Demand Savings (kW)</t>
  </si>
  <si>
    <t>Through-Door Ice Service</t>
  </si>
  <si>
    <t>Voltage (V)</t>
  </si>
  <si>
    <t>Volume (cubic feet)</t>
  </si>
  <si>
    <t xml:space="preserve">Building Type </t>
  </si>
  <si>
    <t>OrderLineId</t>
  </si>
  <si>
    <t>SampleId</t>
  </si>
  <si>
    <t>Total Incentive Cap</t>
  </si>
  <si>
    <t>Total Incentive</t>
  </si>
  <si>
    <t>Deemed Annual Energy Savings </t>
  </si>
  <si>
    <t>Deemed Annual Energy Savings (Therms)</t>
  </si>
  <si>
    <t>MMBTu DHW</t>
  </si>
  <si>
    <t>MMBTU Dryer</t>
  </si>
  <si>
    <t>DHW Eff</t>
  </si>
  <si>
    <t>DHW Gas</t>
  </si>
  <si>
    <t>Dryer Gas</t>
  </si>
  <si>
    <t>Baseline Liters per kWh</t>
  </si>
  <si>
    <t>Efficient Liters per kWh</t>
  </si>
  <si>
    <t>Annual Operating Days per Year</t>
  </si>
  <si>
    <t>Factor 4</t>
  </si>
  <si>
    <t>Temperature Adjustment Factor</t>
  </si>
  <si>
    <t>Load Shape Adjustment Factor</t>
  </si>
  <si>
    <t>DeltaWater</t>
  </si>
  <si>
    <t>FLObase</t>
  </si>
  <si>
    <t>FLOeff</t>
  </si>
  <si>
    <t>Full Service Restaurant</t>
  </si>
  <si>
    <t>EUL (Years)</t>
  </si>
  <si>
    <t>GasEffTherm</t>
  </si>
  <si>
    <t>Fast Food</t>
  </si>
  <si>
    <t>DeltaT</t>
  </si>
  <si>
    <t>Other</t>
  </si>
  <si>
    <t>Incremental Cost</t>
  </si>
  <si>
    <t>ElecEffTherm</t>
  </si>
  <si>
    <t>HOT%</t>
  </si>
  <si>
    <t>MEF Federal Standard</t>
  </si>
  <si>
    <t>MEF ENERGY STAR</t>
  </si>
  <si>
    <t>Front Loading</t>
  </si>
  <si>
    <t>Water Heating Type</t>
  </si>
  <si>
    <t>DHW Electric</t>
  </si>
  <si>
    <t>Top Loading</t>
  </si>
  <si>
    <t>Electric</t>
  </si>
  <si>
    <t>Gas</t>
  </si>
  <si>
    <t>Reference Values</t>
  </si>
  <si>
    <t>Ncycles</t>
  </si>
  <si>
    <t>kWh unit, rated, Base (kWh/yr)</t>
  </si>
  <si>
    <t>Multifamily</t>
  </si>
  <si>
    <t>kWh unit, rated, EE (kWh/yr)</t>
  </si>
  <si>
    <t>Laundromat</t>
  </si>
  <si>
    <t>%CW</t>
  </si>
  <si>
    <t>%DHW</t>
  </si>
  <si>
    <t>Dryer Type</t>
  </si>
  <si>
    <t>Dryer elec</t>
  </si>
  <si>
    <t>Ncycles Ref</t>
  </si>
  <si>
    <t>%loads dryed</t>
  </si>
  <si>
    <t>Dryer usage</t>
  </si>
  <si>
    <t>Dryer Usage Mod</t>
  </si>
  <si>
    <t>Hours</t>
  </si>
  <si>
    <t>Per Unit</t>
  </si>
  <si>
    <t>CF</t>
  </si>
  <si>
    <t>DHWeff</t>
  </si>
  <si>
    <t>kWh to MMBtu</t>
  </si>
  <si>
    <t>Dryer gas, corr</t>
  </si>
  <si>
    <t>Capacity (cu. Ft.)</t>
  </si>
  <si>
    <t>kWh unit, base</t>
  </si>
  <si>
    <t>kWh unit EE</t>
  </si>
  <si>
    <t>kWh total, base</t>
  </si>
  <si>
    <t>kWh total, EE</t>
  </si>
  <si>
    <r>
      <rPr>
        <sz val="11"/>
        <color theme="1"/>
        <rFont val="Calibri"/>
        <family val="2"/>
      </rPr>
      <t>Δ</t>
    </r>
    <r>
      <rPr>
        <sz val="8.8000000000000007"/>
        <color theme="1"/>
        <rFont val="Arial"/>
        <family val="2"/>
      </rPr>
      <t>kWh CW</t>
    </r>
  </si>
  <si>
    <r>
      <rPr>
        <sz val="11"/>
        <color theme="1"/>
        <rFont val="Calibri"/>
        <family val="2"/>
      </rPr>
      <t>Δ</t>
    </r>
    <r>
      <rPr>
        <sz val="8.8000000000000007"/>
        <color theme="1"/>
        <rFont val="Arial"/>
        <family val="2"/>
      </rPr>
      <t>kWh DHW</t>
    </r>
  </si>
  <si>
    <r>
      <rPr>
        <sz val="11"/>
        <color theme="1"/>
        <rFont val="Calibri"/>
        <family val="2"/>
      </rPr>
      <t>Δ</t>
    </r>
    <r>
      <rPr>
        <sz val="8.8000000000000007"/>
        <color theme="1"/>
        <rFont val="Arial"/>
        <family val="2"/>
      </rPr>
      <t>kWh Dryer</t>
    </r>
  </si>
  <si>
    <t>MMBTU DHW</t>
  </si>
  <si>
    <t>MMBtu Total</t>
  </si>
  <si>
    <t>Therms</t>
  </si>
  <si>
    <t>Residential Clothes Washer</t>
  </si>
  <si>
    <t>% Dryer</t>
  </si>
  <si>
    <t>% DHW</t>
  </si>
  <si>
    <t>IMEF baseline</t>
  </si>
  <si>
    <t>IWF Baseline</t>
  </si>
  <si>
    <t>Baseline</t>
  </si>
  <si>
    <t>Clothes washers (&gt;2.5 cu. Ft)</t>
  </si>
  <si>
    <t>IMEF</t>
  </si>
  <si>
    <t>IWF</t>
  </si>
  <si>
    <t>Fossil Fuel</t>
  </si>
  <si>
    <t>ENERGY STAR</t>
  </si>
  <si>
    <t>Unknown</t>
  </si>
  <si>
    <t>CEE Tier 2</t>
  </si>
  <si>
    <t>CEE Tier 3</t>
  </si>
  <si>
    <t>Clothes washers (&lt;=2.5 cu. Ft)</t>
  </si>
  <si>
    <t>R eff</t>
  </si>
  <si>
    <t>MMBtu Convert</t>
  </si>
  <si>
    <t>IMEF Eff</t>
  </si>
  <si>
    <t>%CW Eff</t>
  </si>
  <si>
    <t>%Dryer Eff</t>
  </si>
  <si>
    <t>%DHW Eff</t>
  </si>
  <si>
    <t>Energy Savings (kWh/yr)</t>
  </si>
  <si>
    <t>Demand Savings (kW)</t>
  </si>
  <si>
    <t>Natural Gas Savings (MMBtu)</t>
  </si>
  <si>
    <t>Gas Savings (MMBtu)</t>
  </si>
  <si>
    <t>Incremental Cost ($)</t>
  </si>
  <si>
    <t>Vented or Ventless Electric, Standard (&gt;= 4.4 cu. Ft.)</t>
  </si>
  <si>
    <t>Vented or Ventless Electric, Compact (120V) (&lt; 4.4 cu. Ft.)</t>
  </si>
  <si>
    <t>Incentive per Unit</t>
  </si>
  <si>
    <t>Vented Electric, Compact (240V) (&lt; 4.4 cu. Ft.)</t>
  </si>
  <si>
    <t>Ventless Electric, Compact (240V) (&lt; 4.4 cu. Ft.)</t>
  </si>
  <si>
    <t>Vented Gas</t>
  </si>
  <si>
    <t>Product Category</t>
  </si>
  <si>
    <t>kWhBASE</t>
  </si>
  <si>
    <t>% Better than Standard</t>
  </si>
  <si>
    <t>EnergyStar</t>
  </si>
  <si>
    <t>Refrigerators and Refrigerator-Freezers w/ Manual Defrost</t>
  </si>
  <si>
    <t>Refrigerator-Freezers w/ Partial Automatic Defrost</t>
  </si>
  <si>
    <t>Refrigerator-Freezers-automatic defrost with top-mounted freezer without through-the-door ice service and all-refrigerators-automatic defrost</t>
  </si>
  <si>
    <t>Refrigerator-Freezers--automatic defrost with side-mounted freezer without through-the-door ice service</t>
  </si>
  <si>
    <t>Refrigerator-Freezers--automatic defrost with bottom-mounted freezer without through-the-door ice service</t>
  </si>
  <si>
    <t>Refrigerator-Freezers--automatic defrost with top-mounted freezer with through-the-door ice service</t>
  </si>
  <si>
    <t>Refrigerator-Freezers--automatic defrost with side-mounted freezer with through-the-door ice service</t>
  </si>
  <si>
    <t>Water Heater - Heat Pump</t>
  </si>
  <si>
    <t>Incentive per unit</t>
  </si>
  <si>
    <t>Energy Savings</t>
  </si>
  <si>
    <t>Peak Demand Savings</t>
  </si>
  <si>
    <t xml:space="preserve">Office </t>
  </si>
  <si>
    <t>School</t>
  </si>
  <si>
    <t xml:space="preserve">Known </t>
  </si>
  <si>
    <t>-</t>
  </si>
  <si>
    <t>Sizes</t>
  </si>
  <si>
    <t>L/kWh_Base</t>
  </si>
  <si>
    <t>L/kWh_Eff</t>
  </si>
  <si>
    <t>Small</t>
  </si>
  <si>
    <t>&lt;25.00</t>
  </si>
  <si>
    <t>Medium</t>
  </si>
  <si>
    <t>25&lt;&gt;50</t>
  </si>
  <si>
    <t>Large</t>
  </si>
  <si>
    <t>&gt;50</t>
  </si>
  <si>
    <t>Cold Water Only</t>
  </si>
  <si>
    <t>AV = 1.76*Volume</t>
  </si>
  <si>
    <t>kWh_Base</t>
  </si>
  <si>
    <t>kWh_Estar</t>
  </si>
  <si>
    <t>Upright freezers w/ manual defrost</t>
  </si>
  <si>
    <t>5.57*AV+193.7</t>
  </si>
  <si>
    <t>5.01*AV+174.3</t>
  </si>
  <si>
    <t>Upright freezers w/ automatic defrost &amp; w/o automatic icemaker</t>
  </si>
  <si>
    <t>8.62*AV+228.3</t>
  </si>
  <si>
    <t>7.76*AV+205.5</t>
  </si>
  <si>
    <t>Upright freezers w/ automatic defrost &amp; automatic icemaker</t>
  </si>
  <si>
    <t>8.62*AV+312.3</t>
  </si>
  <si>
    <t>7.76*AV+289.5</t>
  </si>
  <si>
    <t>Built-In Upright freezers w/ automatic defrost &amp; w/o automatic icemaker</t>
  </si>
  <si>
    <t>9.86*AV+260.9</t>
  </si>
  <si>
    <t>8.87*AV234.8</t>
  </si>
  <si>
    <t>Built-In Upright freezers w/ automatic defrost &amp; automatic icemaker</t>
  </si>
  <si>
    <t>9.86*AV+344.9</t>
  </si>
  <si>
    <t>8.87*AV+318.8</t>
  </si>
  <si>
    <t>Chest freezers and all other freezers except compact freezers</t>
  </si>
  <si>
    <t>7.29*AV+107.8</t>
  </si>
  <si>
    <t>6.56*AV97.0</t>
  </si>
  <si>
    <t>Chest freezers w/ automatic defrost</t>
  </si>
  <si>
    <t>10.24*AV+148.1</t>
  </si>
  <si>
    <t>9.22*AV+133.3</t>
  </si>
  <si>
    <t>Compact upright freezers w/ manual defrost</t>
  </si>
  <si>
    <t>8.65*AV+225.7</t>
  </si>
  <si>
    <t>7.79*AV+203.1</t>
  </si>
  <si>
    <t>Compact upright freezers w/automatic defrost</t>
  </si>
  <si>
    <t>10.17*AV+351.9</t>
  </si>
  <si>
    <t>9.15*AV+316.7</t>
  </si>
  <si>
    <t>Compact chest freezer</t>
  </si>
  <si>
    <t>9.25*AV+136.8</t>
  </si>
  <si>
    <t>8.33*AV+123.1</t>
  </si>
  <si>
    <t>Upright Freezer, General</t>
  </si>
  <si>
    <t>Chest Freezer, General</t>
  </si>
  <si>
    <t>ΔkWh/yr</t>
  </si>
  <si>
    <t>Building Types</t>
  </si>
  <si>
    <t>Arena/Auditorium/Convention</t>
  </si>
  <si>
    <t>Auto-Related</t>
  </si>
  <si>
    <t>Convenience Stores</t>
  </si>
  <si>
    <t>Daycare</t>
  </si>
  <si>
    <t>Education - College/University</t>
  </si>
  <si>
    <t>Education - K-12</t>
  </si>
  <si>
    <t>Grocery</t>
  </si>
  <si>
    <t>Gymnasium/Performing Arts Theater</t>
  </si>
  <si>
    <t>Industrial - 1 Shift</t>
  </si>
  <si>
    <t>Industrial - 2 Shift</t>
  </si>
  <si>
    <t>Industrial - 3 Shift</t>
  </si>
  <si>
    <t>Lodging - Common Areas</t>
  </si>
  <si>
    <t>Lodging (MF - Dorms)</t>
  </si>
  <si>
    <t>Lodging Hotel (Guest Rooms)</t>
  </si>
  <si>
    <t>Medical - Clinic</t>
  </si>
  <si>
    <t>Medical - Hospital</t>
  </si>
  <si>
    <t>Multi-Family (Common Areas)</t>
  </si>
  <si>
    <t>Museum/Library</t>
  </si>
  <si>
    <t>Nursing Homes</t>
  </si>
  <si>
    <t>Office</t>
  </si>
  <si>
    <t>Penitentiary</t>
  </si>
  <si>
    <t>Police/Fire Stations</t>
  </si>
  <si>
    <t>Post Office/Town Hall/Court</t>
  </si>
  <si>
    <t>Public Assembly</t>
  </si>
  <si>
    <t>Public Order/Safety</t>
  </si>
  <si>
    <t>Public Services (Non-food)</t>
  </si>
  <si>
    <t>Religious Worship/Church</t>
  </si>
  <si>
    <t>Restaurant - Fast-Food</t>
  </si>
  <si>
    <t>Restaurant - Sit-Down</t>
  </si>
  <si>
    <t>Retail - Large</t>
  </si>
  <si>
    <t>Retail - Small</t>
  </si>
  <si>
    <t>Storage - Conditioned</t>
  </si>
  <si>
    <t>Storage - Unconditioned</t>
  </si>
  <si>
    <t>Warehouse - Non-Refrigerated</t>
  </si>
  <si>
    <t>Warehouse - Refrigerated</t>
  </si>
  <si>
    <t xml:space="preserve">Waste Water Treatment Plant </t>
  </si>
  <si>
    <t>Original Author:</t>
  </si>
  <si>
    <t>Bitul Sinha</t>
  </si>
  <si>
    <t>QA/QC Engineer(s):</t>
  </si>
  <si>
    <t>Michael Stevenson</t>
  </si>
  <si>
    <t>Primary Developer:</t>
  </si>
  <si>
    <t>Senior Engineer Approval:</t>
  </si>
  <si>
    <t>Version</t>
  </si>
  <si>
    <t>Reason for Change</t>
  </si>
  <si>
    <t>Change Description</t>
  </si>
  <si>
    <t>Contact, Department</t>
  </si>
  <si>
    <t>First Version</t>
  </si>
  <si>
    <t>Updates</t>
  </si>
  <si>
    <t>Added Methodology and Summary Tabs, Removed gas savings from calculator tabs, included total equipment cost input and limited incentive to 100% of total equipment cost.</t>
  </si>
  <si>
    <t>Launch</t>
  </si>
  <si>
    <t>Updated per Navigant feedback.</t>
  </si>
  <si>
    <t>Phase V Launch</t>
  </si>
  <si>
    <t>Updated TRM references, added new measures</t>
  </si>
  <si>
    <t>William Kane, Meredith Woy</t>
  </si>
  <si>
    <t>Phase VI</t>
  </si>
  <si>
    <t>winter kw</t>
  </si>
  <si>
    <t>Product Class 2 (&gt;5 ozf and =&lt;8 ozf)</t>
  </si>
  <si>
    <t>Product Class 1 (=&lt;5 ozf)</t>
  </si>
  <si>
    <t>Product Class 3 (&gt;8 ozf)</t>
  </si>
  <si>
    <t>Hospital</t>
  </si>
  <si>
    <t>Water Heating</t>
  </si>
  <si>
    <t>CEFeff</t>
  </si>
  <si>
    <t>CEFbase</t>
  </si>
  <si>
    <t xml:space="preserve">kWh </t>
  </si>
  <si>
    <t>Peak kW</t>
  </si>
  <si>
    <t>Winter kW</t>
  </si>
  <si>
    <t>Maryland TRM v11, Record of Revisions (2023)</t>
  </si>
  <si>
    <t>Release Version</t>
  </si>
  <si>
    <t>Sector</t>
  </si>
  <si>
    <t>End Use</t>
  </si>
  <si>
    <t>Topic/Parameter/Issue</t>
  </si>
  <si>
    <t>Revision Notes</t>
  </si>
  <si>
    <t>Savings Impact</t>
  </si>
  <si>
    <t>Revised by</t>
  </si>
  <si>
    <t>DRAFT Protocols</t>
  </si>
  <si>
    <t>Residential</t>
  </si>
  <si>
    <t>Appliance</t>
  </si>
  <si>
    <t>Cycles/Hours</t>
  </si>
  <si>
    <t>changed the number of cycles per year to better reflect the other TRMs from 311-283. The change in number of cycles per year prompted a year in number of hours per year from 290 to 264</t>
  </si>
  <si>
    <t>Low</t>
  </si>
  <si>
    <t>Denisse Manzo Gonzalez</t>
  </si>
  <si>
    <t>%dry/wash</t>
  </si>
  <si>
    <t>Added a new variable that was in the PA TRM, %dry/wash reflects the percentage of wash loads that are dried</t>
  </si>
  <si>
    <t xml:space="preserve">Revised capacity ranges to align with current federal &amp; ES ranges. This affected the default capacity per range, affecting deemed savings. </t>
  </si>
  <si>
    <t>Lauren Abraham</t>
  </si>
  <si>
    <t>C&amp;I</t>
  </si>
  <si>
    <t>Water Factor</t>
  </si>
  <si>
    <t>Changed IWF to max of 4.0 consistent with Energy Star 8.1</t>
  </si>
  <si>
    <t>Phanindra Pagadala</t>
  </si>
  <si>
    <t>Hot Water</t>
  </si>
  <si>
    <t xml:space="preserve">Pre-Rinse Spray Valves </t>
  </si>
  <si>
    <t>Baseline flow rate</t>
  </si>
  <si>
    <t>Updated to reflect federal standard from 2009 - 2019</t>
  </si>
  <si>
    <t>Moderate</t>
  </si>
  <si>
    <t>Bill Goodrich</t>
  </si>
  <si>
    <t>Efficient case flow rate</t>
  </si>
  <si>
    <t>Updated to reflect current federal standard (retrofit measure only)</t>
  </si>
  <si>
    <t>delta T between supply and hot water</t>
  </si>
  <si>
    <t>Updated to reflect water supply temp of 54 F</t>
  </si>
  <si>
    <t xml:space="preserve">Clothes Washer </t>
  </si>
  <si>
    <t>N/A</t>
  </si>
  <si>
    <t>no note-worthy changes from IMP phase</t>
  </si>
  <si>
    <t xml:space="preserve">C&amp;I Heat Pump Water Heater </t>
  </si>
  <si>
    <t>no note-worthy change</t>
  </si>
  <si>
    <t>DRAFT-FINAL Report</t>
  </si>
  <si>
    <t>Res</t>
  </si>
  <si>
    <t>Appliances</t>
  </si>
  <si>
    <t>Demand Reduction</t>
  </si>
  <si>
    <t>Updated calculation of demand reduction to a "Energy to Demand Factor" methodology</t>
  </si>
  <si>
    <t>Tyler Hammer</t>
  </si>
  <si>
    <t>Clothes Washer</t>
  </si>
  <si>
    <t>Service Area</t>
  </si>
  <si>
    <t>Added distribution of MD customers among water heating fuel and service area</t>
  </si>
  <si>
    <t>DRAFT-FINAL_May Report</t>
  </si>
  <si>
    <t>Changed summer coincident peak to demand reduction algorithm</t>
  </si>
  <si>
    <t>Electric Energy Savings Algorithm</t>
  </si>
  <si>
    <t>Added equation for estimating annual water heating energy requirements</t>
  </si>
  <si>
    <t>Yogi Patil</t>
  </si>
  <si>
    <t>Changed delta T from 86.1 to 64.1</t>
  </si>
  <si>
    <t xml:space="preserve">Chnaged water heater thermal efficiency from 0.97 to 0.80 </t>
  </si>
  <si>
    <t>All</t>
  </si>
  <si>
    <t>Demand Reduction algorithm</t>
  </si>
  <si>
    <t>Added winter kW to all ETDF formulas</t>
  </si>
  <si>
    <t>FINAL - January Report</t>
  </si>
  <si>
    <t>ETDF - Appendix Table</t>
  </si>
  <si>
    <t>Building Type Update</t>
  </si>
  <si>
    <t>Added an "Other" building type with weighted average ETDF values by end use</t>
  </si>
  <si>
    <t>Lifetime Emissions Abatement Algorithm</t>
  </si>
  <si>
    <r>
      <rPr>
        <sz val="11"/>
        <color rgb="FF000000"/>
        <rFont val="Calibri"/>
        <family val="2"/>
      </rPr>
      <t xml:space="preserve">Revised language and algorithm to better align with the </t>
    </r>
    <r>
      <rPr>
        <i/>
        <sz val="11"/>
        <color rgb="FF000000"/>
        <rFont val="Calibri"/>
        <family val="2"/>
      </rPr>
      <t>Avoided Emissions Calculator</t>
    </r>
  </si>
  <si>
    <t>Thomas Gim</t>
  </si>
  <si>
    <t>QC of Revision</t>
  </si>
  <si>
    <t>James Domanski</t>
  </si>
  <si>
    <t xml:space="preserve">QC </t>
  </si>
  <si>
    <t>%Gas</t>
  </si>
  <si>
    <t>%Elec</t>
  </si>
  <si>
    <t>Load lbs</t>
  </si>
  <si>
    <t>N Cycles</t>
  </si>
  <si>
    <t>%Dry</t>
  </si>
  <si>
    <t>QC Complete - James Domanski</t>
  </si>
  <si>
    <t>Large Hotel</t>
  </si>
  <si>
    <t>NREL Load Shape</t>
  </si>
  <si>
    <t>ETDF_Winter peak</t>
  </si>
  <si>
    <t>ETDF_Summer peak</t>
  </si>
  <si>
    <t>((1 )/(L/(kWh_base ))-  (1  )/(L/(kWh_eff )))</t>
  </si>
  <si>
    <t>Capacity of existing unit (pints/day)</t>
  </si>
  <si>
    <t>Annual kWh Savings</t>
  </si>
  <si>
    <t>Mfr date before Oct 2012</t>
  </si>
  <si>
    <t>≤25</t>
  </si>
  <si>
    <t>&gt; 25 to ≤35</t>
  </si>
  <si>
    <t>&gt; 35 to ≤45</t>
  </si>
  <si>
    <t>&gt; 45 to ≤ 54</t>
  </si>
  <si>
    <t>&gt; 54 to ≤ 75</t>
  </si>
  <si>
    <t>&gt; 75 to ≤ 185</t>
  </si>
  <si>
    <t>Average</t>
  </si>
  <si>
    <t>Capacity (pints/day) Range</t>
  </si>
  <si>
    <t>2007 Federal Standard 
(≥ L/kWh)[1]</t>
  </si>
  <si>
    <t>2012 Federal Standard 
(≥ L/kWh)[2]</t>
  </si>
  <si>
    <t>Mfr date between Nov 2012 and June 2019</t>
  </si>
  <si>
    <t>Cook and Cold Units</t>
  </si>
  <si>
    <t>Hot and Cold &amp; Hot, Cook, and Cold Units (Conditioned Storage)</t>
  </si>
  <si>
    <t>Hot and Cold &amp; Hot, Cook, and Cold Units (On Demand)</t>
  </si>
  <si>
    <t>Base (kWh/day)</t>
  </si>
  <si>
    <t>ES 3.0 (kWh/day)</t>
  </si>
  <si>
    <t>Summer kW</t>
  </si>
  <si>
    <t>load_shape_name</t>
  </si>
  <si>
    <t>ETDF_summer peak</t>
  </si>
  <si>
    <t>ETDF_winter peak</t>
  </si>
  <si>
    <t>FullServiceRestaurant</t>
  </si>
  <si>
    <t>Plug Load</t>
  </si>
  <si>
    <t>Outpatient</t>
  </si>
  <si>
    <t>Warehouse</t>
  </si>
  <si>
    <t>Product Category*</t>
  </si>
  <si>
    <t>Large Office</t>
  </si>
  <si>
    <t>Medium Office</t>
  </si>
  <si>
    <t>Primary School</t>
  </si>
  <si>
    <t>Quick Service Restaurant</t>
  </si>
  <si>
    <t>Retail (strip mall)</t>
  </si>
  <si>
    <t>Retail (stand alone)</t>
  </si>
  <si>
    <t>Secondary School</t>
  </si>
  <si>
    <t>Small Hotel</t>
  </si>
  <si>
    <t>Small Office</t>
  </si>
  <si>
    <t>ES</t>
  </si>
  <si>
    <t>Aligned changes with Record of Revisions (2023). Measures updated: Clothes Dryer, Dehumidifier, Pre-Rinse Spray Valves, Clothes Washers, HP Water Heater, Water Cooler. Note: Incentives not updated</t>
  </si>
  <si>
    <t>Changed number of days per year that the water cooler is in use from 365 to 365.25</t>
  </si>
  <si>
    <t>Hours of Pre-Rinse Spray Valve Use per Day (HOURS)</t>
  </si>
  <si>
    <t>summer</t>
  </si>
  <si>
    <t>winter</t>
  </si>
  <si>
    <t>Project Number</t>
  </si>
  <si>
    <t>Instructions: Enter the project information in the white cells below. Do not enter data in grayed-out cells</t>
  </si>
  <si>
    <t>Phase VI cont</t>
  </si>
  <si>
    <t>No Vehicle Mode Input Power (W)</t>
  </si>
  <si>
    <t>Idle Mode Input Power (W)</t>
  </si>
  <si>
    <t>EV Chargers</t>
  </si>
  <si>
    <t>summer kW</t>
  </si>
  <si>
    <t>kWh_eStar</t>
  </si>
  <si>
    <t>kWh_base</t>
  </si>
  <si>
    <t>Networked or Non-Networked</t>
  </si>
  <si>
    <t>Non-Networked</t>
  </si>
  <si>
    <t>Networked</t>
  </si>
  <si>
    <t>kWh savings</t>
  </si>
  <si>
    <t>winter kW</t>
  </si>
  <si>
    <t>Total Equipment Cost ($)</t>
  </si>
  <si>
    <t>Total Energy Savings (kWh)</t>
  </si>
  <si>
    <t>Total Summer Peak Demand (kW)</t>
  </si>
  <si>
    <t>Total Winter Peak Demand (kW)</t>
  </si>
  <si>
    <t>Electric Vehicle Charger</t>
  </si>
  <si>
    <t>White cells indicate that user input is required. Cells with an asterisk (*) are required.</t>
  </si>
  <si>
    <t xml:space="preserve">winter kW </t>
  </si>
  <si>
    <t>Known or Unknown Capacity</t>
  </si>
  <si>
    <t>Instructions: Enter the project information in the white cells below. Do not enter data in grayed-out cells. See Instructions Worksheet for more information.</t>
  </si>
  <si>
    <t>Instructions: Enter the project information in the white cells below. Please select the product class corresponding to the installed freezer in column C and enter its volume in column D. If insufficient information is known about the freezer to fill in both sections, please select either "Upright Freezer, General" or "Chest Freezer, General" depending on your freezer's orientation. Do not enter data in grayed-out cells. See Instructions Worksheet for more information.</t>
  </si>
  <si>
    <t>Instructions: Enter the project information in the white cells below. If the dehumidifier's capacity is known, enter it in column D; if not, select unknown. Do not enter data in grayed-out cells. See Instructions Worksheet for more information.</t>
  </si>
  <si>
    <t>Calculates energy savings for installation of an Energy Star certified AC Level 2 EVSE at a residential site.</t>
  </si>
  <si>
    <t>EV chargers, remove pre rinse spray valves, aesthetic changes, check TRM measures</t>
  </si>
  <si>
    <t>EV Charger</t>
  </si>
  <si>
    <t>incentive</t>
  </si>
  <si>
    <t>Import updates</t>
  </si>
  <si>
    <t>Updated imports and EV Chargers calculation</t>
  </si>
  <si>
    <t>6.01.1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</si>
</sst>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00"/>
    <numFmt numFmtId="167" formatCode="&quot;$&quot;#,##0"/>
    <numFmt numFmtId="168" formatCode="0.0"/>
    <numFmt numFmtId="169" formatCode="0.000"/>
    <numFmt numFmtId="170" formatCode="0.0000"/>
    <numFmt numFmtId="171" formatCode="_(* #,##0.00_);_(* \(#,##0.00\);_(* \-??_);_(@_)"/>
    <numFmt numFmtId="172" formatCode="_(\$* #,##0.00_);_(\$* \(#,##0.00\);_(\$* \-??_);_(@_)"/>
    <numFmt numFmtId="173" formatCode="0.0000000000"/>
    <numFmt numFmtId="174" formatCode="m\-d\-yy"/>
    <numFmt numFmtId="175" formatCode="_(* #,##0.0_);_(* \(#,##0.00\);_(* &quot;-&quot;??_);_(@_)"/>
    <numFmt numFmtId="176" formatCode="General_)"/>
    <numFmt numFmtId="177" formatCode="&quot;fl&quot;#,##0_);\(&quot;fl&quot;#,##0\)"/>
    <numFmt numFmtId="178" formatCode="&quot;fl&quot;#,##0_);[Red]\(&quot;fl&quot;#,##0\)"/>
    <numFmt numFmtId="179" formatCode="_-* #,##0_-;\-* #,##0_-;_-* &quot;-&quot;_-;_-@_-"/>
    <numFmt numFmtId="180" formatCode="_-* #,##0.0_-;\-* #,##0.0_-;_-* &quot;-&quot;??_-;_-@_-"/>
    <numFmt numFmtId="181" formatCode="#,##0.00&quot; $&quot;;\-#,##0.00&quot; $&quot;"/>
    <numFmt numFmtId="182" formatCode="0.00_)"/>
    <numFmt numFmtId="183" formatCode="dd"/>
    <numFmt numFmtId="184" formatCode="_(&quot;$&quot;* #,##0.00000_);_(&quot;$&quot;* \(#,##0.00000\);_(&quot;$&quot;* &quot;-&quot;??_);_(@_)"/>
    <numFmt numFmtId="185" formatCode="_(&quot;$&quot;* #,##0.0000_);_(&quot;$&quot;* \(#,##0.0000\);_(&quot;$&quot;* &quot;-&quot;??_);_(@_)"/>
    <numFmt numFmtId="186" formatCode="#,##0.0000"/>
    <numFmt numFmtId="187" formatCode="0.0000000"/>
    <numFmt numFmtId="188" formatCode="0.000000"/>
    <numFmt numFmtId="189" formatCode="#,##0.000000"/>
    <numFmt numFmtId="190" formatCode="0.000000;\-0.000000;;@"/>
  </numFmts>
  <fonts count="104">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1"/>
      <name val="Arial"/>
      <family val="2"/>
    </font>
    <font>
      <u/>
      <sz val="16"/>
      <color theme="5"/>
      <name val="Arial"/>
      <family val="2"/>
    </font>
    <font>
      <sz val="10"/>
      <color theme="6" tint="-0.249977111117893"/>
      <name val="Arial"/>
      <family val="2"/>
    </font>
    <font>
      <b/>
      <sz val="11"/>
      <color theme="1"/>
      <name val="Arial"/>
      <family val="2"/>
    </font>
    <font>
      <b/>
      <sz val="11"/>
      <color rgb="FF0070C0"/>
      <name val="Arial"/>
      <family val="2"/>
    </font>
    <font>
      <b/>
      <sz val="9"/>
      <color theme="1"/>
      <name val="Arial"/>
      <family val="2"/>
    </font>
    <font>
      <sz val="9"/>
      <color theme="1"/>
      <name val="Arial"/>
      <family val="2"/>
    </font>
    <font>
      <b/>
      <sz val="9"/>
      <color theme="1"/>
      <name val="Arial"/>
      <family val="2"/>
      <scheme val="minor"/>
    </font>
    <font>
      <sz val="9"/>
      <color theme="1"/>
      <name val="Arial"/>
      <family val="2"/>
      <scheme val="minor"/>
    </font>
    <font>
      <b/>
      <u/>
      <sz val="28"/>
      <color theme="5"/>
      <name val="Arial"/>
      <family val="2"/>
      <scheme val="minor"/>
    </font>
    <font>
      <sz val="11"/>
      <color theme="5"/>
      <name val="Arial"/>
      <family val="2"/>
      <scheme val="minor"/>
    </font>
    <font>
      <b/>
      <u/>
      <sz val="26"/>
      <color theme="5"/>
      <name val="Arial"/>
      <family val="2"/>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1"/>
      <color theme="1"/>
      <name val="Arial"/>
      <family val="2"/>
      <scheme val="major"/>
    </font>
    <font>
      <b/>
      <sz val="22"/>
      <color rgb="FF0060AF"/>
      <name val="Arial"/>
      <family val="2"/>
      <scheme val="major"/>
    </font>
    <font>
      <sz val="11"/>
      <color rgb="FFFF0000"/>
      <name val="Arial"/>
      <family val="2"/>
      <scheme val="major"/>
    </font>
    <font>
      <u/>
      <sz val="16"/>
      <color theme="5"/>
      <name val="Arial"/>
      <family val="2"/>
      <scheme val="major"/>
    </font>
    <font>
      <b/>
      <sz val="11"/>
      <color theme="1"/>
      <name val="Arial"/>
      <family val="2"/>
      <scheme val="major"/>
    </font>
    <font>
      <sz val="11"/>
      <name val="Arial"/>
      <family val="2"/>
      <scheme val="major"/>
    </font>
    <font>
      <sz val="11"/>
      <name val="Calibri"/>
      <family val="2"/>
    </font>
    <font>
      <sz val="9"/>
      <color theme="1"/>
      <name val="Calibri"/>
      <family val="2"/>
    </font>
    <font>
      <sz val="9"/>
      <color theme="0"/>
      <name val="Arial"/>
      <family val="2"/>
    </font>
    <font>
      <b/>
      <sz val="10"/>
      <color theme="1"/>
      <name val="Arial"/>
      <family val="2"/>
    </font>
    <font>
      <sz val="11"/>
      <color theme="1"/>
      <name val="Calibri"/>
      <family val="2"/>
    </font>
    <font>
      <sz val="8.8000000000000007"/>
      <color theme="1"/>
      <name val="Arial"/>
      <family val="2"/>
    </font>
    <font>
      <b/>
      <sz val="9"/>
      <name val="Arial"/>
      <family val="2"/>
    </font>
    <font>
      <sz val="11"/>
      <name val="Arial"/>
      <family val="2"/>
      <scheme val="minor"/>
    </font>
    <font>
      <sz val="8"/>
      <name val="Arial"/>
      <family val="2"/>
      <scheme val="minor"/>
    </font>
    <font>
      <b/>
      <sz val="12"/>
      <color theme="1"/>
      <name val="Arial"/>
      <family val="2"/>
      <scheme val="minor"/>
    </font>
    <font>
      <b/>
      <sz val="11"/>
      <color rgb="FFFFFFFF"/>
      <name val="Corbel"/>
      <family val="2"/>
    </font>
    <font>
      <sz val="11"/>
      <color rgb="FF000000"/>
      <name val="Calibri"/>
      <family val="2"/>
    </font>
    <font>
      <i/>
      <sz val="11"/>
      <color rgb="FF000000"/>
      <name val="Calibri"/>
      <family val="2"/>
    </font>
    <font>
      <u/>
      <sz val="11"/>
      <color theme="10"/>
      <name val="Arial"/>
      <family val="2"/>
      <scheme val="minor"/>
    </font>
    <font>
      <b/>
      <u/>
      <sz val="28"/>
      <color theme="1"/>
      <name val="Arial"/>
      <family val="2"/>
    </font>
    <font>
      <b/>
      <sz val="11"/>
      <color theme="0"/>
      <name val="Arial"/>
      <family val="2"/>
    </font>
    <font>
      <b/>
      <u/>
      <sz val="14"/>
      <name val="Arial"/>
      <family val="2"/>
      <scheme val="minor"/>
    </font>
    <font>
      <b/>
      <u/>
      <sz val="28"/>
      <name val="Arial"/>
      <family val="2"/>
      <scheme val="minor"/>
    </font>
    <font>
      <sz val="9"/>
      <name val="Arial"/>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0"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B0F0"/>
        <bgColor rgb="FF000000"/>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005CB8"/>
        <bgColor indexed="64"/>
      </patternFill>
    </fill>
    <fill>
      <patternFill patternType="solid">
        <fgColor rgb="FFB3B3B3"/>
        <bgColor indexed="64"/>
      </patternFill>
    </fill>
    <fill>
      <patternFill patternType="solid">
        <fgColor rgb="FFE8E8E8"/>
        <bgColor indexed="64"/>
      </patternFill>
    </fill>
  </fills>
  <borders count="9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251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1" borderId="0" applyNumberFormat="0" applyBorder="0" applyAlignment="0" applyProtection="0"/>
    <xf numFmtId="0" fontId="22" fillId="35" borderId="0" applyNumberFormat="0" applyBorder="0" applyAlignment="0" applyProtection="0"/>
    <xf numFmtId="0" fontId="23" fillId="52" borderId="10" applyNumberFormat="0" applyAlignment="0" applyProtection="0"/>
    <xf numFmtId="0" fontId="24" fillId="53" borderId="11" applyNumberFormat="0" applyAlignment="0" applyProtection="0"/>
    <xf numFmtId="44" fontId="18" fillId="0" borderId="0" applyFont="0" applyFill="0" applyBorder="0" applyAlignment="0" applyProtection="0"/>
    <xf numFmtId="44" fontId="20" fillId="0" borderId="0" applyFont="0" applyFill="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39" borderId="10" applyNumberFormat="0" applyAlignment="0" applyProtection="0"/>
    <xf numFmtId="0" fontId="31" fillId="0" borderId="15" applyNumberFormat="0" applyFill="0" applyAlignment="0" applyProtection="0"/>
    <xf numFmtId="0" fontId="32"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55" borderId="16" applyNumberFormat="0" applyFont="0" applyAlignment="0" applyProtection="0"/>
    <xf numFmtId="0" fontId="33" fillId="52" borderId="17" applyNumberFormat="0" applyAlignment="0" applyProtection="0"/>
    <xf numFmtId="9" fontId="18" fillId="0" borderId="0" applyFont="0" applyFill="0" applyBorder="0" applyAlignment="0" applyProtection="0"/>
    <xf numFmtId="0" fontId="34" fillId="0" borderId="0" applyNumberFormat="0" applyFill="0" applyBorder="0" applyAlignment="0" applyProtection="0"/>
    <xf numFmtId="0" fontId="35" fillId="0" borderId="18" applyNumberFormat="0" applyFill="0" applyAlignment="0" applyProtection="0"/>
    <xf numFmtId="0" fontId="36"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51" fillId="0" borderId="0"/>
    <xf numFmtId="0" fontId="1" fillId="0" borderId="0"/>
    <xf numFmtId="0" fontId="20" fillId="0" borderId="0"/>
    <xf numFmtId="171" fontId="2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43" fontId="18" fillId="0" borderId="0" applyFont="0" applyFill="0" applyBorder="0" applyAlignment="0" applyProtection="0"/>
    <xf numFmtId="171" fontId="55"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43" fontId="20" fillId="0" borderId="0" applyFont="0" applyFill="0" applyBorder="0" applyAlignment="0" applyProtection="0"/>
    <xf numFmtId="171" fontId="55" fillId="0" borderId="0" applyFill="0" applyBorder="0" applyAlignment="0" applyProtection="0"/>
    <xf numFmtId="171" fontId="55" fillId="0" borderId="0" applyFill="0" applyBorder="0" applyAlignment="0" applyProtection="0"/>
    <xf numFmtId="171" fontId="55" fillId="0" borderId="0" applyFill="0" applyBorder="0" applyAlignment="0" applyProtection="0"/>
    <xf numFmtId="172" fontId="55"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55" fillId="0" borderId="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55" fillId="0" borderId="0" applyFill="0" applyBorder="0" applyAlignment="0" applyProtection="0"/>
    <xf numFmtId="44" fontId="20"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37" fontId="59" fillId="0" borderId="0"/>
    <xf numFmtId="0" fontId="60"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5" fillId="0" borderId="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18"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8" fontId="62" fillId="0" borderId="0" applyFont="0" applyFill="0" applyBorder="0" applyAlignment="0" applyProtection="0">
      <alignment horizontal="right"/>
    </xf>
    <xf numFmtId="2" fontId="62" fillId="0" borderId="0" applyFont="0" applyFill="0" applyBorder="0" applyAlignment="0" applyProtection="0">
      <alignment horizontal="right"/>
    </xf>
    <xf numFmtId="0" fontId="1" fillId="34" borderId="0" applyNumberFormat="0" applyBorder="0" applyAlignment="0" applyProtection="0"/>
    <xf numFmtId="0" fontId="20"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0"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0"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20" fillId="42" borderId="0" applyNumberFormat="0" applyBorder="0" applyAlignment="0" applyProtection="0"/>
    <xf numFmtId="0" fontId="1" fillId="42" borderId="0" applyNumberFormat="0" applyBorder="0" applyAlignment="0" applyProtection="0"/>
    <xf numFmtId="0" fontId="17" fillId="42" borderId="0" applyNumberFormat="0" applyBorder="0" applyAlignment="0" applyProtection="0"/>
    <xf numFmtId="0" fontId="21" fillId="42"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21" fillId="45" borderId="0" applyNumberFormat="0" applyBorder="0" applyAlignment="0" applyProtection="0"/>
    <xf numFmtId="0" fontId="17" fillId="45" borderId="0" applyNumberFormat="0" applyBorder="0" applyAlignment="0" applyProtection="0"/>
    <xf numFmtId="0" fontId="17" fillId="47" borderId="0" applyNumberFormat="0" applyBorder="0" applyAlignment="0" applyProtection="0"/>
    <xf numFmtId="0" fontId="21" fillId="47" borderId="0" applyNumberFormat="0" applyBorder="0" applyAlignment="0" applyProtection="0"/>
    <xf numFmtId="0" fontId="17" fillId="47" borderId="0" applyNumberFormat="0" applyBorder="0" applyAlignment="0" applyProtection="0"/>
    <xf numFmtId="173" fontId="63" fillId="59" borderId="62">
      <alignment horizontal="center" vertical="center"/>
    </xf>
    <xf numFmtId="174" fontId="54" fillId="59" borderId="62">
      <alignment horizontal="center" vertical="center"/>
    </xf>
    <xf numFmtId="175" fontId="64" fillId="0" borderId="0" applyFill="0" applyBorder="0" applyAlignment="0"/>
    <xf numFmtId="176" fontId="64" fillId="0" borderId="0" applyFill="0" applyBorder="0" applyAlignment="0"/>
    <xf numFmtId="169" fontId="64" fillId="0" borderId="0" applyFill="0" applyBorder="0" applyAlignment="0"/>
    <xf numFmtId="177" fontId="64" fillId="0" borderId="0" applyFill="0" applyBorder="0" applyAlignment="0"/>
    <xf numFmtId="178"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75"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18" fillId="0" borderId="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3" fontId="62" fillId="0" borderId="0" applyFont="0" applyFill="0" applyBorder="0" applyAlignment="0" applyProtection="0">
      <alignment horizontal="right"/>
    </xf>
    <xf numFmtId="176" fontId="6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62" fillId="0" borderId="0"/>
    <xf numFmtId="6" fontId="67" fillId="0" borderId="0">
      <protection locked="0"/>
    </xf>
    <xf numFmtId="14" fontId="68" fillId="0" borderId="0" applyFill="0" applyBorder="0" applyAlignment="0"/>
    <xf numFmtId="179" fontId="18" fillId="0" borderId="63">
      <alignment vertical="center"/>
    </xf>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80" fontId="18" fillId="0" borderId="0">
      <protection locked="0"/>
    </xf>
    <xf numFmtId="38" fontId="62" fillId="58" borderId="0" applyNumberFormat="0" applyBorder="0" applyAlignment="0" applyProtection="0"/>
    <xf numFmtId="38" fontId="62" fillId="58" borderId="0" applyNumberFormat="0" applyBorder="0" applyAlignment="0" applyProtection="0"/>
    <xf numFmtId="0" fontId="69" fillId="0" borderId="0" applyNumberFormat="0" applyFill="0" applyBorder="0" applyAlignment="0" applyProtection="0"/>
    <xf numFmtId="0" fontId="52" fillId="0" borderId="61" applyNumberFormat="0" applyAlignment="0" applyProtection="0">
      <alignment horizontal="left" vertical="center"/>
    </xf>
    <xf numFmtId="0" fontId="52" fillId="0" borderId="47">
      <alignment horizontal="left" vertical="center"/>
    </xf>
    <xf numFmtId="0" fontId="52" fillId="0" borderId="47">
      <alignment horizontal="left" vertical="center"/>
    </xf>
    <xf numFmtId="181" fontId="18" fillId="0" borderId="0">
      <protection locked="0"/>
    </xf>
    <xf numFmtId="181" fontId="18" fillId="0" borderId="0">
      <protection locked="0"/>
    </xf>
    <xf numFmtId="0" fontId="70" fillId="0" borderId="64" applyNumberFormat="0" applyFill="0" applyAlignment="0" applyProtection="0"/>
    <xf numFmtId="10" fontId="62" fillId="60" borderId="19" applyNumberFormat="0" applyBorder="0" applyAlignment="0" applyProtection="0"/>
    <xf numFmtId="10" fontId="62" fillId="60" borderId="19" applyNumberFormat="0" applyBorder="0" applyAlignment="0" applyProtection="0"/>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182" fontId="7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8" fillId="0" borderId="0"/>
    <xf numFmtId="0" fontId="72"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62" fillId="0" borderId="0"/>
    <xf numFmtId="0" fontId="62" fillId="0" borderId="0"/>
    <xf numFmtId="0" fontId="18" fillId="0" borderId="0"/>
    <xf numFmtId="0" fontId="72" fillId="0" borderId="0"/>
    <xf numFmtId="0" fontId="18" fillId="0" borderId="0" applyNumberFormat="0" applyFill="0" applyBorder="0" applyAlignment="0" applyProtection="0"/>
    <xf numFmtId="0" fontId="1" fillId="0" borderId="0"/>
    <xf numFmtId="0" fontId="73"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10" fontId="62" fillId="60" borderId="19" applyNumberFormat="0" applyBorder="0" applyAlignment="0" applyProtection="0"/>
    <xf numFmtId="10" fontId="62" fillId="60" borderId="19" applyNumberFormat="0" applyBorder="0" applyAlignment="0" applyProtection="0"/>
    <xf numFmtId="0" fontId="52" fillId="0" borderId="47">
      <alignment horizontal="left" vertical="center"/>
    </xf>
    <xf numFmtId="0" fontId="52" fillId="0" borderId="47">
      <alignment horizontal="left" vertical="center"/>
    </xf>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8" fillId="0" borderId="0"/>
    <xf numFmtId="0" fontId="1" fillId="0" borderId="0"/>
    <xf numFmtId="0" fontId="20" fillId="8" borderId="8" applyNumberFormat="0" applyFont="0" applyAlignment="0" applyProtection="0"/>
    <xf numFmtId="0" fontId="18" fillId="55" borderId="16" applyNumberFormat="0" applyFont="0" applyAlignment="0" applyProtection="0"/>
    <xf numFmtId="0" fontId="20" fillId="8" borderId="8" applyNumberFormat="0" applyFont="0" applyAlignment="0" applyProtection="0"/>
    <xf numFmtId="0" fontId="74" fillId="0" borderId="20" applyFill="0" applyProtection="0">
      <alignment horizontal="right" wrapText="1"/>
    </xf>
    <xf numFmtId="178" fontId="64" fillId="0" borderId="0" applyFont="0" applyFill="0" applyBorder="0" applyAlignment="0" applyProtection="0"/>
    <xf numFmtId="183"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64" fillId="0" borderId="0" applyFill="0" applyBorder="0" applyAlignment="0"/>
    <xf numFmtId="176" fontId="64" fillId="0" borderId="0" applyFill="0" applyBorder="0" applyAlignment="0"/>
    <xf numFmtId="175" fontId="64" fillId="0" borderId="0" applyFill="0" applyBorder="0" applyAlignment="0"/>
    <xf numFmtId="178" fontId="65" fillId="0" borderId="0" applyFill="0" applyBorder="0" applyAlignment="0"/>
    <xf numFmtId="176" fontId="64" fillId="0" borderId="0" applyFill="0" applyBorder="0" applyAlignment="0"/>
    <xf numFmtId="0" fontId="75" fillId="0" borderId="0" applyFill="0" applyBorder="0" applyProtection="0">
      <alignment horizontal="left" wrapText="1"/>
    </xf>
    <xf numFmtId="49" fontId="68" fillId="0" borderId="0" applyFill="0" applyBorder="0" applyAlignment="0"/>
    <xf numFmtId="184" fontId="18" fillId="0" borderId="0" applyFill="0" applyBorder="0" applyAlignment="0"/>
    <xf numFmtId="185" fontId="18" fillId="0" borderId="0" applyFill="0" applyBorder="0" applyAlignment="0"/>
    <xf numFmtId="181" fontId="18" fillId="0" borderId="65">
      <protection locked="0"/>
    </xf>
    <xf numFmtId="37" fontId="62" fillId="61" borderId="0" applyNumberFormat="0" applyBorder="0" applyAlignment="0" applyProtection="0"/>
    <xf numFmtId="37" fontId="62" fillId="61" borderId="0" applyNumberFormat="0" applyBorder="0" applyAlignment="0" applyProtection="0"/>
    <xf numFmtId="37" fontId="62" fillId="0" borderId="0"/>
    <xf numFmtId="3" fontId="76" fillId="0" borderId="64" applyProtection="0"/>
    <xf numFmtId="0" fontId="23" fillId="52" borderId="10" applyNumberFormat="0" applyAlignment="0" applyProtection="0"/>
    <xf numFmtId="10" fontId="62" fillId="60" borderId="19" applyNumberFormat="0" applyBorder="0" applyAlignment="0" applyProtection="0"/>
    <xf numFmtId="10" fontId="62" fillId="60" borderId="19" applyNumberFormat="0" applyBorder="0" applyAlignment="0" applyProtection="0"/>
    <xf numFmtId="0" fontId="30" fillId="39" borderId="10" applyNumberFormat="0" applyAlignment="0" applyProtection="0"/>
    <xf numFmtId="0" fontId="30" fillId="39" borderId="10" applyNumberFormat="0" applyAlignment="0" applyProtection="0"/>
    <xf numFmtId="0" fontId="23" fillId="52" borderId="10" applyNumberFormat="0" applyAlignment="0" applyProtection="0"/>
    <xf numFmtId="0" fontId="18" fillId="55" borderId="16" applyNumberFormat="0" applyFont="0" applyAlignment="0" applyProtection="0"/>
    <xf numFmtId="0" fontId="74" fillId="0" borderId="20" applyFill="0" applyProtection="0">
      <alignment horizontal="right" wrapText="1"/>
    </xf>
    <xf numFmtId="0" fontId="33" fillId="52" borderId="17" applyNumberFormat="0" applyAlignment="0" applyProtection="0"/>
    <xf numFmtId="0" fontId="18" fillId="55" borderId="16" applyNumberFormat="0" applyFont="0" applyAlignment="0" applyProtection="0"/>
    <xf numFmtId="0" fontId="74" fillId="0" borderId="20" applyFill="0" applyProtection="0">
      <alignment horizontal="right" wrapText="1"/>
    </xf>
    <xf numFmtId="0" fontId="33" fillId="52" borderId="17" applyNumberFormat="0" applyAlignment="0" applyProtection="0"/>
    <xf numFmtId="10" fontId="62" fillId="60" borderId="19" applyNumberFormat="0" applyBorder="0" applyAlignment="0" applyProtection="0"/>
    <xf numFmtId="10" fontId="62" fillId="60" borderId="19" applyNumberForma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98" fillId="0" borderId="0" applyNumberFormat="0" applyFill="0" applyBorder="0" applyAlignment="0" applyProtection="0"/>
  </cellStyleXfs>
  <cellXfs count="478">
    <xf numFmtId="0" fontId="0" fillId="0" borderId="0" xfId="0"/>
    <xf numFmtId="0" fontId="0" fillId="33" borderId="0" xfId="0" applyFill="1"/>
    <xf numFmtId="0" fontId="37" fillId="33" borderId="0" xfId="0" applyFont="1" applyFill="1"/>
    <xf numFmtId="0" fontId="40" fillId="33" borderId="0" xfId="42" applyFont="1" applyFill="1" applyAlignment="1">
      <alignment vertical="center"/>
    </xf>
    <xf numFmtId="0" fontId="41" fillId="33" borderId="0" xfId="0" applyFont="1" applyFill="1" applyAlignment="1">
      <alignment horizontal="left"/>
    </xf>
    <xf numFmtId="0" fontId="42" fillId="33" borderId="0" xfId="42" applyFont="1" applyFill="1" applyAlignment="1" applyProtection="1">
      <alignment horizontal="left" vertical="center" wrapText="1" indent="2"/>
      <protection hidden="1"/>
    </xf>
    <xf numFmtId="0" fontId="38" fillId="33" borderId="0" xfId="42" applyFont="1" applyFill="1" applyAlignment="1" applyProtection="1">
      <alignment horizontal="left" vertical="center" wrapText="1" indent="2"/>
      <protection hidden="1"/>
    </xf>
    <xf numFmtId="0" fontId="43" fillId="56" borderId="33" xfId="0" applyFont="1" applyFill="1" applyBorder="1" applyAlignment="1" applyProtection="1">
      <alignment horizontal="center" vertical="center" wrapText="1"/>
      <protection hidden="1"/>
    </xf>
    <xf numFmtId="0" fontId="43" fillId="56" borderId="34" xfId="0" applyFont="1" applyFill="1" applyBorder="1" applyAlignment="1" applyProtection="1">
      <alignment horizontal="center" vertical="center" wrapText="1"/>
      <protection hidden="1"/>
    </xf>
    <xf numFmtId="0" fontId="43" fillId="56" borderId="35" xfId="0"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0" fillId="0" borderId="0" xfId="0" applyAlignment="1">
      <alignment horizontal="center" vertical="center" wrapText="1"/>
    </xf>
    <xf numFmtId="0" fontId="37" fillId="0" borderId="49" xfId="0" applyFont="1" applyBorder="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43" fillId="56" borderId="25" xfId="0" applyFont="1" applyFill="1" applyBorder="1" applyAlignment="1">
      <alignment horizontal="center" vertical="center" wrapText="1"/>
    </xf>
    <xf numFmtId="0" fontId="43" fillId="56" borderId="26" xfId="0" applyFont="1" applyFill="1" applyBorder="1" applyAlignment="1">
      <alignment horizontal="center" vertical="center" wrapText="1"/>
    </xf>
    <xf numFmtId="0" fontId="43" fillId="56" borderId="27" xfId="0" applyFont="1" applyFill="1" applyBorder="1" applyAlignment="1">
      <alignment horizontal="center" vertical="center" wrapText="1"/>
    </xf>
    <xf numFmtId="0" fontId="44" fillId="57" borderId="28" xfId="0" applyFont="1" applyFill="1" applyBorder="1" applyAlignment="1">
      <alignment horizontal="center" vertical="center" wrapText="1"/>
    </xf>
    <xf numFmtId="3" fontId="44" fillId="57" borderId="19" xfId="0" applyNumberFormat="1" applyFont="1" applyFill="1" applyBorder="1" applyAlignment="1">
      <alignment horizontal="center" vertical="center" wrapText="1"/>
    </xf>
    <xf numFmtId="3" fontId="44" fillId="57" borderId="29" xfId="0" applyNumberFormat="1" applyFont="1" applyFill="1" applyBorder="1" applyAlignment="1">
      <alignment horizontal="center" vertical="center" wrapText="1"/>
    </xf>
    <xf numFmtId="0" fontId="44" fillId="57" borderId="30" xfId="0" applyFont="1" applyFill="1" applyBorder="1" applyAlignment="1">
      <alignment horizontal="center" vertical="center" wrapText="1"/>
    </xf>
    <xf numFmtId="3" fontId="44" fillId="57" borderId="31" xfId="0" applyNumberFormat="1" applyFont="1" applyFill="1" applyBorder="1" applyAlignment="1">
      <alignment horizontal="center" vertical="center" wrapText="1"/>
    </xf>
    <xf numFmtId="3" fontId="44" fillId="57" borderId="32" xfId="0" applyNumberFormat="1" applyFont="1" applyFill="1" applyBorder="1" applyAlignment="1">
      <alignment horizontal="center" vertical="center" wrapText="1"/>
    </xf>
    <xf numFmtId="0" fontId="45" fillId="56" borderId="19" xfId="0" applyFont="1" applyFill="1" applyBorder="1" applyAlignment="1">
      <alignment horizontal="center" vertical="center" wrapText="1"/>
    </xf>
    <xf numFmtId="0" fontId="45" fillId="56" borderId="29" xfId="0" applyFont="1" applyFill="1" applyBorder="1" applyAlignment="1">
      <alignment horizontal="center" vertical="center" wrapText="1"/>
    </xf>
    <xf numFmtId="0" fontId="45" fillId="56" borderId="26" xfId="0" applyFont="1" applyFill="1" applyBorder="1" applyAlignment="1">
      <alignment horizontal="center" vertical="center" wrapText="1"/>
    </xf>
    <xf numFmtId="0" fontId="45" fillId="56" borderId="27" xfId="0" applyFont="1" applyFill="1" applyBorder="1" applyAlignment="1">
      <alignment horizontal="center" vertical="center" wrapText="1"/>
    </xf>
    <xf numFmtId="165" fontId="44" fillId="57" borderId="27" xfId="0" applyNumberFormat="1" applyFont="1" applyFill="1" applyBorder="1" applyAlignment="1">
      <alignment horizontal="center" vertical="center" wrapText="1"/>
    </xf>
    <xf numFmtId="0" fontId="46" fillId="57" borderId="28" xfId="0" applyFont="1" applyFill="1" applyBorder="1" applyAlignment="1">
      <alignment horizontal="center" vertical="center" wrapText="1"/>
    </xf>
    <xf numFmtId="0" fontId="46" fillId="57" borderId="19" xfId="0" applyFont="1" applyFill="1" applyBorder="1" applyAlignment="1">
      <alignment horizontal="center" vertical="center" wrapText="1"/>
    </xf>
    <xf numFmtId="0" fontId="46" fillId="57" borderId="29" xfId="0" applyFont="1" applyFill="1" applyBorder="1" applyAlignment="1">
      <alignment horizontal="center" vertical="center" wrapText="1"/>
    </xf>
    <xf numFmtId="0" fontId="43" fillId="56" borderId="28" xfId="0" applyFont="1" applyFill="1" applyBorder="1" applyAlignment="1">
      <alignment horizontal="center" vertical="center" wrapText="1"/>
    </xf>
    <xf numFmtId="0" fontId="44" fillId="57" borderId="29" xfId="0" applyFont="1" applyFill="1" applyBorder="1" applyAlignment="1">
      <alignment horizontal="center" vertical="center" wrapText="1"/>
    </xf>
    <xf numFmtId="0" fontId="43" fillId="56" borderId="30" xfId="0" applyFont="1" applyFill="1" applyBorder="1" applyAlignment="1">
      <alignment horizontal="center" vertical="center" wrapText="1"/>
    </xf>
    <xf numFmtId="165" fontId="44" fillId="57" borderId="32" xfId="0" applyNumberFormat="1" applyFont="1" applyFill="1" applyBorder="1" applyAlignment="1">
      <alignment horizontal="center" vertical="center" wrapText="1"/>
    </xf>
    <xf numFmtId="0" fontId="46" fillId="57" borderId="30" xfId="0" applyFont="1" applyFill="1" applyBorder="1" applyAlignment="1">
      <alignment horizontal="center" vertical="center" wrapText="1"/>
    </xf>
    <xf numFmtId="0" fontId="46" fillId="57" borderId="31" xfId="0" applyFont="1" applyFill="1" applyBorder="1" applyAlignment="1">
      <alignment horizontal="center" vertical="center" wrapText="1"/>
    </xf>
    <xf numFmtId="0" fontId="46" fillId="57" borderId="32" xfId="0" applyFont="1" applyFill="1" applyBorder="1" applyAlignment="1">
      <alignment horizontal="center" vertical="center" wrapText="1"/>
    </xf>
    <xf numFmtId="0" fontId="44" fillId="57" borderId="27" xfId="0" applyFont="1" applyFill="1" applyBorder="1" applyAlignment="1">
      <alignment horizontal="center" vertical="center" wrapText="1"/>
    </xf>
    <xf numFmtId="0" fontId="45" fillId="56" borderId="28" xfId="0" applyFont="1" applyFill="1" applyBorder="1" applyAlignment="1">
      <alignment horizontal="center" vertical="center" wrapText="1"/>
    </xf>
    <xf numFmtId="0" fontId="46" fillId="57" borderId="44" xfId="0" applyFont="1" applyFill="1" applyBorder="1" applyAlignment="1">
      <alignment horizontal="center" vertical="center" wrapText="1"/>
    </xf>
    <xf numFmtId="0" fontId="46" fillId="57" borderId="45" xfId="0" applyFont="1" applyFill="1" applyBorder="1" applyAlignment="1">
      <alignment horizontal="center" vertical="center" wrapText="1"/>
    </xf>
    <xf numFmtId="0" fontId="49" fillId="0" borderId="0" xfId="0" applyFont="1" applyAlignment="1">
      <alignment horizontal="center" vertical="center" wrapText="1"/>
    </xf>
    <xf numFmtId="0" fontId="43" fillId="0" borderId="50" xfId="0" applyFont="1" applyBorder="1" applyAlignment="1">
      <alignment horizontal="center" vertical="center" wrapText="1"/>
    </xf>
    <xf numFmtId="0" fontId="44" fillId="0" borderId="50" xfId="0" applyFont="1" applyBorder="1" applyAlignment="1">
      <alignment horizontal="center" vertical="center" wrapText="1"/>
    </xf>
    <xf numFmtId="168" fontId="44" fillId="57" borderId="27" xfId="0" applyNumberFormat="1" applyFont="1" applyFill="1" applyBorder="1" applyAlignment="1">
      <alignment horizontal="center" vertical="center" wrapText="1"/>
    </xf>
    <xf numFmtId="165" fontId="44" fillId="57" borderId="29" xfId="0" applyNumberFormat="1" applyFont="1" applyFill="1" applyBorder="1" applyAlignment="1">
      <alignment horizontal="center" vertical="center" wrapText="1"/>
    </xf>
    <xf numFmtId="164" fontId="44" fillId="57" borderId="29" xfId="0" applyNumberFormat="1" applyFont="1" applyFill="1" applyBorder="1" applyAlignment="1">
      <alignment horizontal="center" vertical="center" wrapText="1"/>
    </xf>
    <xf numFmtId="164" fontId="44" fillId="57" borderId="32" xfId="0" applyNumberFormat="1" applyFont="1" applyFill="1" applyBorder="1" applyAlignment="1">
      <alignment horizontal="center" vertical="center" wrapText="1"/>
    </xf>
    <xf numFmtId="2" fontId="46" fillId="57" borderId="29" xfId="0" applyNumberFormat="1" applyFont="1" applyFill="1" applyBorder="1" applyAlignment="1">
      <alignment horizontal="center" vertical="center" wrapText="1"/>
    </xf>
    <xf numFmtId="2" fontId="46" fillId="57" borderId="32" xfId="0" applyNumberFormat="1" applyFont="1" applyFill="1" applyBorder="1" applyAlignment="1">
      <alignment horizontal="center" vertical="center" wrapText="1"/>
    </xf>
    <xf numFmtId="0" fontId="0" fillId="33" borderId="0" xfId="0" applyFill="1" applyAlignment="1">
      <alignment vertical="top"/>
    </xf>
    <xf numFmtId="0" fontId="16" fillId="33" borderId="0" xfId="0" applyFont="1" applyFill="1" applyAlignment="1">
      <alignment horizontal="left" vertical="top"/>
    </xf>
    <xf numFmtId="0" fontId="0" fillId="33" borderId="20" xfId="0" applyFill="1" applyBorder="1" applyAlignment="1">
      <alignment vertical="top"/>
    </xf>
    <xf numFmtId="0" fontId="16" fillId="33" borderId="0" xfId="0" applyFont="1" applyFill="1" applyAlignment="1">
      <alignment horizontal="left" vertical="top" indent="18"/>
    </xf>
    <xf numFmtId="0" fontId="0" fillId="33" borderId="47" xfId="0" applyFill="1" applyBorder="1" applyAlignment="1">
      <alignment vertical="top"/>
    </xf>
    <xf numFmtId="0" fontId="16" fillId="33" borderId="0" xfId="0" applyFont="1" applyFill="1" applyAlignment="1">
      <alignment horizontal="left" vertical="top" wrapText="1" indent="18"/>
    </xf>
    <xf numFmtId="0" fontId="0" fillId="33" borderId="0" xfId="0" applyFill="1" applyAlignment="1">
      <alignment vertical="top" wrapText="1"/>
    </xf>
    <xf numFmtId="0" fontId="16" fillId="33" borderId="0" xfId="0" applyFont="1" applyFill="1" applyAlignment="1">
      <alignment vertical="top"/>
    </xf>
    <xf numFmtId="0" fontId="16" fillId="33" borderId="24" xfId="0" applyFont="1" applyFill="1" applyBorder="1" applyAlignment="1">
      <alignment horizontal="center" vertical="center"/>
    </xf>
    <xf numFmtId="0" fontId="16" fillId="33" borderId="48" xfId="0" applyFont="1" applyFill="1" applyBorder="1" applyAlignment="1">
      <alignment horizontal="center" vertical="center"/>
    </xf>
    <xf numFmtId="0" fontId="16" fillId="33" borderId="48" xfId="0" applyFont="1" applyFill="1" applyBorder="1" applyAlignment="1">
      <alignment horizontal="center" vertical="center" wrapText="1"/>
    </xf>
    <xf numFmtId="0" fontId="16" fillId="33" borderId="55" xfId="0" applyFont="1" applyFill="1" applyBorder="1" applyAlignment="1">
      <alignment horizontal="center" vertical="center"/>
    </xf>
    <xf numFmtId="0" fontId="16" fillId="33" borderId="0" xfId="0" applyFont="1" applyFill="1"/>
    <xf numFmtId="168" fontId="0" fillId="33" borderId="22" xfId="0" applyNumberFormat="1" applyFill="1" applyBorder="1" applyAlignment="1">
      <alignment horizontal="center" vertical="center"/>
    </xf>
    <xf numFmtId="14" fontId="0" fillId="33" borderId="19" xfId="0" applyNumberFormat="1" applyFill="1" applyBorder="1" applyAlignment="1">
      <alignment horizontal="left" vertical="center" indent="1"/>
    </xf>
    <xf numFmtId="0" fontId="0" fillId="33" borderId="19" xfId="0" applyFill="1" applyBorder="1" applyAlignment="1">
      <alignment horizontal="left" vertical="center" wrapText="1" indent="1"/>
    </xf>
    <xf numFmtId="0" fontId="0" fillId="33" borderId="21" xfId="0" applyFill="1" applyBorder="1" applyAlignment="1">
      <alignment horizontal="left" vertical="center" indent="1"/>
    </xf>
    <xf numFmtId="0" fontId="0" fillId="33" borderId="19" xfId="0" applyFill="1" applyBorder="1" applyAlignment="1">
      <alignment horizontal="left" vertical="center" indent="1"/>
    </xf>
    <xf numFmtId="168" fontId="0" fillId="33" borderId="23" xfId="0" applyNumberFormat="1" applyFill="1" applyBorder="1" applyAlignment="1">
      <alignment horizontal="left" vertical="center"/>
    </xf>
    <xf numFmtId="0" fontId="0" fillId="33" borderId="37" xfId="0" applyFill="1" applyBorder="1" applyAlignment="1">
      <alignment horizontal="left" vertical="center" indent="1"/>
    </xf>
    <xf numFmtId="0" fontId="0" fillId="33" borderId="37" xfId="0" applyFill="1" applyBorder="1" applyAlignment="1">
      <alignment horizontal="left" vertical="center" wrapText="1" indent="1"/>
    </xf>
    <xf numFmtId="0" fontId="0" fillId="33" borderId="56" xfId="0" applyFill="1" applyBorder="1" applyAlignment="1">
      <alignment horizontal="left" vertical="center" indent="1"/>
    </xf>
    <xf numFmtId="0" fontId="0" fillId="33" borderId="0" xfId="0" applyFill="1" applyAlignment="1">
      <alignment horizontal="left" vertical="top"/>
    </xf>
    <xf numFmtId="0" fontId="0" fillId="33" borderId="0" xfId="0" applyFill="1" applyAlignment="1">
      <alignment horizontal="left" vertical="top" wrapText="1"/>
    </xf>
    <xf numFmtId="0" fontId="39" fillId="33" borderId="0" xfId="42" applyFont="1" applyFill="1" applyAlignment="1" applyProtection="1">
      <alignment vertical="center"/>
      <protection hidden="1"/>
    </xf>
    <xf numFmtId="0" fontId="79" fillId="0" borderId="0" xfId="0" applyFont="1"/>
    <xf numFmtId="0" fontId="79" fillId="62" borderId="0" xfId="0" applyFont="1" applyFill="1"/>
    <xf numFmtId="0" fontId="81" fillId="62" borderId="0" xfId="0" applyFont="1" applyFill="1"/>
    <xf numFmtId="0" fontId="77" fillId="33" borderId="0" xfId="1898" applyFont="1" applyFill="1" applyAlignment="1" applyProtection="1">
      <alignment vertical="center"/>
      <protection hidden="1"/>
    </xf>
    <xf numFmtId="0" fontId="78" fillId="33" borderId="0" xfId="42" applyFont="1" applyFill="1" applyAlignment="1" applyProtection="1">
      <alignment horizontal="left" vertical="center" indent="2"/>
      <protection hidden="1"/>
    </xf>
    <xf numFmtId="0" fontId="38" fillId="33" borderId="0" xfId="42" applyFont="1" applyFill="1" applyAlignment="1" applyProtection="1">
      <alignment horizontal="left" vertical="top" wrapText="1"/>
      <protection hidden="1"/>
    </xf>
    <xf numFmtId="0" fontId="82" fillId="33" borderId="0" xfId="42" applyFont="1" applyFill="1" applyAlignment="1" applyProtection="1">
      <alignment vertical="center"/>
      <protection hidden="1"/>
    </xf>
    <xf numFmtId="0" fontId="83" fillId="33" borderId="0" xfId="0" applyFont="1" applyFill="1" applyAlignment="1">
      <alignment horizontal="left"/>
    </xf>
    <xf numFmtId="0" fontId="79" fillId="33" borderId="0" xfId="0" applyFont="1" applyFill="1"/>
    <xf numFmtId="0" fontId="86" fillId="57" borderId="28" xfId="0" applyFont="1" applyFill="1" applyBorder="1" applyAlignment="1">
      <alignment horizontal="center" vertical="center" wrapText="1"/>
    </xf>
    <xf numFmtId="169" fontId="46" fillId="57" borderId="19" xfId="0" applyNumberFormat="1" applyFont="1" applyFill="1" applyBorder="1" applyAlignment="1">
      <alignment horizontal="center" vertical="center" wrapText="1"/>
    </xf>
    <xf numFmtId="0" fontId="44" fillId="57" borderId="36" xfId="0" applyFont="1" applyFill="1" applyBorder="1" applyAlignment="1">
      <alignment horizontal="center" vertical="center" wrapText="1"/>
    </xf>
    <xf numFmtId="0" fontId="46" fillId="57" borderId="37" xfId="0" applyFont="1" applyFill="1" applyBorder="1" applyAlignment="1">
      <alignment horizontal="center" vertical="center" wrapText="1"/>
    </xf>
    <xf numFmtId="0" fontId="46" fillId="57" borderId="67" xfId="0" applyFont="1" applyFill="1" applyBorder="1" applyAlignment="1">
      <alignment horizontal="center" vertical="center" wrapText="1"/>
    </xf>
    <xf numFmtId="0" fontId="46" fillId="57" borderId="36" xfId="0" applyFont="1" applyFill="1" applyBorder="1" applyAlignment="1">
      <alignment horizontal="center" vertical="center" wrapText="1"/>
    </xf>
    <xf numFmtId="1" fontId="46" fillId="57" borderId="44" xfId="0" applyNumberFormat="1" applyFont="1" applyFill="1" applyBorder="1" applyAlignment="1">
      <alignment horizontal="center" vertical="center" wrapText="1"/>
    </xf>
    <xf numFmtId="1" fontId="46" fillId="57" borderId="28" xfId="0" applyNumberFormat="1" applyFont="1" applyFill="1" applyBorder="1" applyAlignment="1">
      <alignment horizontal="center" vertical="center" wrapText="1"/>
    </xf>
    <xf numFmtId="165" fontId="44" fillId="0" borderId="0" xfId="0" applyNumberFormat="1" applyFont="1" applyAlignment="1">
      <alignment horizontal="center" vertical="center" wrapText="1"/>
    </xf>
    <xf numFmtId="0" fontId="44" fillId="0" borderId="0" xfId="0" applyFont="1" applyAlignment="1" applyProtection="1">
      <alignment horizontal="center" vertical="center" wrapText="1"/>
      <protection hidden="1"/>
    </xf>
    <xf numFmtId="1" fontId="44"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3" fontId="44" fillId="0" borderId="0" xfId="0" applyNumberFormat="1" applyFont="1" applyAlignment="1" applyProtection="1">
      <alignment horizontal="center" vertical="center" wrapText="1"/>
      <protection locked="0"/>
    </xf>
    <xf numFmtId="166" fontId="44" fillId="0" borderId="0" xfId="0" applyNumberFormat="1" applyFont="1" applyAlignment="1" applyProtection="1">
      <alignment horizontal="center" vertical="center" wrapText="1"/>
      <protection locked="0"/>
    </xf>
    <xf numFmtId="165" fontId="44" fillId="0" borderId="0" xfId="0" applyNumberFormat="1" applyFont="1" applyAlignment="1" applyProtection="1">
      <alignment horizontal="center" vertical="center" wrapText="1"/>
      <protection locked="0"/>
    </xf>
    <xf numFmtId="0" fontId="45" fillId="0" borderId="0" xfId="0" applyFont="1" applyAlignment="1">
      <alignment horizontal="center" vertical="center" wrapText="1"/>
    </xf>
    <xf numFmtId="0" fontId="16" fillId="0" borderId="0" xfId="0" applyFont="1" applyAlignment="1">
      <alignment horizontal="center" vertical="center" wrapText="1"/>
    </xf>
    <xf numFmtId="0" fontId="46" fillId="0" borderId="0" xfId="0" applyFont="1" applyAlignment="1">
      <alignment horizontal="center" vertical="center" wrapText="1"/>
    </xf>
    <xf numFmtId="4" fontId="46" fillId="0" borderId="0" xfId="0" applyNumberFormat="1" applyFont="1" applyAlignment="1">
      <alignment horizontal="center" vertical="center" wrapText="1"/>
    </xf>
    <xf numFmtId="8" fontId="46" fillId="0" borderId="0" xfId="0" applyNumberFormat="1" applyFont="1" applyAlignment="1">
      <alignment horizontal="center" vertical="center" wrapText="1"/>
    </xf>
    <xf numFmtId="0" fontId="45" fillId="0" borderId="0" xfId="0" applyFont="1" applyAlignment="1">
      <alignment vertical="center" wrapText="1"/>
    </xf>
    <xf numFmtId="0" fontId="88" fillId="0" borderId="0" xfId="0" applyFont="1" applyAlignment="1" applyProtection="1">
      <alignment horizontal="center" vertical="center" wrapText="1"/>
      <protection hidden="1"/>
    </xf>
    <xf numFmtId="0" fontId="43" fillId="56" borderId="68" xfId="0" applyFont="1" applyFill="1" applyBorder="1" applyAlignment="1" applyProtection="1">
      <alignment vertical="center" wrapText="1"/>
      <protection hidden="1"/>
    </xf>
    <xf numFmtId="0" fontId="43" fillId="56" borderId="61" xfId="0" applyFont="1" applyFill="1" applyBorder="1" applyAlignment="1" applyProtection="1">
      <alignment vertical="center" wrapText="1"/>
      <protection hidden="1"/>
    </xf>
    <xf numFmtId="3" fontId="46" fillId="0" borderId="0" xfId="0" applyNumberFormat="1" applyFont="1" applyAlignment="1">
      <alignment horizontal="center" vertical="center" wrapText="1"/>
    </xf>
    <xf numFmtId="0" fontId="43" fillId="56" borderId="19" xfId="0" applyFont="1" applyFill="1" applyBorder="1" applyAlignment="1">
      <alignment horizontal="center" vertical="center" wrapText="1"/>
    </xf>
    <xf numFmtId="164" fontId="45" fillId="0" borderId="0" xfId="0" applyNumberFormat="1" applyFont="1" applyAlignment="1">
      <alignment vertical="center" wrapText="1"/>
    </xf>
    <xf numFmtId="2" fontId="45" fillId="0" borderId="0" xfId="0" applyNumberFormat="1" applyFont="1" applyAlignment="1">
      <alignment vertical="center" wrapText="1"/>
    </xf>
    <xf numFmtId="170" fontId="46" fillId="57" borderId="28" xfId="0" applyNumberFormat="1" applyFont="1" applyFill="1" applyBorder="1" applyAlignment="1">
      <alignment horizontal="center" vertical="center" wrapText="1"/>
    </xf>
    <xf numFmtId="2" fontId="46" fillId="57" borderId="28" xfId="0" applyNumberFormat="1" applyFont="1" applyFill="1" applyBorder="1" applyAlignment="1">
      <alignment horizontal="center" vertical="center" wrapText="1"/>
    </xf>
    <xf numFmtId="169" fontId="46" fillId="57" borderId="28" xfId="0" applyNumberFormat="1" applyFont="1" applyFill="1" applyBorder="1" applyAlignment="1">
      <alignment horizontal="center" vertical="center" wrapText="1"/>
    </xf>
    <xf numFmtId="165" fontId="46" fillId="57" borderId="28" xfId="0" applyNumberFormat="1" applyFont="1" applyFill="1" applyBorder="1" applyAlignment="1">
      <alignment horizontal="center" vertical="center" wrapText="1"/>
    </xf>
    <xf numFmtId="9" fontId="46" fillId="57" borderId="28" xfId="2513" applyFont="1" applyFill="1" applyBorder="1" applyAlignment="1">
      <alignment horizontal="center" vertical="center" wrapText="1"/>
    </xf>
    <xf numFmtId="0" fontId="91" fillId="56" borderId="33" xfId="0" applyFont="1" applyFill="1" applyBorder="1" applyAlignment="1" applyProtection="1">
      <alignment horizontal="center" vertical="center" wrapText="1"/>
      <protection hidden="1"/>
    </xf>
    <xf numFmtId="3" fontId="46" fillId="57" borderId="28" xfId="0" applyNumberFormat="1" applyFont="1" applyFill="1" applyBorder="1" applyAlignment="1">
      <alignment horizontal="center" vertical="center" wrapText="1"/>
    </xf>
    <xf numFmtId="4" fontId="46" fillId="57" borderId="28" xfId="0" applyNumberFormat="1" applyFont="1" applyFill="1" applyBorder="1" applyAlignment="1">
      <alignment horizontal="center" vertical="center" wrapText="1"/>
    </xf>
    <xf numFmtId="14" fontId="46" fillId="57" borderId="28" xfId="0" applyNumberFormat="1" applyFont="1" applyFill="1" applyBorder="1" applyAlignment="1">
      <alignment horizontal="center" vertical="center" wrapText="1"/>
    </xf>
    <xf numFmtId="0" fontId="0" fillId="0" borderId="20" xfId="0" applyBorder="1"/>
    <xf numFmtId="0" fontId="37" fillId="0" borderId="19" xfId="0" applyFont="1" applyBorder="1" applyAlignment="1">
      <alignment horizontal="center" vertical="center" wrapText="1"/>
    </xf>
    <xf numFmtId="44" fontId="0" fillId="0" borderId="0" xfId="2514" applyFont="1"/>
    <xf numFmtId="44" fontId="0" fillId="0" borderId="20" xfId="2514" applyFont="1" applyBorder="1"/>
    <xf numFmtId="44" fontId="0" fillId="0" borderId="0" xfId="2514" applyFont="1" applyFill="1"/>
    <xf numFmtId="170" fontId="0" fillId="0" borderId="0" xfId="0" applyNumberFormat="1"/>
    <xf numFmtId="0" fontId="85" fillId="0" borderId="19" xfId="0" applyFont="1" applyBorder="1" applyAlignment="1">
      <alignment horizontal="center" vertical="center" wrapText="1"/>
    </xf>
    <xf numFmtId="0" fontId="92" fillId="0" borderId="19" xfId="0" applyFont="1" applyBorder="1" applyAlignment="1">
      <alignment horizontal="center" vertical="center" wrapText="1"/>
    </xf>
    <xf numFmtId="44" fontId="85" fillId="0" borderId="19" xfId="2514" applyFont="1" applyFill="1" applyBorder="1" applyAlignment="1">
      <alignment horizontal="center" vertical="center" wrapText="1"/>
    </xf>
    <xf numFmtId="170" fontId="46" fillId="57" borderId="19" xfId="0" applyNumberFormat="1" applyFont="1" applyFill="1" applyBorder="1" applyAlignment="1">
      <alignment horizontal="center" vertical="center" wrapText="1"/>
    </xf>
    <xf numFmtId="2" fontId="46" fillId="57" borderId="19" xfId="0" applyNumberFormat="1" applyFont="1" applyFill="1" applyBorder="1" applyAlignment="1">
      <alignment horizontal="center" vertical="center" wrapText="1"/>
    </xf>
    <xf numFmtId="170" fontId="46" fillId="57" borderId="31" xfId="0" applyNumberFormat="1" applyFont="1" applyFill="1" applyBorder="1" applyAlignment="1">
      <alignment horizontal="center" vertical="center" wrapText="1"/>
    </xf>
    <xf numFmtId="169" fontId="46" fillId="57" borderId="31" xfId="0" applyNumberFormat="1" applyFont="1" applyFill="1" applyBorder="1" applyAlignment="1">
      <alignment horizontal="center" vertical="center" wrapText="1"/>
    </xf>
    <xf numFmtId="2" fontId="46" fillId="57" borderId="31" xfId="0" applyNumberFormat="1" applyFont="1" applyFill="1" applyBorder="1" applyAlignment="1">
      <alignment horizontal="center" vertical="center" wrapText="1"/>
    </xf>
    <xf numFmtId="0" fontId="94" fillId="0" borderId="0" xfId="0" applyFont="1"/>
    <xf numFmtId="187" fontId="0" fillId="0" borderId="0" xfId="0" applyNumberFormat="1"/>
    <xf numFmtId="0" fontId="95" fillId="63" borderId="83" xfId="0" applyFont="1" applyFill="1" applyBorder="1"/>
    <xf numFmtId="14" fontId="0" fillId="0" borderId="83" xfId="0" applyNumberFormat="1" applyBorder="1"/>
    <xf numFmtId="0" fontId="0" fillId="0" borderId="83" xfId="0" applyBorder="1"/>
    <xf numFmtId="0" fontId="0" fillId="64" borderId="83" xfId="0" applyFill="1" applyBorder="1"/>
    <xf numFmtId="14" fontId="92" fillId="0" borderId="83" xfId="0" applyNumberFormat="1" applyFont="1" applyBorder="1"/>
    <xf numFmtId="0" fontId="92" fillId="0" borderId="83" xfId="0" applyFont="1" applyBorder="1"/>
    <xf numFmtId="0" fontId="92" fillId="65" borderId="84" xfId="0" applyFont="1" applyFill="1" applyBorder="1"/>
    <xf numFmtId="0" fontId="0" fillId="65" borderId="21" xfId="0" applyFill="1" applyBorder="1"/>
    <xf numFmtId="0" fontId="0" fillId="65" borderId="19" xfId="0" applyFill="1" applyBorder="1"/>
    <xf numFmtId="0" fontId="92" fillId="0" borderId="85" xfId="0" applyFont="1" applyBorder="1"/>
    <xf numFmtId="0" fontId="0" fillId="66" borderId="83" xfId="0" applyFill="1" applyBorder="1"/>
    <xf numFmtId="0" fontId="96" fillId="0" borderId="86" xfId="0" applyFont="1" applyBorder="1"/>
    <xf numFmtId="0" fontId="96" fillId="0" borderId="0" xfId="0" applyFont="1"/>
    <xf numFmtId="0" fontId="96" fillId="0" borderId="84" xfId="0" applyFont="1" applyBorder="1"/>
    <xf numFmtId="0" fontId="0" fillId="65" borderId="83" xfId="0" applyFill="1" applyBorder="1"/>
    <xf numFmtId="0" fontId="0" fillId="65" borderId="87" xfId="0" applyFill="1" applyBorder="1"/>
    <xf numFmtId="14" fontId="0" fillId="0" borderId="88" xfId="0" applyNumberFormat="1" applyBorder="1"/>
    <xf numFmtId="0" fontId="0" fillId="0" borderId="88" xfId="0" applyBorder="1"/>
    <xf numFmtId="0" fontId="0" fillId="64" borderId="88" xfId="0" applyFill="1" applyBorder="1"/>
    <xf numFmtId="0" fontId="96" fillId="0" borderId="89" xfId="0" applyFont="1" applyBorder="1"/>
    <xf numFmtId="0" fontId="96" fillId="0" borderId="83" xfId="0" applyFont="1" applyBorder="1"/>
    <xf numFmtId="0" fontId="96" fillId="0" borderId="83" xfId="0" applyFont="1" applyBorder="1" applyAlignment="1">
      <alignment wrapText="1"/>
    </xf>
    <xf numFmtId="0" fontId="0" fillId="0" borderId="83" xfId="0" applyBorder="1" applyAlignment="1">
      <alignment wrapText="1"/>
    </xf>
    <xf numFmtId="0" fontId="43" fillId="56" borderId="54" xfId="0" applyFont="1" applyFill="1" applyBorder="1" applyAlignment="1">
      <alignment horizontal="center" vertical="center" wrapText="1"/>
    </xf>
    <xf numFmtId="0" fontId="95" fillId="63" borderId="90" xfId="0" applyFont="1" applyFill="1" applyBorder="1"/>
    <xf numFmtId="0" fontId="0" fillId="0" borderId="84" xfId="0" applyBorder="1"/>
    <xf numFmtId="0" fontId="92" fillId="0" borderId="84" xfId="0" applyFont="1" applyBorder="1"/>
    <xf numFmtId="0" fontId="0" fillId="0" borderId="89" xfId="0" applyBorder="1"/>
    <xf numFmtId="0" fontId="0" fillId="0" borderId="19" xfId="0" applyBorder="1"/>
    <xf numFmtId="9" fontId="46" fillId="57" borderId="19" xfId="2513" applyFont="1" applyFill="1" applyBorder="1" applyAlignment="1">
      <alignment horizontal="center" vertical="center" wrapText="1"/>
    </xf>
    <xf numFmtId="0" fontId="98" fillId="0" borderId="0" xfId="2515" applyAlignment="1">
      <alignment vertical="center"/>
    </xf>
    <xf numFmtId="0" fontId="44" fillId="57" borderId="22" xfId="0" applyFont="1" applyFill="1" applyBorder="1" applyAlignment="1">
      <alignment horizontal="center" vertical="center" wrapText="1"/>
    </xf>
    <xf numFmtId="0" fontId="44" fillId="57" borderId="23" xfId="0" applyFont="1" applyFill="1" applyBorder="1" applyAlignment="1">
      <alignment horizontal="center" vertical="center" wrapText="1"/>
    </xf>
    <xf numFmtId="0" fontId="44" fillId="57" borderId="59" xfId="0" applyFont="1" applyFill="1" applyBorder="1" applyAlignment="1">
      <alignment horizontal="center" vertical="center" wrapText="1"/>
    </xf>
    <xf numFmtId="0" fontId="46" fillId="57" borderId="41" xfId="0" applyFont="1" applyFill="1" applyBorder="1" applyAlignment="1">
      <alignment horizontal="center" vertical="center" wrapText="1"/>
    </xf>
    <xf numFmtId="0" fontId="46" fillId="57" borderId="94" xfId="0" applyFont="1" applyFill="1" applyBorder="1" applyAlignment="1">
      <alignment horizontal="center" vertical="center" wrapText="1"/>
    </xf>
    <xf numFmtId="0" fontId="46" fillId="57" borderId="42" xfId="0" applyFont="1" applyFill="1" applyBorder="1" applyAlignment="1">
      <alignment horizontal="center" vertical="center" wrapText="1"/>
    </xf>
    <xf numFmtId="168" fontId="46" fillId="57" borderId="19" xfId="0" applyNumberFormat="1" applyFont="1" applyFill="1" applyBorder="1" applyAlignment="1">
      <alignment horizontal="center" vertical="center" wrapText="1"/>
    </xf>
    <xf numFmtId="0" fontId="0" fillId="67" borderId="83" xfId="0" applyFill="1" applyBorder="1"/>
    <xf numFmtId="0" fontId="46" fillId="57" borderId="28" xfId="2513" applyNumberFormat="1" applyFont="1" applyFill="1" applyBorder="1" applyAlignment="1">
      <alignment horizontal="center" vertical="center" wrapText="1"/>
    </xf>
    <xf numFmtId="169" fontId="46" fillId="57" borderId="30" xfId="0" applyNumberFormat="1" applyFont="1" applyFill="1" applyBorder="1" applyAlignment="1">
      <alignment horizontal="center" vertical="center" wrapText="1"/>
    </xf>
    <xf numFmtId="0" fontId="44" fillId="57" borderId="32" xfId="0" applyFont="1" applyFill="1" applyBorder="1" applyAlignment="1">
      <alignment horizontal="center" vertical="center" wrapText="1"/>
    </xf>
    <xf numFmtId="0" fontId="44" fillId="57" borderId="27" xfId="2513" applyNumberFormat="1" applyFont="1" applyFill="1" applyBorder="1" applyAlignment="1">
      <alignment horizontal="center" vertical="center" wrapText="1"/>
    </xf>
    <xf numFmtId="0" fontId="13" fillId="68" borderId="25" xfId="0" applyFont="1" applyFill="1" applyBorder="1" applyAlignment="1">
      <alignment horizontal="right" vertical="center" indent="1"/>
    </xf>
    <xf numFmtId="0" fontId="13" fillId="68" borderId="51" xfId="0" applyFont="1" applyFill="1" applyBorder="1" applyAlignment="1">
      <alignment horizontal="right" vertical="center" indent="1"/>
    </xf>
    <xf numFmtId="0" fontId="13" fillId="68" borderId="28" xfId="0" applyFont="1" applyFill="1" applyBorder="1" applyAlignment="1">
      <alignment horizontal="right" vertical="center" indent="1"/>
    </xf>
    <xf numFmtId="0" fontId="13" fillId="68" borderId="36" xfId="0" applyFont="1" applyFill="1" applyBorder="1" applyAlignment="1">
      <alignment horizontal="right" vertical="center" indent="1"/>
    </xf>
    <xf numFmtId="0" fontId="13" fillId="68" borderId="30" xfId="0" applyFont="1" applyFill="1" applyBorder="1" applyAlignment="1">
      <alignment horizontal="right" vertical="center" indent="1"/>
    </xf>
    <xf numFmtId="0" fontId="13" fillId="68" borderId="19" xfId="0" applyFont="1" applyFill="1" applyBorder="1" applyAlignment="1">
      <alignment horizontal="center" vertical="center"/>
    </xf>
    <xf numFmtId="0" fontId="13" fillId="68" borderId="25" xfId="0" applyFont="1" applyFill="1" applyBorder="1" applyAlignment="1">
      <alignment horizontal="center" vertical="center" wrapText="1"/>
    </xf>
    <xf numFmtId="0" fontId="13" fillId="68" borderId="26" xfId="0" applyFont="1" applyFill="1" applyBorder="1" applyAlignment="1">
      <alignment horizontal="center" vertical="center" wrapText="1"/>
    </xf>
    <xf numFmtId="0" fontId="13" fillId="68" borderId="27" xfId="0" applyFont="1" applyFill="1" applyBorder="1" applyAlignment="1">
      <alignment horizontal="center" vertical="center" wrapText="1"/>
    </xf>
    <xf numFmtId="2" fontId="0" fillId="33" borderId="22" xfId="0" applyNumberFormat="1" applyFill="1" applyBorder="1" applyAlignment="1">
      <alignment horizontal="center" vertical="center"/>
    </xf>
    <xf numFmtId="0" fontId="99" fillId="0" borderId="0" xfId="0" applyFont="1" applyAlignment="1">
      <alignment horizontal="center" vertical="center" wrapText="1"/>
    </xf>
    <xf numFmtId="0" fontId="13" fillId="68" borderId="25" xfId="0" applyFont="1" applyFill="1" applyBorder="1"/>
    <xf numFmtId="0" fontId="13" fillId="68" borderId="26" xfId="0" applyFont="1" applyFill="1" applyBorder="1"/>
    <xf numFmtId="0" fontId="37" fillId="69" borderId="30" xfId="0" applyFont="1" applyFill="1" applyBorder="1" applyAlignment="1">
      <alignment horizontal="center" vertical="center" wrapText="1"/>
    </xf>
    <xf numFmtId="0" fontId="37" fillId="69" borderId="31" xfId="0" applyFont="1" applyFill="1" applyBorder="1" applyAlignment="1">
      <alignment horizontal="center" vertical="center" wrapText="1"/>
    </xf>
    <xf numFmtId="0" fontId="37" fillId="69" borderId="32" xfId="0" applyFont="1" applyFill="1" applyBorder="1" applyAlignment="1">
      <alignment horizontal="center" vertical="center" wrapText="1"/>
    </xf>
    <xf numFmtId="0" fontId="100" fillId="68" borderId="26" xfId="0" applyFont="1" applyFill="1" applyBorder="1" applyAlignment="1">
      <alignment horizontal="center" vertical="center" wrapText="1"/>
    </xf>
    <xf numFmtId="0" fontId="100" fillId="68" borderId="27" xfId="0" applyFont="1" applyFill="1" applyBorder="1" applyAlignment="1">
      <alignment horizontal="center" vertical="center" wrapText="1"/>
    </xf>
    <xf numFmtId="0" fontId="37" fillId="69" borderId="27" xfId="0" applyFont="1" applyFill="1" applyBorder="1" applyAlignment="1">
      <alignment horizontal="center" vertical="center" wrapText="1"/>
    </xf>
    <xf numFmtId="0" fontId="100" fillId="68" borderId="25" xfId="0" applyFont="1" applyFill="1" applyBorder="1" applyAlignment="1">
      <alignment horizontal="center" vertical="center" wrapText="1"/>
    </xf>
    <xf numFmtId="0" fontId="100" fillId="68" borderId="30" xfId="0" applyFont="1" applyFill="1" applyBorder="1" applyAlignment="1">
      <alignment horizontal="center" vertical="center" wrapText="1"/>
    </xf>
    <xf numFmtId="0" fontId="50" fillId="70" borderId="0" xfId="0" applyFont="1" applyFill="1"/>
    <xf numFmtId="0" fontId="0" fillId="70" borderId="0" xfId="0" applyFill="1"/>
    <xf numFmtId="0" fontId="0" fillId="0" borderId="31" xfId="0" applyBorder="1" applyProtection="1">
      <protection locked="0"/>
    </xf>
    <xf numFmtId="0" fontId="50" fillId="70" borderId="0" xfId="0" applyFont="1" applyFill="1" applyProtection="1">
      <protection hidden="1"/>
    </xf>
    <xf numFmtId="0" fontId="47" fillId="70" borderId="0" xfId="0" applyFont="1" applyFill="1" applyProtection="1">
      <protection hidden="1"/>
    </xf>
    <xf numFmtId="0" fontId="48" fillId="70" borderId="0" xfId="0" applyFont="1" applyFill="1" applyAlignment="1" applyProtection="1">
      <alignment vertical="center" wrapText="1"/>
      <protection hidden="1"/>
    </xf>
    <xf numFmtId="0" fontId="48" fillId="70" borderId="0" xfId="0" applyFont="1" applyFill="1" applyAlignment="1" applyProtection="1">
      <alignment horizontal="left" vertical="center" wrapText="1"/>
      <protection hidden="1"/>
    </xf>
    <xf numFmtId="0" fontId="44" fillId="70" borderId="25" xfId="0" applyFont="1" applyFill="1" applyBorder="1" applyAlignment="1" applyProtection="1">
      <alignment horizontal="left" vertical="center" indent="1"/>
      <protection hidden="1"/>
    </xf>
    <xf numFmtId="14" fontId="44" fillId="70" borderId="27" xfId="0" applyNumberFormat="1" applyFont="1" applyFill="1" applyBorder="1" applyAlignment="1" applyProtection="1">
      <alignment vertical="center"/>
      <protection hidden="1"/>
    </xf>
    <xf numFmtId="14" fontId="87" fillId="70" borderId="0" xfId="0" applyNumberFormat="1" applyFont="1" applyFill="1" applyAlignment="1" applyProtection="1">
      <alignment vertical="center"/>
      <protection hidden="1"/>
    </xf>
    <xf numFmtId="14" fontId="44" fillId="70" borderId="0" xfId="0" applyNumberFormat="1" applyFont="1" applyFill="1" applyAlignment="1" applyProtection="1">
      <alignment vertical="center"/>
      <protection hidden="1"/>
    </xf>
    <xf numFmtId="14" fontId="44" fillId="70" borderId="0" xfId="0" applyNumberFormat="1" applyFont="1" applyFill="1" applyAlignment="1" applyProtection="1">
      <alignment vertical="center"/>
      <protection locked="0"/>
    </xf>
    <xf numFmtId="0" fontId="45" fillId="70" borderId="0" xfId="0" applyFont="1" applyFill="1" applyProtection="1">
      <protection hidden="1"/>
    </xf>
    <xf numFmtId="0" fontId="46" fillId="70" borderId="0" xfId="0" applyFont="1" applyFill="1" applyProtection="1">
      <protection hidden="1"/>
    </xf>
    <xf numFmtId="0" fontId="44" fillId="70" borderId="28" xfId="0" applyFont="1" applyFill="1" applyBorder="1" applyAlignment="1" applyProtection="1">
      <alignment horizontal="left" vertical="center" indent="1"/>
      <protection hidden="1"/>
    </xf>
    <xf numFmtId="0" fontId="44" fillId="70" borderId="29" xfId="0" applyFont="1" applyFill="1" applyBorder="1" applyAlignment="1" applyProtection="1">
      <alignment vertical="center"/>
      <protection hidden="1"/>
    </xf>
    <xf numFmtId="0" fontId="87" fillId="70" borderId="0" xfId="0" applyFont="1" applyFill="1" applyAlignment="1" applyProtection="1">
      <alignment vertical="center"/>
      <protection hidden="1"/>
    </xf>
    <xf numFmtId="0" fontId="44" fillId="70" borderId="0" xfId="0" applyFont="1" applyFill="1" applyAlignment="1" applyProtection="1">
      <alignment vertical="center"/>
      <protection hidden="1"/>
    </xf>
    <xf numFmtId="0" fontId="44" fillId="70" borderId="0" xfId="0" applyFont="1" applyFill="1" applyAlignment="1" applyProtection="1">
      <alignment vertical="center"/>
      <protection locked="0"/>
    </xf>
    <xf numFmtId="0" fontId="43" fillId="70" borderId="25" xfId="0" applyFont="1" applyFill="1" applyBorder="1" applyAlignment="1" applyProtection="1">
      <alignment horizontal="center" vertical="center" wrapText="1"/>
      <protection hidden="1"/>
    </xf>
    <xf numFmtId="0" fontId="43" fillId="70" borderId="27" xfId="0" applyFont="1" applyFill="1" applyBorder="1" applyAlignment="1" applyProtection="1">
      <alignment horizontal="center" vertical="center" wrapText="1"/>
      <protection hidden="1"/>
    </xf>
    <xf numFmtId="0" fontId="43" fillId="70" borderId="74" xfId="0" applyFont="1" applyFill="1" applyBorder="1" applyAlignment="1" applyProtection="1">
      <alignment horizontal="center" vertical="center" wrapText="1"/>
      <protection hidden="1"/>
    </xf>
    <xf numFmtId="4" fontId="43" fillId="70" borderId="30" xfId="0" applyNumberFormat="1" applyFont="1" applyFill="1" applyBorder="1" applyAlignment="1" applyProtection="1">
      <alignment horizontal="center" vertical="center"/>
      <protection hidden="1"/>
    </xf>
    <xf numFmtId="186" fontId="43" fillId="70" borderId="32" xfId="0" applyNumberFormat="1" applyFont="1" applyFill="1" applyBorder="1" applyAlignment="1" applyProtection="1">
      <alignment horizontal="center" vertical="center"/>
      <protection hidden="1"/>
    </xf>
    <xf numFmtId="6" fontId="43" fillId="70" borderId="77" xfId="0" applyNumberFormat="1" applyFont="1" applyFill="1" applyBorder="1" applyAlignment="1" applyProtection="1">
      <alignment horizontal="center" vertical="center"/>
      <protection hidden="1"/>
    </xf>
    <xf numFmtId="0" fontId="44" fillId="70" borderId="30" xfId="0" applyFont="1" applyFill="1" applyBorder="1" applyAlignment="1" applyProtection="1">
      <alignment horizontal="left" vertical="center" indent="1"/>
      <protection hidden="1"/>
    </xf>
    <xf numFmtId="0" fontId="44" fillId="70" borderId="76" xfId="0" applyFont="1" applyFill="1" applyBorder="1" applyAlignment="1" applyProtection="1">
      <alignment horizontal="left" vertical="center" indent="1"/>
      <protection hidden="1"/>
    </xf>
    <xf numFmtId="0" fontId="44" fillId="70" borderId="32" xfId="0" applyFont="1" applyFill="1" applyBorder="1" applyAlignment="1" applyProtection="1">
      <alignment vertical="center"/>
      <protection locked="0"/>
    </xf>
    <xf numFmtId="0" fontId="46" fillId="70" borderId="0" xfId="0" applyFont="1" applyFill="1"/>
    <xf numFmtId="0" fontId="44" fillId="70" borderId="0" xfId="0" applyFont="1" applyFill="1" applyAlignment="1" applyProtection="1">
      <alignment horizontal="left" vertical="center" indent="1"/>
      <protection hidden="1"/>
    </xf>
    <xf numFmtId="14" fontId="44" fillId="70" borderId="0" xfId="0" applyNumberFormat="1" applyFont="1" applyFill="1" applyAlignment="1" applyProtection="1">
      <alignment horizontal="center" vertical="center"/>
      <protection locked="0"/>
    </xf>
    <xf numFmtId="0" fontId="43" fillId="70" borderId="26" xfId="0" applyFont="1" applyFill="1" applyBorder="1" applyAlignment="1" applyProtection="1">
      <alignment horizontal="center" vertical="center" wrapText="1"/>
      <protection hidden="1"/>
    </xf>
    <xf numFmtId="169" fontId="44" fillId="70" borderId="19" xfId="0" applyNumberFormat="1" applyFont="1" applyFill="1" applyBorder="1" applyAlignment="1" applyProtection="1">
      <alignment horizontal="center" vertical="center"/>
      <protection hidden="1"/>
    </xf>
    <xf numFmtId="8" fontId="44" fillId="70" borderId="66" xfId="0" applyNumberFormat="1" applyFont="1" applyFill="1" applyBorder="1" applyAlignment="1" applyProtection="1">
      <alignment horizontal="center" vertical="center"/>
      <protection hidden="1"/>
    </xf>
    <xf numFmtId="8" fontId="44" fillId="70" borderId="77" xfId="0" applyNumberFormat="1" applyFont="1" applyFill="1" applyBorder="1" applyAlignment="1" applyProtection="1">
      <alignment horizontal="center" vertical="center"/>
      <protection hidden="1"/>
    </xf>
    <xf numFmtId="0" fontId="100" fillId="68" borderId="25" xfId="0" applyFont="1" applyFill="1" applyBorder="1" applyAlignment="1" applyProtection="1">
      <alignment horizontal="center" vertical="center" wrapText="1"/>
      <protection hidden="1"/>
    </xf>
    <xf numFmtId="0" fontId="100" fillId="68" borderId="26" xfId="0" applyFont="1" applyFill="1" applyBorder="1" applyAlignment="1" applyProtection="1">
      <alignment horizontal="center" vertical="center" wrapText="1"/>
      <protection hidden="1"/>
    </xf>
    <xf numFmtId="0" fontId="100" fillId="68" borderId="54" xfId="0" applyFont="1" applyFill="1" applyBorder="1" applyAlignment="1" applyProtection="1">
      <alignment horizontal="center" vertical="center" wrapText="1"/>
      <protection hidden="1"/>
    </xf>
    <xf numFmtId="0" fontId="100" fillId="68" borderId="27" xfId="0" applyFont="1" applyFill="1" applyBorder="1" applyAlignment="1" applyProtection="1">
      <alignment horizontal="center" vertical="center" wrapText="1"/>
      <protection hidden="1"/>
    </xf>
    <xf numFmtId="1" fontId="37" fillId="69" borderId="28" xfId="0" applyNumberFormat="1" applyFont="1" applyFill="1" applyBorder="1" applyAlignment="1" applyProtection="1">
      <alignment horizontal="center" vertical="center"/>
      <protection hidden="1"/>
    </xf>
    <xf numFmtId="1" fontId="37" fillId="69" borderId="30" xfId="0" applyNumberFormat="1" applyFont="1" applyFill="1" applyBorder="1" applyAlignment="1" applyProtection="1">
      <alignment horizontal="center" vertical="center"/>
      <protection hidden="1"/>
    </xf>
    <xf numFmtId="169" fontId="37" fillId="69" borderId="19" xfId="0" applyNumberFormat="1" applyFont="1" applyFill="1" applyBorder="1" applyAlignment="1" applyProtection="1">
      <alignment horizontal="center" vertical="center"/>
      <protection hidden="1"/>
    </xf>
    <xf numFmtId="1" fontId="37" fillId="0" borderId="22" xfId="0" applyNumberFormat="1" applyFont="1" applyBorder="1" applyAlignment="1" applyProtection="1">
      <alignment horizontal="center" vertical="center" wrapText="1"/>
      <protection locked="0"/>
    </xf>
    <xf numFmtId="1" fontId="37" fillId="0" borderId="19" xfId="0" applyNumberFormat="1" applyFont="1" applyBorder="1" applyAlignment="1" applyProtection="1">
      <alignment horizontal="center" vertical="center" wrapText="1"/>
      <protection locked="0"/>
    </xf>
    <xf numFmtId="1" fontId="37" fillId="0" borderId="19" xfId="0" applyNumberFormat="1" applyFont="1" applyBorder="1" applyAlignment="1" applyProtection="1">
      <alignment horizontal="center" vertical="center" wrapText="1"/>
      <protection hidden="1"/>
    </xf>
    <xf numFmtId="1" fontId="37" fillId="0" borderId="19" xfId="0" applyNumberFormat="1" applyFont="1" applyBorder="1" applyAlignment="1" applyProtection="1">
      <alignment horizontal="center" vertical="center"/>
      <protection locked="0"/>
    </xf>
    <xf numFmtId="7" fontId="37" fillId="0" borderId="29" xfId="0" applyNumberFormat="1" applyFont="1" applyBorder="1" applyAlignment="1" applyProtection="1">
      <alignment horizontal="center" vertical="center"/>
      <protection locked="0"/>
    </xf>
    <xf numFmtId="169" fontId="37" fillId="69" borderId="31" xfId="0" applyNumberFormat="1" applyFont="1" applyFill="1" applyBorder="1" applyAlignment="1" applyProtection="1">
      <alignment horizontal="center" vertical="center"/>
      <protection hidden="1"/>
    </xf>
    <xf numFmtId="1" fontId="37" fillId="0" borderId="59" xfId="0" applyNumberFormat="1" applyFont="1" applyBorder="1" applyAlignment="1" applyProtection="1">
      <alignment horizontal="center" vertical="center" wrapText="1"/>
      <protection locked="0"/>
    </xf>
    <xf numFmtId="1" fontId="37" fillId="0" borderId="31" xfId="0" applyNumberFormat="1" applyFont="1" applyBorder="1" applyAlignment="1" applyProtection="1">
      <alignment horizontal="center" vertical="center" wrapText="1"/>
      <protection locked="0"/>
    </xf>
    <xf numFmtId="1" fontId="37" fillId="0" borderId="31" xfId="0" applyNumberFormat="1" applyFont="1" applyBorder="1" applyAlignment="1" applyProtection="1">
      <alignment horizontal="center" vertical="center" wrapText="1"/>
      <protection hidden="1"/>
    </xf>
    <xf numFmtId="1" fontId="37" fillId="0" borderId="31" xfId="0" applyNumberFormat="1" applyFont="1" applyBorder="1" applyAlignment="1" applyProtection="1">
      <alignment horizontal="center" vertical="center"/>
      <protection locked="0"/>
    </xf>
    <xf numFmtId="7" fontId="37" fillId="0" borderId="32" xfId="0" applyNumberFormat="1" applyFont="1" applyBorder="1" applyAlignment="1" applyProtection="1">
      <alignment horizontal="center" vertical="center"/>
      <protection locked="0"/>
    </xf>
    <xf numFmtId="0" fontId="13" fillId="68" borderId="74" xfId="0" applyFont="1" applyFill="1" applyBorder="1"/>
    <xf numFmtId="165" fontId="0" fillId="0" borderId="77" xfId="0" applyNumberFormat="1" applyBorder="1" applyProtection="1">
      <protection locked="0"/>
    </xf>
    <xf numFmtId="0" fontId="100" fillId="68" borderId="40" xfId="0" applyFont="1" applyFill="1" applyBorder="1" applyAlignment="1">
      <alignment horizontal="center" vertical="center" wrapText="1"/>
    </xf>
    <xf numFmtId="165" fontId="37" fillId="69" borderId="42" xfId="0" applyNumberFormat="1" applyFont="1" applyFill="1" applyBorder="1" applyAlignment="1">
      <alignment horizontal="center" vertical="center" wrapText="1"/>
    </xf>
    <xf numFmtId="0" fontId="13" fillId="68" borderId="29" xfId="0" applyFont="1" applyFill="1" applyBorder="1" applyAlignment="1">
      <alignment horizontal="center" vertical="center"/>
    </xf>
    <xf numFmtId="0" fontId="13" fillId="68" borderId="54" xfId="0" applyFont="1" applyFill="1" applyBorder="1" applyAlignment="1">
      <alignment horizontal="center" vertical="center" wrapText="1"/>
    </xf>
    <xf numFmtId="0" fontId="13" fillId="68" borderId="22" xfId="0" applyFont="1" applyFill="1" applyBorder="1" applyAlignment="1">
      <alignment horizontal="center" vertical="center"/>
    </xf>
    <xf numFmtId="0" fontId="43" fillId="70" borderId="77" xfId="0" applyFont="1" applyFill="1" applyBorder="1" applyAlignment="1" applyProtection="1">
      <alignment horizontal="center" vertical="center"/>
      <protection hidden="1"/>
    </xf>
    <xf numFmtId="0" fontId="44" fillId="70" borderId="43" xfId="0" applyFont="1" applyFill="1" applyBorder="1" applyAlignment="1" applyProtection="1">
      <alignment horizontal="left" vertical="center" indent="1"/>
      <protection hidden="1"/>
    </xf>
    <xf numFmtId="14" fontId="44" fillId="70" borderId="40" xfId="0" applyNumberFormat="1" applyFont="1" applyFill="1" applyBorder="1" applyAlignment="1" applyProtection="1">
      <alignment vertical="top"/>
      <protection hidden="1"/>
    </xf>
    <xf numFmtId="0" fontId="44" fillId="70" borderId="44" xfId="0" applyFont="1" applyFill="1" applyBorder="1" applyAlignment="1" applyProtection="1">
      <alignment horizontal="left" vertical="center" indent="1"/>
      <protection hidden="1"/>
    </xf>
    <xf numFmtId="0" fontId="44" fillId="70" borderId="41" xfId="0" applyFont="1" applyFill="1" applyBorder="1" applyAlignment="1" applyProtection="1">
      <alignment vertical="center"/>
      <protection hidden="1"/>
    </xf>
    <xf numFmtId="0" fontId="43" fillId="70" borderId="73" xfId="0" applyFont="1" applyFill="1" applyBorder="1" applyAlignment="1" applyProtection="1">
      <alignment horizontal="center" vertical="center" wrapText="1"/>
      <protection hidden="1"/>
    </xf>
    <xf numFmtId="0" fontId="44" fillId="70" borderId="45" xfId="0" applyFont="1" applyFill="1" applyBorder="1" applyAlignment="1" applyProtection="1">
      <alignment horizontal="left" vertical="center" indent="1"/>
      <protection hidden="1"/>
    </xf>
    <xf numFmtId="0" fontId="44" fillId="70" borderId="42" xfId="0" applyFont="1" applyFill="1" applyBorder="1" applyAlignment="1" applyProtection="1">
      <alignment vertical="center"/>
      <protection hidden="1"/>
    </xf>
    <xf numFmtId="2" fontId="43" fillId="70" borderId="30" xfId="0" applyNumberFormat="1" applyFont="1" applyFill="1" applyBorder="1" applyAlignment="1" applyProtection="1">
      <alignment horizontal="center" vertical="center"/>
      <protection hidden="1"/>
    </xf>
    <xf numFmtId="170" fontId="43" fillId="70" borderId="32" xfId="0" applyNumberFormat="1" applyFont="1" applyFill="1" applyBorder="1" applyAlignment="1" applyProtection="1">
      <alignment horizontal="center" vertical="center"/>
      <protection hidden="1"/>
    </xf>
    <xf numFmtId="167" fontId="43" fillId="70" borderId="73" xfId="0" applyNumberFormat="1" applyFont="1" applyFill="1" applyBorder="1" applyAlignment="1" applyProtection="1">
      <alignment horizontal="center" vertical="center"/>
      <protection hidden="1"/>
    </xf>
    <xf numFmtId="0" fontId="44" fillId="70" borderId="46" xfId="0" applyFont="1" applyFill="1" applyBorder="1" applyAlignment="1" applyProtection="1">
      <alignment horizontal="left" vertical="center" indent="1"/>
      <protection hidden="1"/>
    </xf>
    <xf numFmtId="0" fontId="43" fillId="70" borderId="0" xfId="0" applyFont="1" applyFill="1" applyAlignment="1" applyProtection="1">
      <alignment horizontal="center" vertical="center" wrapText="1"/>
      <protection hidden="1"/>
    </xf>
    <xf numFmtId="169" fontId="44" fillId="70" borderId="29" xfId="0" applyNumberFormat="1" applyFont="1" applyFill="1" applyBorder="1" applyAlignment="1" applyProtection="1">
      <alignment horizontal="center" vertical="center"/>
      <protection hidden="1"/>
    </xf>
    <xf numFmtId="0" fontId="41" fillId="70" borderId="73" xfId="0" applyFont="1" applyFill="1" applyBorder="1" applyAlignment="1" applyProtection="1">
      <alignment horizontal="center" vertical="center" wrapText="1"/>
      <protection hidden="1"/>
    </xf>
    <xf numFmtId="167" fontId="37" fillId="70" borderId="74" xfId="0" applyNumberFormat="1" applyFont="1" applyFill="1" applyBorder="1" applyAlignment="1" applyProtection="1">
      <alignment horizontal="center" vertical="center"/>
      <protection hidden="1"/>
    </xf>
    <xf numFmtId="167" fontId="37" fillId="70" borderId="73" xfId="0" applyNumberFormat="1" applyFont="1" applyFill="1" applyBorder="1" applyAlignment="1" applyProtection="1">
      <alignment horizontal="center" vertical="center"/>
      <protection hidden="1"/>
    </xf>
    <xf numFmtId="0" fontId="100" fillId="68" borderId="73" xfId="0" applyFont="1" applyFill="1" applyBorder="1" applyAlignment="1" applyProtection="1">
      <alignment horizontal="center" vertical="center" wrapText="1"/>
      <protection hidden="1"/>
    </xf>
    <xf numFmtId="165" fontId="37" fillId="0" borderId="29" xfId="0" applyNumberFormat="1" applyFont="1" applyBorder="1" applyAlignment="1" applyProtection="1">
      <alignment horizontal="center" vertical="center"/>
      <protection locked="0"/>
    </xf>
    <xf numFmtId="165" fontId="37" fillId="0" borderId="32" xfId="0" applyNumberFormat="1" applyFont="1" applyBorder="1" applyAlignment="1" applyProtection="1">
      <alignment horizontal="center" vertical="center"/>
      <protection locked="0"/>
    </xf>
    <xf numFmtId="0" fontId="45" fillId="70" borderId="20" xfId="0" applyFont="1" applyFill="1" applyBorder="1" applyAlignment="1">
      <alignment horizontal="right"/>
    </xf>
    <xf numFmtId="2" fontId="46" fillId="70" borderId="20" xfId="0" applyNumberFormat="1" applyFont="1" applyFill="1" applyBorder="1" applyAlignment="1">
      <alignment horizontal="center"/>
    </xf>
    <xf numFmtId="14" fontId="46" fillId="70" borderId="20" xfId="0" applyNumberFormat="1" applyFont="1" applyFill="1" applyBorder="1" applyAlignment="1">
      <alignment horizontal="center"/>
    </xf>
    <xf numFmtId="0" fontId="0" fillId="70" borderId="0" xfId="0" applyFill="1" applyAlignment="1">
      <alignment vertical="center"/>
    </xf>
    <xf numFmtId="165" fontId="0" fillId="70" borderId="66" xfId="0" applyNumberFormat="1" applyFill="1" applyBorder="1" applyAlignment="1">
      <alignment horizontal="center" vertical="center"/>
    </xf>
    <xf numFmtId="165" fontId="0" fillId="70" borderId="96" xfId="0" applyNumberFormat="1" applyFill="1" applyBorder="1" applyAlignment="1">
      <alignment horizontal="center" vertical="center"/>
    </xf>
    <xf numFmtId="165" fontId="0" fillId="70" borderId="77" xfId="0" applyNumberFormat="1" applyFill="1" applyBorder="1" applyAlignment="1">
      <alignment horizontal="center" vertical="center"/>
    </xf>
    <xf numFmtId="14" fontId="0" fillId="0" borderId="27" xfId="0" applyNumberFormat="1" applyBorder="1" applyAlignment="1" applyProtection="1">
      <alignment horizontal="center" vertical="center"/>
      <protection locked="0"/>
    </xf>
    <xf numFmtId="14" fontId="0" fillId="0" borderId="52" xfId="0" applyNumberFormat="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165" fontId="0" fillId="0" borderId="32" xfId="0" applyNumberFormat="1" applyBorder="1" applyAlignment="1" applyProtection="1">
      <alignment horizontal="center" vertical="center"/>
      <protection locked="0"/>
    </xf>
    <xf numFmtId="14" fontId="44" fillId="70" borderId="0" xfId="0" applyNumberFormat="1" applyFont="1" applyFill="1" applyAlignment="1" applyProtection="1">
      <alignment vertical="top"/>
      <protection hidden="1"/>
    </xf>
    <xf numFmtId="0" fontId="44" fillId="70" borderId="66" xfId="0" applyFont="1" applyFill="1" applyBorder="1" applyAlignment="1" applyProtection="1">
      <alignment horizontal="center" vertical="center"/>
      <protection hidden="1"/>
    </xf>
    <xf numFmtId="167" fontId="43" fillId="70" borderId="77" xfId="0" applyNumberFormat="1" applyFont="1" applyFill="1" applyBorder="1" applyAlignment="1" applyProtection="1">
      <alignment horizontal="center" vertical="center"/>
      <protection hidden="1"/>
    </xf>
    <xf numFmtId="167" fontId="44" fillId="70" borderId="66" xfId="0" applyNumberFormat="1" applyFont="1" applyFill="1" applyBorder="1" applyAlignment="1" applyProtection="1">
      <alignment horizontal="center" vertical="center"/>
      <protection hidden="1"/>
    </xf>
    <xf numFmtId="167" fontId="44" fillId="70" borderId="77" xfId="0" applyNumberFormat="1" applyFont="1" applyFill="1" applyBorder="1" applyAlignment="1" applyProtection="1">
      <alignment horizontal="center" vertical="center"/>
      <protection hidden="1"/>
    </xf>
    <xf numFmtId="0" fontId="101" fillId="70" borderId="0" xfId="0" applyFont="1" applyFill="1" applyProtection="1">
      <protection hidden="1"/>
    </xf>
    <xf numFmtId="0" fontId="102" fillId="70" borderId="0" xfId="0" applyFont="1" applyFill="1" applyProtection="1">
      <protection hidden="1"/>
    </xf>
    <xf numFmtId="0" fontId="92" fillId="70" borderId="0" xfId="0" applyFont="1" applyFill="1"/>
    <xf numFmtId="14" fontId="44" fillId="70" borderId="0" xfId="0" applyNumberFormat="1" applyFont="1" applyFill="1" applyAlignment="1" applyProtection="1">
      <alignment horizontal="center" vertical="center"/>
      <protection hidden="1"/>
    </xf>
    <xf numFmtId="0" fontId="0" fillId="70" borderId="0" xfId="0" applyFill="1" applyProtection="1">
      <protection hidden="1"/>
    </xf>
    <xf numFmtId="0" fontId="44" fillId="70" borderId="0" xfId="0" applyFont="1" applyFill="1" applyAlignment="1" applyProtection="1">
      <alignment horizontal="center" vertical="center"/>
      <protection hidden="1"/>
    </xf>
    <xf numFmtId="6" fontId="43" fillId="70" borderId="32" xfId="0" applyNumberFormat="1" applyFont="1" applyFill="1" applyBorder="1" applyAlignment="1" applyProtection="1">
      <alignment horizontal="center" vertical="center"/>
      <protection hidden="1"/>
    </xf>
    <xf numFmtId="0" fontId="44" fillId="70" borderId="82" xfId="0" applyFont="1" applyFill="1" applyBorder="1" applyAlignment="1" applyProtection="1">
      <alignment horizontal="left" vertical="center" indent="1"/>
      <protection hidden="1"/>
    </xf>
    <xf numFmtId="0" fontId="44" fillId="70" borderId="50" xfId="0" applyFont="1" applyFill="1" applyBorder="1" applyAlignment="1" applyProtection="1">
      <alignment horizontal="left" vertical="center" indent="1"/>
      <protection hidden="1"/>
    </xf>
    <xf numFmtId="0" fontId="44" fillId="70" borderId="81" xfId="0" applyFont="1" applyFill="1" applyBorder="1" applyAlignment="1" applyProtection="1">
      <alignment vertical="center"/>
      <protection locked="0"/>
    </xf>
    <xf numFmtId="169" fontId="37" fillId="69" borderId="22" xfId="0" applyNumberFormat="1" applyFont="1" applyFill="1" applyBorder="1" applyAlignment="1" applyProtection="1">
      <alignment horizontal="center" vertical="center"/>
      <protection hidden="1"/>
    </xf>
    <xf numFmtId="169" fontId="37" fillId="69" borderId="59" xfId="0" applyNumberFormat="1" applyFont="1" applyFill="1" applyBorder="1" applyAlignment="1" applyProtection="1">
      <alignment horizontal="center" vertical="center"/>
      <protection hidden="1"/>
    </xf>
    <xf numFmtId="188" fontId="37" fillId="69" borderId="19" xfId="0" applyNumberFormat="1" applyFont="1" applyFill="1" applyBorder="1" applyAlignment="1" applyProtection="1">
      <alignment horizontal="center" vertical="center"/>
      <protection hidden="1"/>
    </xf>
    <xf numFmtId="188" fontId="37" fillId="69" borderId="31" xfId="0" applyNumberFormat="1" applyFont="1" applyFill="1" applyBorder="1" applyAlignment="1" applyProtection="1">
      <alignment horizontal="center" vertical="center"/>
      <protection hidden="1"/>
    </xf>
    <xf numFmtId="188" fontId="43" fillId="70" borderId="73" xfId="0" applyNumberFormat="1" applyFont="1" applyFill="1" applyBorder="1" applyAlignment="1" applyProtection="1">
      <alignment horizontal="center" vertical="center"/>
      <protection hidden="1"/>
    </xf>
    <xf numFmtId="188" fontId="43" fillId="70" borderId="32" xfId="0" applyNumberFormat="1" applyFont="1" applyFill="1" applyBorder="1" applyAlignment="1" applyProtection="1">
      <alignment horizontal="center" vertical="center"/>
      <protection hidden="1"/>
    </xf>
    <xf numFmtId="169" fontId="43" fillId="70" borderId="30" xfId="0" applyNumberFormat="1" applyFont="1" applyFill="1" applyBorder="1" applyAlignment="1" applyProtection="1">
      <alignment horizontal="center" vertical="center"/>
      <protection hidden="1"/>
    </xf>
    <xf numFmtId="0" fontId="43" fillId="70" borderId="33" xfId="0" applyFont="1" applyFill="1" applyBorder="1" applyAlignment="1" applyProtection="1">
      <alignment horizontal="center" vertical="center" wrapText="1"/>
      <protection hidden="1"/>
    </xf>
    <xf numFmtId="0" fontId="43" fillId="70" borderId="35" xfId="0" applyFont="1" applyFill="1" applyBorder="1" applyAlignment="1" applyProtection="1">
      <alignment horizontal="center" vertical="center" wrapText="1"/>
      <protection hidden="1"/>
    </xf>
    <xf numFmtId="165" fontId="43" fillId="70" borderId="73" xfId="0" applyNumberFormat="1" applyFont="1" applyFill="1" applyBorder="1" applyAlignment="1" applyProtection="1">
      <alignment horizontal="center" vertical="center"/>
      <protection hidden="1"/>
    </xf>
    <xf numFmtId="0" fontId="44" fillId="70" borderId="49" xfId="0" applyFont="1" applyFill="1" applyBorder="1" applyAlignment="1" applyProtection="1">
      <alignment horizontal="left" vertical="center" indent="1"/>
      <protection hidden="1"/>
    </xf>
    <xf numFmtId="0" fontId="44" fillId="70" borderId="39" xfId="0" applyFont="1" applyFill="1" applyBorder="1" applyAlignment="1" applyProtection="1">
      <alignment horizontal="left" vertical="center" indent="1"/>
      <protection hidden="1"/>
    </xf>
    <xf numFmtId="165" fontId="37" fillId="70" borderId="29" xfId="0" applyNumberFormat="1" applyFont="1" applyFill="1" applyBorder="1" applyAlignment="1" applyProtection="1">
      <alignment horizontal="center" vertical="center"/>
      <protection hidden="1"/>
    </xf>
    <xf numFmtId="165" fontId="37" fillId="70" borderId="32" xfId="0" applyNumberFormat="1" applyFont="1" applyFill="1" applyBorder="1" applyAlignment="1" applyProtection="1">
      <alignment horizontal="center" vertical="center"/>
      <protection hidden="1"/>
    </xf>
    <xf numFmtId="166" fontId="37" fillId="69" borderId="19" xfId="0" applyNumberFormat="1" applyFont="1" applyFill="1" applyBorder="1" applyAlignment="1" applyProtection="1">
      <alignment horizontal="center" vertical="center"/>
      <protection hidden="1"/>
    </xf>
    <xf numFmtId="166" fontId="37" fillId="69" borderId="31" xfId="0" applyNumberFormat="1" applyFont="1" applyFill="1" applyBorder="1" applyAlignment="1" applyProtection="1">
      <alignment horizontal="center" vertical="center"/>
      <protection hidden="1"/>
    </xf>
    <xf numFmtId="0" fontId="37" fillId="0" borderId="19" xfId="0" applyFont="1" applyBorder="1" applyAlignment="1" applyProtection="1">
      <alignment horizontal="center" vertical="center"/>
      <protection locked="0"/>
    </xf>
    <xf numFmtId="14" fontId="37" fillId="0" borderId="19" xfId="0" applyNumberFormat="1" applyFont="1" applyBorder="1" applyAlignment="1" applyProtection="1">
      <alignment horizontal="center" vertical="center"/>
      <protection locked="0"/>
    </xf>
    <xf numFmtId="3" fontId="37" fillId="0" borderId="19" xfId="0" applyNumberFormat="1" applyFont="1" applyBorder="1" applyAlignment="1" applyProtection="1">
      <alignment horizontal="center" vertical="center"/>
      <protection locked="0"/>
    </xf>
    <xf numFmtId="164" fontId="37" fillId="0" borderId="19" xfId="0" applyNumberFormat="1" applyFont="1" applyBorder="1" applyAlignment="1" applyProtection="1">
      <alignment horizontal="center" vertical="center"/>
      <protection locked="0"/>
    </xf>
    <xf numFmtId="0" fontId="37" fillId="0" borderId="31" xfId="0" applyFont="1" applyBorder="1" applyAlignment="1" applyProtection="1">
      <alignment horizontal="center" vertical="center"/>
      <protection locked="0"/>
    </xf>
    <xf numFmtId="14" fontId="37" fillId="0" borderId="31" xfId="0" applyNumberFormat="1" applyFont="1" applyBorder="1" applyAlignment="1" applyProtection="1">
      <alignment horizontal="center" vertical="center"/>
      <protection locked="0"/>
    </xf>
    <xf numFmtId="3" fontId="37" fillId="0" borderId="31" xfId="0" applyNumberFormat="1" applyFont="1" applyBorder="1" applyAlignment="1" applyProtection="1">
      <alignment horizontal="center" vertical="center"/>
      <protection locked="0"/>
    </xf>
    <xf numFmtId="164" fontId="37" fillId="0" borderId="31" xfId="0" applyNumberFormat="1" applyFont="1" applyBorder="1" applyAlignment="1" applyProtection="1">
      <alignment horizontal="center" vertical="center"/>
      <protection locked="0"/>
    </xf>
    <xf numFmtId="189" fontId="37" fillId="69" borderId="19" xfId="0" applyNumberFormat="1" applyFont="1" applyFill="1" applyBorder="1" applyAlignment="1" applyProtection="1">
      <alignment horizontal="center" vertical="center"/>
      <protection hidden="1"/>
    </xf>
    <xf numFmtId="189" fontId="37" fillId="69" borderId="31" xfId="0" applyNumberFormat="1" applyFont="1" applyFill="1" applyBorder="1" applyAlignment="1" applyProtection="1">
      <alignment horizontal="center" vertical="center"/>
      <protection hidden="1"/>
    </xf>
    <xf numFmtId="0" fontId="100" fillId="68" borderId="74" xfId="0" applyFont="1" applyFill="1" applyBorder="1" applyAlignment="1" applyProtection="1">
      <alignment horizontal="center" vertical="center" wrapText="1"/>
      <protection hidden="1"/>
    </xf>
    <xf numFmtId="165" fontId="37" fillId="70" borderId="66" xfId="0" applyNumberFormat="1" applyFont="1" applyFill="1" applyBorder="1" applyAlignment="1" applyProtection="1">
      <alignment horizontal="center" vertical="center"/>
      <protection hidden="1"/>
    </xf>
    <xf numFmtId="165" fontId="37" fillId="70" borderId="77" xfId="0" applyNumberFormat="1" applyFont="1" applyFill="1" applyBorder="1" applyAlignment="1" applyProtection="1">
      <alignment horizontal="center" vertical="center"/>
      <protection hidden="1"/>
    </xf>
    <xf numFmtId="165" fontId="38" fillId="0" borderId="29" xfId="0" applyNumberFormat="1" applyFont="1" applyBorder="1" applyAlignment="1" applyProtection="1">
      <alignment horizontal="center" vertical="center"/>
      <protection locked="0"/>
    </xf>
    <xf numFmtId="165" fontId="38" fillId="0" borderId="32" xfId="0" applyNumberFormat="1" applyFont="1" applyBorder="1" applyAlignment="1" applyProtection="1">
      <alignment horizontal="center" vertical="center"/>
      <protection locked="0"/>
    </xf>
    <xf numFmtId="166" fontId="43" fillId="70" borderId="35" xfId="0" applyNumberFormat="1" applyFont="1" applyFill="1" applyBorder="1" applyAlignment="1" applyProtection="1">
      <alignment horizontal="center" vertical="center"/>
      <protection hidden="1"/>
    </xf>
    <xf numFmtId="189" fontId="43" fillId="70" borderId="33" xfId="0" applyNumberFormat="1" applyFont="1" applyFill="1" applyBorder="1" applyAlignment="1" applyProtection="1">
      <alignment horizontal="center" vertical="center"/>
      <protection hidden="1"/>
    </xf>
    <xf numFmtId="0" fontId="103" fillId="70" borderId="0" xfId="0" applyFont="1" applyFill="1" applyProtection="1">
      <protection hidden="1"/>
    </xf>
    <xf numFmtId="0" fontId="92" fillId="70" borderId="0" xfId="0" applyFont="1" applyFill="1" applyAlignment="1" applyProtection="1">
      <alignment vertical="center" wrapText="1"/>
      <protection hidden="1"/>
    </xf>
    <xf numFmtId="0" fontId="37" fillId="70" borderId="25" xfId="0" applyFont="1" applyFill="1" applyBorder="1" applyAlignment="1" applyProtection="1">
      <alignment horizontal="left" vertical="center" indent="1"/>
      <protection hidden="1"/>
    </xf>
    <xf numFmtId="0" fontId="16" fillId="70" borderId="0" xfId="0" applyFont="1" applyFill="1" applyProtection="1">
      <protection hidden="1"/>
    </xf>
    <xf numFmtId="0" fontId="37" fillId="70" borderId="28" xfId="0" applyFont="1" applyFill="1" applyBorder="1" applyAlignment="1" applyProtection="1">
      <alignment horizontal="left" vertical="center" indent="1"/>
      <protection hidden="1"/>
    </xf>
    <xf numFmtId="0" fontId="41" fillId="70" borderId="33" xfId="0" applyFont="1" applyFill="1" applyBorder="1" applyAlignment="1" applyProtection="1">
      <alignment horizontal="center" vertical="center" wrapText="1"/>
      <protection hidden="1"/>
    </xf>
    <xf numFmtId="0" fontId="41" fillId="70" borderId="35" xfId="0" applyFont="1" applyFill="1" applyBorder="1" applyAlignment="1" applyProtection="1">
      <alignment horizontal="center" vertical="center" wrapText="1"/>
      <protection hidden="1"/>
    </xf>
    <xf numFmtId="0" fontId="37" fillId="70" borderId="30" xfId="0" applyFont="1" applyFill="1" applyBorder="1" applyAlignment="1" applyProtection="1">
      <alignment horizontal="left" vertical="center" indent="1"/>
      <protection hidden="1"/>
    </xf>
    <xf numFmtId="186" fontId="41" fillId="70" borderId="33" xfId="0" applyNumberFormat="1" applyFont="1" applyFill="1" applyBorder="1" applyAlignment="1" applyProtection="1">
      <alignment horizontal="center" vertical="center"/>
      <protection hidden="1"/>
    </xf>
    <xf numFmtId="4" fontId="41" fillId="70" borderId="35" xfId="0" applyNumberFormat="1" applyFont="1" applyFill="1" applyBorder="1" applyAlignment="1" applyProtection="1">
      <alignment horizontal="center" vertical="center"/>
      <protection hidden="1"/>
    </xf>
    <xf numFmtId="165" fontId="41" fillId="70" borderId="73" xfId="0" applyNumberFormat="1" applyFont="1" applyFill="1" applyBorder="1" applyAlignment="1" applyProtection="1">
      <alignment horizontal="center" vertical="center"/>
      <protection hidden="1"/>
    </xf>
    <xf numFmtId="0" fontId="37" fillId="70" borderId="78" xfId="0" applyFont="1" applyFill="1" applyBorder="1" applyAlignment="1" applyProtection="1">
      <alignment horizontal="left" vertical="center" indent="1"/>
      <protection hidden="1"/>
    </xf>
    <xf numFmtId="0" fontId="37" fillId="70" borderId="79" xfId="0" applyFont="1" applyFill="1" applyBorder="1" applyAlignment="1" applyProtection="1">
      <alignment horizontal="left" vertical="center" indent="1"/>
      <protection locked="0"/>
    </xf>
    <xf numFmtId="0" fontId="37" fillId="70" borderId="50" xfId="0" applyFont="1" applyFill="1" applyBorder="1" applyAlignment="1" applyProtection="1">
      <alignment horizontal="left" vertical="center" indent="1"/>
      <protection locked="0"/>
    </xf>
    <xf numFmtId="0" fontId="37" fillId="70" borderId="80" xfId="0" applyFont="1" applyFill="1" applyBorder="1" applyAlignment="1" applyProtection="1">
      <alignment horizontal="left" vertical="center" indent="1"/>
      <protection locked="0"/>
    </xf>
    <xf numFmtId="0" fontId="37" fillId="70" borderId="39" xfId="0" applyFont="1" applyFill="1" applyBorder="1" applyAlignment="1" applyProtection="1">
      <alignment horizontal="left" vertical="center" indent="1"/>
      <protection hidden="1"/>
    </xf>
    <xf numFmtId="14" fontId="37" fillId="70" borderId="39" xfId="0" applyNumberFormat="1" applyFont="1" applyFill="1" applyBorder="1" applyAlignment="1" applyProtection="1">
      <alignment horizontal="center" vertical="center"/>
      <protection locked="0"/>
    </xf>
    <xf numFmtId="0" fontId="37" fillId="70" borderId="0" xfId="0" applyFont="1" applyFill="1" applyAlignment="1" applyProtection="1">
      <alignment horizontal="left" vertical="center" indent="1"/>
      <protection hidden="1"/>
    </xf>
    <xf numFmtId="189" fontId="44" fillId="57" borderId="29" xfId="0" applyNumberFormat="1" applyFont="1" applyFill="1" applyBorder="1" applyAlignment="1">
      <alignment horizontal="center" vertical="center" wrapText="1"/>
    </xf>
    <xf numFmtId="0" fontId="100" fillId="68" borderId="19" xfId="0" applyFont="1" applyFill="1" applyBorder="1" applyAlignment="1" applyProtection="1">
      <alignment horizontal="left" vertical="center" indent="1"/>
      <protection hidden="1"/>
    </xf>
    <xf numFmtId="0" fontId="100" fillId="68" borderId="25" xfId="0" applyFont="1" applyFill="1" applyBorder="1" applyAlignment="1" applyProtection="1">
      <alignment horizontal="left" vertical="center" indent="1"/>
      <protection hidden="1"/>
    </xf>
    <xf numFmtId="0" fontId="100" fillId="68" borderId="26" xfId="0" applyFont="1" applyFill="1" applyBorder="1" applyAlignment="1" applyProtection="1">
      <alignment horizontal="left" vertical="center" indent="1"/>
      <protection hidden="1"/>
    </xf>
    <xf numFmtId="0" fontId="100" fillId="68" borderId="27" xfId="0" applyFont="1" applyFill="1" applyBorder="1" applyAlignment="1" applyProtection="1">
      <alignment horizontal="left" vertical="center" indent="1"/>
      <protection hidden="1"/>
    </xf>
    <xf numFmtId="189" fontId="37" fillId="69" borderId="30" xfId="0" applyNumberFormat="1" applyFont="1" applyFill="1" applyBorder="1" applyAlignment="1" applyProtection="1">
      <alignment vertical="center"/>
      <protection hidden="1"/>
    </xf>
    <xf numFmtId="166" fontId="37" fillId="69" borderId="31" xfId="0" applyNumberFormat="1" applyFont="1" applyFill="1" applyBorder="1" applyAlignment="1" applyProtection="1">
      <alignment vertical="center"/>
      <protection hidden="1"/>
    </xf>
    <xf numFmtId="0" fontId="100" fillId="68" borderId="22" xfId="0" applyFont="1" applyFill="1" applyBorder="1" applyAlignment="1" applyProtection="1">
      <alignment horizontal="left" vertical="center" indent="1"/>
      <protection hidden="1"/>
    </xf>
    <xf numFmtId="189" fontId="37" fillId="69" borderId="30" xfId="0" applyNumberFormat="1" applyFont="1" applyFill="1" applyBorder="1" applyAlignment="1" applyProtection="1">
      <alignment horizontal="center" vertical="center"/>
      <protection hidden="1"/>
    </xf>
    <xf numFmtId="0" fontId="0" fillId="70" borderId="0" xfId="0" applyFill="1" applyAlignment="1">
      <alignment horizontal="left" vertical="center"/>
    </xf>
    <xf numFmtId="0" fontId="101" fillId="70" borderId="0" xfId="0" applyFont="1" applyFill="1"/>
    <xf numFmtId="188" fontId="37" fillId="0" borderId="19" xfId="0" applyNumberFormat="1" applyFont="1" applyBorder="1" applyAlignment="1" applyProtection="1">
      <alignment vertical="center"/>
      <protection hidden="1"/>
    </xf>
    <xf numFmtId="165" fontId="37" fillId="0" borderId="22" xfId="0" applyNumberFormat="1" applyFont="1" applyBorder="1" applyAlignment="1" applyProtection="1">
      <alignment vertical="center"/>
      <protection hidden="1"/>
    </xf>
    <xf numFmtId="0" fontId="37" fillId="0" borderId="31" xfId="0" applyFont="1" applyBorder="1" applyAlignment="1" applyProtection="1">
      <alignment vertical="center"/>
      <protection locked="0"/>
    </xf>
    <xf numFmtId="14" fontId="37" fillId="0" borderId="31" xfId="0" applyNumberFormat="1" applyFont="1" applyBorder="1" applyAlignment="1" applyProtection="1">
      <alignment vertical="center"/>
      <protection locked="0"/>
    </xf>
    <xf numFmtId="3" fontId="37" fillId="0" borderId="31" xfId="0" applyNumberFormat="1" applyFont="1" applyBorder="1" applyAlignment="1" applyProtection="1">
      <alignment vertical="center"/>
      <protection locked="0"/>
    </xf>
    <xf numFmtId="165" fontId="37" fillId="0" borderId="32" xfId="0" applyNumberFormat="1" applyFont="1" applyBorder="1" applyAlignment="1" applyProtection="1">
      <alignment vertical="center"/>
      <protection locked="0"/>
    </xf>
    <xf numFmtId="189" fontId="37" fillId="0" borderId="19" xfId="0" applyNumberFormat="1" applyFont="1" applyBorder="1" applyAlignment="1" applyProtection="1">
      <alignment vertical="center"/>
      <protection hidden="1"/>
    </xf>
    <xf numFmtId="168" fontId="37" fillId="0" borderId="19" xfId="0" applyNumberFormat="1" applyFont="1" applyBorder="1" applyAlignment="1" applyProtection="1">
      <alignment horizontal="center" vertical="center"/>
      <protection locked="0"/>
    </xf>
    <xf numFmtId="168" fontId="37" fillId="0" borderId="31" xfId="0" applyNumberFormat="1" applyFont="1" applyBorder="1" applyAlignment="1" applyProtection="1">
      <alignment horizontal="center" vertical="center"/>
      <protection locked="0"/>
    </xf>
    <xf numFmtId="168" fontId="37" fillId="0" borderId="19" xfId="0" applyNumberFormat="1" applyFont="1" applyBorder="1" applyAlignment="1" applyProtection="1">
      <alignment horizontal="center" vertical="center" wrapText="1"/>
      <protection locked="0"/>
    </xf>
    <xf numFmtId="168" fontId="37" fillId="0" borderId="31" xfId="0" applyNumberFormat="1" applyFont="1" applyBorder="1" applyAlignment="1" applyProtection="1">
      <alignment horizontal="center" vertical="center" wrapText="1"/>
      <protection locked="0"/>
    </xf>
    <xf numFmtId="0" fontId="50" fillId="0" borderId="0" xfId="0" applyFont="1"/>
    <xf numFmtId="165" fontId="0" fillId="69" borderId="30" xfId="0" applyNumberFormat="1" applyFill="1" applyBorder="1" applyAlignment="1" applyProtection="1">
      <alignment horizontal="center" vertical="center"/>
      <protection hidden="1"/>
    </xf>
    <xf numFmtId="165" fontId="0" fillId="69" borderId="31" xfId="0" applyNumberFormat="1" applyFill="1" applyBorder="1" applyAlignment="1" applyProtection="1">
      <alignment horizontal="center" vertical="center"/>
      <protection hidden="1"/>
    </xf>
    <xf numFmtId="166" fontId="0" fillId="69" borderId="31" xfId="0" applyNumberFormat="1" applyFill="1" applyBorder="1" applyAlignment="1" applyProtection="1">
      <alignment horizontal="center" vertical="center"/>
      <protection hidden="1"/>
    </xf>
    <xf numFmtId="188" fontId="0" fillId="69" borderId="59" xfId="0" applyNumberFormat="1" applyFill="1" applyBorder="1" applyAlignment="1" applyProtection="1">
      <alignment horizontal="center" vertical="center"/>
      <protection hidden="1"/>
    </xf>
    <xf numFmtId="188" fontId="0" fillId="69" borderId="32" xfId="0" applyNumberFormat="1" applyFill="1" applyBorder="1" applyAlignment="1" applyProtection="1">
      <alignment horizontal="center" vertical="center"/>
      <protection hidden="1"/>
    </xf>
    <xf numFmtId="0" fontId="0" fillId="69" borderId="41" xfId="0" applyFill="1" applyBorder="1" applyAlignment="1" applyProtection="1">
      <alignment horizontal="left" vertical="center"/>
      <protection hidden="1"/>
    </xf>
    <xf numFmtId="165" fontId="0" fillId="69" borderId="41" xfId="0" applyNumberFormat="1" applyFill="1" applyBorder="1" applyAlignment="1" applyProtection="1">
      <alignment horizontal="center" vertical="center"/>
      <protection hidden="1"/>
    </xf>
    <xf numFmtId="166" fontId="0" fillId="69" borderId="22" xfId="0" applyNumberFormat="1" applyFill="1" applyBorder="1" applyAlignment="1" applyProtection="1">
      <alignment horizontal="center" vertical="center"/>
      <protection hidden="1"/>
    </xf>
    <xf numFmtId="188" fontId="0" fillId="69" borderId="19" xfId="0" applyNumberFormat="1" applyFill="1" applyBorder="1" applyAlignment="1" applyProtection="1">
      <alignment horizontal="center" vertical="center"/>
      <protection hidden="1"/>
    </xf>
    <xf numFmtId="188" fontId="0" fillId="69" borderId="29" xfId="0" applyNumberFormat="1" applyFill="1" applyBorder="1" applyAlignment="1" applyProtection="1">
      <alignment horizontal="center" vertical="center"/>
      <protection hidden="1"/>
    </xf>
    <xf numFmtId="165" fontId="0" fillId="69" borderId="94" xfId="0" applyNumberFormat="1" applyFill="1" applyBorder="1" applyAlignment="1" applyProtection="1">
      <alignment horizontal="center" vertical="center"/>
      <protection hidden="1"/>
    </xf>
    <xf numFmtId="0" fontId="0" fillId="69" borderId="94" xfId="0" applyFill="1" applyBorder="1" applyAlignment="1" applyProtection="1">
      <alignment horizontal="left" vertical="center"/>
      <protection hidden="1"/>
    </xf>
    <xf numFmtId="166" fontId="0" fillId="69" borderId="23" xfId="0" applyNumberFormat="1" applyFill="1" applyBorder="1" applyAlignment="1" applyProtection="1">
      <alignment horizontal="center" vertical="center"/>
      <protection hidden="1"/>
    </xf>
    <xf numFmtId="188" fontId="0" fillId="69" borderId="37" xfId="0" applyNumberFormat="1" applyFill="1" applyBorder="1" applyAlignment="1" applyProtection="1">
      <alignment horizontal="center" vertical="center"/>
      <protection hidden="1"/>
    </xf>
    <xf numFmtId="188" fontId="0" fillId="69" borderId="38" xfId="0" applyNumberFormat="1" applyFill="1" applyBorder="1" applyAlignment="1" applyProtection="1">
      <alignment horizontal="center" vertical="center"/>
      <protection hidden="1"/>
    </xf>
    <xf numFmtId="0" fontId="0" fillId="69" borderId="42" xfId="0" applyFill="1" applyBorder="1" applyAlignment="1" applyProtection="1">
      <alignment horizontal="left" vertical="center"/>
      <protection hidden="1"/>
    </xf>
    <xf numFmtId="165" fontId="0" fillId="69" borderId="42" xfId="0" applyNumberFormat="1" applyFill="1" applyBorder="1" applyAlignment="1" applyProtection="1">
      <alignment horizontal="center" vertical="center"/>
      <protection hidden="1"/>
    </xf>
    <xf numFmtId="166" fontId="0" fillId="69" borderId="59" xfId="0" applyNumberFormat="1" applyFill="1" applyBorder="1" applyAlignment="1" applyProtection="1">
      <alignment horizontal="center" vertical="center"/>
      <protection hidden="1"/>
    </xf>
    <xf numFmtId="188" fontId="0" fillId="69" borderId="31" xfId="0" applyNumberFormat="1" applyFill="1" applyBorder="1" applyAlignment="1" applyProtection="1">
      <alignment horizontal="center" vertical="center"/>
      <protection hidden="1"/>
    </xf>
    <xf numFmtId="188" fontId="0" fillId="69" borderId="30" xfId="0" applyNumberFormat="1" applyFill="1" applyBorder="1" applyProtection="1">
      <protection hidden="1"/>
    </xf>
    <xf numFmtId="169" fontId="0" fillId="69" borderId="31" xfId="0" applyNumberFormat="1" applyFill="1" applyBorder="1" applyProtection="1">
      <protection hidden="1"/>
    </xf>
    <xf numFmtId="1" fontId="37" fillId="69" borderId="19" xfId="0" applyNumberFormat="1" applyFont="1" applyFill="1" applyBorder="1" applyAlignment="1" applyProtection="1">
      <alignment horizontal="center" vertical="center" wrapText="1"/>
      <protection hidden="1"/>
    </xf>
    <xf numFmtId="1" fontId="37" fillId="69" borderId="31" xfId="0" applyNumberFormat="1" applyFont="1" applyFill="1" applyBorder="1" applyAlignment="1" applyProtection="1">
      <alignment horizontal="center" vertical="center" wrapText="1"/>
      <protection hidden="1"/>
    </xf>
    <xf numFmtId="0" fontId="13" fillId="68" borderId="40" xfId="0" applyFont="1" applyFill="1" applyBorder="1"/>
    <xf numFmtId="165" fontId="0" fillId="0" borderId="42" xfId="0" applyNumberFormat="1" applyBorder="1" applyProtection="1">
      <protection locked="0"/>
    </xf>
    <xf numFmtId="190" fontId="0" fillId="69" borderId="29" xfId="0" applyNumberFormat="1" applyFill="1" applyBorder="1" applyAlignment="1" applyProtection="1">
      <alignment horizontal="center" vertical="center"/>
      <protection hidden="1"/>
    </xf>
    <xf numFmtId="0" fontId="80" fillId="0" borderId="0" xfId="0" applyFont="1" applyAlignment="1">
      <alignment horizontal="center" vertical="center"/>
    </xf>
    <xf numFmtId="0" fontId="38" fillId="33" borderId="0" xfId="42" applyFont="1" applyFill="1" applyAlignment="1" applyProtection="1">
      <alignment horizontal="left" vertical="center" wrapText="1" indent="2"/>
      <protection hidden="1"/>
    </xf>
    <xf numFmtId="0" fontId="37" fillId="0" borderId="19" xfId="0" applyFont="1" applyBorder="1" applyAlignment="1">
      <alignment horizontal="left" vertical="center" indent="1"/>
    </xf>
    <xf numFmtId="0" fontId="37" fillId="69" borderId="19" xfId="0" applyFont="1" applyFill="1" applyBorder="1" applyAlignment="1">
      <alignment horizontal="left" vertical="center" indent="1"/>
    </xf>
    <xf numFmtId="0" fontId="38" fillId="33" borderId="0" xfId="42" applyFont="1" applyFill="1" applyAlignment="1" applyProtection="1">
      <alignment horizontal="left" vertical="top" wrapText="1"/>
      <protection hidden="1"/>
    </xf>
    <xf numFmtId="0" fontId="84" fillId="33" borderId="0" xfId="42" applyFont="1" applyFill="1" applyAlignment="1" applyProtection="1">
      <alignment horizontal="left" vertical="center" wrapText="1" indent="2"/>
      <protection hidden="1"/>
    </xf>
    <xf numFmtId="0" fontId="16" fillId="70" borderId="91" xfId="0" applyFont="1" applyFill="1" applyBorder="1" applyAlignment="1">
      <alignment horizontal="center" vertical="center"/>
    </xf>
    <xf numFmtId="0" fontId="16" fillId="70" borderId="95" xfId="0" applyFont="1" applyFill="1" applyBorder="1" applyAlignment="1">
      <alignment horizontal="center" vertical="center"/>
    </xf>
    <xf numFmtId="0" fontId="13" fillId="68" borderId="97" xfId="0" applyFont="1" applyFill="1" applyBorder="1" applyAlignment="1">
      <alignment horizontal="center" vertical="center"/>
    </xf>
    <xf numFmtId="0" fontId="13" fillId="68" borderId="98" xfId="0" applyFont="1" applyFill="1" applyBorder="1" applyAlignment="1">
      <alignment horizontal="center" vertical="center"/>
    </xf>
    <xf numFmtId="0" fontId="13" fillId="68" borderId="39" xfId="0" applyFont="1" applyFill="1" applyBorder="1" applyAlignment="1">
      <alignment horizontal="center" vertical="center"/>
    </xf>
    <xf numFmtId="0" fontId="13" fillId="68" borderId="91" xfId="0" applyFont="1" applyFill="1" applyBorder="1" applyAlignment="1">
      <alignment horizontal="center" vertical="center"/>
    </xf>
    <xf numFmtId="0" fontId="37" fillId="70" borderId="21" xfId="0" applyFont="1" applyFill="1" applyBorder="1" applyAlignment="1" applyProtection="1">
      <alignment horizontal="center" vertical="center"/>
      <protection hidden="1"/>
    </xf>
    <xf numFmtId="0" fontId="37" fillId="70" borderId="47" xfId="0" applyFont="1" applyFill="1" applyBorder="1" applyAlignment="1" applyProtection="1">
      <alignment horizontal="center" vertical="center"/>
      <protection hidden="1"/>
    </xf>
    <xf numFmtId="0" fontId="37" fillId="70" borderId="66" xfId="0" applyFont="1" applyFill="1" applyBorder="1" applyAlignment="1" applyProtection="1">
      <alignment horizontal="center" vertical="center"/>
      <protection hidden="1"/>
    </xf>
    <xf numFmtId="14" fontId="37" fillId="70" borderId="53" xfId="0" applyNumberFormat="1" applyFont="1" applyFill="1" applyBorder="1" applyAlignment="1" applyProtection="1">
      <alignment horizontal="center" vertical="center"/>
      <protection hidden="1"/>
    </xf>
    <xf numFmtId="14" fontId="37" fillId="70" borderId="70" xfId="0" applyNumberFormat="1" applyFont="1" applyFill="1" applyBorder="1" applyAlignment="1" applyProtection="1">
      <alignment horizontal="center" vertical="center"/>
      <protection hidden="1"/>
    </xf>
    <xf numFmtId="14" fontId="37" fillId="70" borderId="74" xfId="0" applyNumberFormat="1" applyFont="1" applyFill="1" applyBorder="1" applyAlignment="1" applyProtection="1">
      <alignment horizontal="center" vertical="center"/>
      <protection hidden="1"/>
    </xf>
    <xf numFmtId="0" fontId="37" fillId="70" borderId="75" xfId="0" applyFont="1" applyFill="1" applyBorder="1" applyAlignment="1" applyProtection="1">
      <alignment horizontal="center" vertical="center"/>
      <protection hidden="1"/>
    </xf>
    <xf numFmtId="0" fontId="37" fillId="70" borderId="76" xfId="0" applyFont="1" applyFill="1" applyBorder="1" applyAlignment="1" applyProtection="1">
      <alignment horizontal="center" vertical="center"/>
      <protection hidden="1"/>
    </xf>
    <xf numFmtId="0" fontId="37" fillId="70" borderId="77" xfId="0" applyFont="1" applyFill="1" applyBorder="1" applyAlignment="1" applyProtection="1">
      <alignment horizontal="center" vertical="center"/>
      <protection hidden="1"/>
    </xf>
    <xf numFmtId="14" fontId="37" fillId="70" borderId="0" xfId="0" applyNumberFormat="1" applyFont="1" applyFill="1" applyAlignment="1" applyProtection="1">
      <alignment horizontal="center" vertical="center"/>
      <protection locked="0"/>
    </xf>
    <xf numFmtId="14" fontId="44" fillId="70" borderId="53" xfId="0" applyNumberFormat="1" applyFont="1" applyFill="1" applyBorder="1" applyAlignment="1" applyProtection="1">
      <alignment horizontal="center" vertical="center"/>
      <protection hidden="1"/>
    </xf>
    <xf numFmtId="14" fontId="44" fillId="70" borderId="70" xfId="0" applyNumberFormat="1" applyFont="1" applyFill="1" applyBorder="1" applyAlignment="1" applyProtection="1">
      <alignment horizontal="center" vertical="center"/>
      <protection hidden="1"/>
    </xf>
    <xf numFmtId="14" fontId="44" fillId="70" borderId="74" xfId="0" applyNumberFormat="1" applyFont="1" applyFill="1" applyBorder="1" applyAlignment="1" applyProtection="1">
      <alignment horizontal="center" vertical="center"/>
      <protection hidden="1"/>
    </xf>
    <xf numFmtId="14" fontId="44" fillId="70" borderId="0" xfId="0" applyNumberFormat="1" applyFont="1" applyFill="1" applyAlignment="1" applyProtection="1">
      <alignment horizontal="center" vertical="center"/>
      <protection locked="0"/>
    </xf>
    <xf numFmtId="0" fontId="44" fillId="70" borderId="0" xfId="0" applyFont="1" applyFill="1" applyAlignment="1" applyProtection="1">
      <alignment horizontal="left" vertical="center" indent="1"/>
      <protection locked="0"/>
    </xf>
    <xf numFmtId="0" fontId="44" fillId="70" borderId="75" xfId="0" applyFont="1" applyFill="1" applyBorder="1" applyAlignment="1" applyProtection="1">
      <alignment horizontal="center" vertical="center"/>
      <protection hidden="1"/>
    </xf>
    <xf numFmtId="0" fontId="44" fillId="70" borderId="76" xfId="0" applyFont="1" applyFill="1" applyBorder="1" applyAlignment="1" applyProtection="1">
      <alignment horizontal="center" vertical="center"/>
      <protection hidden="1"/>
    </xf>
    <xf numFmtId="0" fontId="44" fillId="70" borderId="77" xfId="0" applyFont="1" applyFill="1" applyBorder="1" applyAlignment="1" applyProtection="1">
      <alignment horizontal="center" vertical="center"/>
      <protection hidden="1"/>
    </xf>
    <xf numFmtId="0" fontId="44" fillId="70" borderId="21" xfId="0" applyFont="1" applyFill="1" applyBorder="1" applyAlignment="1" applyProtection="1">
      <alignment horizontal="center" vertical="center"/>
      <protection hidden="1"/>
    </xf>
    <xf numFmtId="0" fontId="44" fillId="70" borderId="47" xfId="0" applyFont="1" applyFill="1" applyBorder="1" applyAlignment="1" applyProtection="1">
      <alignment horizontal="center" vertical="center"/>
      <protection hidden="1"/>
    </xf>
    <xf numFmtId="0" fontId="44" fillId="70" borderId="66" xfId="0" applyFont="1" applyFill="1" applyBorder="1" applyAlignment="1" applyProtection="1">
      <alignment horizontal="center" vertical="center"/>
      <protection hidden="1"/>
    </xf>
    <xf numFmtId="0" fontId="0" fillId="70" borderId="0" xfId="0" applyFill="1" applyAlignment="1" applyProtection="1">
      <alignment horizontal="left" vertical="center" wrapText="1"/>
      <protection hidden="1"/>
    </xf>
    <xf numFmtId="0" fontId="92" fillId="70" borderId="0" xfId="0" applyFont="1" applyFill="1" applyAlignment="1" applyProtection="1">
      <alignment horizontal="left" vertical="center" wrapText="1"/>
      <protection hidden="1"/>
    </xf>
    <xf numFmtId="14" fontId="44" fillId="70" borderId="53" xfId="0" applyNumberFormat="1" applyFont="1" applyFill="1" applyBorder="1" applyAlignment="1" applyProtection="1">
      <alignment horizontal="center" vertical="top"/>
      <protection hidden="1"/>
    </xf>
    <xf numFmtId="14" fontId="44" fillId="70" borderId="74" xfId="0" applyNumberFormat="1" applyFont="1" applyFill="1" applyBorder="1" applyAlignment="1" applyProtection="1">
      <alignment horizontal="center" vertical="top"/>
      <protection hidden="1"/>
    </xf>
    <xf numFmtId="0" fontId="0" fillId="70" borderId="0" xfId="0" applyFill="1" applyAlignment="1">
      <alignment horizontal="left" vertical="center"/>
    </xf>
    <xf numFmtId="0" fontId="0" fillId="70" borderId="50" xfId="0" applyFill="1" applyBorder="1" applyAlignment="1">
      <alignment horizontal="left" vertical="center"/>
    </xf>
    <xf numFmtId="0" fontId="45" fillId="56" borderId="40" xfId="0" applyFont="1" applyFill="1" applyBorder="1" applyAlignment="1">
      <alignment horizontal="center" vertical="center" wrapText="1"/>
    </xf>
    <xf numFmtId="0" fontId="45" fillId="56" borderId="41" xfId="0" applyFont="1" applyFill="1" applyBorder="1" applyAlignment="1">
      <alignment horizontal="center" vertical="center" wrapText="1"/>
    </xf>
    <xf numFmtId="0" fontId="45" fillId="56" borderId="57" xfId="0" applyFont="1" applyFill="1" applyBorder="1" applyAlignment="1">
      <alignment horizontal="center" vertical="center" wrapText="1"/>
    </xf>
    <xf numFmtId="0" fontId="45" fillId="56" borderId="51" xfId="0" applyFont="1" applyFill="1" applyBorder="1" applyAlignment="1">
      <alignment horizontal="center" vertical="center" wrapText="1"/>
    </xf>
    <xf numFmtId="0" fontId="45" fillId="56" borderId="58" xfId="0" applyFont="1" applyFill="1" applyBorder="1" applyAlignment="1">
      <alignment horizontal="center" vertical="center" wrapText="1"/>
    </xf>
    <xf numFmtId="0" fontId="45" fillId="56" borderId="48" xfId="0" applyFont="1" applyFill="1" applyBorder="1" applyAlignment="1">
      <alignment horizontal="center" vertical="center" wrapText="1"/>
    </xf>
    <xf numFmtId="0" fontId="45" fillId="56" borderId="60" xfId="0" applyFont="1" applyFill="1" applyBorder="1" applyAlignment="1">
      <alignment horizontal="center" vertical="center" wrapText="1"/>
    </xf>
    <xf numFmtId="0" fontId="45" fillId="56" borderId="52" xfId="0" applyFont="1" applyFill="1" applyBorder="1" applyAlignment="1">
      <alignment horizontal="center" vertical="center" wrapText="1"/>
    </xf>
    <xf numFmtId="0" fontId="43" fillId="56" borderId="72" xfId="0" applyFont="1" applyFill="1" applyBorder="1" applyAlignment="1">
      <alignment horizontal="center" vertical="center" wrapText="1"/>
    </xf>
    <xf numFmtId="0" fontId="43" fillId="56" borderId="69" xfId="0" applyFont="1" applyFill="1" applyBorder="1" applyAlignment="1">
      <alignment horizontal="center" vertical="center" wrapText="1"/>
    </xf>
    <xf numFmtId="0" fontId="43" fillId="56" borderId="71" xfId="0" applyFont="1" applyFill="1" applyBorder="1" applyAlignment="1">
      <alignment horizontal="center" vertical="center" wrapText="1"/>
    </xf>
    <xf numFmtId="0" fontId="43" fillId="56" borderId="20"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left" vertical="center" wrapText="1"/>
    </xf>
    <xf numFmtId="0" fontId="45" fillId="56" borderId="43" xfId="0" applyFont="1" applyFill="1" applyBorder="1" applyAlignment="1">
      <alignment horizontal="center" vertical="center" wrapText="1"/>
    </xf>
    <xf numFmtId="0" fontId="45" fillId="56" borderId="54" xfId="0" applyFont="1" applyFill="1" applyBorder="1" applyAlignment="1">
      <alignment horizontal="center" vertical="center" wrapText="1"/>
    </xf>
    <xf numFmtId="0" fontId="44" fillId="0" borderId="0" xfId="0" applyFont="1" applyAlignment="1">
      <alignment horizontal="center" vertical="center" wrapText="1"/>
    </xf>
    <xf numFmtId="0" fontId="45" fillId="56" borderId="25" xfId="0" applyFont="1" applyFill="1" applyBorder="1" applyAlignment="1">
      <alignment horizontal="center" vertical="center" wrapText="1"/>
    </xf>
    <xf numFmtId="0" fontId="45" fillId="56" borderId="26" xfId="0" applyFont="1" applyFill="1" applyBorder="1" applyAlignment="1">
      <alignment horizontal="center" vertical="center" wrapText="1"/>
    </xf>
    <xf numFmtId="0" fontId="45" fillId="56" borderId="27" xfId="0" applyFont="1" applyFill="1" applyBorder="1" applyAlignment="1">
      <alignment horizontal="center" vertical="center" wrapText="1"/>
    </xf>
    <xf numFmtId="0" fontId="43" fillId="56" borderId="43" xfId="0" applyFont="1" applyFill="1" applyBorder="1" applyAlignment="1">
      <alignment horizontal="center" vertical="center" wrapText="1"/>
    </xf>
    <xf numFmtId="0" fontId="43" fillId="56" borderId="70" xfId="0" applyFont="1" applyFill="1" applyBorder="1" applyAlignment="1">
      <alignment horizontal="center" vertical="center" wrapText="1"/>
    </xf>
    <xf numFmtId="0" fontId="43" fillId="56" borderId="54" xfId="0" applyFont="1" applyFill="1" applyBorder="1" applyAlignment="1">
      <alignment horizontal="center" vertical="center" wrapText="1"/>
    </xf>
    <xf numFmtId="0" fontId="43" fillId="56" borderId="60" xfId="0" applyFont="1" applyFill="1" applyBorder="1" applyAlignment="1">
      <alignment horizontal="center" vertical="center" wrapText="1"/>
    </xf>
    <xf numFmtId="0" fontId="43" fillId="56" borderId="92" xfId="0" applyFont="1" applyFill="1" applyBorder="1" applyAlignment="1">
      <alignment horizontal="center" vertical="center" wrapText="1"/>
    </xf>
    <xf numFmtId="0" fontId="43" fillId="56" borderId="52" xfId="0" applyFont="1" applyFill="1" applyBorder="1" applyAlignment="1">
      <alignment horizontal="center" vertical="center" wrapText="1"/>
    </xf>
    <xf numFmtId="0" fontId="43" fillId="56" borderId="93" xfId="0" applyFont="1" applyFill="1" applyBorder="1" applyAlignment="1">
      <alignment horizontal="center" vertical="center" wrapText="1"/>
    </xf>
    <xf numFmtId="0" fontId="43" fillId="56" borderId="91" xfId="0" applyFont="1" applyFill="1" applyBorder="1" applyAlignment="1">
      <alignment horizontal="center" vertical="center" wrapText="1"/>
    </xf>
    <xf numFmtId="0" fontId="39" fillId="33" borderId="0" xfId="42" applyFont="1" applyFill="1" applyAlignment="1" applyProtection="1">
      <alignment horizontal="left" vertical="center"/>
      <protection hidden="1"/>
    </xf>
  </cellXfs>
  <cellStyles count="2516">
    <cellStyle name="_x0010_“+ˆÉ•?pý¤" xfId="2149" xr:uid="{00000000-0005-0000-0000-000000000000}"/>
    <cellStyle name="_x0010_“+ˆÉ•?pý¤ 2" xfId="2150" xr:uid="{00000000-0005-0000-0000-000001000000}"/>
    <cellStyle name="1" xfId="2151" xr:uid="{00000000-0005-0000-0000-000002000000}"/>
    <cellStyle name="2" xfId="2152" xr:uid="{00000000-0005-0000-0000-000003000000}"/>
    <cellStyle name="20% - Accent1" xfId="19" builtinId="30" customBuiltin="1"/>
    <cellStyle name="20% - Accent1 2" xfId="55" xr:uid="{00000000-0005-0000-0000-000001000000}"/>
    <cellStyle name="20% - Accent1 2 2" xfId="2154" xr:uid="{00000000-0005-0000-0000-000005000000}"/>
    <cellStyle name="20% - Accent1 2 3" xfId="2153" xr:uid="{00000000-0005-0000-0000-000004000000}"/>
    <cellStyle name="20% - Accent1 3" xfId="2155" xr:uid="{00000000-0005-0000-0000-000006000000}"/>
    <cellStyle name="20% - Accent2" xfId="23" builtinId="34" customBuiltin="1"/>
    <cellStyle name="20% - Accent2 2" xfId="56" xr:uid="{00000000-0005-0000-0000-000003000000}"/>
    <cellStyle name="20% - Accent2 2 2" xfId="2157" xr:uid="{00000000-0005-0000-0000-000008000000}"/>
    <cellStyle name="20% - Accent2 2 3" xfId="2156" xr:uid="{00000000-0005-0000-0000-000007000000}"/>
    <cellStyle name="20% - Accent2 3" xfId="2158" xr:uid="{00000000-0005-0000-0000-000009000000}"/>
    <cellStyle name="20% - Accent3" xfId="27" builtinId="38" customBuiltin="1"/>
    <cellStyle name="20% - Accent3 2" xfId="57" xr:uid="{00000000-0005-0000-0000-000005000000}"/>
    <cellStyle name="20% - Accent3 2 2" xfId="2160" xr:uid="{00000000-0005-0000-0000-00000B000000}"/>
    <cellStyle name="20% - Accent3 2 3" xfId="2159" xr:uid="{00000000-0005-0000-0000-00000A000000}"/>
    <cellStyle name="20% - Accent3 3" xfId="2161" xr:uid="{00000000-0005-0000-0000-00000C000000}"/>
    <cellStyle name="20% - Accent4" xfId="31" builtinId="42" customBuiltin="1"/>
    <cellStyle name="20% - Accent4 2" xfId="58" xr:uid="{00000000-0005-0000-0000-000007000000}"/>
    <cellStyle name="20% - Accent4 2 2" xfId="2163" xr:uid="{00000000-0005-0000-0000-00000E000000}"/>
    <cellStyle name="20% - Accent4 2 3" xfId="2162" xr:uid="{00000000-0005-0000-0000-00000D000000}"/>
    <cellStyle name="20% - Accent4 3" xfId="2164" xr:uid="{00000000-0005-0000-0000-00000F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3 2 2" xfId="2166" xr:uid="{00000000-0005-0000-0000-000015000000}"/>
    <cellStyle name="40% - Accent3 2 3" xfId="2165" xr:uid="{00000000-0005-0000-0000-000014000000}"/>
    <cellStyle name="40% - Accent3 3" xfId="2167" xr:uid="{00000000-0005-0000-0000-000016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1 3" xfId="1999" xr:uid="{00000000-0005-0000-0000-00003C000000}"/>
    <cellStyle name="60% - Accent2" xfId="25" builtinId="36" customBuiltin="1"/>
    <cellStyle name="60% - Accent2 2" xfId="68" xr:uid="{00000000-0005-0000-0000-00001B000000}"/>
    <cellStyle name="60% - Accent2 3" xfId="2000" xr:uid="{00000000-0005-0000-0000-00003E000000}"/>
    <cellStyle name="60% - Accent3" xfId="29" builtinId="40" customBuiltin="1"/>
    <cellStyle name="60% - Accent3 2" xfId="69" xr:uid="{00000000-0005-0000-0000-00001D000000}"/>
    <cellStyle name="60% - Accent3 2 2" xfId="2169" xr:uid="{00000000-0005-0000-0000-00001D000000}"/>
    <cellStyle name="60% - Accent3 2 3" xfId="2168" xr:uid="{00000000-0005-0000-0000-00001C000000}"/>
    <cellStyle name="60% - Accent3 3" xfId="2001" xr:uid="{00000000-0005-0000-0000-000040000000}"/>
    <cellStyle name="60% - Accent3 3 2" xfId="2170" xr:uid="{00000000-0005-0000-0000-00001E000000}"/>
    <cellStyle name="60% - Accent4" xfId="33" builtinId="44" customBuiltin="1"/>
    <cellStyle name="60% - Accent4 2" xfId="70" xr:uid="{00000000-0005-0000-0000-00001F000000}"/>
    <cellStyle name="60% - Accent4 2 2" xfId="2172" xr:uid="{00000000-0005-0000-0000-000020000000}"/>
    <cellStyle name="60% - Accent4 2 3" xfId="2171" xr:uid="{00000000-0005-0000-0000-00001F000000}"/>
    <cellStyle name="60% - Accent4 3" xfId="2002" xr:uid="{00000000-0005-0000-0000-000042000000}"/>
    <cellStyle name="60% - Accent4 3 2" xfId="2173" xr:uid="{00000000-0005-0000-0000-000021000000}"/>
    <cellStyle name="60% - Accent5" xfId="37" builtinId="48" customBuiltin="1"/>
    <cellStyle name="60% - Accent5 2" xfId="71" xr:uid="{00000000-0005-0000-0000-000021000000}"/>
    <cellStyle name="60% - Accent5 3" xfId="2003" xr:uid="{00000000-0005-0000-0000-000044000000}"/>
    <cellStyle name="60% - Accent6" xfId="41" builtinId="52" customBuiltin="1"/>
    <cellStyle name="60% - Accent6 2" xfId="72" xr:uid="{00000000-0005-0000-0000-000023000000}"/>
    <cellStyle name="60% - Accent6 2 2" xfId="2175" xr:uid="{00000000-0005-0000-0000-000024000000}"/>
    <cellStyle name="60% - Accent6 2 3" xfId="2174" xr:uid="{00000000-0005-0000-0000-000023000000}"/>
    <cellStyle name="60% - Accent6 3" xfId="2004" xr:uid="{00000000-0005-0000-0000-000046000000}"/>
    <cellStyle name="60% - Accent6 3 2" xfId="2176" xr:uid="{00000000-0005-0000-0000-000025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Actual Date" xfId="2177" xr:uid="{00000000-0005-0000-0000-00002C000000}"/>
    <cellStyle name="Actual Date 2" xfId="2178" xr:uid="{00000000-0005-0000-0000-00002D000000}"/>
    <cellStyle name="Bad" xfId="7" builtinId="27" customBuiltin="1"/>
    <cellStyle name="Bad 2" xfId="79" xr:uid="{00000000-0005-0000-0000-000031000000}"/>
    <cellStyle name="Calc Currency (0)" xfId="2179" xr:uid="{00000000-0005-0000-0000-00002F000000}"/>
    <cellStyle name="Calc Currency (2)" xfId="2180" xr:uid="{00000000-0005-0000-0000-000030000000}"/>
    <cellStyle name="Calc Percent (0)" xfId="2181" xr:uid="{00000000-0005-0000-0000-000031000000}"/>
    <cellStyle name="Calc Percent (1)" xfId="2182" xr:uid="{00000000-0005-0000-0000-000032000000}"/>
    <cellStyle name="Calc Percent (2)" xfId="2183" xr:uid="{00000000-0005-0000-0000-000033000000}"/>
    <cellStyle name="Calc Units (0)" xfId="2184" xr:uid="{00000000-0005-0000-0000-000034000000}"/>
    <cellStyle name="Calc Units (1)" xfId="2185" xr:uid="{00000000-0005-0000-0000-000035000000}"/>
    <cellStyle name="Calc Units (2)" xfId="2186" xr:uid="{00000000-0005-0000-0000-000036000000}"/>
    <cellStyle name="Calculation" xfId="11" builtinId="22" customBuiltin="1"/>
    <cellStyle name="Calculation 2" xfId="80" xr:uid="{00000000-0005-0000-0000-000033000000}"/>
    <cellStyle name="Calculation 2 2" xfId="2499" xr:uid="{00000000-0005-0000-0000-000038000000}"/>
    <cellStyle name="Calculation 2 3" xfId="2504" xr:uid="{00000000-0005-0000-0000-000039000000}"/>
    <cellStyle name="Check Cell" xfId="13" builtinId="23" customBuiltin="1"/>
    <cellStyle name="Check Cell 2" xfId="81" xr:uid="{00000000-0005-0000-0000-000035000000}"/>
    <cellStyle name="Comma [00]" xfId="2187" xr:uid="{00000000-0005-0000-0000-00003B000000}"/>
    <cellStyle name="Comma 10" xfId="2028" xr:uid="{00000000-0005-0000-0000-00003C000000}"/>
    <cellStyle name="Comma 10 2" xfId="2188" xr:uid="{00000000-0005-0000-0000-00003D000000}"/>
    <cellStyle name="Comma 11" xfId="2029" xr:uid="{00000000-0005-0000-0000-00003E000000}"/>
    <cellStyle name="Comma 11 2" xfId="2030" xr:uid="{00000000-0005-0000-0000-00003F000000}"/>
    <cellStyle name="Comma 12" xfId="2031" xr:uid="{00000000-0005-0000-0000-000040000000}"/>
    <cellStyle name="Comma 12 2" xfId="2032" xr:uid="{00000000-0005-0000-0000-000041000000}"/>
    <cellStyle name="Comma 13" xfId="2033" xr:uid="{00000000-0005-0000-0000-000042000000}"/>
    <cellStyle name="Comma 13 2" xfId="2189" xr:uid="{00000000-0005-0000-0000-000043000000}"/>
    <cellStyle name="Comma 13 2 2" xfId="2190" xr:uid="{00000000-0005-0000-0000-000044000000}"/>
    <cellStyle name="Comma 13 3" xfId="2191" xr:uid="{00000000-0005-0000-0000-000045000000}"/>
    <cellStyle name="Comma 14" xfId="2146" xr:uid="{00000000-0005-0000-0000-000046000000}"/>
    <cellStyle name="Comma 14 2" xfId="2192" xr:uid="{00000000-0005-0000-0000-000047000000}"/>
    <cellStyle name="Comma 15 2" xfId="2193" xr:uid="{00000000-0005-0000-0000-000048000000}"/>
    <cellStyle name="Comma 16" xfId="2194" xr:uid="{00000000-0005-0000-0000-000049000000}"/>
    <cellStyle name="Comma 16 2" xfId="2195" xr:uid="{00000000-0005-0000-0000-00004A000000}"/>
    <cellStyle name="Comma 17 2" xfId="2196" xr:uid="{00000000-0005-0000-0000-00004B000000}"/>
    <cellStyle name="Comma 18" xfId="2197" xr:uid="{00000000-0005-0000-0000-00004C000000}"/>
    <cellStyle name="Comma 19" xfId="2198" xr:uid="{00000000-0005-0000-0000-00004D000000}"/>
    <cellStyle name="Comma 2" xfId="44" xr:uid="{00000000-0005-0000-0000-000037000000}"/>
    <cellStyle name="Comma 2 10" xfId="2012" xr:uid="{00000000-0005-0000-0000-000037000000}"/>
    <cellStyle name="Comma 2 106" xfId="2199" xr:uid="{00000000-0005-0000-0000-00004F000000}"/>
    <cellStyle name="Comma 2 2" xfId="45" xr:uid="{00000000-0005-0000-0000-000038000000}"/>
    <cellStyle name="Comma 2 2 2" xfId="2007" xr:uid="{00000000-0005-0000-0000-000038000000}"/>
    <cellStyle name="Comma 2 2 2 2" xfId="2200" xr:uid="{00000000-0005-0000-0000-000052000000}"/>
    <cellStyle name="Comma 2 2 2 3" xfId="2201" xr:uid="{00000000-0005-0000-0000-000053000000}"/>
    <cellStyle name="Comma 2 2 3" xfId="2036" xr:uid="{00000000-0005-0000-0000-000054000000}"/>
    <cellStyle name="Comma 2 2 4" xfId="2202" xr:uid="{00000000-0005-0000-0000-000055000000}"/>
    <cellStyle name="Comma 2 2 5" xfId="2203" xr:uid="{00000000-0005-0000-0000-000056000000}"/>
    <cellStyle name="Comma 2 2 6" xfId="2035" xr:uid="{00000000-0005-0000-0000-000050000000}"/>
    <cellStyle name="Comma 2 2 7" xfId="2019" xr:uid="{00000000-0005-0000-0000-000038000000}"/>
    <cellStyle name="Comma 2 2 8" xfId="2013" xr:uid="{00000000-0005-0000-0000-000038000000}"/>
    <cellStyle name="Comma 2 3" xfId="2006" xr:uid="{00000000-0005-0000-0000-000037000000}"/>
    <cellStyle name="Comma 2 3 2" xfId="2038" xr:uid="{00000000-0005-0000-0000-000058000000}"/>
    <cellStyle name="Comma 2 3 2 2" xfId="2204" xr:uid="{00000000-0005-0000-0000-000059000000}"/>
    <cellStyle name="Comma 2 3 3" xfId="2205" xr:uid="{00000000-0005-0000-0000-00005A000000}"/>
    <cellStyle name="Comma 2 3 4" xfId="2037" xr:uid="{00000000-0005-0000-0000-000057000000}"/>
    <cellStyle name="Comma 2 4" xfId="2039" xr:uid="{00000000-0005-0000-0000-00005B000000}"/>
    <cellStyle name="Comma 2 4 2" xfId="2206" xr:uid="{00000000-0005-0000-0000-00005C000000}"/>
    <cellStyle name="Comma 2 4 3" xfId="2207" xr:uid="{00000000-0005-0000-0000-00005D000000}"/>
    <cellStyle name="Comma 2 4 3 2" xfId="2208" xr:uid="{00000000-0005-0000-0000-00005E000000}"/>
    <cellStyle name="Comma 2 4 4" xfId="2209" xr:uid="{00000000-0005-0000-0000-00005F000000}"/>
    <cellStyle name="Comma 2 4 5" xfId="2210" xr:uid="{00000000-0005-0000-0000-000060000000}"/>
    <cellStyle name="Comma 2 4 6" xfId="2211" xr:uid="{00000000-0005-0000-0000-000061000000}"/>
    <cellStyle name="Comma 2 5" xfId="2040" xr:uid="{00000000-0005-0000-0000-000062000000}"/>
    <cellStyle name="Comma 2 5 2" xfId="2212" xr:uid="{00000000-0005-0000-0000-000063000000}"/>
    <cellStyle name="Comma 2 6" xfId="2041" xr:uid="{00000000-0005-0000-0000-000064000000}"/>
    <cellStyle name="Comma 2 7" xfId="2213" xr:uid="{00000000-0005-0000-0000-000065000000}"/>
    <cellStyle name="Comma 2 8" xfId="2034" xr:uid="{00000000-0005-0000-0000-00004E000000}"/>
    <cellStyle name="Comma 2 9" xfId="2018" xr:uid="{00000000-0005-0000-0000-000037000000}"/>
    <cellStyle name="Comma 20" xfId="2214" xr:uid="{00000000-0005-0000-0000-000066000000}"/>
    <cellStyle name="Comma 21" xfId="2215" xr:uid="{00000000-0005-0000-0000-000067000000}"/>
    <cellStyle name="Comma 22" xfId="2216" xr:uid="{00000000-0005-0000-0000-000068000000}"/>
    <cellStyle name="Comma 3" xfId="46" xr:uid="{00000000-0005-0000-0000-000039000000}"/>
    <cellStyle name="Comma 3 10" xfId="2020" xr:uid="{00000000-0005-0000-0000-000039000000}"/>
    <cellStyle name="Comma 3 11" xfId="2014" xr:uid="{00000000-0005-0000-0000-000039000000}"/>
    <cellStyle name="Comma 3 2" xfId="2008" xr:uid="{00000000-0005-0000-0000-000039000000}"/>
    <cellStyle name="Comma 3 2 10" xfId="2217" xr:uid="{00000000-0005-0000-0000-00006B000000}"/>
    <cellStyle name="Comma 3 2 11" xfId="2218" xr:uid="{00000000-0005-0000-0000-00006C000000}"/>
    <cellStyle name="Comma 3 2 2" xfId="2219" xr:uid="{00000000-0005-0000-0000-00006D000000}"/>
    <cellStyle name="Comma 3 2 2 2" xfId="2220" xr:uid="{00000000-0005-0000-0000-00006E000000}"/>
    <cellStyle name="Comma 3 2 3" xfId="2221" xr:uid="{00000000-0005-0000-0000-00006F000000}"/>
    <cellStyle name="Comma 3 2 4" xfId="2222" xr:uid="{00000000-0005-0000-0000-000070000000}"/>
    <cellStyle name="Comma 3 2 5" xfId="2223" xr:uid="{00000000-0005-0000-0000-000071000000}"/>
    <cellStyle name="Comma 3 2 6" xfId="2224" xr:uid="{00000000-0005-0000-0000-000072000000}"/>
    <cellStyle name="Comma 3 2 6 2" xfId="2225" xr:uid="{00000000-0005-0000-0000-000073000000}"/>
    <cellStyle name="Comma 3 2 7" xfId="2226" xr:uid="{00000000-0005-0000-0000-000074000000}"/>
    <cellStyle name="Comma 3 2 7 2" xfId="2227" xr:uid="{00000000-0005-0000-0000-000075000000}"/>
    <cellStyle name="Comma 3 2 8" xfId="2228" xr:uid="{00000000-0005-0000-0000-000076000000}"/>
    <cellStyle name="Comma 3 2 8 2" xfId="2229" xr:uid="{00000000-0005-0000-0000-000077000000}"/>
    <cellStyle name="Comma 3 2 9" xfId="2230" xr:uid="{00000000-0005-0000-0000-000078000000}"/>
    <cellStyle name="Comma 3 2 9 2" xfId="2231" xr:uid="{00000000-0005-0000-0000-000079000000}"/>
    <cellStyle name="Comma 3 3" xfId="2232" xr:uid="{00000000-0005-0000-0000-00007A000000}"/>
    <cellStyle name="Comma 3 3 2" xfId="2233" xr:uid="{00000000-0005-0000-0000-00007B000000}"/>
    <cellStyle name="Comma 3 3 3" xfId="2234" xr:uid="{00000000-0005-0000-0000-00007C000000}"/>
    <cellStyle name="Comma 3 3 4" xfId="2235" xr:uid="{00000000-0005-0000-0000-00007D000000}"/>
    <cellStyle name="Comma 3 3 5" xfId="2236" xr:uid="{00000000-0005-0000-0000-00007E000000}"/>
    <cellStyle name="Comma 3 3 6" xfId="2237" xr:uid="{00000000-0005-0000-0000-00007F000000}"/>
    <cellStyle name="Comma 3 4" xfId="2238" xr:uid="{00000000-0005-0000-0000-000080000000}"/>
    <cellStyle name="Comma 3 5" xfId="2239" xr:uid="{00000000-0005-0000-0000-000081000000}"/>
    <cellStyle name="Comma 3 6" xfId="2240" xr:uid="{00000000-0005-0000-0000-000082000000}"/>
    <cellStyle name="Comma 3 7" xfId="2241" xr:uid="{00000000-0005-0000-0000-000083000000}"/>
    <cellStyle name="Comma 3 8" xfId="2242" xr:uid="{00000000-0005-0000-0000-000084000000}"/>
    <cellStyle name="Comma 3 9" xfId="2042" xr:uid="{00000000-0005-0000-0000-000069000000}"/>
    <cellStyle name="Comma 4" xfId="47" xr:uid="{00000000-0005-0000-0000-00003A000000}"/>
    <cellStyle name="Comma 4 10" xfId="2043" xr:uid="{00000000-0005-0000-0000-000085000000}"/>
    <cellStyle name="Comma 4 2" xfId="2044" xr:uid="{00000000-0005-0000-0000-000086000000}"/>
    <cellStyle name="Comma 4 2 2" xfId="2045" xr:uid="{00000000-0005-0000-0000-000087000000}"/>
    <cellStyle name="Comma 4 2 2 2" xfId="2046" xr:uid="{00000000-0005-0000-0000-000088000000}"/>
    <cellStyle name="Comma 4 2 3" xfId="2047" xr:uid="{00000000-0005-0000-0000-000089000000}"/>
    <cellStyle name="Comma 4 3" xfId="2048" xr:uid="{00000000-0005-0000-0000-00008A000000}"/>
    <cellStyle name="Comma 4 3 2" xfId="2049" xr:uid="{00000000-0005-0000-0000-00008B000000}"/>
    <cellStyle name="Comma 4 4" xfId="2050" xr:uid="{00000000-0005-0000-0000-00008C000000}"/>
    <cellStyle name="Comma 4 5" xfId="2051" xr:uid="{00000000-0005-0000-0000-00008D000000}"/>
    <cellStyle name="Comma 4 5 2" xfId="2052" xr:uid="{00000000-0005-0000-0000-00008E000000}"/>
    <cellStyle name="Comma 4 6" xfId="2243" xr:uid="{00000000-0005-0000-0000-00008F000000}"/>
    <cellStyle name="Comma 4 7" xfId="2244" xr:uid="{00000000-0005-0000-0000-000090000000}"/>
    <cellStyle name="Comma 4 8" xfId="2245" xr:uid="{00000000-0005-0000-0000-000091000000}"/>
    <cellStyle name="Comma 4 9" xfId="2246" xr:uid="{00000000-0005-0000-0000-000092000000}"/>
    <cellStyle name="Comma 5" xfId="43" xr:uid="{00000000-0005-0000-0000-00003B000000}"/>
    <cellStyle name="Comma 5 2" xfId="2005" xr:uid="{00000000-0005-0000-0000-00003B000000}"/>
    <cellStyle name="Comma 5 2 2" xfId="2055" xr:uid="{00000000-0005-0000-0000-000095000000}"/>
    <cellStyle name="Comma 5 2 2 2" xfId="2056" xr:uid="{00000000-0005-0000-0000-000096000000}"/>
    <cellStyle name="Comma 5 2 3" xfId="2057" xr:uid="{00000000-0005-0000-0000-000097000000}"/>
    <cellStyle name="Comma 5 2 4" xfId="2054" xr:uid="{00000000-0005-0000-0000-000094000000}"/>
    <cellStyle name="Comma 5 3" xfId="2058" xr:uid="{00000000-0005-0000-0000-000098000000}"/>
    <cellStyle name="Comma 5 3 2" xfId="2059" xr:uid="{00000000-0005-0000-0000-000099000000}"/>
    <cellStyle name="Comma 5 4" xfId="2060" xr:uid="{00000000-0005-0000-0000-00009A000000}"/>
    <cellStyle name="Comma 5 5" xfId="2061" xr:uid="{00000000-0005-0000-0000-00009B000000}"/>
    <cellStyle name="Comma 5 6" xfId="2062" xr:uid="{00000000-0005-0000-0000-00009C000000}"/>
    <cellStyle name="Comma 5 7" xfId="2053" xr:uid="{00000000-0005-0000-0000-000093000000}"/>
    <cellStyle name="Comma 5 8" xfId="2017" xr:uid="{00000000-0005-0000-0000-00003B000000}"/>
    <cellStyle name="Comma 5 9" xfId="2011" xr:uid="{00000000-0005-0000-0000-00003B000000}"/>
    <cellStyle name="Comma 6" xfId="2063" xr:uid="{00000000-0005-0000-0000-00009D000000}"/>
    <cellStyle name="Comma 6 2" xfId="2064" xr:uid="{00000000-0005-0000-0000-00009E000000}"/>
    <cellStyle name="Comma 6 2 2" xfId="2065" xr:uid="{00000000-0005-0000-0000-00009F000000}"/>
    <cellStyle name="Comma 6 3" xfId="2066" xr:uid="{00000000-0005-0000-0000-0000A0000000}"/>
    <cellStyle name="Comma 6 3 2" xfId="2247" xr:uid="{00000000-0005-0000-0000-0000A1000000}"/>
    <cellStyle name="Comma 6 3 3" xfId="2248" xr:uid="{00000000-0005-0000-0000-0000A2000000}"/>
    <cellStyle name="Comma 6 4" xfId="2067" xr:uid="{00000000-0005-0000-0000-0000A3000000}"/>
    <cellStyle name="Comma 7" xfId="2068" xr:uid="{00000000-0005-0000-0000-0000A4000000}"/>
    <cellStyle name="Comma 7 2" xfId="2069" xr:uid="{00000000-0005-0000-0000-0000A5000000}"/>
    <cellStyle name="Comma 7 3" xfId="2249" xr:uid="{00000000-0005-0000-0000-0000A6000000}"/>
    <cellStyle name="Comma 7 4" xfId="2250" xr:uid="{00000000-0005-0000-0000-0000A7000000}"/>
    <cellStyle name="Comma 8" xfId="2070" xr:uid="{00000000-0005-0000-0000-0000A8000000}"/>
    <cellStyle name="Comma 8 2" xfId="2251" xr:uid="{00000000-0005-0000-0000-0000A9000000}"/>
    <cellStyle name="Comma 9" xfId="2027" xr:uid="{00000000-0005-0000-0000-0000AA000000}"/>
    <cellStyle name="Comma 9 2" xfId="2252" xr:uid="{00000000-0005-0000-0000-0000AB000000}"/>
    <cellStyle name="Comma 9 2 2" xfId="2253" xr:uid="{00000000-0005-0000-0000-0000AC000000}"/>
    <cellStyle name="Comma 9 3" xfId="2254" xr:uid="{00000000-0005-0000-0000-0000AD000000}"/>
    <cellStyle name="Comma 9 4" xfId="2255" xr:uid="{00000000-0005-0000-0000-0000AE000000}"/>
    <cellStyle name="Comma0" xfId="2256" xr:uid="{00000000-0005-0000-0000-0000AF000000}"/>
    <cellStyle name="CommaSimple" xfId="2257" xr:uid="{00000000-0005-0000-0000-0000B0000000}"/>
    <cellStyle name="Currency" xfId="2514" builtinId="4"/>
    <cellStyle name="Currency [00]" xfId="2258" xr:uid="{00000000-0005-0000-0000-0000B1000000}"/>
    <cellStyle name="Currency 10" xfId="2259" xr:uid="{00000000-0005-0000-0000-0000B2000000}"/>
    <cellStyle name="Currency 11" xfId="2260" xr:uid="{00000000-0005-0000-0000-0000B3000000}"/>
    <cellStyle name="Currency 11 2" xfId="2261" xr:uid="{00000000-0005-0000-0000-0000B4000000}"/>
    <cellStyle name="Currency 11 2 2" xfId="2262" xr:uid="{00000000-0005-0000-0000-0000B5000000}"/>
    <cellStyle name="Currency 12" xfId="2263" xr:uid="{00000000-0005-0000-0000-0000B6000000}"/>
    <cellStyle name="Currency 13" xfId="2264" xr:uid="{00000000-0005-0000-0000-0000B7000000}"/>
    <cellStyle name="Currency 13 2" xfId="2265" xr:uid="{00000000-0005-0000-0000-0000B8000000}"/>
    <cellStyle name="Currency 14" xfId="2266" xr:uid="{00000000-0005-0000-0000-0000B9000000}"/>
    <cellStyle name="Currency 14 2" xfId="2267" xr:uid="{00000000-0005-0000-0000-0000BA000000}"/>
    <cellStyle name="Currency 15" xfId="2268" xr:uid="{00000000-0005-0000-0000-0000BB000000}"/>
    <cellStyle name="Currency 15 2" xfId="2269" xr:uid="{00000000-0005-0000-0000-0000BC000000}"/>
    <cellStyle name="Currency 16 2" xfId="2270" xr:uid="{00000000-0005-0000-0000-0000BD000000}"/>
    <cellStyle name="Currency 17" xfId="2271" xr:uid="{00000000-0005-0000-0000-0000BE000000}"/>
    <cellStyle name="Currency 17 2" xfId="2272" xr:uid="{00000000-0005-0000-0000-0000BF000000}"/>
    <cellStyle name="Currency 18" xfId="2273" xr:uid="{00000000-0005-0000-0000-0000C0000000}"/>
    <cellStyle name="Currency 19" xfId="2274" xr:uid="{00000000-0005-0000-0000-0000C1000000}"/>
    <cellStyle name="Currency 2" xfId="82" xr:uid="{00000000-0005-0000-0000-00003D000000}"/>
    <cellStyle name="Currency 2 2" xfId="2072" xr:uid="{00000000-0005-0000-0000-0000C3000000}"/>
    <cellStyle name="Currency 2 2 2" xfId="2275" xr:uid="{00000000-0005-0000-0000-0000C4000000}"/>
    <cellStyle name="Currency 2 2 3" xfId="2276" xr:uid="{00000000-0005-0000-0000-0000C5000000}"/>
    <cellStyle name="Currency 2 2 4" xfId="2277" xr:uid="{00000000-0005-0000-0000-0000C6000000}"/>
    <cellStyle name="Currency 2 3" xfId="2073" xr:uid="{00000000-0005-0000-0000-0000C7000000}"/>
    <cellStyle name="Currency 2 3 2" xfId="2278" xr:uid="{00000000-0005-0000-0000-0000C8000000}"/>
    <cellStyle name="Currency 2 3 3" xfId="2279" xr:uid="{00000000-0005-0000-0000-0000C9000000}"/>
    <cellStyle name="Currency 2 4" xfId="2074" xr:uid="{00000000-0005-0000-0000-0000CA000000}"/>
    <cellStyle name="Currency 2 4 2" xfId="2280" xr:uid="{00000000-0005-0000-0000-0000CB000000}"/>
    <cellStyle name="Currency 2 4 3" xfId="2281" xr:uid="{00000000-0005-0000-0000-0000CC000000}"/>
    <cellStyle name="Currency 2 4 3 2" xfId="2282" xr:uid="{00000000-0005-0000-0000-0000CD000000}"/>
    <cellStyle name="Currency 2 4 4" xfId="2283" xr:uid="{00000000-0005-0000-0000-0000CE000000}"/>
    <cellStyle name="Currency 2 5" xfId="2284" xr:uid="{00000000-0005-0000-0000-0000CF000000}"/>
    <cellStyle name="Currency 2 5 2" xfId="2285" xr:uid="{00000000-0005-0000-0000-0000D0000000}"/>
    <cellStyle name="Currency 2 6" xfId="2286" xr:uid="{00000000-0005-0000-0000-0000D1000000}"/>
    <cellStyle name="Currency 2 7" xfId="2287" xr:uid="{00000000-0005-0000-0000-0000D2000000}"/>
    <cellStyle name="Currency 2 8" xfId="2288" xr:uid="{00000000-0005-0000-0000-0000D3000000}"/>
    <cellStyle name="Currency 2 9" xfId="2071" xr:uid="{00000000-0005-0000-0000-0000C2000000}"/>
    <cellStyle name="Currency 20" xfId="2289" xr:uid="{00000000-0005-0000-0000-0000D4000000}"/>
    <cellStyle name="Currency 21" xfId="2290" xr:uid="{00000000-0005-0000-0000-0000D5000000}"/>
    <cellStyle name="Currency 22" xfId="2291" xr:uid="{00000000-0005-0000-0000-0000D6000000}"/>
    <cellStyle name="Currency 24" xfId="2292" xr:uid="{00000000-0005-0000-0000-0000D7000000}"/>
    <cellStyle name="Currency 3" xfId="83" xr:uid="{00000000-0005-0000-0000-00003E000000}"/>
    <cellStyle name="Currency 3 2" xfId="2076" xr:uid="{00000000-0005-0000-0000-0000D9000000}"/>
    <cellStyle name="Currency 3 2 2" xfId="2293" xr:uid="{00000000-0005-0000-0000-0000DA000000}"/>
    <cellStyle name="Currency 3 3" xfId="2077" xr:uid="{00000000-0005-0000-0000-0000DB000000}"/>
    <cellStyle name="Currency 3 4" xfId="2075" xr:uid="{00000000-0005-0000-0000-0000D8000000}"/>
    <cellStyle name="Currency 4" xfId="2078" xr:uid="{00000000-0005-0000-0000-0000DC000000}"/>
    <cellStyle name="Currency 4 2" xfId="2294" xr:uid="{00000000-0005-0000-0000-0000DD000000}"/>
    <cellStyle name="Currency 4 2 10" xfId="2295" xr:uid="{00000000-0005-0000-0000-0000DE000000}"/>
    <cellStyle name="Currency 4 2 10 2" xfId="2296" xr:uid="{00000000-0005-0000-0000-0000DF000000}"/>
    <cellStyle name="Currency 4 2 11" xfId="2297" xr:uid="{00000000-0005-0000-0000-0000E0000000}"/>
    <cellStyle name="Currency 4 2 2" xfId="2298" xr:uid="{00000000-0005-0000-0000-0000E1000000}"/>
    <cellStyle name="Currency 4 2 2 2" xfId="2299" xr:uid="{00000000-0005-0000-0000-0000E2000000}"/>
    <cellStyle name="Currency 4 2 3" xfId="2300" xr:uid="{00000000-0005-0000-0000-0000E3000000}"/>
    <cellStyle name="Currency 4 2 4" xfId="2301" xr:uid="{00000000-0005-0000-0000-0000E4000000}"/>
    <cellStyle name="Currency 4 2 5" xfId="2302" xr:uid="{00000000-0005-0000-0000-0000E5000000}"/>
    <cellStyle name="Currency 4 2 6" xfId="2303" xr:uid="{00000000-0005-0000-0000-0000E6000000}"/>
    <cellStyle name="Currency 4 2 6 2" xfId="2304" xr:uid="{00000000-0005-0000-0000-0000E7000000}"/>
    <cellStyle name="Currency 4 2 7" xfId="2305" xr:uid="{00000000-0005-0000-0000-0000E8000000}"/>
    <cellStyle name="Currency 4 2 7 2" xfId="2306" xr:uid="{00000000-0005-0000-0000-0000E9000000}"/>
    <cellStyle name="Currency 4 2 8" xfId="2307" xr:uid="{00000000-0005-0000-0000-0000EA000000}"/>
    <cellStyle name="Currency 4 2 8 2" xfId="2308" xr:uid="{00000000-0005-0000-0000-0000EB000000}"/>
    <cellStyle name="Currency 4 2 9" xfId="2309" xr:uid="{00000000-0005-0000-0000-0000EC000000}"/>
    <cellStyle name="Currency 4 2 9 2" xfId="2310" xr:uid="{00000000-0005-0000-0000-0000ED000000}"/>
    <cellStyle name="Currency 4 3" xfId="2311" xr:uid="{00000000-0005-0000-0000-0000EE000000}"/>
    <cellStyle name="Currency 4 3 2" xfId="2312" xr:uid="{00000000-0005-0000-0000-0000EF000000}"/>
    <cellStyle name="Currency 4 3 3" xfId="2313" xr:uid="{00000000-0005-0000-0000-0000F0000000}"/>
    <cellStyle name="Currency 4 3 4" xfId="2314" xr:uid="{00000000-0005-0000-0000-0000F1000000}"/>
    <cellStyle name="Currency 4 3 5" xfId="2315" xr:uid="{00000000-0005-0000-0000-0000F2000000}"/>
    <cellStyle name="Currency 4 4" xfId="2316" xr:uid="{00000000-0005-0000-0000-0000F3000000}"/>
    <cellStyle name="Currency 4 5" xfId="2317" xr:uid="{00000000-0005-0000-0000-0000F4000000}"/>
    <cellStyle name="Currency 5" xfId="2079" xr:uid="{00000000-0005-0000-0000-0000F5000000}"/>
    <cellStyle name="Currency 5 2" xfId="2318" xr:uid="{00000000-0005-0000-0000-0000F6000000}"/>
    <cellStyle name="Currency 5 3" xfId="2319" xr:uid="{00000000-0005-0000-0000-0000F7000000}"/>
    <cellStyle name="Currency 5 4" xfId="2320" xr:uid="{00000000-0005-0000-0000-0000F8000000}"/>
    <cellStyle name="Currency 5 5" xfId="2321" xr:uid="{00000000-0005-0000-0000-0000F9000000}"/>
    <cellStyle name="Currency 5 6" xfId="2322" xr:uid="{00000000-0005-0000-0000-0000FA000000}"/>
    <cellStyle name="Currency 6" xfId="2323" xr:uid="{00000000-0005-0000-0000-0000FB000000}"/>
    <cellStyle name="Currency 6 2" xfId="2324" xr:uid="{00000000-0005-0000-0000-0000FC000000}"/>
    <cellStyle name="Currency 6 2 2" xfId="2325" xr:uid="{00000000-0005-0000-0000-0000FD000000}"/>
    <cellStyle name="Currency 7" xfId="2326" xr:uid="{00000000-0005-0000-0000-0000FE000000}"/>
    <cellStyle name="Currency 7 2" xfId="2327" xr:uid="{00000000-0005-0000-0000-0000FF000000}"/>
    <cellStyle name="Currency 8" xfId="2328" xr:uid="{00000000-0005-0000-0000-000000010000}"/>
    <cellStyle name="Currency 8 2" xfId="2329" xr:uid="{00000000-0005-0000-0000-000001010000}"/>
    <cellStyle name="Currency 8 3" xfId="2330" xr:uid="{00000000-0005-0000-0000-000002010000}"/>
    <cellStyle name="Currency 8 4" xfId="2331" xr:uid="{00000000-0005-0000-0000-000003010000}"/>
    <cellStyle name="Currency 8 5" xfId="2332" xr:uid="{00000000-0005-0000-0000-000004010000}"/>
    <cellStyle name="Currency 8 6" xfId="2333" xr:uid="{00000000-0005-0000-0000-000005010000}"/>
    <cellStyle name="Currency 9" xfId="2334" xr:uid="{00000000-0005-0000-0000-000006010000}"/>
    <cellStyle name="Currency 9 2" xfId="2335" xr:uid="{00000000-0005-0000-0000-000007010000}"/>
    <cellStyle name="Currency 9 3" xfId="2336" xr:uid="{00000000-0005-0000-0000-000008010000}"/>
    <cellStyle name="Currency Simple" xfId="2337" xr:uid="{00000000-0005-0000-0000-000009010000}"/>
    <cellStyle name="Date" xfId="2338" xr:uid="{00000000-0005-0000-0000-00000A010000}"/>
    <cellStyle name="Date Short" xfId="2339" xr:uid="{00000000-0005-0000-0000-00000B010000}"/>
    <cellStyle name="DELTA" xfId="2340" xr:uid="{00000000-0005-0000-0000-00000C010000}"/>
    <cellStyle name="Enter Currency (0)" xfId="2341" xr:uid="{00000000-0005-0000-0000-00000D010000}"/>
    <cellStyle name="Enter Currency (2)" xfId="2342" xr:uid="{00000000-0005-0000-0000-00000E010000}"/>
    <cellStyle name="Enter Units (0)" xfId="2343" xr:uid="{00000000-0005-0000-0000-00000F010000}"/>
    <cellStyle name="Enter Units (1)" xfId="2344" xr:uid="{00000000-0005-0000-0000-000010010000}"/>
    <cellStyle name="Enter Units (2)" xfId="2345" xr:uid="{00000000-0005-0000-0000-000011010000}"/>
    <cellStyle name="Explanatory Text" xfId="16" builtinId="53" customBuiltin="1"/>
    <cellStyle name="Explanatory Text 2" xfId="84" xr:uid="{00000000-0005-0000-0000-000040000000}"/>
    <cellStyle name="Fixed" xfId="2346" xr:uid="{00000000-0005-0000-0000-000013010000}"/>
    <cellStyle name="Good" xfId="6" builtinId="26" customBuiltin="1"/>
    <cellStyle name="Good 2" xfId="85" xr:uid="{00000000-0005-0000-0000-000042000000}"/>
    <cellStyle name="Grey" xfId="2347" xr:uid="{00000000-0005-0000-0000-000015010000}"/>
    <cellStyle name="Grey 2" xfId="2348" xr:uid="{00000000-0005-0000-0000-000016010000}"/>
    <cellStyle name="HEADER" xfId="2349" xr:uid="{00000000-0005-0000-0000-000017010000}"/>
    <cellStyle name="Header1" xfId="2350" xr:uid="{00000000-0005-0000-0000-000018010000}"/>
    <cellStyle name="Header2" xfId="2351" xr:uid="{00000000-0005-0000-0000-000019010000}"/>
    <cellStyle name="Header2 2" xfId="2352" xr:uid="{00000000-0005-0000-0000-00001A010000}"/>
    <cellStyle name="Header2 2 2" xfId="2410" xr:uid="{00000000-0005-0000-0000-00001A010000}"/>
    <cellStyle name="Header2 3" xfId="2411" xr:uid="{00000000-0005-0000-0000-000019010000}"/>
    <cellStyle name="Heading 1" xfId="2" builtinId="16" customBuiltin="1"/>
    <cellStyle name="Heading 1 2" xfId="86" xr:uid="{00000000-0005-0000-0000-000044000000}"/>
    <cellStyle name="Heading 2" xfId="3" builtinId="17" customBuiltin="1"/>
    <cellStyle name="Heading 2 2" xfId="87" xr:uid="{00000000-0005-0000-0000-000046000000}"/>
    <cellStyle name="Heading 3" xfId="4" builtinId="18" customBuiltin="1"/>
    <cellStyle name="Heading 3 2" xfId="88" xr:uid="{00000000-0005-0000-0000-000048000000}"/>
    <cellStyle name="Heading 4" xfId="5" builtinId="19" customBuiltin="1"/>
    <cellStyle name="Heading 4 2" xfId="89" xr:uid="{00000000-0005-0000-0000-00004A000000}"/>
    <cellStyle name="Heading1" xfId="2353" xr:uid="{00000000-0005-0000-0000-00001F010000}"/>
    <cellStyle name="Heading2" xfId="2354" xr:uid="{00000000-0005-0000-0000-000020010000}"/>
    <cellStyle name="HIGHLIGHT" xfId="2355" xr:uid="{00000000-0005-0000-0000-000021010000}"/>
    <cellStyle name="Hyperlink" xfId="2515" builtinId="8"/>
    <cellStyle name="Hyperlink 2" xfId="2080" xr:uid="{00000000-0005-0000-0000-000022010000}"/>
    <cellStyle name="Hyperlink 3" xfId="2081" xr:uid="{00000000-0005-0000-0000-000023010000}"/>
    <cellStyle name="Hyperlink 4" xfId="2082" xr:uid="{00000000-0005-0000-0000-000024010000}"/>
    <cellStyle name="Hyperlink 5" xfId="2147" xr:uid="{00000000-0005-0000-0000-000025010000}"/>
    <cellStyle name="Input" xfId="9" builtinId="20" customBuiltin="1"/>
    <cellStyle name="Input [yellow]" xfId="2356" xr:uid="{00000000-0005-0000-0000-000026010000}"/>
    <cellStyle name="Input [yellow] 2" xfId="2357" xr:uid="{00000000-0005-0000-0000-000027010000}"/>
    <cellStyle name="Input [yellow] 2 2" xfId="2501" xr:uid="{00000000-0005-0000-0000-000028010000}"/>
    <cellStyle name="Input [yellow] 2 2 2" xfId="2512" xr:uid="{00000000-0005-0000-0000-000028010000}"/>
    <cellStyle name="Input [yellow] 2 3" xfId="2408" xr:uid="{00000000-0005-0000-0000-000027010000}"/>
    <cellStyle name="Input [yellow] 3" xfId="2500" xr:uid="{00000000-0005-0000-0000-000029010000}"/>
    <cellStyle name="Input [yellow] 3 2" xfId="2511" xr:uid="{00000000-0005-0000-0000-000029010000}"/>
    <cellStyle name="Input [yellow] 4" xfId="2409" xr:uid="{00000000-0005-0000-0000-000026010000}"/>
    <cellStyle name="Input 2" xfId="90" xr:uid="{00000000-0005-0000-0000-00004C000000}"/>
    <cellStyle name="Input 2 2" xfId="2502" xr:uid="{00000000-0005-0000-0000-00002B010000}"/>
    <cellStyle name="Input 2 3" xfId="2503" xr:uid="{00000000-0005-0000-0000-00002C010000}"/>
    <cellStyle name="Link Currency (0)" xfId="2358" xr:uid="{00000000-0005-0000-0000-00002D010000}"/>
    <cellStyle name="Link Currency (2)" xfId="2359" xr:uid="{00000000-0005-0000-0000-00002E010000}"/>
    <cellStyle name="Link Units (0)" xfId="2360" xr:uid="{00000000-0005-0000-0000-00002F010000}"/>
    <cellStyle name="Link Units (1)" xfId="2361" xr:uid="{00000000-0005-0000-0000-000030010000}"/>
    <cellStyle name="Link Units (2)" xfId="2362" xr:uid="{00000000-0005-0000-0000-000031010000}"/>
    <cellStyle name="Linked Cell" xfId="12" builtinId="24" customBuiltin="1"/>
    <cellStyle name="Linked Cell 2" xfId="91" xr:uid="{00000000-0005-0000-0000-00004E000000}"/>
    <cellStyle name="Neutral" xfId="8" builtinId="28" customBuiltin="1"/>
    <cellStyle name="Neutral 2" xfId="92" xr:uid="{00000000-0005-0000-0000-000050000000}"/>
    <cellStyle name="Neutral 3" xfId="1998" xr:uid="{00000000-0005-0000-0000-000060000000}"/>
    <cellStyle name="no dec" xfId="2083" xr:uid="{00000000-0005-0000-0000-000034010000}"/>
    <cellStyle name="Normal" xfId="0" builtinId="0"/>
    <cellStyle name="Normal - Style1" xfId="2363" xr:uid="{00000000-0005-0000-0000-000036010000}"/>
    <cellStyle name="Normal 10" xfId="2084" xr:uid="{00000000-0005-0000-0000-000037010000}"/>
    <cellStyle name="Normal 10 2" xfId="2023" xr:uid="{00000000-0005-0000-0000-000038010000}"/>
    <cellStyle name="Normal 10 3" xfId="2364" xr:uid="{00000000-0005-0000-0000-000039010000}"/>
    <cellStyle name="Normal 11" xfId="2085" xr:uid="{00000000-0005-0000-0000-00003A010000}"/>
    <cellStyle name="Normal 11 2" xfId="2365" xr:uid="{00000000-0005-0000-0000-00003B010000}"/>
    <cellStyle name="Normal 12" xfId="2026" xr:uid="{00000000-0005-0000-0000-00003C010000}"/>
    <cellStyle name="Normal 12 2" xfId="2366" xr:uid="{00000000-0005-0000-0000-00003D010000}"/>
    <cellStyle name="Normal 13" xfId="2367" xr:uid="{00000000-0005-0000-0000-00003E010000}"/>
    <cellStyle name="Normal 13 2" xfId="2368" xr:uid="{00000000-0005-0000-0000-00003F010000}"/>
    <cellStyle name="Normal 14" xfId="2369" xr:uid="{00000000-0005-0000-0000-000040010000}"/>
    <cellStyle name="Normal 14 2" xfId="2370" xr:uid="{00000000-0005-0000-0000-000041010000}"/>
    <cellStyle name="Normal 15" xfId="2371" xr:uid="{00000000-0005-0000-0000-000042010000}"/>
    <cellStyle name="Normal 15 2" xfId="2372" xr:uid="{00000000-0005-0000-0000-000043010000}"/>
    <cellStyle name="Normal 15 3" xfId="2373" xr:uid="{00000000-0005-0000-0000-000044010000}"/>
    <cellStyle name="Normal 16" xfId="2374" xr:uid="{00000000-0005-0000-0000-000045010000}"/>
    <cellStyle name="Normal 16 2" xfId="2375" xr:uid="{00000000-0005-0000-0000-000046010000}"/>
    <cellStyle name="Normal 17" xfId="2376" xr:uid="{00000000-0005-0000-0000-000047010000}"/>
    <cellStyle name="Normal 18" xfId="2377" xr:uid="{00000000-0005-0000-0000-000048010000}"/>
    <cellStyle name="Normal 18 2" xfId="2378" xr:uid="{00000000-0005-0000-0000-000049010000}"/>
    <cellStyle name="Normal 19" xfId="2379" xr:uid="{00000000-0005-0000-0000-00004A010000}"/>
    <cellStyle name="Normal 19 2" xfId="2380" xr:uid="{00000000-0005-0000-0000-00004B010000}"/>
    <cellStyle name="Normal 2" xfId="48" xr:uid="{00000000-0005-0000-0000-000052000000}"/>
    <cellStyle name="Normal 2 10" xfId="93" xr:uid="{00000000-0005-0000-0000-000053000000}"/>
    <cellStyle name="Normal 2 10 10" xfId="94" xr:uid="{00000000-0005-0000-0000-000054000000}"/>
    <cellStyle name="Normal 2 10 11" xfId="95" xr:uid="{00000000-0005-0000-0000-000055000000}"/>
    <cellStyle name="Normal 2 10 12" xfId="96" xr:uid="{00000000-0005-0000-0000-000056000000}"/>
    <cellStyle name="Normal 2 10 13" xfId="97" xr:uid="{00000000-0005-0000-0000-000057000000}"/>
    <cellStyle name="Normal 2 10 14" xfId="98" xr:uid="{00000000-0005-0000-0000-000058000000}"/>
    <cellStyle name="Normal 2 10 15" xfId="99" xr:uid="{00000000-0005-0000-0000-000059000000}"/>
    <cellStyle name="Normal 2 10 16" xfId="100" xr:uid="{00000000-0005-0000-0000-00005A000000}"/>
    <cellStyle name="Normal 2 10 17" xfId="101" xr:uid="{00000000-0005-0000-0000-00005B000000}"/>
    <cellStyle name="Normal 2 10 18" xfId="102" xr:uid="{00000000-0005-0000-0000-00005C000000}"/>
    <cellStyle name="Normal 2 10 19" xfId="103" xr:uid="{00000000-0005-0000-0000-00005D000000}"/>
    <cellStyle name="Normal 2 10 2" xfId="104" xr:uid="{00000000-0005-0000-0000-00005E000000}"/>
    <cellStyle name="Normal 2 10 20" xfId="105" xr:uid="{00000000-0005-0000-0000-00005F000000}"/>
    <cellStyle name="Normal 2 10 21" xfId="106" xr:uid="{00000000-0005-0000-0000-000060000000}"/>
    <cellStyle name="Normal 2 10 22" xfId="107" xr:uid="{00000000-0005-0000-0000-000061000000}"/>
    <cellStyle name="Normal 2 10 23" xfId="108" xr:uid="{00000000-0005-0000-0000-000062000000}"/>
    <cellStyle name="Normal 2 10 3" xfId="109" xr:uid="{00000000-0005-0000-0000-000063000000}"/>
    <cellStyle name="Normal 2 10 4" xfId="110" xr:uid="{00000000-0005-0000-0000-000064000000}"/>
    <cellStyle name="Normal 2 10 5" xfId="111" xr:uid="{00000000-0005-0000-0000-000065000000}"/>
    <cellStyle name="Normal 2 10 6" xfId="112" xr:uid="{00000000-0005-0000-0000-000066000000}"/>
    <cellStyle name="Normal 2 10 7" xfId="113" xr:uid="{00000000-0005-0000-0000-000067000000}"/>
    <cellStyle name="Normal 2 10 8" xfId="114" xr:uid="{00000000-0005-0000-0000-000068000000}"/>
    <cellStyle name="Normal 2 10 9" xfId="115" xr:uid="{00000000-0005-0000-0000-000069000000}"/>
    <cellStyle name="Normal 2 11" xfId="116" xr:uid="{00000000-0005-0000-0000-00006A000000}"/>
    <cellStyle name="Normal 2 11 10" xfId="117" xr:uid="{00000000-0005-0000-0000-00006B000000}"/>
    <cellStyle name="Normal 2 11 11" xfId="118" xr:uid="{00000000-0005-0000-0000-00006C000000}"/>
    <cellStyle name="Normal 2 11 12" xfId="119" xr:uid="{00000000-0005-0000-0000-00006D000000}"/>
    <cellStyle name="Normal 2 11 13" xfId="120" xr:uid="{00000000-0005-0000-0000-00006E000000}"/>
    <cellStyle name="Normal 2 11 14" xfId="121" xr:uid="{00000000-0005-0000-0000-00006F000000}"/>
    <cellStyle name="Normal 2 11 15" xfId="122" xr:uid="{00000000-0005-0000-0000-000070000000}"/>
    <cellStyle name="Normal 2 11 16" xfId="123" xr:uid="{00000000-0005-0000-0000-000071000000}"/>
    <cellStyle name="Normal 2 11 17" xfId="124" xr:uid="{00000000-0005-0000-0000-000072000000}"/>
    <cellStyle name="Normal 2 11 18" xfId="125" xr:uid="{00000000-0005-0000-0000-000073000000}"/>
    <cellStyle name="Normal 2 11 19" xfId="126" xr:uid="{00000000-0005-0000-0000-000074000000}"/>
    <cellStyle name="Normal 2 11 2" xfId="127" xr:uid="{00000000-0005-0000-0000-000075000000}"/>
    <cellStyle name="Normal 2 11 20" xfId="128" xr:uid="{00000000-0005-0000-0000-000076000000}"/>
    <cellStyle name="Normal 2 11 21" xfId="129" xr:uid="{00000000-0005-0000-0000-000077000000}"/>
    <cellStyle name="Normal 2 11 22" xfId="130" xr:uid="{00000000-0005-0000-0000-000078000000}"/>
    <cellStyle name="Normal 2 11 23" xfId="131" xr:uid="{00000000-0005-0000-0000-000079000000}"/>
    <cellStyle name="Normal 2 11 3" xfId="132" xr:uid="{00000000-0005-0000-0000-00007A000000}"/>
    <cellStyle name="Normal 2 11 4" xfId="133" xr:uid="{00000000-0005-0000-0000-00007B000000}"/>
    <cellStyle name="Normal 2 11 5" xfId="134" xr:uid="{00000000-0005-0000-0000-00007C000000}"/>
    <cellStyle name="Normal 2 11 6" xfId="135" xr:uid="{00000000-0005-0000-0000-00007D000000}"/>
    <cellStyle name="Normal 2 11 7" xfId="136" xr:uid="{00000000-0005-0000-0000-00007E000000}"/>
    <cellStyle name="Normal 2 11 8" xfId="137" xr:uid="{00000000-0005-0000-0000-00007F000000}"/>
    <cellStyle name="Normal 2 11 9" xfId="138" xr:uid="{00000000-0005-0000-0000-000080000000}"/>
    <cellStyle name="Normal 2 12" xfId="139" xr:uid="{00000000-0005-0000-0000-000081000000}"/>
    <cellStyle name="Normal 2 12 10" xfId="140" xr:uid="{00000000-0005-0000-0000-000082000000}"/>
    <cellStyle name="Normal 2 12 11" xfId="141" xr:uid="{00000000-0005-0000-0000-000083000000}"/>
    <cellStyle name="Normal 2 12 12" xfId="142" xr:uid="{00000000-0005-0000-0000-000084000000}"/>
    <cellStyle name="Normal 2 12 13" xfId="143" xr:uid="{00000000-0005-0000-0000-000085000000}"/>
    <cellStyle name="Normal 2 12 14" xfId="144" xr:uid="{00000000-0005-0000-0000-000086000000}"/>
    <cellStyle name="Normal 2 12 15" xfId="145" xr:uid="{00000000-0005-0000-0000-000087000000}"/>
    <cellStyle name="Normal 2 12 16" xfId="146" xr:uid="{00000000-0005-0000-0000-000088000000}"/>
    <cellStyle name="Normal 2 12 17" xfId="147" xr:uid="{00000000-0005-0000-0000-000089000000}"/>
    <cellStyle name="Normal 2 12 18" xfId="148" xr:uid="{00000000-0005-0000-0000-00008A000000}"/>
    <cellStyle name="Normal 2 12 19" xfId="149" xr:uid="{00000000-0005-0000-0000-00008B000000}"/>
    <cellStyle name="Normal 2 12 2" xfId="150" xr:uid="{00000000-0005-0000-0000-00008C000000}"/>
    <cellStyle name="Normal 2 12 20" xfId="151" xr:uid="{00000000-0005-0000-0000-00008D000000}"/>
    <cellStyle name="Normal 2 12 21" xfId="152" xr:uid="{00000000-0005-0000-0000-00008E000000}"/>
    <cellStyle name="Normal 2 12 22" xfId="153" xr:uid="{00000000-0005-0000-0000-00008F000000}"/>
    <cellStyle name="Normal 2 12 23" xfId="154" xr:uid="{00000000-0005-0000-0000-000090000000}"/>
    <cellStyle name="Normal 2 12 3" xfId="155" xr:uid="{00000000-0005-0000-0000-000091000000}"/>
    <cellStyle name="Normal 2 12 4" xfId="156" xr:uid="{00000000-0005-0000-0000-000092000000}"/>
    <cellStyle name="Normal 2 12 5" xfId="157" xr:uid="{00000000-0005-0000-0000-000093000000}"/>
    <cellStyle name="Normal 2 12 6" xfId="158" xr:uid="{00000000-0005-0000-0000-000094000000}"/>
    <cellStyle name="Normal 2 12 7" xfId="159" xr:uid="{00000000-0005-0000-0000-000095000000}"/>
    <cellStyle name="Normal 2 12 8" xfId="160" xr:uid="{00000000-0005-0000-0000-000096000000}"/>
    <cellStyle name="Normal 2 12 9" xfId="161" xr:uid="{00000000-0005-0000-0000-000097000000}"/>
    <cellStyle name="Normal 2 13" xfId="162" xr:uid="{00000000-0005-0000-0000-000098000000}"/>
    <cellStyle name="Normal 2 13 10" xfId="163" xr:uid="{00000000-0005-0000-0000-000099000000}"/>
    <cellStyle name="Normal 2 13 11" xfId="164" xr:uid="{00000000-0005-0000-0000-00009A000000}"/>
    <cellStyle name="Normal 2 13 12" xfId="165" xr:uid="{00000000-0005-0000-0000-00009B000000}"/>
    <cellStyle name="Normal 2 13 13" xfId="166" xr:uid="{00000000-0005-0000-0000-00009C000000}"/>
    <cellStyle name="Normal 2 13 14" xfId="167" xr:uid="{00000000-0005-0000-0000-00009D000000}"/>
    <cellStyle name="Normal 2 13 15" xfId="168" xr:uid="{00000000-0005-0000-0000-00009E000000}"/>
    <cellStyle name="Normal 2 13 16" xfId="169" xr:uid="{00000000-0005-0000-0000-00009F000000}"/>
    <cellStyle name="Normal 2 13 17" xfId="170" xr:uid="{00000000-0005-0000-0000-0000A0000000}"/>
    <cellStyle name="Normal 2 13 18" xfId="171" xr:uid="{00000000-0005-0000-0000-0000A1000000}"/>
    <cellStyle name="Normal 2 13 19" xfId="172" xr:uid="{00000000-0005-0000-0000-0000A2000000}"/>
    <cellStyle name="Normal 2 13 2" xfId="173" xr:uid="{00000000-0005-0000-0000-0000A3000000}"/>
    <cellStyle name="Normal 2 13 20" xfId="174" xr:uid="{00000000-0005-0000-0000-0000A4000000}"/>
    <cellStyle name="Normal 2 13 21" xfId="175" xr:uid="{00000000-0005-0000-0000-0000A5000000}"/>
    <cellStyle name="Normal 2 13 22" xfId="176" xr:uid="{00000000-0005-0000-0000-0000A6000000}"/>
    <cellStyle name="Normal 2 13 23" xfId="177" xr:uid="{00000000-0005-0000-0000-0000A7000000}"/>
    <cellStyle name="Normal 2 13 3" xfId="178" xr:uid="{00000000-0005-0000-0000-0000A8000000}"/>
    <cellStyle name="Normal 2 13 4" xfId="179" xr:uid="{00000000-0005-0000-0000-0000A9000000}"/>
    <cellStyle name="Normal 2 13 5" xfId="180" xr:uid="{00000000-0005-0000-0000-0000AA000000}"/>
    <cellStyle name="Normal 2 13 6" xfId="181" xr:uid="{00000000-0005-0000-0000-0000AB000000}"/>
    <cellStyle name="Normal 2 13 7" xfId="182" xr:uid="{00000000-0005-0000-0000-0000AC000000}"/>
    <cellStyle name="Normal 2 13 8" xfId="183" xr:uid="{00000000-0005-0000-0000-0000AD000000}"/>
    <cellStyle name="Normal 2 13 9" xfId="184" xr:uid="{00000000-0005-0000-0000-0000AE000000}"/>
    <cellStyle name="Normal 2 14" xfId="185" xr:uid="{00000000-0005-0000-0000-0000AF000000}"/>
    <cellStyle name="Normal 2 14 10" xfId="186" xr:uid="{00000000-0005-0000-0000-0000B0000000}"/>
    <cellStyle name="Normal 2 14 11" xfId="187" xr:uid="{00000000-0005-0000-0000-0000B1000000}"/>
    <cellStyle name="Normal 2 14 12" xfId="188" xr:uid="{00000000-0005-0000-0000-0000B2000000}"/>
    <cellStyle name="Normal 2 14 13" xfId="189" xr:uid="{00000000-0005-0000-0000-0000B3000000}"/>
    <cellStyle name="Normal 2 14 14" xfId="190" xr:uid="{00000000-0005-0000-0000-0000B4000000}"/>
    <cellStyle name="Normal 2 14 15" xfId="191" xr:uid="{00000000-0005-0000-0000-0000B5000000}"/>
    <cellStyle name="Normal 2 14 16" xfId="192" xr:uid="{00000000-0005-0000-0000-0000B6000000}"/>
    <cellStyle name="Normal 2 14 17" xfId="193" xr:uid="{00000000-0005-0000-0000-0000B7000000}"/>
    <cellStyle name="Normal 2 14 18" xfId="194" xr:uid="{00000000-0005-0000-0000-0000B8000000}"/>
    <cellStyle name="Normal 2 14 19" xfId="195" xr:uid="{00000000-0005-0000-0000-0000B9000000}"/>
    <cellStyle name="Normal 2 14 2" xfId="196" xr:uid="{00000000-0005-0000-0000-0000BA000000}"/>
    <cellStyle name="Normal 2 14 20" xfId="197" xr:uid="{00000000-0005-0000-0000-0000BB000000}"/>
    <cellStyle name="Normal 2 14 21" xfId="198" xr:uid="{00000000-0005-0000-0000-0000BC000000}"/>
    <cellStyle name="Normal 2 14 22" xfId="199" xr:uid="{00000000-0005-0000-0000-0000BD000000}"/>
    <cellStyle name="Normal 2 14 23" xfId="200" xr:uid="{00000000-0005-0000-0000-0000BE000000}"/>
    <cellStyle name="Normal 2 14 3" xfId="201" xr:uid="{00000000-0005-0000-0000-0000BF000000}"/>
    <cellStyle name="Normal 2 14 4" xfId="202" xr:uid="{00000000-0005-0000-0000-0000C0000000}"/>
    <cellStyle name="Normal 2 14 5" xfId="203" xr:uid="{00000000-0005-0000-0000-0000C1000000}"/>
    <cellStyle name="Normal 2 14 6" xfId="204" xr:uid="{00000000-0005-0000-0000-0000C2000000}"/>
    <cellStyle name="Normal 2 14 7" xfId="205" xr:uid="{00000000-0005-0000-0000-0000C3000000}"/>
    <cellStyle name="Normal 2 14 8" xfId="206" xr:uid="{00000000-0005-0000-0000-0000C4000000}"/>
    <cellStyle name="Normal 2 14 9" xfId="207" xr:uid="{00000000-0005-0000-0000-0000C5000000}"/>
    <cellStyle name="Normal 2 15" xfId="208" xr:uid="{00000000-0005-0000-0000-0000C6000000}"/>
    <cellStyle name="Normal 2 15 10" xfId="209" xr:uid="{00000000-0005-0000-0000-0000C7000000}"/>
    <cellStyle name="Normal 2 15 11" xfId="210" xr:uid="{00000000-0005-0000-0000-0000C8000000}"/>
    <cellStyle name="Normal 2 15 12" xfId="211" xr:uid="{00000000-0005-0000-0000-0000C9000000}"/>
    <cellStyle name="Normal 2 15 13" xfId="212" xr:uid="{00000000-0005-0000-0000-0000CA000000}"/>
    <cellStyle name="Normal 2 15 14" xfId="213" xr:uid="{00000000-0005-0000-0000-0000CB000000}"/>
    <cellStyle name="Normal 2 15 15" xfId="214" xr:uid="{00000000-0005-0000-0000-0000CC000000}"/>
    <cellStyle name="Normal 2 15 16" xfId="215" xr:uid="{00000000-0005-0000-0000-0000CD000000}"/>
    <cellStyle name="Normal 2 15 17" xfId="216" xr:uid="{00000000-0005-0000-0000-0000CE000000}"/>
    <cellStyle name="Normal 2 15 18" xfId="217" xr:uid="{00000000-0005-0000-0000-0000CF000000}"/>
    <cellStyle name="Normal 2 15 19" xfId="218" xr:uid="{00000000-0005-0000-0000-0000D0000000}"/>
    <cellStyle name="Normal 2 15 2" xfId="219" xr:uid="{00000000-0005-0000-0000-0000D1000000}"/>
    <cellStyle name="Normal 2 15 20" xfId="220" xr:uid="{00000000-0005-0000-0000-0000D2000000}"/>
    <cellStyle name="Normal 2 15 21" xfId="221" xr:uid="{00000000-0005-0000-0000-0000D3000000}"/>
    <cellStyle name="Normal 2 15 22" xfId="222" xr:uid="{00000000-0005-0000-0000-0000D4000000}"/>
    <cellStyle name="Normal 2 15 23" xfId="223" xr:uid="{00000000-0005-0000-0000-0000D5000000}"/>
    <cellStyle name="Normal 2 15 3" xfId="224" xr:uid="{00000000-0005-0000-0000-0000D6000000}"/>
    <cellStyle name="Normal 2 15 4" xfId="225" xr:uid="{00000000-0005-0000-0000-0000D7000000}"/>
    <cellStyle name="Normal 2 15 5" xfId="226" xr:uid="{00000000-0005-0000-0000-0000D8000000}"/>
    <cellStyle name="Normal 2 15 6" xfId="227" xr:uid="{00000000-0005-0000-0000-0000D9000000}"/>
    <cellStyle name="Normal 2 15 7" xfId="228" xr:uid="{00000000-0005-0000-0000-0000DA000000}"/>
    <cellStyle name="Normal 2 15 8" xfId="229" xr:uid="{00000000-0005-0000-0000-0000DB000000}"/>
    <cellStyle name="Normal 2 15 9" xfId="230" xr:uid="{00000000-0005-0000-0000-0000DC000000}"/>
    <cellStyle name="Normal 2 16" xfId="231" xr:uid="{00000000-0005-0000-0000-0000DD000000}"/>
    <cellStyle name="Normal 2 16 10" xfId="232" xr:uid="{00000000-0005-0000-0000-0000DE000000}"/>
    <cellStyle name="Normal 2 16 11" xfId="233" xr:uid="{00000000-0005-0000-0000-0000DF000000}"/>
    <cellStyle name="Normal 2 16 12" xfId="234" xr:uid="{00000000-0005-0000-0000-0000E0000000}"/>
    <cellStyle name="Normal 2 16 13" xfId="235" xr:uid="{00000000-0005-0000-0000-0000E1000000}"/>
    <cellStyle name="Normal 2 16 14" xfId="236" xr:uid="{00000000-0005-0000-0000-0000E2000000}"/>
    <cellStyle name="Normal 2 16 15" xfId="237" xr:uid="{00000000-0005-0000-0000-0000E3000000}"/>
    <cellStyle name="Normal 2 16 16" xfId="238" xr:uid="{00000000-0005-0000-0000-0000E4000000}"/>
    <cellStyle name="Normal 2 16 17" xfId="239" xr:uid="{00000000-0005-0000-0000-0000E5000000}"/>
    <cellStyle name="Normal 2 16 18" xfId="240" xr:uid="{00000000-0005-0000-0000-0000E6000000}"/>
    <cellStyle name="Normal 2 16 19" xfId="241" xr:uid="{00000000-0005-0000-0000-0000E7000000}"/>
    <cellStyle name="Normal 2 16 2" xfId="242" xr:uid="{00000000-0005-0000-0000-0000E8000000}"/>
    <cellStyle name="Normal 2 16 20" xfId="243" xr:uid="{00000000-0005-0000-0000-0000E9000000}"/>
    <cellStyle name="Normal 2 16 21" xfId="244" xr:uid="{00000000-0005-0000-0000-0000EA000000}"/>
    <cellStyle name="Normal 2 16 22" xfId="245" xr:uid="{00000000-0005-0000-0000-0000EB000000}"/>
    <cellStyle name="Normal 2 16 23" xfId="246" xr:uid="{00000000-0005-0000-0000-0000EC000000}"/>
    <cellStyle name="Normal 2 16 3" xfId="247" xr:uid="{00000000-0005-0000-0000-0000ED000000}"/>
    <cellStyle name="Normal 2 16 4" xfId="248" xr:uid="{00000000-0005-0000-0000-0000EE000000}"/>
    <cellStyle name="Normal 2 16 5" xfId="249" xr:uid="{00000000-0005-0000-0000-0000EF000000}"/>
    <cellStyle name="Normal 2 16 6" xfId="250" xr:uid="{00000000-0005-0000-0000-0000F0000000}"/>
    <cellStyle name="Normal 2 16 7" xfId="251" xr:uid="{00000000-0005-0000-0000-0000F1000000}"/>
    <cellStyle name="Normal 2 16 8" xfId="252" xr:uid="{00000000-0005-0000-0000-0000F2000000}"/>
    <cellStyle name="Normal 2 16 9" xfId="253" xr:uid="{00000000-0005-0000-0000-0000F3000000}"/>
    <cellStyle name="Normal 2 17" xfId="254" xr:uid="{00000000-0005-0000-0000-0000F4000000}"/>
    <cellStyle name="Normal 2 17 10" xfId="255" xr:uid="{00000000-0005-0000-0000-0000F5000000}"/>
    <cellStyle name="Normal 2 17 11" xfId="256" xr:uid="{00000000-0005-0000-0000-0000F6000000}"/>
    <cellStyle name="Normal 2 17 12" xfId="257" xr:uid="{00000000-0005-0000-0000-0000F7000000}"/>
    <cellStyle name="Normal 2 17 13" xfId="258" xr:uid="{00000000-0005-0000-0000-0000F8000000}"/>
    <cellStyle name="Normal 2 17 14" xfId="259" xr:uid="{00000000-0005-0000-0000-0000F9000000}"/>
    <cellStyle name="Normal 2 17 15" xfId="260" xr:uid="{00000000-0005-0000-0000-0000FA000000}"/>
    <cellStyle name="Normal 2 17 16" xfId="261" xr:uid="{00000000-0005-0000-0000-0000FB000000}"/>
    <cellStyle name="Normal 2 17 17" xfId="262" xr:uid="{00000000-0005-0000-0000-0000FC000000}"/>
    <cellStyle name="Normal 2 17 18" xfId="263" xr:uid="{00000000-0005-0000-0000-0000FD000000}"/>
    <cellStyle name="Normal 2 17 19" xfId="264" xr:uid="{00000000-0005-0000-0000-0000FE000000}"/>
    <cellStyle name="Normal 2 17 2" xfId="265" xr:uid="{00000000-0005-0000-0000-0000FF000000}"/>
    <cellStyle name="Normal 2 17 20" xfId="266" xr:uid="{00000000-0005-0000-0000-000000010000}"/>
    <cellStyle name="Normal 2 17 21" xfId="267" xr:uid="{00000000-0005-0000-0000-000001010000}"/>
    <cellStyle name="Normal 2 17 22" xfId="268" xr:uid="{00000000-0005-0000-0000-000002010000}"/>
    <cellStyle name="Normal 2 17 23" xfId="269" xr:uid="{00000000-0005-0000-0000-000003010000}"/>
    <cellStyle name="Normal 2 17 3" xfId="270" xr:uid="{00000000-0005-0000-0000-000004010000}"/>
    <cellStyle name="Normal 2 17 4" xfId="271" xr:uid="{00000000-0005-0000-0000-000005010000}"/>
    <cellStyle name="Normal 2 17 5" xfId="272" xr:uid="{00000000-0005-0000-0000-000006010000}"/>
    <cellStyle name="Normal 2 17 6" xfId="273" xr:uid="{00000000-0005-0000-0000-000007010000}"/>
    <cellStyle name="Normal 2 17 7" xfId="274" xr:uid="{00000000-0005-0000-0000-000008010000}"/>
    <cellStyle name="Normal 2 17 8" xfId="275" xr:uid="{00000000-0005-0000-0000-000009010000}"/>
    <cellStyle name="Normal 2 17 9" xfId="276" xr:uid="{00000000-0005-0000-0000-00000A010000}"/>
    <cellStyle name="Normal 2 18" xfId="277" xr:uid="{00000000-0005-0000-0000-00000B010000}"/>
    <cellStyle name="Normal 2 18 10" xfId="278" xr:uid="{00000000-0005-0000-0000-00000C010000}"/>
    <cellStyle name="Normal 2 18 11" xfId="279" xr:uid="{00000000-0005-0000-0000-00000D010000}"/>
    <cellStyle name="Normal 2 18 12" xfId="280" xr:uid="{00000000-0005-0000-0000-00000E010000}"/>
    <cellStyle name="Normal 2 18 13" xfId="281" xr:uid="{00000000-0005-0000-0000-00000F010000}"/>
    <cellStyle name="Normal 2 18 14" xfId="282" xr:uid="{00000000-0005-0000-0000-000010010000}"/>
    <cellStyle name="Normal 2 18 15" xfId="283" xr:uid="{00000000-0005-0000-0000-000011010000}"/>
    <cellStyle name="Normal 2 18 16" xfId="284" xr:uid="{00000000-0005-0000-0000-000012010000}"/>
    <cellStyle name="Normal 2 18 17" xfId="285" xr:uid="{00000000-0005-0000-0000-000013010000}"/>
    <cellStyle name="Normal 2 18 18" xfId="286" xr:uid="{00000000-0005-0000-0000-000014010000}"/>
    <cellStyle name="Normal 2 18 19" xfId="287" xr:uid="{00000000-0005-0000-0000-000015010000}"/>
    <cellStyle name="Normal 2 18 2" xfId="288" xr:uid="{00000000-0005-0000-0000-000016010000}"/>
    <cellStyle name="Normal 2 18 20" xfId="289" xr:uid="{00000000-0005-0000-0000-000017010000}"/>
    <cellStyle name="Normal 2 18 21" xfId="290" xr:uid="{00000000-0005-0000-0000-000018010000}"/>
    <cellStyle name="Normal 2 18 22" xfId="291" xr:uid="{00000000-0005-0000-0000-000019010000}"/>
    <cellStyle name="Normal 2 18 23" xfId="292" xr:uid="{00000000-0005-0000-0000-00001A010000}"/>
    <cellStyle name="Normal 2 18 3" xfId="293" xr:uid="{00000000-0005-0000-0000-00001B010000}"/>
    <cellStyle name="Normal 2 18 4" xfId="294" xr:uid="{00000000-0005-0000-0000-00001C010000}"/>
    <cellStyle name="Normal 2 18 5" xfId="295" xr:uid="{00000000-0005-0000-0000-00001D010000}"/>
    <cellStyle name="Normal 2 18 6" xfId="296" xr:uid="{00000000-0005-0000-0000-00001E010000}"/>
    <cellStyle name="Normal 2 18 7" xfId="297" xr:uid="{00000000-0005-0000-0000-00001F010000}"/>
    <cellStyle name="Normal 2 18 8" xfId="298" xr:uid="{00000000-0005-0000-0000-000020010000}"/>
    <cellStyle name="Normal 2 18 9" xfId="299" xr:uid="{00000000-0005-0000-0000-000021010000}"/>
    <cellStyle name="Normal 2 19" xfId="300" xr:uid="{00000000-0005-0000-0000-000022010000}"/>
    <cellStyle name="Normal 2 19 10" xfId="301" xr:uid="{00000000-0005-0000-0000-000023010000}"/>
    <cellStyle name="Normal 2 19 11" xfId="302" xr:uid="{00000000-0005-0000-0000-000024010000}"/>
    <cellStyle name="Normal 2 19 12" xfId="303" xr:uid="{00000000-0005-0000-0000-000025010000}"/>
    <cellStyle name="Normal 2 19 13" xfId="304" xr:uid="{00000000-0005-0000-0000-000026010000}"/>
    <cellStyle name="Normal 2 19 14" xfId="305" xr:uid="{00000000-0005-0000-0000-000027010000}"/>
    <cellStyle name="Normal 2 19 15" xfId="306" xr:uid="{00000000-0005-0000-0000-000028010000}"/>
    <cellStyle name="Normal 2 19 16" xfId="307" xr:uid="{00000000-0005-0000-0000-000029010000}"/>
    <cellStyle name="Normal 2 19 17" xfId="308" xr:uid="{00000000-0005-0000-0000-00002A010000}"/>
    <cellStyle name="Normal 2 19 18" xfId="309" xr:uid="{00000000-0005-0000-0000-00002B010000}"/>
    <cellStyle name="Normal 2 19 19" xfId="310" xr:uid="{00000000-0005-0000-0000-00002C010000}"/>
    <cellStyle name="Normal 2 19 2" xfId="311" xr:uid="{00000000-0005-0000-0000-00002D010000}"/>
    <cellStyle name="Normal 2 19 20" xfId="312" xr:uid="{00000000-0005-0000-0000-00002E010000}"/>
    <cellStyle name="Normal 2 19 21" xfId="313" xr:uid="{00000000-0005-0000-0000-00002F010000}"/>
    <cellStyle name="Normal 2 19 22" xfId="314" xr:uid="{00000000-0005-0000-0000-000030010000}"/>
    <cellStyle name="Normal 2 19 23" xfId="315" xr:uid="{00000000-0005-0000-0000-000031010000}"/>
    <cellStyle name="Normal 2 19 3" xfId="316" xr:uid="{00000000-0005-0000-0000-000032010000}"/>
    <cellStyle name="Normal 2 19 4" xfId="317" xr:uid="{00000000-0005-0000-0000-000033010000}"/>
    <cellStyle name="Normal 2 19 5" xfId="318" xr:uid="{00000000-0005-0000-0000-000034010000}"/>
    <cellStyle name="Normal 2 19 6" xfId="319" xr:uid="{00000000-0005-0000-0000-000035010000}"/>
    <cellStyle name="Normal 2 19 7" xfId="320" xr:uid="{00000000-0005-0000-0000-000036010000}"/>
    <cellStyle name="Normal 2 19 8" xfId="321" xr:uid="{00000000-0005-0000-0000-000037010000}"/>
    <cellStyle name="Normal 2 19 9" xfId="322" xr:uid="{00000000-0005-0000-0000-000038010000}"/>
    <cellStyle name="Normal 2 2" xfId="49" xr:uid="{00000000-0005-0000-0000-000039010000}"/>
    <cellStyle name="Normal 2 2 2" xfId="323" xr:uid="{00000000-0005-0000-0000-00003A010000}"/>
    <cellStyle name="Normal 2 2 2 2" xfId="2381" xr:uid="{00000000-0005-0000-0000-000035020000}"/>
    <cellStyle name="Normal 2 2 2 3" xfId="2382" xr:uid="{00000000-0005-0000-0000-000036020000}"/>
    <cellStyle name="Normal 2 2 2 4" xfId="2383" xr:uid="{00000000-0005-0000-0000-000037020000}"/>
    <cellStyle name="Normal 2 2 3" xfId="2384" xr:uid="{00000000-0005-0000-0000-000038020000}"/>
    <cellStyle name="Normal 2 2 4" xfId="2385" xr:uid="{00000000-0005-0000-0000-000039020000}"/>
    <cellStyle name="Normal 2 2 5" xfId="2087" xr:uid="{00000000-0005-0000-0000-000033020000}"/>
    <cellStyle name="Normal 2 2_Summary" xfId="2386" xr:uid="{00000000-0005-0000-0000-00003A020000}"/>
    <cellStyle name="Normal 2 20" xfId="324" xr:uid="{00000000-0005-0000-0000-00003B010000}"/>
    <cellStyle name="Normal 2 20 10" xfId="325" xr:uid="{00000000-0005-0000-0000-00003C010000}"/>
    <cellStyle name="Normal 2 20 11" xfId="326" xr:uid="{00000000-0005-0000-0000-00003D010000}"/>
    <cellStyle name="Normal 2 20 12" xfId="327" xr:uid="{00000000-0005-0000-0000-00003E010000}"/>
    <cellStyle name="Normal 2 20 13" xfId="328" xr:uid="{00000000-0005-0000-0000-00003F010000}"/>
    <cellStyle name="Normal 2 20 14" xfId="329" xr:uid="{00000000-0005-0000-0000-000040010000}"/>
    <cellStyle name="Normal 2 20 15" xfId="330" xr:uid="{00000000-0005-0000-0000-000041010000}"/>
    <cellStyle name="Normal 2 20 16" xfId="331" xr:uid="{00000000-0005-0000-0000-000042010000}"/>
    <cellStyle name="Normal 2 20 17" xfId="332" xr:uid="{00000000-0005-0000-0000-000043010000}"/>
    <cellStyle name="Normal 2 20 18" xfId="333" xr:uid="{00000000-0005-0000-0000-000044010000}"/>
    <cellStyle name="Normal 2 20 19" xfId="334" xr:uid="{00000000-0005-0000-0000-000045010000}"/>
    <cellStyle name="Normal 2 20 2" xfId="335" xr:uid="{00000000-0005-0000-0000-000046010000}"/>
    <cellStyle name="Normal 2 20 20" xfId="336" xr:uid="{00000000-0005-0000-0000-000047010000}"/>
    <cellStyle name="Normal 2 20 21" xfId="337" xr:uid="{00000000-0005-0000-0000-000048010000}"/>
    <cellStyle name="Normal 2 20 22" xfId="338" xr:uid="{00000000-0005-0000-0000-000049010000}"/>
    <cellStyle name="Normal 2 20 23" xfId="339" xr:uid="{00000000-0005-0000-0000-00004A010000}"/>
    <cellStyle name="Normal 2 20 3" xfId="340" xr:uid="{00000000-0005-0000-0000-00004B010000}"/>
    <cellStyle name="Normal 2 20 4" xfId="341" xr:uid="{00000000-0005-0000-0000-00004C010000}"/>
    <cellStyle name="Normal 2 20 5" xfId="342" xr:uid="{00000000-0005-0000-0000-00004D010000}"/>
    <cellStyle name="Normal 2 20 6" xfId="343" xr:uid="{00000000-0005-0000-0000-00004E010000}"/>
    <cellStyle name="Normal 2 20 7" xfId="344" xr:uid="{00000000-0005-0000-0000-00004F010000}"/>
    <cellStyle name="Normal 2 20 8" xfId="345" xr:uid="{00000000-0005-0000-0000-000050010000}"/>
    <cellStyle name="Normal 2 20 9" xfId="346" xr:uid="{00000000-0005-0000-0000-000051010000}"/>
    <cellStyle name="Normal 2 21" xfId="347" xr:uid="{00000000-0005-0000-0000-000052010000}"/>
    <cellStyle name="Normal 2 21 10" xfId="348" xr:uid="{00000000-0005-0000-0000-000053010000}"/>
    <cellStyle name="Normal 2 21 11" xfId="349" xr:uid="{00000000-0005-0000-0000-000054010000}"/>
    <cellStyle name="Normal 2 21 12" xfId="350" xr:uid="{00000000-0005-0000-0000-000055010000}"/>
    <cellStyle name="Normal 2 21 13" xfId="351" xr:uid="{00000000-0005-0000-0000-000056010000}"/>
    <cellStyle name="Normal 2 21 14" xfId="352" xr:uid="{00000000-0005-0000-0000-000057010000}"/>
    <cellStyle name="Normal 2 21 15" xfId="353" xr:uid="{00000000-0005-0000-0000-000058010000}"/>
    <cellStyle name="Normal 2 21 16" xfId="354" xr:uid="{00000000-0005-0000-0000-000059010000}"/>
    <cellStyle name="Normal 2 21 17" xfId="355" xr:uid="{00000000-0005-0000-0000-00005A010000}"/>
    <cellStyle name="Normal 2 21 18" xfId="356" xr:uid="{00000000-0005-0000-0000-00005B010000}"/>
    <cellStyle name="Normal 2 21 19" xfId="357" xr:uid="{00000000-0005-0000-0000-00005C010000}"/>
    <cellStyle name="Normal 2 21 2" xfId="358" xr:uid="{00000000-0005-0000-0000-00005D010000}"/>
    <cellStyle name="Normal 2 21 20" xfId="359" xr:uid="{00000000-0005-0000-0000-00005E010000}"/>
    <cellStyle name="Normal 2 21 21" xfId="360" xr:uid="{00000000-0005-0000-0000-00005F010000}"/>
    <cellStyle name="Normal 2 21 22" xfId="361" xr:uid="{00000000-0005-0000-0000-000060010000}"/>
    <cellStyle name="Normal 2 21 23" xfId="362" xr:uid="{00000000-0005-0000-0000-000061010000}"/>
    <cellStyle name="Normal 2 21 3" xfId="363" xr:uid="{00000000-0005-0000-0000-000062010000}"/>
    <cellStyle name="Normal 2 21 4" xfId="364" xr:uid="{00000000-0005-0000-0000-000063010000}"/>
    <cellStyle name="Normal 2 21 5" xfId="365" xr:uid="{00000000-0005-0000-0000-000064010000}"/>
    <cellStyle name="Normal 2 21 6" xfId="366" xr:uid="{00000000-0005-0000-0000-000065010000}"/>
    <cellStyle name="Normal 2 21 7" xfId="367" xr:uid="{00000000-0005-0000-0000-000066010000}"/>
    <cellStyle name="Normal 2 21 8" xfId="368" xr:uid="{00000000-0005-0000-0000-000067010000}"/>
    <cellStyle name="Normal 2 21 9" xfId="369" xr:uid="{00000000-0005-0000-0000-000068010000}"/>
    <cellStyle name="Normal 2 22" xfId="370" xr:uid="{00000000-0005-0000-0000-000069010000}"/>
    <cellStyle name="Normal 2 22 10" xfId="371" xr:uid="{00000000-0005-0000-0000-00006A010000}"/>
    <cellStyle name="Normal 2 22 11" xfId="372" xr:uid="{00000000-0005-0000-0000-00006B010000}"/>
    <cellStyle name="Normal 2 22 12" xfId="373" xr:uid="{00000000-0005-0000-0000-00006C010000}"/>
    <cellStyle name="Normal 2 22 13" xfId="374" xr:uid="{00000000-0005-0000-0000-00006D010000}"/>
    <cellStyle name="Normal 2 22 14" xfId="375" xr:uid="{00000000-0005-0000-0000-00006E010000}"/>
    <cellStyle name="Normal 2 22 15" xfId="376" xr:uid="{00000000-0005-0000-0000-00006F010000}"/>
    <cellStyle name="Normal 2 22 16" xfId="377" xr:uid="{00000000-0005-0000-0000-000070010000}"/>
    <cellStyle name="Normal 2 22 17" xfId="378" xr:uid="{00000000-0005-0000-0000-000071010000}"/>
    <cellStyle name="Normal 2 22 18" xfId="379" xr:uid="{00000000-0005-0000-0000-000072010000}"/>
    <cellStyle name="Normal 2 22 19" xfId="380" xr:uid="{00000000-0005-0000-0000-000073010000}"/>
    <cellStyle name="Normal 2 22 2" xfId="381" xr:uid="{00000000-0005-0000-0000-000074010000}"/>
    <cellStyle name="Normal 2 22 20" xfId="382" xr:uid="{00000000-0005-0000-0000-000075010000}"/>
    <cellStyle name="Normal 2 22 21" xfId="383" xr:uid="{00000000-0005-0000-0000-000076010000}"/>
    <cellStyle name="Normal 2 22 22" xfId="384" xr:uid="{00000000-0005-0000-0000-000077010000}"/>
    <cellStyle name="Normal 2 22 23" xfId="385" xr:uid="{00000000-0005-0000-0000-000078010000}"/>
    <cellStyle name="Normal 2 22 3" xfId="386" xr:uid="{00000000-0005-0000-0000-000079010000}"/>
    <cellStyle name="Normal 2 22 4" xfId="387" xr:uid="{00000000-0005-0000-0000-00007A010000}"/>
    <cellStyle name="Normal 2 22 5" xfId="388" xr:uid="{00000000-0005-0000-0000-00007B010000}"/>
    <cellStyle name="Normal 2 22 6" xfId="389" xr:uid="{00000000-0005-0000-0000-00007C010000}"/>
    <cellStyle name="Normal 2 22 7" xfId="390" xr:uid="{00000000-0005-0000-0000-00007D010000}"/>
    <cellStyle name="Normal 2 22 8" xfId="391" xr:uid="{00000000-0005-0000-0000-00007E010000}"/>
    <cellStyle name="Normal 2 22 9" xfId="392" xr:uid="{00000000-0005-0000-0000-00007F010000}"/>
    <cellStyle name="Normal 2 23" xfId="393" xr:uid="{00000000-0005-0000-0000-000080010000}"/>
    <cellStyle name="Normal 2 23 10" xfId="394" xr:uid="{00000000-0005-0000-0000-000081010000}"/>
    <cellStyle name="Normal 2 23 11" xfId="395" xr:uid="{00000000-0005-0000-0000-000082010000}"/>
    <cellStyle name="Normal 2 23 12" xfId="396" xr:uid="{00000000-0005-0000-0000-000083010000}"/>
    <cellStyle name="Normal 2 23 13" xfId="397" xr:uid="{00000000-0005-0000-0000-000084010000}"/>
    <cellStyle name="Normal 2 23 14" xfId="398" xr:uid="{00000000-0005-0000-0000-000085010000}"/>
    <cellStyle name="Normal 2 23 15" xfId="399" xr:uid="{00000000-0005-0000-0000-000086010000}"/>
    <cellStyle name="Normal 2 23 16" xfId="400" xr:uid="{00000000-0005-0000-0000-000087010000}"/>
    <cellStyle name="Normal 2 23 17" xfId="401" xr:uid="{00000000-0005-0000-0000-000088010000}"/>
    <cellStyle name="Normal 2 23 18" xfId="402" xr:uid="{00000000-0005-0000-0000-000089010000}"/>
    <cellStyle name="Normal 2 23 19" xfId="403" xr:uid="{00000000-0005-0000-0000-00008A010000}"/>
    <cellStyle name="Normal 2 23 2" xfId="404" xr:uid="{00000000-0005-0000-0000-00008B010000}"/>
    <cellStyle name="Normal 2 23 20" xfId="405" xr:uid="{00000000-0005-0000-0000-00008C010000}"/>
    <cellStyle name="Normal 2 23 21" xfId="406" xr:uid="{00000000-0005-0000-0000-00008D010000}"/>
    <cellStyle name="Normal 2 23 22" xfId="407" xr:uid="{00000000-0005-0000-0000-00008E010000}"/>
    <cellStyle name="Normal 2 23 23" xfId="408" xr:uid="{00000000-0005-0000-0000-00008F010000}"/>
    <cellStyle name="Normal 2 23 3" xfId="409" xr:uid="{00000000-0005-0000-0000-000090010000}"/>
    <cellStyle name="Normal 2 23 4" xfId="410" xr:uid="{00000000-0005-0000-0000-000091010000}"/>
    <cellStyle name="Normal 2 23 5" xfId="411" xr:uid="{00000000-0005-0000-0000-000092010000}"/>
    <cellStyle name="Normal 2 23 6" xfId="412" xr:uid="{00000000-0005-0000-0000-000093010000}"/>
    <cellStyle name="Normal 2 23 7" xfId="413" xr:uid="{00000000-0005-0000-0000-000094010000}"/>
    <cellStyle name="Normal 2 23 8" xfId="414" xr:uid="{00000000-0005-0000-0000-000095010000}"/>
    <cellStyle name="Normal 2 23 9" xfId="415" xr:uid="{00000000-0005-0000-0000-000096010000}"/>
    <cellStyle name="Normal 2 24" xfId="416" xr:uid="{00000000-0005-0000-0000-000097010000}"/>
    <cellStyle name="Normal 2 24 10" xfId="417" xr:uid="{00000000-0005-0000-0000-000098010000}"/>
    <cellStyle name="Normal 2 24 11" xfId="418" xr:uid="{00000000-0005-0000-0000-000099010000}"/>
    <cellStyle name="Normal 2 24 12" xfId="419" xr:uid="{00000000-0005-0000-0000-00009A010000}"/>
    <cellStyle name="Normal 2 24 13" xfId="420" xr:uid="{00000000-0005-0000-0000-00009B010000}"/>
    <cellStyle name="Normal 2 24 14" xfId="421" xr:uid="{00000000-0005-0000-0000-00009C010000}"/>
    <cellStyle name="Normal 2 24 15" xfId="422" xr:uid="{00000000-0005-0000-0000-00009D010000}"/>
    <cellStyle name="Normal 2 24 16" xfId="423" xr:uid="{00000000-0005-0000-0000-00009E010000}"/>
    <cellStyle name="Normal 2 24 17" xfId="424" xr:uid="{00000000-0005-0000-0000-00009F010000}"/>
    <cellStyle name="Normal 2 24 18" xfId="425" xr:uid="{00000000-0005-0000-0000-0000A0010000}"/>
    <cellStyle name="Normal 2 24 19" xfId="426" xr:uid="{00000000-0005-0000-0000-0000A1010000}"/>
    <cellStyle name="Normal 2 24 2" xfId="427" xr:uid="{00000000-0005-0000-0000-0000A2010000}"/>
    <cellStyle name="Normal 2 24 20" xfId="428" xr:uid="{00000000-0005-0000-0000-0000A3010000}"/>
    <cellStyle name="Normal 2 24 21" xfId="429" xr:uid="{00000000-0005-0000-0000-0000A4010000}"/>
    <cellStyle name="Normal 2 24 22" xfId="430" xr:uid="{00000000-0005-0000-0000-0000A5010000}"/>
    <cellStyle name="Normal 2 24 23" xfId="431" xr:uid="{00000000-0005-0000-0000-0000A6010000}"/>
    <cellStyle name="Normal 2 24 3" xfId="432" xr:uid="{00000000-0005-0000-0000-0000A7010000}"/>
    <cellStyle name="Normal 2 24 4" xfId="433" xr:uid="{00000000-0005-0000-0000-0000A8010000}"/>
    <cellStyle name="Normal 2 24 5" xfId="434" xr:uid="{00000000-0005-0000-0000-0000A9010000}"/>
    <cellStyle name="Normal 2 24 6" xfId="435" xr:uid="{00000000-0005-0000-0000-0000AA010000}"/>
    <cellStyle name="Normal 2 24 7" xfId="436" xr:uid="{00000000-0005-0000-0000-0000AB010000}"/>
    <cellStyle name="Normal 2 24 8" xfId="437" xr:uid="{00000000-0005-0000-0000-0000AC010000}"/>
    <cellStyle name="Normal 2 24 9" xfId="438" xr:uid="{00000000-0005-0000-0000-0000AD010000}"/>
    <cellStyle name="Normal 2 25" xfId="439" xr:uid="{00000000-0005-0000-0000-0000AE010000}"/>
    <cellStyle name="Normal 2 25 10" xfId="440" xr:uid="{00000000-0005-0000-0000-0000AF010000}"/>
    <cellStyle name="Normal 2 25 11" xfId="441" xr:uid="{00000000-0005-0000-0000-0000B0010000}"/>
    <cellStyle name="Normal 2 25 12" xfId="442" xr:uid="{00000000-0005-0000-0000-0000B1010000}"/>
    <cellStyle name="Normal 2 25 13" xfId="443" xr:uid="{00000000-0005-0000-0000-0000B2010000}"/>
    <cellStyle name="Normal 2 25 14" xfId="444" xr:uid="{00000000-0005-0000-0000-0000B3010000}"/>
    <cellStyle name="Normal 2 25 15" xfId="445" xr:uid="{00000000-0005-0000-0000-0000B4010000}"/>
    <cellStyle name="Normal 2 25 16" xfId="446" xr:uid="{00000000-0005-0000-0000-0000B5010000}"/>
    <cellStyle name="Normal 2 25 17" xfId="447" xr:uid="{00000000-0005-0000-0000-0000B6010000}"/>
    <cellStyle name="Normal 2 25 18" xfId="448" xr:uid="{00000000-0005-0000-0000-0000B7010000}"/>
    <cellStyle name="Normal 2 25 19" xfId="449" xr:uid="{00000000-0005-0000-0000-0000B8010000}"/>
    <cellStyle name="Normal 2 25 2" xfId="450" xr:uid="{00000000-0005-0000-0000-0000B9010000}"/>
    <cellStyle name="Normal 2 25 20" xfId="451" xr:uid="{00000000-0005-0000-0000-0000BA010000}"/>
    <cellStyle name="Normal 2 25 21" xfId="452" xr:uid="{00000000-0005-0000-0000-0000BB010000}"/>
    <cellStyle name="Normal 2 25 22" xfId="453" xr:uid="{00000000-0005-0000-0000-0000BC010000}"/>
    <cellStyle name="Normal 2 25 23" xfId="454" xr:uid="{00000000-0005-0000-0000-0000BD010000}"/>
    <cellStyle name="Normal 2 25 3" xfId="455" xr:uid="{00000000-0005-0000-0000-0000BE010000}"/>
    <cellStyle name="Normal 2 25 4" xfId="456" xr:uid="{00000000-0005-0000-0000-0000BF010000}"/>
    <cellStyle name="Normal 2 25 5" xfId="457" xr:uid="{00000000-0005-0000-0000-0000C0010000}"/>
    <cellStyle name="Normal 2 25 6" xfId="458" xr:uid="{00000000-0005-0000-0000-0000C1010000}"/>
    <cellStyle name="Normal 2 25 7" xfId="459" xr:uid="{00000000-0005-0000-0000-0000C2010000}"/>
    <cellStyle name="Normal 2 25 8" xfId="460" xr:uid="{00000000-0005-0000-0000-0000C3010000}"/>
    <cellStyle name="Normal 2 25 9" xfId="461" xr:uid="{00000000-0005-0000-0000-0000C4010000}"/>
    <cellStyle name="Normal 2 26" xfId="462" xr:uid="{00000000-0005-0000-0000-0000C5010000}"/>
    <cellStyle name="Normal 2 26 10" xfId="463" xr:uid="{00000000-0005-0000-0000-0000C6010000}"/>
    <cellStyle name="Normal 2 26 11" xfId="464" xr:uid="{00000000-0005-0000-0000-0000C7010000}"/>
    <cellStyle name="Normal 2 26 12" xfId="465" xr:uid="{00000000-0005-0000-0000-0000C8010000}"/>
    <cellStyle name="Normal 2 26 13" xfId="466" xr:uid="{00000000-0005-0000-0000-0000C9010000}"/>
    <cellStyle name="Normal 2 26 14" xfId="467" xr:uid="{00000000-0005-0000-0000-0000CA010000}"/>
    <cellStyle name="Normal 2 26 15" xfId="468" xr:uid="{00000000-0005-0000-0000-0000CB010000}"/>
    <cellStyle name="Normal 2 26 16" xfId="469" xr:uid="{00000000-0005-0000-0000-0000CC010000}"/>
    <cellStyle name="Normal 2 26 17" xfId="470" xr:uid="{00000000-0005-0000-0000-0000CD010000}"/>
    <cellStyle name="Normal 2 26 18" xfId="471" xr:uid="{00000000-0005-0000-0000-0000CE010000}"/>
    <cellStyle name="Normal 2 26 19" xfId="472" xr:uid="{00000000-0005-0000-0000-0000CF010000}"/>
    <cellStyle name="Normal 2 26 2" xfId="473" xr:uid="{00000000-0005-0000-0000-0000D0010000}"/>
    <cellStyle name="Normal 2 26 20" xfId="474" xr:uid="{00000000-0005-0000-0000-0000D1010000}"/>
    <cellStyle name="Normal 2 26 21" xfId="475" xr:uid="{00000000-0005-0000-0000-0000D2010000}"/>
    <cellStyle name="Normal 2 26 22" xfId="476" xr:uid="{00000000-0005-0000-0000-0000D3010000}"/>
    <cellStyle name="Normal 2 26 23" xfId="477" xr:uid="{00000000-0005-0000-0000-0000D4010000}"/>
    <cellStyle name="Normal 2 26 3" xfId="478" xr:uid="{00000000-0005-0000-0000-0000D5010000}"/>
    <cellStyle name="Normal 2 26 4" xfId="479" xr:uid="{00000000-0005-0000-0000-0000D6010000}"/>
    <cellStyle name="Normal 2 26 5" xfId="480" xr:uid="{00000000-0005-0000-0000-0000D7010000}"/>
    <cellStyle name="Normal 2 26 6" xfId="481" xr:uid="{00000000-0005-0000-0000-0000D8010000}"/>
    <cellStyle name="Normal 2 26 7" xfId="482" xr:uid="{00000000-0005-0000-0000-0000D9010000}"/>
    <cellStyle name="Normal 2 26 8" xfId="483" xr:uid="{00000000-0005-0000-0000-0000DA010000}"/>
    <cellStyle name="Normal 2 26 9" xfId="484" xr:uid="{00000000-0005-0000-0000-0000DB010000}"/>
    <cellStyle name="Normal 2 27" xfId="485" xr:uid="{00000000-0005-0000-0000-0000DC010000}"/>
    <cellStyle name="Normal 2 27 10" xfId="486" xr:uid="{00000000-0005-0000-0000-0000DD010000}"/>
    <cellStyle name="Normal 2 27 11" xfId="487" xr:uid="{00000000-0005-0000-0000-0000DE010000}"/>
    <cellStyle name="Normal 2 27 12" xfId="488" xr:uid="{00000000-0005-0000-0000-0000DF010000}"/>
    <cellStyle name="Normal 2 27 13" xfId="489" xr:uid="{00000000-0005-0000-0000-0000E0010000}"/>
    <cellStyle name="Normal 2 27 14" xfId="490" xr:uid="{00000000-0005-0000-0000-0000E1010000}"/>
    <cellStyle name="Normal 2 27 15" xfId="491" xr:uid="{00000000-0005-0000-0000-0000E2010000}"/>
    <cellStyle name="Normal 2 27 16" xfId="492" xr:uid="{00000000-0005-0000-0000-0000E3010000}"/>
    <cellStyle name="Normal 2 27 17" xfId="493" xr:uid="{00000000-0005-0000-0000-0000E4010000}"/>
    <cellStyle name="Normal 2 27 18" xfId="494" xr:uid="{00000000-0005-0000-0000-0000E5010000}"/>
    <cellStyle name="Normal 2 27 19" xfId="495" xr:uid="{00000000-0005-0000-0000-0000E6010000}"/>
    <cellStyle name="Normal 2 27 2" xfId="496" xr:uid="{00000000-0005-0000-0000-0000E7010000}"/>
    <cellStyle name="Normal 2 27 20" xfId="497" xr:uid="{00000000-0005-0000-0000-0000E8010000}"/>
    <cellStyle name="Normal 2 27 21" xfId="498" xr:uid="{00000000-0005-0000-0000-0000E9010000}"/>
    <cellStyle name="Normal 2 27 22" xfId="499" xr:uid="{00000000-0005-0000-0000-0000EA010000}"/>
    <cellStyle name="Normal 2 27 23" xfId="500" xr:uid="{00000000-0005-0000-0000-0000EB010000}"/>
    <cellStyle name="Normal 2 27 3" xfId="501" xr:uid="{00000000-0005-0000-0000-0000EC010000}"/>
    <cellStyle name="Normal 2 27 4" xfId="502" xr:uid="{00000000-0005-0000-0000-0000ED010000}"/>
    <cellStyle name="Normal 2 27 5" xfId="503" xr:uid="{00000000-0005-0000-0000-0000EE010000}"/>
    <cellStyle name="Normal 2 27 6" xfId="504" xr:uid="{00000000-0005-0000-0000-0000EF010000}"/>
    <cellStyle name="Normal 2 27 7" xfId="505" xr:uid="{00000000-0005-0000-0000-0000F0010000}"/>
    <cellStyle name="Normal 2 27 8" xfId="506" xr:uid="{00000000-0005-0000-0000-0000F1010000}"/>
    <cellStyle name="Normal 2 27 9" xfId="507" xr:uid="{00000000-0005-0000-0000-0000F2010000}"/>
    <cellStyle name="Normal 2 28" xfId="508" xr:uid="{00000000-0005-0000-0000-0000F3010000}"/>
    <cellStyle name="Normal 2 28 10" xfId="509" xr:uid="{00000000-0005-0000-0000-0000F4010000}"/>
    <cellStyle name="Normal 2 28 11" xfId="510" xr:uid="{00000000-0005-0000-0000-0000F5010000}"/>
    <cellStyle name="Normal 2 28 12" xfId="511" xr:uid="{00000000-0005-0000-0000-0000F6010000}"/>
    <cellStyle name="Normal 2 28 13" xfId="512" xr:uid="{00000000-0005-0000-0000-0000F7010000}"/>
    <cellStyle name="Normal 2 28 14" xfId="513" xr:uid="{00000000-0005-0000-0000-0000F8010000}"/>
    <cellStyle name="Normal 2 28 15" xfId="514" xr:uid="{00000000-0005-0000-0000-0000F9010000}"/>
    <cellStyle name="Normal 2 28 16" xfId="515" xr:uid="{00000000-0005-0000-0000-0000FA010000}"/>
    <cellStyle name="Normal 2 28 17" xfId="516" xr:uid="{00000000-0005-0000-0000-0000FB010000}"/>
    <cellStyle name="Normal 2 28 18" xfId="517" xr:uid="{00000000-0005-0000-0000-0000FC010000}"/>
    <cellStyle name="Normal 2 28 19" xfId="518" xr:uid="{00000000-0005-0000-0000-0000FD010000}"/>
    <cellStyle name="Normal 2 28 2" xfId="519" xr:uid="{00000000-0005-0000-0000-0000FE010000}"/>
    <cellStyle name="Normal 2 28 20" xfId="520" xr:uid="{00000000-0005-0000-0000-0000FF010000}"/>
    <cellStyle name="Normal 2 28 21" xfId="521" xr:uid="{00000000-0005-0000-0000-000000020000}"/>
    <cellStyle name="Normal 2 28 22" xfId="522" xr:uid="{00000000-0005-0000-0000-000001020000}"/>
    <cellStyle name="Normal 2 28 23" xfId="523" xr:uid="{00000000-0005-0000-0000-000002020000}"/>
    <cellStyle name="Normal 2 28 3" xfId="524" xr:uid="{00000000-0005-0000-0000-000003020000}"/>
    <cellStyle name="Normal 2 28 4" xfId="525" xr:uid="{00000000-0005-0000-0000-000004020000}"/>
    <cellStyle name="Normal 2 28 5" xfId="526" xr:uid="{00000000-0005-0000-0000-000005020000}"/>
    <cellStyle name="Normal 2 28 6" xfId="527" xr:uid="{00000000-0005-0000-0000-000006020000}"/>
    <cellStyle name="Normal 2 28 7" xfId="528" xr:uid="{00000000-0005-0000-0000-000007020000}"/>
    <cellStyle name="Normal 2 28 8" xfId="529" xr:uid="{00000000-0005-0000-0000-000008020000}"/>
    <cellStyle name="Normal 2 28 9" xfId="530" xr:uid="{00000000-0005-0000-0000-000009020000}"/>
    <cellStyle name="Normal 2 29" xfId="531" xr:uid="{00000000-0005-0000-0000-00000A020000}"/>
    <cellStyle name="Normal 2 29 10" xfId="532" xr:uid="{00000000-0005-0000-0000-00000B020000}"/>
    <cellStyle name="Normal 2 29 11" xfId="533" xr:uid="{00000000-0005-0000-0000-00000C020000}"/>
    <cellStyle name="Normal 2 29 12" xfId="534" xr:uid="{00000000-0005-0000-0000-00000D020000}"/>
    <cellStyle name="Normal 2 29 13" xfId="535" xr:uid="{00000000-0005-0000-0000-00000E020000}"/>
    <cellStyle name="Normal 2 29 14" xfId="536" xr:uid="{00000000-0005-0000-0000-00000F020000}"/>
    <cellStyle name="Normal 2 29 15" xfId="537" xr:uid="{00000000-0005-0000-0000-000010020000}"/>
    <cellStyle name="Normal 2 29 16" xfId="538" xr:uid="{00000000-0005-0000-0000-000011020000}"/>
    <cellStyle name="Normal 2 29 17" xfId="539" xr:uid="{00000000-0005-0000-0000-000012020000}"/>
    <cellStyle name="Normal 2 29 18" xfId="540" xr:uid="{00000000-0005-0000-0000-000013020000}"/>
    <cellStyle name="Normal 2 29 19" xfId="541" xr:uid="{00000000-0005-0000-0000-000014020000}"/>
    <cellStyle name="Normal 2 29 2" xfId="542" xr:uid="{00000000-0005-0000-0000-000015020000}"/>
    <cellStyle name="Normal 2 29 20" xfId="543" xr:uid="{00000000-0005-0000-0000-000016020000}"/>
    <cellStyle name="Normal 2 29 21" xfId="544" xr:uid="{00000000-0005-0000-0000-000017020000}"/>
    <cellStyle name="Normal 2 29 22" xfId="545" xr:uid="{00000000-0005-0000-0000-000018020000}"/>
    <cellStyle name="Normal 2 29 23" xfId="546" xr:uid="{00000000-0005-0000-0000-000019020000}"/>
    <cellStyle name="Normal 2 29 3" xfId="547" xr:uid="{00000000-0005-0000-0000-00001A020000}"/>
    <cellStyle name="Normal 2 29 4" xfId="548" xr:uid="{00000000-0005-0000-0000-00001B020000}"/>
    <cellStyle name="Normal 2 29 5" xfId="549" xr:uid="{00000000-0005-0000-0000-00001C020000}"/>
    <cellStyle name="Normal 2 29 6" xfId="550" xr:uid="{00000000-0005-0000-0000-00001D020000}"/>
    <cellStyle name="Normal 2 29 7" xfId="551" xr:uid="{00000000-0005-0000-0000-00001E020000}"/>
    <cellStyle name="Normal 2 29 8" xfId="552" xr:uid="{00000000-0005-0000-0000-00001F020000}"/>
    <cellStyle name="Normal 2 29 9" xfId="553" xr:uid="{00000000-0005-0000-0000-000020020000}"/>
    <cellStyle name="Normal 2 3" xfId="554" xr:uid="{00000000-0005-0000-0000-000021020000}"/>
    <cellStyle name="Normal 2 3 2" xfId="2387" xr:uid="{00000000-0005-0000-0000-000022030000}"/>
    <cellStyle name="Normal 2 3 2 2" xfId="2388" xr:uid="{00000000-0005-0000-0000-000023030000}"/>
    <cellStyle name="Normal 2 3 3" xfId="2389" xr:uid="{00000000-0005-0000-0000-000024030000}"/>
    <cellStyle name="Normal 2 3 4" xfId="2390" xr:uid="{00000000-0005-0000-0000-000025030000}"/>
    <cellStyle name="Normal 2 3 5" xfId="2391" xr:uid="{00000000-0005-0000-0000-000026030000}"/>
    <cellStyle name="Normal 2 3_Summary" xfId="2392" xr:uid="{00000000-0005-0000-0000-000027030000}"/>
    <cellStyle name="Normal 2 30" xfId="555" xr:uid="{00000000-0005-0000-0000-000022020000}"/>
    <cellStyle name="Normal 2 30 10" xfId="556" xr:uid="{00000000-0005-0000-0000-000023020000}"/>
    <cellStyle name="Normal 2 30 11" xfId="557" xr:uid="{00000000-0005-0000-0000-000024020000}"/>
    <cellStyle name="Normal 2 30 12" xfId="558" xr:uid="{00000000-0005-0000-0000-000025020000}"/>
    <cellStyle name="Normal 2 30 13" xfId="559" xr:uid="{00000000-0005-0000-0000-000026020000}"/>
    <cellStyle name="Normal 2 30 14" xfId="560" xr:uid="{00000000-0005-0000-0000-000027020000}"/>
    <cellStyle name="Normal 2 30 15" xfId="561" xr:uid="{00000000-0005-0000-0000-000028020000}"/>
    <cellStyle name="Normal 2 30 16" xfId="562" xr:uid="{00000000-0005-0000-0000-000029020000}"/>
    <cellStyle name="Normal 2 30 17" xfId="563" xr:uid="{00000000-0005-0000-0000-00002A020000}"/>
    <cellStyle name="Normal 2 30 18" xfId="564" xr:uid="{00000000-0005-0000-0000-00002B020000}"/>
    <cellStyle name="Normal 2 30 19" xfId="565" xr:uid="{00000000-0005-0000-0000-00002C020000}"/>
    <cellStyle name="Normal 2 30 2" xfId="566" xr:uid="{00000000-0005-0000-0000-00002D020000}"/>
    <cellStyle name="Normal 2 30 20" xfId="567" xr:uid="{00000000-0005-0000-0000-00002E020000}"/>
    <cellStyle name="Normal 2 30 21" xfId="568" xr:uid="{00000000-0005-0000-0000-00002F020000}"/>
    <cellStyle name="Normal 2 30 22" xfId="569" xr:uid="{00000000-0005-0000-0000-000030020000}"/>
    <cellStyle name="Normal 2 30 23" xfId="570" xr:uid="{00000000-0005-0000-0000-000031020000}"/>
    <cellStyle name="Normal 2 30 24" xfId="2394" xr:uid="{00000000-0005-0000-0000-000038030000}"/>
    <cellStyle name="Normal 2 30 25" xfId="2395" xr:uid="{00000000-0005-0000-0000-000039030000}"/>
    <cellStyle name="Normal 2 30 26" xfId="2393" xr:uid="{00000000-0005-0000-0000-000028030000}"/>
    <cellStyle name="Normal 2 30 3" xfId="571" xr:uid="{00000000-0005-0000-0000-000032020000}"/>
    <cellStyle name="Normal 2 30 4" xfId="572" xr:uid="{00000000-0005-0000-0000-000033020000}"/>
    <cellStyle name="Normal 2 30 5" xfId="573" xr:uid="{00000000-0005-0000-0000-000034020000}"/>
    <cellStyle name="Normal 2 30 6" xfId="574" xr:uid="{00000000-0005-0000-0000-000035020000}"/>
    <cellStyle name="Normal 2 30 7" xfId="575" xr:uid="{00000000-0005-0000-0000-000036020000}"/>
    <cellStyle name="Normal 2 30 8" xfId="576" xr:uid="{00000000-0005-0000-0000-000037020000}"/>
    <cellStyle name="Normal 2 30 9" xfId="577" xr:uid="{00000000-0005-0000-0000-000038020000}"/>
    <cellStyle name="Normal 2 31" xfId="578" xr:uid="{00000000-0005-0000-0000-000039020000}"/>
    <cellStyle name="Normal 2 31 10" xfId="579" xr:uid="{00000000-0005-0000-0000-00003A020000}"/>
    <cellStyle name="Normal 2 31 11" xfId="580" xr:uid="{00000000-0005-0000-0000-00003B020000}"/>
    <cellStyle name="Normal 2 31 12" xfId="581" xr:uid="{00000000-0005-0000-0000-00003C020000}"/>
    <cellStyle name="Normal 2 31 13" xfId="582" xr:uid="{00000000-0005-0000-0000-00003D020000}"/>
    <cellStyle name="Normal 2 31 14" xfId="583" xr:uid="{00000000-0005-0000-0000-00003E020000}"/>
    <cellStyle name="Normal 2 31 15" xfId="584" xr:uid="{00000000-0005-0000-0000-00003F020000}"/>
    <cellStyle name="Normal 2 31 16" xfId="585" xr:uid="{00000000-0005-0000-0000-000040020000}"/>
    <cellStyle name="Normal 2 31 17" xfId="586" xr:uid="{00000000-0005-0000-0000-000041020000}"/>
    <cellStyle name="Normal 2 31 18" xfId="587" xr:uid="{00000000-0005-0000-0000-000042020000}"/>
    <cellStyle name="Normal 2 31 19" xfId="588" xr:uid="{00000000-0005-0000-0000-000043020000}"/>
    <cellStyle name="Normal 2 31 2" xfId="589" xr:uid="{00000000-0005-0000-0000-000044020000}"/>
    <cellStyle name="Normal 2 31 20" xfId="590" xr:uid="{00000000-0005-0000-0000-000045020000}"/>
    <cellStyle name="Normal 2 31 21" xfId="591" xr:uid="{00000000-0005-0000-0000-000046020000}"/>
    <cellStyle name="Normal 2 31 22" xfId="592" xr:uid="{00000000-0005-0000-0000-000047020000}"/>
    <cellStyle name="Normal 2 31 23" xfId="593" xr:uid="{00000000-0005-0000-0000-000048020000}"/>
    <cellStyle name="Normal 2 31 3" xfId="594" xr:uid="{00000000-0005-0000-0000-000049020000}"/>
    <cellStyle name="Normal 2 31 4" xfId="595" xr:uid="{00000000-0005-0000-0000-00004A020000}"/>
    <cellStyle name="Normal 2 31 5" xfId="596" xr:uid="{00000000-0005-0000-0000-00004B020000}"/>
    <cellStyle name="Normal 2 31 6" xfId="597" xr:uid="{00000000-0005-0000-0000-00004C020000}"/>
    <cellStyle name="Normal 2 31 7" xfId="598" xr:uid="{00000000-0005-0000-0000-00004D020000}"/>
    <cellStyle name="Normal 2 31 8" xfId="599" xr:uid="{00000000-0005-0000-0000-00004E020000}"/>
    <cellStyle name="Normal 2 31 9" xfId="600" xr:uid="{00000000-0005-0000-0000-00004F020000}"/>
    <cellStyle name="Normal 2 32" xfId="601" xr:uid="{00000000-0005-0000-0000-000050020000}"/>
    <cellStyle name="Normal 2 32 10" xfId="602" xr:uid="{00000000-0005-0000-0000-000051020000}"/>
    <cellStyle name="Normal 2 32 11" xfId="603" xr:uid="{00000000-0005-0000-0000-000052020000}"/>
    <cellStyle name="Normal 2 32 12" xfId="604" xr:uid="{00000000-0005-0000-0000-000053020000}"/>
    <cellStyle name="Normal 2 32 13" xfId="605" xr:uid="{00000000-0005-0000-0000-000054020000}"/>
    <cellStyle name="Normal 2 32 14" xfId="606" xr:uid="{00000000-0005-0000-0000-000055020000}"/>
    <cellStyle name="Normal 2 32 15" xfId="607" xr:uid="{00000000-0005-0000-0000-000056020000}"/>
    <cellStyle name="Normal 2 32 16" xfId="608" xr:uid="{00000000-0005-0000-0000-000057020000}"/>
    <cellStyle name="Normal 2 32 17" xfId="609" xr:uid="{00000000-0005-0000-0000-000058020000}"/>
    <cellStyle name="Normal 2 32 18" xfId="610" xr:uid="{00000000-0005-0000-0000-000059020000}"/>
    <cellStyle name="Normal 2 32 19" xfId="611" xr:uid="{00000000-0005-0000-0000-00005A020000}"/>
    <cellStyle name="Normal 2 32 2" xfId="612" xr:uid="{00000000-0005-0000-0000-00005B020000}"/>
    <cellStyle name="Normal 2 32 20" xfId="613" xr:uid="{00000000-0005-0000-0000-00005C020000}"/>
    <cellStyle name="Normal 2 32 21" xfId="614" xr:uid="{00000000-0005-0000-0000-00005D020000}"/>
    <cellStyle name="Normal 2 32 22" xfId="615" xr:uid="{00000000-0005-0000-0000-00005E020000}"/>
    <cellStyle name="Normal 2 32 23" xfId="616" xr:uid="{00000000-0005-0000-0000-00005F020000}"/>
    <cellStyle name="Normal 2 32 3" xfId="617" xr:uid="{00000000-0005-0000-0000-000060020000}"/>
    <cellStyle name="Normal 2 32 4" xfId="618" xr:uid="{00000000-0005-0000-0000-000061020000}"/>
    <cellStyle name="Normal 2 32 5" xfId="619" xr:uid="{00000000-0005-0000-0000-000062020000}"/>
    <cellStyle name="Normal 2 32 6" xfId="620" xr:uid="{00000000-0005-0000-0000-000063020000}"/>
    <cellStyle name="Normal 2 32 7" xfId="621" xr:uid="{00000000-0005-0000-0000-000064020000}"/>
    <cellStyle name="Normal 2 32 8" xfId="622" xr:uid="{00000000-0005-0000-0000-000065020000}"/>
    <cellStyle name="Normal 2 32 9" xfId="623" xr:uid="{00000000-0005-0000-0000-000066020000}"/>
    <cellStyle name="Normal 2 33" xfId="624" xr:uid="{00000000-0005-0000-0000-000067020000}"/>
    <cellStyle name="Normal 2 33 10" xfId="625" xr:uid="{00000000-0005-0000-0000-000068020000}"/>
    <cellStyle name="Normal 2 33 11" xfId="626" xr:uid="{00000000-0005-0000-0000-000069020000}"/>
    <cellStyle name="Normal 2 33 12" xfId="627" xr:uid="{00000000-0005-0000-0000-00006A020000}"/>
    <cellStyle name="Normal 2 33 13" xfId="628" xr:uid="{00000000-0005-0000-0000-00006B020000}"/>
    <cellStyle name="Normal 2 33 14" xfId="629" xr:uid="{00000000-0005-0000-0000-00006C020000}"/>
    <cellStyle name="Normal 2 33 15" xfId="630" xr:uid="{00000000-0005-0000-0000-00006D020000}"/>
    <cellStyle name="Normal 2 33 16" xfId="631" xr:uid="{00000000-0005-0000-0000-00006E020000}"/>
    <cellStyle name="Normal 2 33 17" xfId="632" xr:uid="{00000000-0005-0000-0000-00006F020000}"/>
    <cellStyle name="Normal 2 33 18" xfId="633" xr:uid="{00000000-0005-0000-0000-000070020000}"/>
    <cellStyle name="Normal 2 33 19" xfId="634" xr:uid="{00000000-0005-0000-0000-000071020000}"/>
    <cellStyle name="Normal 2 33 2" xfId="635" xr:uid="{00000000-0005-0000-0000-000072020000}"/>
    <cellStyle name="Normal 2 33 20" xfId="636" xr:uid="{00000000-0005-0000-0000-000073020000}"/>
    <cellStyle name="Normal 2 33 21" xfId="637" xr:uid="{00000000-0005-0000-0000-000074020000}"/>
    <cellStyle name="Normal 2 33 22" xfId="638" xr:uid="{00000000-0005-0000-0000-000075020000}"/>
    <cellStyle name="Normal 2 33 23" xfId="639" xr:uid="{00000000-0005-0000-0000-000076020000}"/>
    <cellStyle name="Normal 2 33 3" xfId="640" xr:uid="{00000000-0005-0000-0000-000077020000}"/>
    <cellStyle name="Normal 2 33 4" xfId="641" xr:uid="{00000000-0005-0000-0000-000078020000}"/>
    <cellStyle name="Normal 2 33 5" xfId="642" xr:uid="{00000000-0005-0000-0000-000079020000}"/>
    <cellStyle name="Normal 2 33 6" xfId="643" xr:uid="{00000000-0005-0000-0000-00007A020000}"/>
    <cellStyle name="Normal 2 33 7" xfId="644" xr:uid="{00000000-0005-0000-0000-00007B020000}"/>
    <cellStyle name="Normal 2 33 8" xfId="645" xr:uid="{00000000-0005-0000-0000-00007C020000}"/>
    <cellStyle name="Normal 2 33 9" xfId="646" xr:uid="{00000000-0005-0000-0000-00007D020000}"/>
    <cellStyle name="Normal 2 34" xfId="647" xr:uid="{00000000-0005-0000-0000-00007E020000}"/>
    <cellStyle name="Normal 2 34 10" xfId="648" xr:uid="{00000000-0005-0000-0000-00007F020000}"/>
    <cellStyle name="Normal 2 34 11" xfId="649" xr:uid="{00000000-0005-0000-0000-000080020000}"/>
    <cellStyle name="Normal 2 34 12" xfId="650" xr:uid="{00000000-0005-0000-0000-000081020000}"/>
    <cellStyle name="Normal 2 34 13" xfId="651" xr:uid="{00000000-0005-0000-0000-000082020000}"/>
    <cellStyle name="Normal 2 34 14" xfId="652" xr:uid="{00000000-0005-0000-0000-000083020000}"/>
    <cellStyle name="Normal 2 34 15" xfId="653" xr:uid="{00000000-0005-0000-0000-000084020000}"/>
    <cellStyle name="Normal 2 34 16" xfId="654" xr:uid="{00000000-0005-0000-0000-000085020000}"/>
    <cellStyle name="Normal 2 34 17" xfId="655" xr:uid="{00000000-0005-0000-0000-000086020000}"/>
    <cellStyle name="Normal 2 34 18" xfId="656" xr:uid="{00000000-0005-0000-0000-000087020000}"/>
    <cellStyle name="Normal 2 34 19" xfId="657" xr:uid="{00000000-0005-0000-0000-000088020000}"/>
    <cellStyle name="Normal 2 34 2" xfId="658" xr:uid="{00000000-0005-0000-0000-000089020000}"/>
    <cellStyle name="Normal 2 34 20" xfId="659" xr:uid="{00000000-0005-0000-0000-00008A020000}"/>
    <cellStyle name="Normal 2 34 21" xfId="660" xr:uid="{00000000-0005-0000-0000-00008B020000}"/>
    <cellStyle name="Normal 2 34 22" xfId="661" xr:uid="{00000000-0005-0000-0000-00008C020000}"/>
    <cellStyle name="Normal 2 34 23" xfId="662" xr:uid="{00000000-0005-0000-0000-00008D020000}"/>
    <cellStyle name="Normal 2 34 3" xfId="663" xr:uid="{00000000-0005-0000-0000-00008E020000}"/>
    <cellStyle name="Normal 2 34 4" xfId="664" xr:uid="{00000000-0005-0000-0000-00008F020000}"/>
    <cellStyle name="Normal 2 34 5" xfId="665" xr:uid="{00000000-0005-0000-0000-000090020000}"/>
    <cellStyle name="Normal 2 34 6" xfId="666" xr:uid="{00000000-0005-0000-0000-000091020000}"/>
    <cellStyle name="Normal 2 34 7" xfId="667" xr:uid="{00000000-0005-0000-0000-000092020000}"/>
    <cellStyle name="Normal 2 34 8" xfId="668" xr:uid="{00000000-0005-0000-0000-000093020000}"/>
    <cellStyle name="Normal 2 34 9" xfId="669" xr:uid="{00000000-0005-0000-0000-000094020000}"/>
    <cellStyle name="Normal 2 35" xfId="670" xr:uid="{00000000-0005-0000-0000-000095020000}"/>
    <cellStyle name="Normal 2 35 10" xfId="671" xr:uid="{00000000-0005-0000-0000-000096020000}"/>
    <cellStyle name="Normal 2 35 11" xfId="672" xr:uid="{00000000-0005-0000-0000-000097020000}"/>
    <cellStyle name="Normal 2 35 12" xfId="673" xr:uid="{00000000-0005-0000-0000-000098020000}"/>
    <cellStyle name="Normal 2 35 13" xfId="674" xr:uid="{00000000-0005-0000-0000-000099020000}"/>
    <cellStyle name="Normal 2 35 14" xfId="675" xr:uid="{00000000-0005-0000-0000-00009A020000}"/>
    <cellStyle name="Normal 2 35 15" xfId="676" xr:uid="{00000000-0005-0000-0000-00009B020000}"/>
    <cellStyle name="Normal 2 35 16" xfId="677" xr:uid="{00000000-0005-0000-0000-00009C020000}"/>
    <cellStyle name="Normal 2 35 17" xfId="678" xr:uid="{00000000-0005-0000-0000-00009D020000}"/>
    <cellStyle name="Normal 2 35 18" xfId="679" xr:uid="{00000000-0005-0000-0000-00009E020000}"/>
    <cellStyle name="Normal 2 35 19" xfId="680" xr:uid="{00000000-0005-0000-0000-00009F020000}"/>
    <cellStyle name="Normal 2 35 2" xfId="681" xr:uid="{00000000-0005-0000-0000-0000A0020000}"/>
    <cellStyle name="Normal 2 35 20" xfId="682" xr:uid="{00000000-0005-0000-0000-0000A1020000}"/>
    <cellStyle name="Normal 2 35 21" xfId="683" xr:uid="{00000000-0005-0000-0000-0000A2020000}"/>
    <cellStyle name="Normal 2 35 22" xfId="684" xr:uid="{00000000-0005-0000-0000-0000A3020000}"/>
    <cellStyle name="Normal 2 35 23" xfId="685" xr:uid="{00000000-0005-0000-0000-0000A4020000}"/>
    <cellStyle name="Normal 2 35 3" xfId="686" xr:uid="{00000000-0005-0000-0000-0000A5020000}"/>
    <cellStyle name="Normal 2 35 4" xfId="687" xr:uid="{00000000-0005-0000-0000-0000A6020000}"/>
    <cellStyle name="Normal 2 35 5" xfId="688" xr:uid="{00000000-0005-0000-0000-0000A7020000}"/>
    <cellStyle name="Normal 2 35 6" xfId="689" xr:uid="{00000000-0005-0000-0000-0000A8020000}"/>
    <cellStyle name="Normal 2 35 7" xfId="690" xr:uid="{00000000-0005-0000-0000-0000A9020000}"/>
    <cellStyle name="Normal 2 35 8" xfId="691" xr:uid="{00000000-0005-0000-0000-0000AA020000}"/>
    <cellStyle name="Normal 2 35 9" xfId="692" xr:uid="{00000000-0005-0000-0000-0000AB020000}"/>
    <cellStyle name="Normal 2 36" xfId="693" xr:uid="{00000000-0005-0000-0000-0000AC020000}"/>
    <cellStyle name="Normal 2 36 10" xfId="694" xr:uid="{00000000-0005-0000-0000-0000AD020000}"/>
    <cellStyle name="Normal 2 36 11" xfId="695" xr:uid="{00000000-0005-0000-0000-0000AE020000}"/>
    <cellStyle name="Normal 2 36 12" xfId="696" xr:uid="{00000000-0005-0000-0000-0000AF020000}"/>
    <cellStyle name="Normal 2 36 13" xfId="697" xr:uid="{00000000-0005-0000-0000-0000B0020000}"/>
    <cellStyle name="Normal 2 36 14" xfId="698" xr:uid="{00000000-0005-0000-0000-0000B1020000}"/>
    <cellStyle name="Normal 2 36 15" xfId="699" xr:uid="{00000000-0005-0000-0000-0000B2020000}"/>
    <cellStyle name="Normal 2 36 16" xfId="700" xr:uid="{00000000-0005-0000-0000-0000B3020000}"/>
    <cellStyle name="Normal 2 36 17" xfId="701" xr:uid="{00000000-0005-0000-0000-0000B4020000}"/>
    <cellStyle name="Normal 2 36 18" xfId="702" xr:uid="{00000000-0005-0000-0000-0000B5020000}"/>
    <cellStyle name="Normal 2 36 19" xfId="703" xr:uid="{00000000-0005-0000-0000-0000B6020000}"/>
    <cellStyle name="Normal 2 36 2" xfId="704" xr:uid="{00000000-0005-0000-0000-0000B7020000}"/>
    <cellStyle name="Normal 2 36 20" xfId="705" xr:uid="{00000000-0005-0000-0000-0000B8020000}"/>
    <cellStyle name="Normal 2 36 21" xfId="706" xr:uid="{00000000-0005-0000-0000-0000B9020000}"/>
    <cellStyle name="Normal 2 36 22" xfId="707" xr:uid="{00000000-0005-0000-0000-0000BA020000}"/>
    <cellStyle name="Normal 2 36 23" xfId="708" xr:uid="{00000000-0005-0000-0000-0000BB020000}"/>
    <cellStyle name="Normal 2 36 3" xfId="709" xr:uid="{00000000-0005-0000-0000-0000BC020000}"/>
    <cellStyle name="Normal 2 36 4" xfId="710" xr:uid="{00000000-0005-0000-0000-0000BD020000}"/>
    <cellStyle name="Normal 2 36 5" xfId="711" xr:uid="{00000000-0005-0000-0000-0000BE020000}"/>
    <cellStyle name="Normal 2 36 6" xfId="712" xr:uid="{00000000-0005-0000-0000-0000BF020000}"/>
    <cellStyle name="Normal 2 36 7" xfId="713" xr:uid="{00000000-0005-0000-0000-0000C0020000}"/>
    <cellStyle name="Normal 2 36 8" xfId="714" xr:uid="{00000000-0005-0000-0000-0000C1020000}"/>
    <cellStyle name="Normal 2 36 9" xfId="715" xr:uid="{00000000-0005-0000-0000-0000C2020000}"/>
    <cellStyle name="Normal 2 37" xfId="716" xr:uid="{00000000-0005-0000-0000-0000C3020000}"/>
    <cellStyle name="Normal 2 37 10" xfId="717" xr:uid="{00000000-0005-0000-0000-0000C4020000}"/>
    <cellStyle name="Normal 2 37 11" xfId="718" xr:uid="{00000000-0005-0000-0000-0000C5020000}"/>
    <cellStyle name="Normal 2 37 12" xfId="719" xr:uid="{00000000-0005-0000-0000-0000C6020000}"/>
    <cellStyle name="Normal 2 37 13" xfId="720" xr:uid="{00000000-0005-0000-0000-0000C7020000}"/>
    <cellStyle name="Normal 2 37 14" xfId="721" xr:uid="{00000000-0005-0000-0000-0000C8020000}"/>
    <cellStyle name="Normal 2 37 15" xfId="722" xr:uid="{00000000-0005-0000-0000-0000C9020000}"/>
    <cellStyle name="Normal 2 37 16" xfId="723" xr:uid="{00000000-0005-0000-0000-0000CA020000}"/>
    <cellStyle name="Normal 2 37 17" xfId="724" xr:uid="{00000000-0005-0000-0000-0000CB020000}"/>
    <cellStyle name="Normal 2 37 18" xfId="725" xr:uid="{00000000-0005-0000-0000-0000CC020000}"/>
    <cellStyle name="Normal 2 37 19" xfId="726" xr:uid="{00000000-0005-0000-0000-0000CD020000}"/>
    <cellStyle name="Normal 2 37 2" xfId="727" xr:uid="{00000000-0005-0000-0000-0000CE020000}"/>
    <cellStyle name="Normal 2 37 20" xfId="728" xr:uid="{00000000-0005-0000-0000-0000CF020000}"/>
    <cellStyle name="Normal 2 37 21" xfId="729" xr:uid="{00000000-0005-0000-0000-0000D0020000}"/>
    <cellStyle name="Normal 2 37 22" xfId="730" xr:uid="{00000000-0005-0000-0000-0000D1020000}"/>
    <cellStyle name="Normal 2 37 23" xfId="731" xr:uid="{00000000-0005-0000-0000-0000D2020000}"/>
    <cellStyle name="Normal 2 37 3" xfId="732" xr:uid="{00000000-0005-0000-0000-0000D3020000}"/>
    <cellStyle name="Normal 2 37 4" xfId="733" xr:uid="{00000000-0005-0000-0000-0000D4020000}"/>
    <cellStyle name="Normal 2 37 5" xfId="734" xr:uid="{00000000-0005-0000-0000-0000D5020000}"/>
    <cellStyle name="Normal 2 37 6" xfId="735" xr:uid="{00000000-0005-0000-0000-0000D6020000}"/>
    <cellStyle name="Normal 2 37 7" xfId="736" xr:uid="{00000000-0005-0000-0000-0000D7020000}"/>
    <cellStyle name="Normal 2 37 8" xfId="737" xr:uid="{00000000-0005-0000-0000-0000D8020000}"/>
    <cellStyle name="Normal 2 37 9" xfId="738" xr:uid="{00000000-0005-0000-0000-0000D9020000}"/>
    <cellStyle name="Normal 2 38" xfId="739" xr:uid="{00000000-0005-0000-0000-0000DA020000}"/>
    <cellStyle name="Normal 2 38 10" xfId="740" xr:uid="{00000000-0005-0000-0000-0000DB020000}"/>
    <cellStyle name="Normal 2 38 11" xfId="741" xr:uid="{00000000-0005-0000-0000-0000DC020000}"/>
    <cellStyle name="Normal 2 38 12" xfId="742" xr:uid="{00000000-0005-0000-0000-0000DD020000}"/>
    <cellStyle name="Normal 2 38 13" xfId="743" xr:uid="{00000000-0005-0000-0000-0000DE020000}"/>
    <cellStyle name="Normal 2 38 14" xfId="744" xr:uid="{00000000-0005-0000-0000-0000DF020000}"/>
    <cellStyle name="Normal 2 38 15" xfId="745" xr:uid="{00000000-0005-0000-0000-0000E0020000}"/>
    <cellStyle name="Normal 2 38 16" xfId="746" xr:uid="{00000000-0005-0000-0000-0000E1020000}"/>
    <cellStyle name="Normal 2 38 17" xfId="747" xr:uid="{00000000-0005-0000-0000-0000E2020000}"/>
    <cellStyle name="Normal 2 38 18" xfId="748" xr:uid="{00000000-0005-0000-0000-0000E3020000}"/>
    <cellStyle name="Normal 2 38 19" xfId="749" xr:uid="{00000000-0005-0000-0000-0000E4020000}"/>
    <cellStyle name="Normal 2 38 2" xfId="750" xr:uid="{00000000-0005-0000-0000-0000E5020000}"/>
    <cellStyle name="Normal 2 38 20" xfId="751" xr:uid="{00000000-0005-0000-0000-0000E6020000}"/>
    <cellStyle name="Normal 2 38 21" xfId="752" xr:uid="{00000000-0005-0000-0000-0000E7020000}"/>
    <cellStyle name="Normal 2 38 22" xfId="753" xr:uid="{00000000-0005-0000-0000-0000E8020000}"/>
    <cellStyle name="Normal 2 38 23" xfId="754" xr:uid="{00000000-0005-0000-0000-0000E9020000}"/>
    <cellStyle name="Normal 2 38 3" xfId="755" xr:uid="{00000000-0005-0000-0000-0000EA020000}"/>
    <cellStyle name="Normal 2 38 4" xfId="756" xr:uid="{00000000-0005-0000-0000-0000EB020000}"/>
    <cellStyle name="Normal 2 38 5" xfId="757" xr:uid="{00000000-0005-0000-0000-0000EC020000}"/>
    <cellStyle name="Normal 2 38 6" xfId="758" xr:uid="{00000000-0005-0000-0000-0000ED020000}"/>
    <cellStyle name="Normal 2 38 7" xfId="759" xr:uid="{00000000-0005-0000-0000-0000EE020000}"/>
    <cellStyle name="Normal 2 38 8" xfId="760" xr:uid="{00000000-0005-0000-0000-0000EF020000}"/>
    <cellStyle name="Normal 2 38 9" xfId="761" xr:uid="{00000000-0005-0000-0000-0000F0020000}"/>
    <cellStyle name="Normal 2 39" xfId="762" xr:uid="{00000000-0005-0000-0000-0000F1020000}"/>
    <cellStyle name="Normal 2 39 10" xfId="763" xr:uid="{00000000-0005-0000-0000-0000F2020000}"/>
    <cellStyle name="Normal 2 39 11" xfId="764" xr:uid="{00000000-0005-0000-0000-0000F3020000}"/>
    <cellStyle name="Normal 2 39 12" xfId="765" xr:uid="{00000000-0005-0000-0000-0000F4020000}"/>
    <cellStyle name="Normal 2 39 13" xfId="766" xr:uid="{00000000-0005-0000-0000-0000F5020000}"/>
    <cellStyle name="Normal 2 39 14" xfId="767" xr:uid="{00000000-0005-0000-0000-0000F6020000}"/>
    <cellStyle name="Normal 2 39 15" xfId="768" xr:uid="{00000000-0005-0000-0000-0000F7020000}"/>
    <cellStyle name="Normal 2 39 16" xfId="769" xr:uid="{00000000-0005-0000-0000-0000F8020000}"/>
    <cellStyle name="Normal 2 39 17" xfId="770" xr:uid="{00000000-0005-0000-0000-0000F9020000}"/>
    <cellStyle name="Normal 2 39 18" xfId="771" xr:uid="{00000000-0005-0000-0000-0000FA020000}"/>
    <cellStyle name="Normal 2 39 19" xfId="772" xr:uid="{00000000-0005-0000-0000-0000FB020000}"/>
    <cellStyle name="Normal 2 39 2" xfId="773" xr:uid="{00000000-0005-0000-0000-0000FC020000}"/>
    <cellStyle name="Normal 2 39 20" xfId="774" xr:uid="{00000000-0005-0000-0000-0000FD020000}"/>
    <cellStyle name="Normal 2 39 21" xfId="775" xr:uid="{00000000-0005-0000-0000-0000FE020000}"/>
    <cellStyle name="Normal 2 39 22" xfId="776" xr:uid="{00000000-0005-0000-0000-0000FF020000}"/>
    <cellStyle name="Normal 2 39 23" xfId="777" xr:uid="{00000000-0005-0000-0000-000000030000}"/>
    <cellStyle name="Normal 2 39 3" xfId="778" xr:uid="{00000000-0005-0000-0000-000001030000}"/>
    <cellStyle name="Normal 2 39 4" xfId="779" xr:uid="{00000000-0005-0000-0000-000002030000}"/>
    <cellStyle name="Normal 2 39 5" xfId="780" xr:uid="{00000000-0005-0000-0000-000003030000}"/>
    <cellStyle name="Normal 2 39 6" xfId="781" xr:uid="{00000000-0005-0000-0000-000004030000}"/>
    <cellStyle name="Normal 2 39 7" xfId="782" xr:uid="{00000000-0005-0000-0000-000005030000}"/>
    <cellStyle name="Normal 2 39 8" xfId="783" xr:uid="{00000000-0005-0000-0000-000006030000}"/>
    <cellStyle name="Normal 2 39 9" xfId="784" xr:uid="{00000000-0005-0000-0000-000007030000}"/>
    <cellStyle name="Normal 2 4" xfId="785" xr:uid="{00000000-0005-0000-0000-000008030000}"/>
    <cellStyle name="Normal 2 4 2" xfId="2396" xr:uid="{00000000-0005-0000-0000-000011040000}"/>
    <cellStyle name="Normal 2 4 3" xfId="2397" xr:uid="{00000000-0005-0000-0000-000012040000}"/>
    <cellStyle name="Normal 2 40" xfId="786" xr:uid="{00000000-0005-0000-0000-000009030000}"/>
    <cellStyle name="Normal 2 41" xfId="787" xr:uid="{00000000-0005-0000-0000-00000A030000}"/>
    <cellStyle name="Normal 2 42" xfId="788" xr:uid="{00000000-0005-0000-0000-00000B030000}"/>
    <cellStyle name="Normal 2 43" xfId="789" xr:uid="{00000000-0005-0000-0000-00000C030000}"/>
    <cellStyle name="Normal 2 44" xfId="790" xr:uid="{00000000-0005-0000-0000-00000D030000}"/>
    <cellStyle name="Normal 2 45" xfId="791" xr:uid="{00000000-0005-0000-0000-00000E030000}"/>
    <cellStyle name="Normal 2 46" xfId="792" xr:uid="{00000000-0005-0000-0000-00000F030000}"/>
    <cellStyle name="Normal 2 47" xfId="793" xr:uid="{00000000-0005-0000-0000-000010030000}"/>
    <cellStyle name="Normal 2 48" xfId="794" xr:uid="{00000000-0005-0000-0000-000011030000}"/>
    <cellStyle name="Normal 2 49" xfId="795" xr:uid="{00000000-0005-0000-0000-000012030000}"/>
    <cellStyle name="Normal 2 5" xfId="796" xr:uid="{00000000-0005-0000-0000-000013030000}"/>
    <cellStyle name="Normal 2 5 10" xfId="797" xr:uid="{00000000-0005-0000-0000-000014030000}"/>
    <cellStyle name="Normal 2 5 11" xfId="798" xr:uid="{00000000-0005-0000-0000-000015030000}"/>
    <cellStyle name="Normal 2 5 12" xfId="799" xr:uid="{00000000-0005-0000-0000-000016030000}"/>
    <cellStyle name="Normal 2 5 13" xfId="800" xr:uid="{00000000-0005-0000-0000-000017030000}"/>
    <cellStyle name="Normal 2 5 14" xfId="801" xr:uid="{00000000-0005-0000-0000-000018030000}"/>
    <cellStyle name="Normal 2 5 15" xfId="802" xr:uid="{00000000-0005-0000-0000-000019030000}"/>
    <cellStyle name="Normal 2 5 16" xfId="803" xr:uid="{00000000-0005-0000-0000-00001A030000}"/>
    <cellStyle name="Normal 2 5 17" xfId="804" xr:uid="{00000000-0005-0000-0000-00001B030000}"/>
    <cellStyle name="Normal 2 5 18" xfId="805" xr:uid="{00000000-0005-0000-0000-00001C030000}"/>
    <cellStyle name="Normal 2 5 19" xfId="806" xr:uid="{00000000-0005-0000-0000-00001D030000}"/>
    <cellStyle name="Normal 2 5 2" xfId="807" xr:uid="{00000000-0005-0000-0000-00001E030000}"/>
    <cellStyle name="Normal 2 5 2 10" xfId="808" xr:uid="{00000000-0005-0000-0000-00001F030000}"/>
    <cellStyle name="Normal 2 5 2 11" xfId="809" xr:uid="{00000000-0005-0000-0000-000020030000}"/>
    <cellStyle name="Normal 2 5 2 12" xfId="810" xr:uid="{00000000-0005-0000-0000-000021030000}"/>
    <cellStyle name="Normal 2 5 2 13" xfId="811" xr:uid="{00000000-0005-0000-0000-000022030000}"/>
    <cellStyle name="Normal 2 5 2 14" xfId="812" xr:uid="{00000000-0005-0000-0000-000023030000}"/>
    <cellStyle name="Normal 2 5 2 15" xfId="813" xr:uid="{00000000-0005-0000-0000-000024030000}"/>
    <cellStyle name="Normal 2 5 2 16" xfId="814" xr:uid="{00000000-0005-0000-0000-000025030000}"/>
    <cellStyle name="Normal 2 5 2 17" xfId="815" xr:uid="{00000000-0005-0000-0000-000026030000}"/>
    <cellStyle name="Normal 2 5 2 18" xfId="816" xr:uid="{00000000-0005-0000-0000-000027030000}"/>
    <cellStyle name="Normal 2 5 2 19" xfId="817" xr:uid="{00000000-0005-0000-0000-000028030000}"/>
    <cellStyle name="Normal 2 5 2 2" xfId="818" xr:uid="{00000000-0005-0000-0000-000029030000}"/>
    <cellStyle name="Normal 2 5 2 2 10" xfId="819" xr:uid="{00000000-0005-0000-0000-00002A030000}"/>
    <cellStyle name="Normal 2 5 2 2 11" xfId="820" xr:uid="{00000000-0005-0000-0000-00002B030000}"/>
    <cellStyle name="Normal 2 5 2 2 12" xfId="821" xr:uid="{00000000-0005-0000-0000-00002C030000}"/>
    <cellStyle name="Normal 2 5 2 2 13" xfId="822" xr:uid="{00000000-0005-0000-0000-00002D030000}"/>
    <cellStyle name="Normal 2 5 2 2 14" xfId="823" xr:uid="{00000000-0005-0000-0000-00002E030000}"/>
    <cellStyle name="Normal 2 5 2 2 15" xfId="824" xr:uid="{00000000-0005-0000-0000-00002F030000}"/>
    <cellStyle name="Normal 2 5 2 2 16" xfId="825" xr:uid="{00000000-0005-0000-0000-000030030000}"/>
    <cellStyle name="Normal 2 5 2 2 17" xfId="826" xr:uid="{00000000-0005-0000-0000-000031030000}"/>
    <cellStyle name="Normal 2 5 2 2 18" xfId="827" xr:uid="{00000000-0005-0000-0000-000032030000}"/>
    <cellStyle name="Normal 2 5 2 2 19" xfId="828" xr:uid="{00000000-0005-0000-0000-000033030000}"/>
    <cellStyle name="Normal 2 5 2 2 2" xfId="829" xr:uid="{00000000-0005-0000-0000-000034030000}"/>
    <cellStyle name="Normal 2 5 2 2 20" xfId="830" xr:uid="{00000000-0005-0000-0000-000035030000}"/>
    <cellStyle name="Normal 2 5 2 2 21" xfId="831" xr:uid="{00000000-0005-0000-0000-000036030000}"/>
    <cellStyle name="Normal 2 5 2 2 22" xfId="832" xr:uid="{00000000-0005-0000-0000-000037030000}"/>
    <cellStyle name="Normal 2 5 2 2 23" xfId="833" xr:uid="{00000000-0005-0000-0000-000038030000}"/>
    <cellStyle name="Normal 2 5 2 2 24" xfId="834" xr:uid="{00000000-0005-0000-0000-000039030000}"/>
    <cellStyle name="Normal 2 5 2 2 25" xfId="835" xr:uid="{00000000-0005-0000-0000-00003A030000}"/>
    <cellStyle name="Normal 2 5 2 2 26" xfId="836" xr:uid="{00000000-0005-0000-0000-00003B030000}"/>
    <cellStyle name="Normal 2 5 2 2 27" xfId="837" xr:uid="{00000000-0005-0000-0000-00003C030000}"/>
    <cellStyle name="Normal 2 5 2 2 28" xfId="838" xr:uid="{00000000-0005-0000-0000-00003D030000}"/>
    <cellStyle name="Normal 2 5 2 2 29" xfId="839" xr:uid="{00000000-0005-0000-0000-00003E030000}"/>
    <cellStyle name="Normal 2 5 2 2 3" xfId="840" xr:uid="{00000000-0005-0000-0000-00003F030000}"/>
    <cellStyle name="Normal 2 5 2 2 30" xfId="841" xr:uid="{00000000-0005-0000-0000-000040030000}"/>
    <cellStyle name="Normal 2 5 2 2 31" xfId="842" xr:uid="{00000000-0005-0000-0000-000041030000}"/>
    <cellStyle name="Normal 2 5 2 2 32" xfId="843" xr:uid="{00000000-0005-0000-0000-000042030000}"/>
    <cellStyle name="Normal 2 5 2 2 33" xfId="844" xr:uid="{00000000-0005-0000-0000-000043030000}"/>
    <cellStyle name="Normal 2 5 2 2 34" xfId="845" xr:uid="{00000000-0005-0000-0000-000044030000}"/>
    <cellStyle name="Normal 2 5 2 2 35" xfId="846" xr:uid="{00000000-0005-0000-0000-000045030000}"/>
    <cellStyle name="Normal 2 5 2 2 36" xfId="847" xr:uid="{00000000-0005-0000-0000-000046030000}"/>
    <cellStyle name="Normal 2 5 2 2 37" xfId="848" xr:uid="{00000000-0005-0000-0000-000047030000}"/>
    <cellStyle name="Normal 2 5 2 2 38" xfId="849" xr:uid="{00000000-0005-0000-0000-000048030000}"/>
    <cellStyle name="Normal 2 5 2 2 39" xfId="850" xr:uid="{00000000-0005-0000-0000-000049030000}"/>
    <cellStyle name="Normal 2 5 2 2 4" xfId="851" xr:uid="{00000000-0005-0000-0000-00004A030000}"/>
    <cellStyle name="Normal 2 5 2 2 40" xfId="852" xr:uid="{00000000-0005-0000-0000-00004B030000}"/>
    <cellStyle name="Normal 2 5 2 2 41" xfId="853" xr:uid="{00000000-0005-0000-0000-00004C030000}"/>
    <cellStyle name="Normal 2 5 2 2 42" xfId="854" xr:uid="{00000000-0005-0000-0000-00004D030000}"/>
    <cellStyle name="Normal 2 5 2 2 43" xfId="855" xr:uid="{00000000-0005-0000-0000-00004E030000}"/>
    <cellStyle name="Normal 2 5 2 2 44" xfId="856" xr:uid="{00000000-0005-0000-0000-00004F030000}"/>
    <cellStyle name="Normal 2 5 2 2 45" xfId="857" xr:uid="{00000000-0005-0000-0000-000050030000}"/>
    <cellStyle name="Normal 2 5 2 2 46" xfId="858" xr:uid="{00000000-0005-0000-0000-000051030000}"/>
    <cellStyle name="Normal 2 5 2 2 47" xfId="859" xr:uid="{00000000-0005-0000-0000-000052030000}"/>
    <cellStyle name="Normal 2 5 2 2 48" xfId="860" xr:uid="{00000000-0005-0000-0000-000053030000}"/>
    <cellStyle name="Normal 2 5 2 2 49" xfId="861" xr:uid="{00000000-0005-0000-0000-000054030000}"/>
    <cellStyle name="Normal 2 5 2 2 5" xfId="862" xr:uid="{00000000-0005-0000-0000-000055030000}"/>
    <cellStyle name="Normal 2 5 2 2 50" xfId="863" xr:uid="{00000000-0005-0000-0000-000056030000}"/>
    <cellStyle name="Normal 2 5 2 2 51" xfId="864" xr:uid="{00000000-0005-0000-0000-000057030000}"/>
    <cellStyle name="Normal 2 5 2 2 52" xfId="865" xr:uid="{00000000-0005-0000-0000-000058030000}"/>
    <cellStyle name="Normal 2 5 2 2 53" xfId="866" xr:uid="{00000000-0005-0000-0000-000059030000}"/>
    <cellStyle name="Normal 2 5 2 2 54" xfId="867" xr:uid="{00000000-0005-0000-0000-00005A030000}"/>
    <cellStyle name="Normal 2 5 2 2 55" xfId="868" xr:uid="{00000000-0005-0000-0000-00005B030000}"/>
    <cellStyle name="Normal 2 5 2 2 6" xfId="869" xr:uid="{00000000-0005-0000-0000-00005C030000}"/>
    <cellStyle name="Normal 2 5 2 2 7" xfId="870" xr:uid="{00000000-0005-0000-0000-00005D030000}"/>
    <cellStyle name="Normal 2 5 2 2 8" xfId="871" xr:uid="{00000000-0005-0000-0000-00005E030000}"/>
    <cellStyle name="Normal 2 5 2 2 9" xfId="872" xr:uid="{00000000-0005-0000-0000-00005F030000}"/>
    <cellStyle name="Normal 2 5 2 20" xfId="873" xr:uid="{00000000-0005-0000-0000-000060030000}"/>
    <cellStyle name="Normal 2 5 2 21" xfId="874" xr:uid="{00000000-0005-0000-0000-000061030000}"/>
    <cellStyle name="Normal 2 5 2 22" xfId="875" xr:uid="{00000000-0005-0000-0000-000062030000}"/>
    <cellStyle name="Normal 2 5 2 23" xfId="876" xr:uid="{00000000-0005-0000-0000-000063030000}"/>
    <cellStyle name="Normal 2 5 2 24" xfId="877" xr:uid="{00000000-0005-0000-0000-000064030000}"/>
    <cellStyle name="Normal 2 5 2 25" xfId="878" xr:uid="{00000000-0005-0000-0000-000065030000}"/>
    <cellStyle name="Normal 2 5 2 26" xfId="879" xr:uid="{00000000-0005-0000-0000-000066030000}"/>
    <cellStyle name="Normal 2 5 2 27" xfId="880" xr:uid="{00000000-0005-0000-0000-000067030000}"/>
    <cellStyle name="Normal 2 5 2 28" xfId="881" xr:uid="{00000000-0005-0000-0000-000068030000}"/>
    <cellStyle name="Normal 2 5 2 29" xfId="882" xr:uid="{00000000-0005-0000-0000-000069030000}"/>
    <cellStyle name="Normal 2 5 2 3" xfId="883" xr:uid="{00000000-0005-0000-0000-00006A030000}"/>
    <cellStyle name="Normal 2 5 2 30" xfId="884" xr:uid="{00000000-0005-0000-0000-00006B030000}"/>
    <cellStyle name="Normal 2 5 2 31" xfId="885" xr:uid="{00000000-0005-0000-0000-00006C030000}"/>
    <cellStyle name="Normal 2 5 2 32" xfId="886" xr:uid="{00000000-0005-0000-0000-00006D030000}"/>
    <cellStyle name="Normal 2 5 2 33" xfId="887" xr:uid="{00000000-0005-0000-0000-00006E030000}"/>
    <cellStyle name="Normal 2 5 2 4" xfId="888" xr:uid="{00000000-0005-0000-0000-00006F030000}"/>
    <cellStyle name="Normal 2 5 2 5" xfId="889" xr:uid="{00000000-0005-0000-0000-000070030000}"/>
    <cellStyle name="Normal 2 5 2 6" xfId="890" xr:uid="{00000000-0005-0000-0000-000071030000}"/>
    <cellStyle name="Normal 2 5 2 7" xfId="891" xr:uid="{00000000-0005-0000-0000-000072030000}"/>
    <cellStyle name="Normal 2 5 2 8" xfId="892" xr:uid="{00000000-0005-0000-0000-000073030000}"/>
    <cellStyle name="Normal 2 5 2 9" xfId="893" xr:uid="{00000000-0005-0000-0000-000074030000}"/>
    <cellStyle name="Normal 2 5 20" xfId="894" xr:uid="{00000000-0005-0000-0000-000075030000}"/>
    <cellStyle name="Normal 2 5 21" xfId="895" xr:uid="{00000000-0005-0000-0000-000076030000}"/>
    <cellStyle name="Normal 2 5 22" xfId="896" xr:uid="{00000000-0005-0000-0000-000077030000}"/>
    <cellStyle name="Normal 2 5 23" xfId="897" xr:uid="{00000000-0005-0000-0000-000078030000}"/>
    <cellStyle name="Normal 2 5 24" xfId="898" xr:uid="{00000000-0005-0000-0000-000079030000}"/>
    <cellStyle name="Normal 2 5 25" xfId="899" xr:uid="{00000000-0005-0000-0000-00007A030000}"/>
    <cellStyle name="Normal 2 5 26" xfId="900" xr:uid="{00000000-0005-0000-0000-00007B030000}"/>
    <cellStyle name="Normal 2 5 27" xfId="901" xr:uid="{00000000-0005-0000-0000-00007C030000}"/>
    <cellStyle name="Normal 2 5 28" xfId="902" xr:uid="{00000000-0005-0000-0000-00007D030000}"/>
    <cellStyle name="Normal 2 5 29" xfId="903" xr:uid="{00000000-0005-0000-0000-00007E030000}"/>
    <cellStyle name="Normal 2 5 3" xfId="904" xr:uid="{00000000-0005-0000-0000-00007F030000}"/>
    <cellStyle name="Normal 2 5 30" xfId="905" xr:uid="{00000000-0005-0000-0000-000080030000}"/>
    <cellStyle name="Normal 2 5 31" xfId="906" xr:uid="{00000000-0005-0000-0000-000081030000}"/>
    <cellStyle name="Normal 2 5 32" xfId="907" xr:uid="{00000000-0005-0000-0000-000082030000}"/>
    <cellStyle name="Normal 2 5 33" xfId="908" xr:uid="{00000000-0005-0000-0000-000083030000}"/>
    <cellStyle name="Normal 2 5 34" xfId="909" xr:uid="{00000000-0005-0000-0000-000084030000}"/>
    <cellStyle name="Normal 2 5 35" xfId="910" xr:uid="{00000000-0005-0000-0000-000085030000}"/>
    <cellStyle name="Normal 2 5 36" xfId="911" xr:uid="{00000000-0005-0000-0000-000086030000}"/>
    <cellStyle name="Normal 2 5 37" xfId="912" xr:uid="{00000000-0005-0000-0000-000087030000}"/>
    <cellStyle name="Normal 2 5 38" xfId="913" xr:uid="{00000000-0005-0000-0000-000088030000}"/>
    <cellStyle name="Normal 2 5 39" xfId="914" xr:uid="{00000000-0005-0000-0000-000089030000}"/>
    <cellStyle name="Normal 2 5 4" xfId="915" xr:uid="{00000000-0005-0000-0000-00008A030000}"/>
    <cellStyle name="Normal 2 5 40" xfId="916" xr:uid="{00000000-0005-0000-0000-00008B030000}"/>
    <cellStyle name="Normal 2 5 41" xfId="917" xr:uid="{00000000-0005-0000-0000-00008C030000}"/>
    <cellStyle name="Normal 2 5 42" xfId="918" xr:uid="{00000000-0005-0000-0000-00008D030000}"/>
    <cellStyle name="Normal 2 5 43" xfId="919" xr:uid="{00000000-0005-0000-0000-00008E030000}"/>
    <cellStyle name="Normal 2 5 44" xfId="920" xr:uid="{00000000-0005-0000-0000-00008F030000}"/>
    <cellStyle name="Normal 2 5 45" xfId="921" xr:uid="{00000000-0005-0000-0000-000090030000}"/>
    <cellStyle name="Normal 2 5 46" xfId="922" xr:uid="{00000000-0005-0000-0000-000091030000}"/>
    <cellStyle name="Normal 2 5 47" xfId="923" xr:uid="{00000000-0005-0000-0000-000092030000}"/>
    <cellStyle name="Normal 2 5 48" xfId="924" xr:uid="{00000000-0005-0000-0000-000093030000}"/>
    <cellStyle name="Normal 2 5 49" xfId="925" xr:uid="{00000000-0005-0000-0000-000094030000}"/>
    <cellStyle name="Normal 2 5 5" xfId="926" xr:uid="{00000000-0005-0000-0000-000095030000}"/>
    <cellStyle name="Normal 2 5 50" xfId="927" xr:uid="{00000000-0005-0000-0000-000096030000}"/>
    <cellStyle name="Normal 2 5 51" xfId="928" xr:uid="{00000000-0005-0000-0000-000097030000}"/>
    <cellStyle name="Normal 2 5 52" xfId="929" xr:uid="{00000000-0005-0000-0000-000098030000}"/>
    <cellStyle name="Normal 2 5 53" xfId="930" xr:uid="{00000000-0005-0000-0000-000099030000}"/>
    <cellStyle name="Normal 2 5 54" xfId="931" xr:uid="{00000000-0005-0000-0000-00009A030000}"/>
    <cellStyle name="Normal 2 5 55" xfId="932" xr:uid="{00000000-0005-0000-0000-00009B030000}"/>
    <cellStyle name="Normal 2 5 56" xfId="933" xr:uid="{00000000-0005-0000-0000-00009C030000}"/>
    <cellStyle name="Normal 2 5 57" xfId="934" xr:uid="{00000000-0005-0000-0000-00009D030000}"/>
    <cellStyle name="Normal 2 5 58" xfId="935" xr:uid="{00000000-0005-0000-0000-00009E030000}"/>
    <cellStyle name="Normal 2 5 59" xfId="936" xr:uid="{00000000-0005-0000-0000-00009F030000}"/>
    <cellStyle name="Normal 2 5 6" xfId="937" xr:uid="{00000000-0005-0000-0000-0000A0030000}"/>
    <cellStyle name="Normal 2 5 60" xfId="938" xr:uid="{00000000-0005-0000-0000-0000A1030000}"/>
    <cellStyle name="Normal 2 5 61" xfId="939" xr:uid="{00000000-0005-0000-0000-0000A2030000}"/>
    <cellStyle name="Normal 2 5 62" xfId="940" xr:uid="{00000000-0005-0000-0000-0000A3030000}"/>
    <cellStyle name="Normal 2 5 63" xfId="941" xr:uid="{00000000-0005-0000-0000-0000A4030000}"/>
    <cellStyle name="Normal 2 5 64" xfId="942" xr:uid="{00000000-0005-0000-0000-0000A5030000}"/>
    <cellStyle name="Normal 2 5 65" xfId="943" xr:uid="{00000000-0005-0000-0000-0000A6030000}"/>
    <cellStyle name="Normal 2 5 66" xfId="944" xr:uid="{00000000-0005-0000-0000-0000A7030000}"/>
    <cellStyle name="Normal 2 5 67" xfId="945" xr:uid="{00000000-0005-0000-0000-0000A8030000}"/>
    <cellStyle name="Normal 2 5 68" xfId="946" xr:uid="{00000000-0005-0000-0000-0000A9030000}"/>
    <cellStyle name="Normal 2 5 69" xfId="947" xr:uid="{00000000-0005-0000-0000-0000AA030000}"/>
    <cellStyle name="Normal 2 5 7" xfId="948" xr:uid="{00000000-0005-0000-0000-0000AB030000}"/>
    <cellStyle name="Normal 2 5 70" xfId="949" xr:uid="{00000000-0005-0000-0000-0000AC030000}"/>
    <cellStyle name="Normal 2 5 71" xfId="950" xr:uid="{00000000-0005-0000-0000-0000AD030000}"/>
    <cellStyle name="Normal 2 5 72" xfId="951" xr:uid="{00000000-0005-0000-0000-0000AE030000}"/>
    <cellStyle name="Normal 2 5 73" xfId="952" xr:uid="{00000000-0005-0000-0000-0000AF030000}"/>
    <cellStyle name="Normal 2 5 74" xfId="953" xr:uid="{00000000-0005-0000-0000-0000B0030000}"/>
    <cellStyle name="Normal 2 5 75" xfId="954" xr:uid="{00000000-0005-0000-0000-0000B1030000}"/>
    <cellStyle name="Normal 2 5 76" xfId="955" xr:uid="{00000000-0005-0000-0000-0000B2030000}"/>
    <cellStyle name="Normal 2 5 77" xfId="956" xr:uid="{00000000-0005-0000-0000-0000B3030000}"/>
    <cellStyle name="Normal 2 5 78" xfId="957" xr:uid="{00000000-0005-0000-0000-0000B4030000}"/>
    <cellStyle name="Normal 2 5 79" xfId="958" xr:uid="{00000000-0005-0000-0000-0000B5030000}"/>
    <cellStyle name="Normal 2 5 8" xfId="959" xr:uid="{00000000-0005-0000-0000-0000B6030000}"/>
    <cellStyle name="Normal 2 5 80" xfId="960" xr:uid="{00000000-0005-0000-0000-0000B7030000}"/>
    <cellStyle name="Normal 2 5 81" xfId="961" xr:uid="{00000000-0005-0000-0000-0000B8030000}"/>
    <cellStyle name="Normal 2 5 82" xfId="962" xr:uid="{00000000-0005-0000-0000-0000B9030000}"/>
    <cellStyle name="Normal 2 5 83" xfId="963" xr:uid="{00000000-0005-0000-0000-0000BA030000}"/>
    <cellStyle name="Normal 2 5 84" xfId="964" xr:uid="{00000000-0005-0000-0000-0000BB030000}"/>
    <cellStyle name="Normal 2 5 85" xfId="965" xr:uid="{00000000-0005-0000-0000-0000BC030000}"/>
    <cellStyle name="Normal 2 5 86" xfId="966" xr:uid="{00000000-0005-0000-0000-0000BD030000}"/>
    <cellStyle name="Normal 2 5 87" xfId="967" xr:uid="{00000000-0005-0000-0000-0000BE030000}"/>
    <cellStyle name="Normal 2 5 88" xfId="2398" xr:uid="{00000000-0005-0000-0000-0000C9040000}"/>
    <cellStyle name="Normal 2 5 9" xfId="968" xr:uid="{00000000-0005-0000-0000-0000BF030000}"/>
    <cellStyle name="Normal 2 5_DEER 032008 Cost Summary Delivery - Rev 4 (2)" xfId="969" xr:uid="{00000000-0005-0000-0000-0000C0030000}"/>
    <cellStyle name="Normal 2 50" xfId="970" xr:uid="{00000000-0005-0000-0000-0000C1030000}"/>
    <cellStyle name="Normal 2 51" xfId="971" xr:uid="{00000000-0005-0000-0000-0000C2030000}"/>
    <cellStyle name="Normal 2 52" xfId="972" xr:uid="{00000000-0005-0000-0000-0000C3030000}"/>
    <cellStyle name="Normal 2 53" xfId="973" xr:uid="{00000000-0005-0000-0000-0000C4030000}"/>
    <cellStyle name="Normal 2 54" xfId="974" xr:uid="{00000000-0005-0000-0000-0000C5030000}"/>
    <cellStyle name="Normal 2 55" xfId="975" xr:uid="{00000000-0005-0000-0000-0000C6030000}"/>
    <cellStyle name="Normal 2 56" xfId="976" xr:uid="{00000000-0005-0000-0000-0000C7030000}"/>
    <cellStyle name="Normal 2 57" xfId="977" xr:uid="{00000000-0005-0000-0000-0000C8030000}"/>
    <cellStyle name="Normal 2 58" xfId="978" xr:uid="{00000000-0005-0000-0000-0000C9030000}"/>
    <cellStyle name="Normal 2 59" xfId="979" xr:uid="{00000000-0005-0000-0000-0000CA030000}"/>
    <cellStyle name="Normal 2 6" xfId="980" xr:uid="{00000000-0005-0000-0000-0000CB030000}"/>
    <cellStyle name="Normal 2 6 2" xfId="2399" xr:uid="{00000000-0005-0000-0000-0000D7040000}"/>
    <cellStyle name="Normal 2 60" xfId="981" xr:uid="{00000000-0005-0000-0000-0000CC030000}"/>
    <cellStyle name="Normal 2 61" xfId="982" xr:uid="{00000000-0005-0000-0000-0000CD030000}"/>
    <cellStyle name="Normal 2 62" xfId="983" xr:uid="{00000000-0005-0000-0000-0000CE030000}"/>
    <cellStyle name="Normal 2 63" xfId="984" xr:uid="{00000000-0005-0000-0000-0000CF030000}"/>
    <cellStyle name="Normal 2 64" xfId="985" xr:uid="{00000000-0005-0000-0000-0000D0030000}"/>
    <cellStyle name="Normal 2 65" xfId="986" xr:uid="{00000000-0005-0000-0000-0000D1030000}"/>
    <cellStyle name="Normal 2 66" xfId="987" xr:uid="{00000000-0005-0000-0000-0000D2030000}"/>
    <cellStyle name="Normal 2 67" xfId="988" xr:uid="{00000000-0005-0000-0000-0000D3030000}"/>
    <cellStyle name="Normal 2 68" xfId="989" xr:uid="{00000000-0005-0000-0000-0000D4030000}"/>
    <cellStyle name="Normal 2 69" xfId="990" xr:uid="{00000000-0005-0000-0000-0000D5030000}"/>
    <cellStyle name="Normal 2 7" xfId="991" xr:uid="{00000000-0005-0000-0000-0000D6030000}"/>
    <cellStyle name="Normal 2 70" xfId="992" xr:uid="{00000000-0005-0000-0000-0000D7030000}"/>
    <cellStyle name="Normal 2 71" xfId="993" xr:uid="{00000000-0005-0000-0000-0000D8030000}"/>
    <cellStyle name="Normal 2 72" xfId="994" xr:uid="{00000000-0005-0000-0000-0000D9030000}"/>
    <cellStyle name="Normal 2 73" xfId="995" xr:uid="{00000000-0005-0000-0000-0000DA030000}"/>
    <cellStyle name="Normal 2 74" xfId="996" xr:uid="{00000000-0005-0000-0000-0000DB030000}"/>
    <cellStyle name="Normal 2 75" xfId="997" xr:uid="{00000000-0005-0000-0000-0000DC030000}"/>
    <cellStyle name="Normal 2 76" xfId="998" xr:uid="{00000000-0005-0000-0000-0000DD030000}"/>
    <cellStyle name="Normal 2 77" xfId="999" xr:uid="{00000000-0005-0000-0000-0000DE030000}"/>
    <cellStyle name="Normal 2 78" xfId="1000" xr:uid="{00000000-0005-0000-0000-0000DF030000}"/>
    <cellStyle name="Normal 2 79" xfId="1001" xr:uid="{00000000-0005-0000-0000-0000E0030000}"/>
    <cellStyle name="Normal 2 8" xfId="1002" xr:uid="{00000000-0005-0000-0000-0000E1030000}"/>
    <cellStyle name="Normal 2 8 10" xfId="1003" xr:uid="{00000000-0005-0000-0000-0000E2030000}"/>
    <cellStyle name="Normal 2 8 11" xfId="1004" xr:uid="{00000000-0005-0000-0000-0000E3030000}"/>
    <cellStyle name="Normal 2 8 12" xfId="1005" xr:uid="{00000000-0005-0000-0000-0000E4030000}"/>
    <cellStyle name="Normal 2 8 13" xfId="1006" xr:uid="{00000000-0005-0000-0000-0000E5030000}"/>
    <cellStyle name="Normal 2 8 14" xfId="1007" xr:uid="{00000000-0005-0000-0000-0000E6030000}"/>
    <cellStyle name="Normal 2 8 15" xfId="1008" xr:uid="{00000000-0005-0000-0000-0000E7030000}"/>
    <cellStyle name="Normal 2 8 16" xfId="1009" xr:uid="{00000000-0005-0000-0000-0000E8030000}"/>
    <cellStyle name="Normal 2 8 17" xfId="1010" xr:uid="{00000000-0005-0000-0000-0000E9030000}"/>
    <cellStyle name="Normal 2 8 18" xfId="1011" xr:uid="{00000000-0005-0000-0000-0000EA030000}"/>
    <cellStyle name="Normal 2 8 19" xfId="1012" xr:uid="{00000000-0005-0000-0000-0000EB030000}"/>
    <cellStyle name="Normal 2 8 2" xfId="1013" xr:uid="{00000000-0005-0000-0000-0000EC030000}"/>
    <cellStyle name="Normal 2 8 20" xfId="1014" xr:uid="{00000000-0005-0000-0000-0000ED030000}"/>
    <cellStyle name="Normal 2 8 21" xfId="1015" xr:uid="{00000000-0005-0000-0000-0000EE030000}"/>
    <cellStyle name="Normal 2 8 22" xfId="1016" xr:uid="{00000000-0005-0000-0000-0000EF030000}"/>
    <cellStyle name="Normal 2 8 23" xfId="1017" xr:uid="{00000000-0005-0000-0000-0000F0030000}"/>
    <cellStyle name="Normal 2 8 3" xfId="1018" xr:uid="{00000000-0005-0000-0000-0000F1030000}"/>
    <cellStyle name="Normal 2 8 4" xfId="1019" xr:uid="{00000000-0005-0000-0000-0000F2030000}"/>
    <cellStyle name="Normal 2 8 5" xfId="1020" xr:uid="{00000000-0005-0000-0000-0000F3030000}"/>
    <cellStyle name="Normal 2 8 6" xfId="1021" xr:uid="{00000000-0005-0000-0000-0000F4030000}"/>
    <cellStyle name="Normal 2 8 7" xfId="1022" xr:uid="{00000000-0005-0000-0000-0000F5030000}"/>
    <cellStyle name="Normal 2 8 8" xfId="1023" xr:uid="{00000000-0005-0000-0000-0000F6030000}"/>
    <cellStyle name="Normal 2 8 9" xfId="1024" xr:uid="{00000000-0005-0000-0000-0000F7030000}"/>
    <cellStyle name="Normal 2 80" xfId="1025" xr:uid="{00000000-0005-0000-0000-0000F8030000}"/>
    <cellStyle name="Normal 2 81" xfId="1026" xr:uid="{00000000-0005-0000-0000-0000F9030000}"/>
    <cellStyle name="Normal 2 82" xfId="1027" xr:uid="{00000000-0005-0000-0000-0000FA030000}"/>
    <cellStyle name="Normal 2 83" xfId="1028" xr:uid="{00000000-0005-0000-0000-0000FB030000}"/>
    <cellStyle name="Normal 2 84" xfId="1029" xr:uid="{00000000-0005-0000-0000-0000FC030000}"/>
    <cellStyle name="Normal 2 85" xfId="1030" xr:uid="{00000000-0005-0000-0000-0000FD030000}"/>
    <cellStyle name="Normal 2 86" xfId="1031" xr:uid="{00000000-0005-0000-0000-0000FE030000}"/>
    <cellStyle name="Normal 2 87" xfId="1032" xr:uid="{00000000-0005-0000-0000-0000FF030000}"/>
    <cellStyle name="Normal 2 88" xfId="1033" xr:uid="{00000000-0005-0000-0000-000000040000}"/>
    <cellStyle name="Normal 2 89" xfId="1034" xr:uid="{00000000-0005-0000-0000-000001040000}"/>
    <cellStyle name="Normal 2 9" xfId="1035" xr:uid="{00000000-0005-0000-0000-000002040000}"/>
    <cellStyle name="Normal 2 9 10" xfId="1036" xr:uid="{00000000-0005-0000-0000-000003040000}"/>
    <cellStyle name="Normal 2 9 11" xfId="1037" xr:uid="{00000000-0005-0000-0000-000004040000}"/>
    <cellStyle name="Normal 2 9 12" xfId="1038" xr:uid="{00000000-0005-0000-0000-000005040000}"/>
    <cellStyle name="Normal 2 9 13" xfId="1039" xr:uid="{00000000-0005-0000-0000-000006040000}"/>
    <cellStyle name="Normal 2 9 14" xfId="1040" xr:uid="{00000000-0005-0000-0000-000007040000}"/>
    <cellStyle name="Normal 2 9 15" xfId="1041" xr:uid="{00000000-0005-0000-0000-000008040000}"/>
    <cellStyle name="Normal 2 9 16" xfId="1042" xr:uid="{00000000-0005-0000-0000-000009040000}"/>
    <cellStyle name="Normal 2 9 17" xfId="1043" xr:uid="{00000000-0005-0000-0000-00000A040000}"/>
    <cellStyle name="Normal 2 9 18" xfId="1044" xr:uid="{00000000-0005-0000-0000-00000B040000}"/>
    <cellStyle name="Normal 2 9 19" xfId="1045" xr:uid="{00000000-0005-0000-0000-00000C040000}"/>
    <cellStyle name="Normal 2 9 2" xfId="1046" xr:uid="{00000000-0005-0000-0000-00000D040000}"/>
    <cellStyle name="Normal 2 9 20" xfId="1047" xr:uid="{00000000-0005-0000-0000-00000E040000}"/>
    <cellStyle name="Normal 2 9 21" xfId="1048" xr:uid="{00000000-0005-0000-0000-00000F040000}"/>
    <cellStyle name="Normal 2 9 22" xfId="1049" xr:uid="{00000000-0005-0000-0000-000010040000}"/>
    <cellStyle name="Normal 2 9 23" xfId="1050" xr:uid="{00000000-0005-0000-0000-000011040000}"/>
    <cellStyle name="Normal 2 9 3" xfId="1051" xr:uid="{00000000-0005-0000-0000-000012040000}"/>
    <cellStyle name="Normal 2 9 4" xfId="1052" xr:uid="{00000000-0005-0000-0000-000013040000}"/>
    <cellStyle name="Normal 2 9 5" xfId="1053" xr:uid="{00000000-0005-0000-0000-000014040000}"/>
    <cellStyle name="Normal 2 9 6" xfId="1054" xr:uid="{00000000-0005-0000-0000-000015040000}"/>
    <cellStyle name="Normal 2 9 7" xfId="1055" xr:uid="{00000000-0005-0000-0000-000016040000}"/>
    <cellStyle name="Normal 2 9 8" xfId="1056" xr:uid="{00000000-0005-0000-0000-000017040000}"/>
    <cellStyle name="Normal 2 9 9" xfId="1057" xr:uid="{00000000-0005-0000-0000-000018040000}"/>
    <cellStyle name="Normal 2 90" xfId="1058" xr:uid="{00000000-0005-0000-0000-000019040000}"/>
    <cellStyle name="Normal 2 91" xfId="1059" xr:uid="{00000000-0005-0000-0000-00001A040000}"/>
    <cellStyle name="Normal 2 92" xfId="1060" xr:uid="{00000000-0005-0000-0000-00001B040000}"/>
    <cellStyle name="Normal 2 93" xfId="1061" xr:uid="{00000000-0005-0000-0000-00001C040000}"/>
    <cellStyle name="Normal 2 94" xfId="54" xr:uid="{00000000-0005-0000-0000-00001D040000}"/>
    <cellStyle name="Normal 2 95" xfId="2086" xr:uid="{00000000-0005-0000-0000-00004C010000}"/>
    <cellStyle name="Normal 2_DEER 032008 Cost Summary Delivery - Rev 4 (2)" xfId="1062" xr:uid="{00000000-0005-0000-0000-00001E040000}"/>
    <cellStyle name="Normal 20" xfId="2400" xr:uid="{00000000-0005-0000-0000-00002B050000}"/>
    <cellStyle name="Normal 21" xfId="2401" xr:uid="{00000000-0005-0000-0000-00002C050000}"/>
    <cellStyle name="Normal 22" xfId="2402" xr:uid="{00000000-0005-0000-0000-00002D050000}"/>
    <cellStyle name="Normal 23" xfId="2403" xr:uid="{00000000-0005-0000-0000-00002E050000}"/>
    <cellStyle name="Normal 24" xfId="2404" xr:uid="{00000000-0005-0000-0000-00002F050000}"/>
    <cellStyle name="Normal 3" xfId="50" xr:uid="{00000000-0005-0000-0000-00001F040000}"/>
    <cellStyle name="Normal 3 10" xfId="1064" xr:uid="{00000000-0005-0000-0000-000020040000}"/>
    <cellStyle name="Normal 3 10 10" xfId="1065" xr:uid="{00000000-0005-0000-0000-000021040000}"/>
    <cellStyle name="Normal 3 10 11" xfId="1066" xr:uid="{00000000-0005-0000-0000-000022040000}"/>
    <cellStyle name="Normal 3 10 12" xfId="1067" xr:uid="{00000000-0005-0000-0000-000023040000}"/>
    <cellStyle name="Normal 3 10 13" xfId="1068" xr:uid="{00000000-0005-0000-0000-000024040000}"/>
    <cellStyle name="Normal 3 10 14" xfId="1069" xr:uid="{00000000-0005-0000-0000-000025040000}"/>
    <cellStyle name="Normal 3 10 15" xfId="1070" xr:uid="{00000000-0005-0000-0000-000026040000}"/>
    <cellStyle name="Normal 3 10 16" xfId="1071" xr:uid="{00000000-0005-0000-0000-000027040000}"/>
    <cellStyle name="Normal 3 10 17" xfId="1072" xr:uid="{00000000-0005-0000-0000-000028040000}"/>
    <cellStyle name="Normal 3 10 18" xfId="1073" xr:uid="{00000000-0005-0000-0000-000029040000}"/>
    <cellStyle name="Normal 3 10 19" xfId="1074" xr:uid="{00000000-0005-0000-0000-00002A040000}"/>
    <cellStyle name="Normal 3 10 2" xfId="1075" xr:uid="{00000000-0005-0000-0000-00002B040000}"/>
    <cellStyle name="Normal 3 10 20" xfId="1076" xr:uid="{00000000-0005-0000-0000-00002C040000}"/>
    <cellStyle name="Normal 3 10 21" xfId="1077" xr:uid="{00000000-0005-0000-0000-00002D040000}"/>
    <cellStyle name="Normal 3 10 22" xfId="1078" xr:uid="{00000000-0005-0000-0000-00002E040000}"/>
    <cellStyle name="Normal 3 10 23" xfId="1079" xr:uid="{00000000-0005-0000-0000-00002F040000}"/>
    <cellStyle name="Normal 3 10 3" xfId="1080" xr:uid="{00000000-0005-0000-0000-000030040000}"/>
    <cellStyle name="Normal 3 10 4" xfId="1081" xr:uid="{00000000-0005-0000-0000-000031040000}"/>
    <cellStyle name="Normal 3 10 5" xfId="1082" xr:uid="{00000000-0005-0000-0000-000032040000}"/>
    <cellStyle name="Normal 3 10 6" xfId="1083" xr:uid="{00000000-0005-0000-0000-000033040000}"/>
    <cellStyle name="Normal 3 10 7" xfId="1084" xr:uid="{00000000-0005-0000-0000-000034040000}"/>
    <cellStyle name="Normal 3 10 8" xfId="1085" xr:uid="{00000000-0005-0000-0000-000035040000}"/>
    <cellStyle name="Normal 3 10 9" xfId="1086" xr:uid="{00000000-0005-0000-0000-000036040000}"/>
    <cellStyle name="Normal 3 11" xfId="1087" xr:uid="{00000000-0005-0000-0000-000037040000}"/>
    <cellStyle name="Normal 3 11 10" xfId="1088" xr:uid="{00000000-0005-0000-0000-000038040000}"/>
    <cellStyle name="Normal 3 11 11" xfId="1089" xr:uid="{00000000-0005-0000-0000-000039040000}"/>
    <cellStyle name="Normal 3 11 12" xfId="1090" xr:uid="{00000000-0005-0000-0000-00003A040000}"/>
    <cellStyle name="Normal 3 11 13" xfId="1091" xr:uid="{00000000-0005-0000-0000-00003B040000}"/>
    <cellStyle name="Normal 3 11 14" xfId="1092" xr:uid="{00000000-0005-0000-0000-00003C040000}"/>
    <cellStyle name="Normal 3 11 15" xfId="1093" xr:uid="{00000000-0005-0000-0000-00003D040000}"/>
    <cellStyle name="Normal 3 11 16" xfId="1094" xr:uid="{00000000-0005-0000-0000-00003E040000}"/>
    <cellStyle name="Normal 3 11 17" xfId="1095" xr:uid="{00000000-0005-0000-0000-00003F040000}"/>
    <cellStyle name="Normal 3 11 18" xfId="1096" xr:uid="{00000000-0005-0000-0000-000040040000}"/>
    <cellStyle name="Normal 3 11 19" xfId="1097" xr:uid="{00000000-0005-0000-0000-000041040000}"/>
    <cellStyle name="Normal 3 11 2" xfId="1098" xr:uid="{00000000-0005-0000-0000-000042040000}"/>
    <cellStyle name="Normal 3 11 20" xfId="1099" xr:uid="{00000000-0005-0000-0000-000043040000}"/>
    <cellStyle name="Normal 3 11 21" xfId="1100" xr:uid="{00000000-0005-0000-0000-000044040000}"/>
    <cellStyle name="Normal 3 11 22" xfId="1101" xr:uid="{00000000-0005-0000-0000-000045040000}"/>
    <cellStyle name="Normal 3 11 23" xfId="1102" xr:uid="{00000000-0005-0000-0000-000046040000}"/>
    <cellStyle name="Normal 3 11 24" xfId="2405" xr:uid="{00000000-0005-0000-0000-000048050000}"/>
    <cellStyle name="Normal 3 11 3" xfId="1103" xr:uid="{00000000-0005-0000-0000-000047040000}"/>
    <cellStyle name="Normal 3 11 4" xfId="1104" xr:uid="{00000000-0005-0000-0000-000048040000}"/>
    <cellStyle name="Normal 3 11 5" xfId="1105" xr:uid="{00000000-0005-0000-0000-000049040000}"/>
    <cellStyle name="Normal 3 11 6" xfId="1106" xr:uid="{00000000-0005-0000-0000-00004A040000}"/>
    <cellStyle name="Normal 3 11 7" xfId="1107" xr:uid="{00000000-0005-0000-0000-00004B040000}"/>
    <cellStyle name="Normal 3 11 8" xfId="1108" xr:uid="{00000000-0005-0000-0000-00004C040000}"/>
    <cellStyle name="Normal 3 11 9" xfId="1109" xr:uid="{00000000-0005-0000-0000-00004D040000}"/>
    <cellStyle name="Normal 3 12" xfId="1110" xr:uid="{00000000-0005-0000-0000-00004E040000}"/>
    <cellStyle name="Normal 3 12 10" xfId="1111" xr:uid="{00000000-0005-0000-0000-00004F040000}"/>
    <cellStyle name="Normal 3 12 11" xfId="1112" xr:uid="{00000000-0005-0000-0000-000050040000}"/>
    <cellStyle name="Normal 3 12 12" xfId="1113" xr:uid="{00000000-0005-0000-0000-000051040000}"/>
    <cellStyle name="Normal 3 12 13" xfId="1114" xr:uid="{00000000-0005-0000-0000-000052040000}"/>
    <cellStyle name="Normal 3 12 14" xfId="1115" xr:uid="{00000000-0005-0000-0000-000053040000}"/>
    <cellStyle name="Normal 3 12 15" xfId="1116" xr:uid="{00000000-0005-0000-0000-000054040000}"/>
    <cellStyle name="Normal 3 12 16" xfId="1117" xr:uid="{00000000-0005-0000-0000-000055040000}"/>
    <cellStyle name="Normal 3 12 17" xfId="1118" xr:uid="{00000000-0005-0000-0000-000056040000}"/>
    <cellStyle name="Normal 3 12 18" xfId="1119" xr:uid="{00000000-0005-0000-0000-000057040000}"/>
    <cellStyle name="Normal 3 12 19" xfId="1120" xr:uid="{00000000-0005-0000-0000-000058040000}"/>
    <cellStyle name="Normal 3 12 2" xfId="1121" xr:uid="{00000000-0005-0000-0000-000059040000}"/>
    <cellStyle name="Normal 3 12 20" xfId="1122" xr:uid="{00000000-0005-0000-0000-00005A040000}"/>
    <cellStyle name="Normal 3 12 21" xfId="1123" xr:uid="{00000000-0005-0000-0000-00005B040000}"/>
    <cellStyle name="Normal 3 12 22" xfId="1124" xr:uid="{00000000-0005-0000-0000-00005C040000}"/>
    <cellStyle name="Normal 3 12 23" xfId="1125" xr:uid="{00000000-0005-0000-0000-00005D040000}"/>
    <cellStyle name="Normal 3 12 3" xfId="1126" xr:uid="{00000000-0005-0000-0000-00005E040000}"/>
    <cellStyle name="Normal 3 12 4" xfId="1127" xr:uid="{00000000-0005-0000-0000-00005F040000}"/>
    <cellStyle name="Normal 3 12 5" xfId="1128" xr:uid="{00000000-0005-0000-0000-000060040000}"/>
    <cellStyle name="Normal 3 12 6" xfId="1129" xr:uid="{00000000-0005-0000-0000-000061040000}"/>
    <cellStyle name="Normal 3 12 7" xfId="1130" xr:uid="{00000000-0005-0000-0000-000062040000}"/>
    <cellStyle name="Normal 3 12 8" xfId="1131" xr:uid="{00000000-0005-0000-0000-000063040000}"/>
    <cellStyle name="Normal 3 12 9" xfId="1132" xr:uid="{00000000-0005-0000-0000-000064040000}"/>
    <cellStyle name="Normal 3 13" xfId="1133" xr:uid="{00000000-0005-0000-0000-000065040000}"/>
    <cellStyle name="Normal 3 13 10" xfId="1134" xr:uid="{00000000-0005-0000-0000-000066040000}"/>
    <cellStyle name="Normal 3 13 11" xfId="1135" xr:uid="{00000000-0005-0000-0000-000067040000}"/>
    <cellStyle name="Normal 3 13 12" xfId="1136" xr:uid="{00000000-0005-0000-0000-000068040000}"/>
    <cellStyle name="Normal 3 13 13" xfId="1137" xr:uid="{00000000-0005-0000-0000-000069040000}"/>
    <cellStyle name="Normal 3 13 14" xfId="1138" xr:uid="{00000000-0005-0000-0000-00006A040000}"/>
    <cellStyle name="Normal 3 13 15" xfId="1139" xr:uid="{00000000-0005-0000-0000-00006B040000}"/>
    <cellStyle name="Normal 3 13 16" xfId="1140" xr:uid="{00000000-0005-0000-0000-00006C040000}"/>
    <cellStyle name="Normal 3 13 17" xfId="1141" xr:uid="{00000000-0005-0000-0000-00006D040000}"/>
    <cellStyle name="Normal 3 13 18" xfId="1142" xr:uid="{00000000-0005-0000-0000-00006E040000}"/>
    <cellStyle name="Normal 3 13 19" xfId="1143" xr:uid="{00000000-0005-0000-0000-00006F040000}"/>
    <cellStyle name="Normal 3 13 2" xfId="1144" xr:uid="{00000000-0005-0000-0000-000070040000}"/>
    <cellStyle name="Normal 3 13 20" xfId="1145" xr:uid="{00000000-0005-0000-0000-000071040000}"/>
    <cellStyle name="Normal 3 13 21" xfId="1146" xr:uid="{00000000-0005-0000-0000-000072040000}"/>
    <cellStyle name="Normal 3 13 22" xfId="1147" xr:uid="{00000000-0005-0000-0000-000073040000}"/>
    <cellStyle name="Normal 3 13 23" xfId="1148" xr:uid="{00000000-0005-0000-0000-000074040000}"/>
    <cellStyle name="Normal 3 13 3" xfId="1149" xr:uid="{00000000-0005-0000-0000-000075040000}"/>
    <cellStyle name="Normal 3 13 4" xfId="1150" xr:uid="{00000000-0005-0000-0000-000076040000}"/>
    <cellStyle name="Normal 3 13 5" xfId="1151" xr:uid="{00000000-0005-0000-0000-000077040000}"/>
    <cellStyle name="Normal 3 13 6" xfId="1152" xr:uid="{00000000-0005-0000-0000-000078040000}"/>
    <cellStyle name="Normal 3 13 7" xfId="1153" xr:uid="{00000000-0005-0000-0000-000079040000}"/>
    <cellStyle name="Normal 3 13 8" xfId="1154" xr:uid="{00000000-0005-0000-0000-00007A040000}"/>
    <cellStyle name="Normal 3 13 9" xfId="1155" xr:uid="{00000000-0005-0000-0000-00007B040000}"/>
    <cellStyle name="Normal 3 14" xfId="1156" xr:uid="{00000000-0005-0000-0000-00007C040000}"/>
    <cellStyle name="Normal 3 14 10" xfId="1157" xr:uid="{00000000-0005-0000-0000-00007D040000}"/>
    <cellStyle name="Normal 3 14 11" xfId="1158" xr:uid="{00000000-0005-0000-0000-00007E040000}"/>
    <cellStyle name="Normal 3 14 12" xfId="1159" xr:uid="{00000000-0005-0000-0000-00007F040000}"/>
    <cellStyle name="Normal 3 14 13" xfId="1160" xr:uid="{00000000-0005-0000-0000-000080040000}"/>
    <cellStyle name="Normal 3 14 14" xfId="1161" xr:uid="{00000000-0005-0000-0000-000081040000}"/>
    <cellStyle name="Normal 3 14 15" xfId="1162" xr:uid="{00000000-0005-0000-0000-000082040000}"/>
    <cellStyle name="Normal 3 14 16" xfId="1163" xr:uid="{00000000-0005-0000-0000-000083040000}"/>
    <cellStyle name="Normal 3 14 17" xfId="1164" xr:uid="{00000000-0005-0000-0000-000084040000}"/>
    <cellStyle name="Normal 3 14 18" xfId="1165" xr:uid="{00000000-0005-0000-0000-000085040000}"/>
    <cellStyle name="Normal 3 14 19" xfId="1166" xr:uid="{00000000-0005-0000-0000-000086040000}"/>
    <cellStyle name="Normal 3 14 2" xfId="1167" xr:uid="{00000000-0005-0000-0000-000087040000}"/>
    <cellStyle name="Normal 3 14 20" xfId="1168" xr:uid="{00000000-0005-0000-0000-000088040000}"/>
    <cellStyle name="Normal 3 14 21" xfId="1169" xr:uid="{00000000-0005-0000-0000-000089040000}"/>
    <cellStyle name="Normal 3 14 22" xfId="1170" xr:uid="{00000000-0005-0000-0000-00008A040000}"/>
    <cellStyle name="Normal 3 14 23" xfId="1171" xr:uid="{00000000-0005-0000-0000-00008B040000}"/>
    <cellStyle name="Normal 3 14 24" xfId="2406" xr:uid="{00000000-0005-0000-0000-00008D050000}"/>
    <cellStyle name="Normal 3 14 3" xfId="1172" xr:uid="{00000000-0005-0000-0000-00008C040000}"/>
    <cellStyle name="Normal 3 14 4" xfId="1173" xr:uid="{00000000-0005-0000-0000-00008D040000}"/>
    <cellStyle name="Normal 3 14 5" xfId="1174" xr:uid="{00000000-0005-0000-0000-00008E040000}"/>
    <cellStyle name="Normal 3 14 6" xfId="1175" xr:uid="{00000000-0005-0000-0000-00008F040000}"/>
    <cellStyle name="Normal 3 14 7" xfId="1176" xr:uid="{00000000-0005-0000-0000-000090040000}"/>
    <cellStyle name="Normal 3 14 8" xfId="1177" xr:uid="{00000000-0005-0000-0000-000091040000}"/>
    <cellStyle name="Normal 3 14 9" xfId="1178" xr:uid="{00000000-0005-0000-0000-000092040000}"/>
    <cellStyle name="Normal 3 15" xfId="1179" xr:uid="{00000000-0005-0000-0000-000093040000}"/>
    <cellStyle name="Normal 3 15 10" xfId="1180" xr:uid="{00000000-0005-0000-0000-000094040000}"/>
    <cellStyle name="Normal 3 15 11" xfId="1181" xr:uid="{00000000-0005-0000-0000-000095040000}"/>
    <cellStyle name="Normal 3 15 12" xfId="1182" xr:uid="{00000000-0005-0000-0000-000096040000}"/>
    <cellStyle name="Normal 3 15 13" xfId="1183" xr:uid="{00000000-0005-0000-0000-000097040000}"/>
    <cellStyle name="Normal 3 15 14" xfId="1184" xr:uid="{00000000-0005-0000-0000-000098040000}"/>
    <cellStyle name="Normal 3 15 15" xfId="1185" xr:uid="{00000000-0005-0000-0000-000099040000}"/>
    <cellStyle name="Normal 3 15 16" xfId="1186" xr:uid="{00000000-0005-0000-0000-00009A040000}"/>
    <cellStyle name="Normal 3 15 17" xfId="1187" xr:uid="{00000000-0005-0000-0000-00009B040000}"/>
    <cellStyle name="Normal 3 15 18" xfId="1188" xr:uid="{00000000-0005-0000-0000-00009C040000}"/>
    <cellStyle name="Normal 3 15 19" xfId="1189" xr:uid="{00000000-0005-0000-0000-00009D040000}"/>
    <cellStyle name="Normal 3 15 2" xfId="1190" xr:uid="{00000000-0005-0000-0000-00009E040000}"/>
    <cellStyle name="Normal 3 15 20" xfId="1191" xr:uid="{00000000-0005-0000-0000-00009F040000}"/>
    <cellStyle name="Normal 3 15 21" xfId="1192" xr:uid="{00000000-0005-0000-0000-0000A0040000}"/>
    <cellStyle name="Normal 3 15 22" xfId="1193" xr:uid="{00000000-0005-0000-0000-0000A1040000}"/>
    <cellStyle name="Normal 3 15 23" xfId="1194" xr:uid="{00000000-0005-0000-0000-0000A2040000}"/>
    <cellStyle name="Normal 3 15 3" xfId="1195" xr:uid="{00000000-0005-0000-0000-0000A3040000}"/>
    <cellStyle name="Normal 3 15 4" xfId="1196" xr:uid="{00000000-0005-0000-0000-0000A4040000}"/>
    <cellStyle name="Normal 3 15 5" xfId="1197" xr:uid="{00000000-0005-0000-0000-0000A5040000}"/>
    <cellStyle name="Normal 3 15 6" xfId="1198" xr:uid="{00000000-0005-0000-0000-0000A6040000}"/>
    <cellStyle name="Normal 3 15 7" xfId="1199" xr:uid="{00000000-0005-0000-0000-0000A7040000}"/>
    <cellStyle name="Normal 3 15 8" xfId="1200" xr:uid="{00000000-0005-0000-0000-0000A8040000}"/>
    <cellStyle name="Normal 3 15 9" xfId="1201" xr:uid="{00000000-0005-0000-0000-0000A9040000}"/>
    <cellStyle name="Normal 3 16" xfId="1202" xr:uid="{00000000-0005-0000-0000-0000AA040000}"/>
    <cellStyle name="Normal 3 16 10" xfId="1203" xr:uid="{00000000-0005-0000-0000-0000AB040000}"/>
    <cellStyle name="Normal 3 16 11" xfId="1204" xr:uid="{00000000-0005-0000-0000-0000AC040000}"/>
    <cellStyle name="Normal 3 16 12" xfId="1205" xr:uid="{00000000-0005-0000-0000-0000AD040000}"/>
    <cellStyle name="Normal 3 16 13" xfId="1206" xr:uid="{00000000-0005-0000-0000-0000AE040000}"/>
    <cellStyle name="Normal 3 16 14" xfId="1207" xr:uid="{00000000-0005-0000-0000-0000AF040000}"/>
    <cellStyle name="Normal 3 16 15" xfId="1208" xr:uid="{00000000-0005-0000-0000-0000B0040000}"/>
    <cellStyle name="Normal 3 16 16" xfId="1209" xr:uid="{00000000-0005-0000-0000-0000B1040000}"/>
    <cellStyle name="Normal 3 16 17" xfId="1210" xr:uid="{00000000-0005-0000-0000-0000B2040000}"/>
    <cellStyle name="Normal 3 16 18" xfId="1211" xr:uid="{00000000-0005-0000-0000-0000B3040000}"/>
    <cellStyle name="Normal 3 16 19" xfId="1212" xr:uid="{00000000-0005-0000-0000-0000B4040000}"/>
    <cellStyle name="Normal 3 16 2" xfId="1213" xr:uid="{00000000-0005-0000-0000-0000B5040000}"/>
    <cellStyle name="Normal 3 16 20" xfId="1214" xr:uid="{00000000-0005-0000-0000-0000B6040000}"/>
    <cellStyle name="Normal 3 16 21" xfId="1215" xr:uid="{00000000-0005-0000-0000-0000B7040000}"/>
    <cellStyle name="Normal 3 16 22" xfId="1216" xr:uid="{00000000-0005-0000-0000-0000B8040000}"/>
    <cellStyle name="Normal 3 16 23" xfId="1217" xr:uid="{00000000-0005-0000-0000-0000B9040000}"/>
    <cellStyle name="Normal 3 16 3" xfId="1218" xr:uid="{00000000-0005-0000-0000-0000BA040000}"/>
    <cellStyle name="Normal 3 16 4" xfId="1219" xr:uid="{00000000-0005-0000-0000-0000BB040000}"/>
    <cellStyle name="Normal 3 16 5" xfId="1220" xr:uid="{00000000-0005-0000-0000-0000BC040000}"/>
    <cellStyle name="Normal 3 16 6" xfId="1221" xr:uid="{00000000-0005-0000-0000-0000BD040000}"/>
    <cellStyle name="Normal 3 16 7" xfId="1222" xr:uid="{00000000-0005-0000-0000-0000BE040000}"/>
    <cellStyle name="Normal 3 16 8" xfId="1223" xr:uid="{00000000-0005-0000-0000-0000BF040000}"/>
    <cellStyle name="Normal 3 16 9" xfId="1224" xr:uid="{00000000-0005-0000-0000-0000C0040000}"/>
    <cellStyle name="Normal 3 17" xfId="1225" xr:uid="{00000000-0005-0000-0000-0000C1040000}"/>
    <cellStyle name="Normal 3 17 10" xfId="1226" xr:uid="{00000000-0005-0000-0000-0000C2040000}"/>
    <cellStyle name="Normal 3 17 11" xfId="1227" xr:uid="{00000000-0005-0000-0000-0000C3040000}"/>
    <cellStyle name="Normal 3 17 12" xfId="1228" xr:uid="{00000000-0005-0000-0000-0000C4040000}"/>
    <cellStyle name="Normal 3 17 13" xfId="1229" xr:uid="{00000000-0005-0000-0000-0000C5040000}"/>
    <cellStyle name="Normal 3 17 14" xfId="1230" xr:uid="{00000000-0005-0000-0000-0000C6040000}"/>
    <cellStyle name="Normal 3 17 15" xfId="1231" xr:uid="{00000000-0005-0000-0000-0000C7040000}"/>
    <cellStyle name="Normal 3 17 16" xfId="1232" xr:uid="{00000000-0005-0000-0000-0000C8040000}"/>
    <cellStyle name="Normal 3 17 17" xfId="1233" xr:uid="{00000000-0005-0000-0000-0000C9040000}"/>
    <cellStyle name="Normal 3 17 18" xfId="1234" xr:uid="{00000000-0005-0000-0000-0000CA040000}"/>
    <cellStyle name="Normal 3 17 19" xfId="1235" xr:uid="{00000000-0005-0000-0000-0000CB040000}"/>
    <cellStyle name="Normal 3 17 2" xfId="1236" xr:uid="{00000000-0005-0000-0000-0000CC040000}"/>
    <cellStyle name="Normal 3 17 20" xfId="1237" xr:uid="{00000000-0005-0000-0000-0000CD040000}"/>
    <cellStyle name="Normal 3 17 21" xfId="1238" xr:uid="{00000000-0005-0000-0000-0000CE040000}"/>
    <cellStyle name="Normal 3 17 22" xfId="1239" xr:uid="{00000000-0005-0000-0000-0000CF040000}"/>
    <cellStyle name="Normal 3 17 23" xfId="1240" xr:uid="{00000000-0005-0000-0000-0000D0040000}"/>
    <cellStyle name="Normal 3 17 3" xfId="1241" xr:uid="{00000000-0005-0000-0000-0000D1040000}"/>
    <cellStyle name="Normal 3 17 4" xfId="1242" xr:uid="{00000000-0005-0000-0000-0000D2040000}"/>
    <cellStyle name="Normal 3 17 5" xfId="1243" xr:uid="{00000000-0005-0000-0000-0000D3040000}"/>
    <cellStyle name="Normal 3 17 6" xfId="1244" xr:uid="{00000000-0005-0000-0000-0000D4040000}"/>
    <cellStyle name="Normal 3 17 7" xfId="1245" xr:uid="{00000000-0005-0000-0000-0000D5040000}"/>
    <cellStyle name="Normal 3 17 8" xfId="1246" xr:uid="{00000000-0005-0000-0000-0000D6040000}"/>
    <cellStyle name="Normal 3 17 9" xfId="1247" xr:uid="{00000000-0005-0000-0000-0000D7040000}"/>
    <cellStyle name="Normal 3 18" xfId="1248" xr:uid="{00000000-0005-0000-0000-0000D8040000}"/>
    <cellStyle name="Normal 3 18 10" xfId="1249" xr:uid="{00000000-0005-0000-0000-0000D9040000}"/>
    <cellStyle name="Normal 3 18 11" xfId="1250" xr:uid="{00000000-0005-0000-0000-0000DA040000}"/>
    <cellStyle name="Normal 3 18 12" xfId="1251" xr:uid="{00000000-0005-0000-0000-0000DB040000}"/>
    <cellStyle name="Normal 3 18 13" xfId="1252" xr:uid="{00000000-0005-0000-0000-0000DC040000}"/>
    <cellStyle name="Normal 3 18 14" xfId="1253" xr:uid="{00000000-0005-0000-0000-0000DD040000}"/>
    <cellStyle name="Normal 3 18 15" xfId="1254" xr:uid="{00000000-0005-0000-0000-0000DE040000}"/>
    <cellStyle name="Normal 3 18 16" xfId="1255" xr:uid="{00000000-0005-0000-0000-0000DF040000}"/>
    <cellStyle name="Normal 3 18 17" xfId="1256" xr:uid="{00000000-0005-0000-0000-0000E0040000}"/>
    <cellStyle name="Normal 3 18 18" xfId="1257" xr:uid="{00000000-0005-0000-0000-0000E1040000}"/>
    <cellStyle name="Normal 3 18 19" xfId="1258" xr:uid="{00000000-0005-0000-0000-0000E2040000}"/>
    <cellStyle name="Normal 3 18 2" xfId="1259" xr:uid="{00000000-0005-0000-0000-0000E3040000}"/>
    <cellStyle name="Normal 3 18 20" xfId="1260" xr:uid="{00000000-0005-0000-0000-0000E4040000}"/>
    <cellStyle name="Normal 3 18 21" xfId="1261" xr:uid="{00000000-0005-0000-0000-0000E5040000}"/>
    <cellStyle name="Normal 3 18 22" xfId="1262" xr:uid="{00000000-0005-0000-0000-0000E6040000}"/>
    <cellStyle name="Normal 3 18 23" xfId="1263" xr:uid="{00000000-0005-0000-0000-0000E7040000}"/>
    <cellStyle name="Normal 3 18 3" xfId="1264" xr:uid="{00000000-0005-0000-0000-0000E8040000}"/>
    <cellStyle name="Normal 3 18 4" xfId="1265" xr:uid="{00000000-0005-0000-0000-0000E9040000}"/>
    <cellStyle name="Normal 3 18 5" xfId="1266" xr:uid="{00000000-0005-0000-0000-0000EA040000}"/>
    <cellStyle name="Normal 3 18 6" xfId="1267" xr:uid="{00000000-0005-0000-0000-0000EB040000}"/>
    <cellStyle name="Normal 3 18 7" xfId="1268" xr:uid="{00000000-0005-0000-0000-0000EC040000}"/>
    <cellStyle name="Normal 3 18 8" xfId="1269" xr:uid="{00000000-0005-0000-0000-0000ED040000}"/>
    <cellStyle name="Normal 3 18 9" xfId="1270" xr:uid="{00000000-0005-0000-0000-0000EE040000}"/>
    <cellStyle name="Normal 3 19" xfId="1271" xr:uid="{00000000-0005-0000-0000-0000EF040000}"/>
    <cellStyle name="Normal 3 19 10" xfId="1272" xr:uid="{00000000-0005-0000-0000-0000F0040000}"/>
    <cellStyle name="Normal 3 19 11" xfId="1273" xr:uid="{00000000-0005-0000-0000-0000F1040000}"/>
    <cellStyle name="Normal 3 19 12" xfId="1274" xr:uid="{00000000-0005-0000-0000-0000F2040000}"/>
    <cellStyle name="Normal 3 19 13" xfId="1275" xr:uid="{00000000-0005-0000-0000-0000F3040000}"/>
    <cellStyle name="Normal 3 19 14" xfId="1276" xr:uid="{00000000-0005-0000-0000-0000F4040000}"/>
    <cellStyle name="Normal 3 19 15" xfId="1277" xr:uid="{00000000-0005-0000-0000-0000F5040000}"/>
    <cellStyle name="Normal 3 19 16" xfId="1278" xr:uid="{00000000-0005-0000-0000-0000F6040000}"/>
    <cellStyle name="Normal 3 19 17" xfId="1279" xr:uid="{00000000-0005-0000-0000-0000F7040000}"/>
    <cellStyle name="Normal 3 19 18" xfId="1280" xr:uid="{00000000-0005-0000-0000-0000F8040000}"/>
    <cellStyle name="Normal 3 19 19" xfId="1281" xr:uid="{00000000-0005-0000-0000-0000F9040000}"/>
    <cellStyle name="Normal 3 19 2" xfId="1282" xr:uid="{00000000-0005-0000-0000-0000FA040000}"/>
    <cellStyle name="Normal 3 19 20" xfId="1283" xr:uid="{00000000-0005-0000-0000-0000FB040000}"/>
    <cellStyle name="Normal 3 19 21" xfId="1284" xr:uid="{00000000-0005-0000-0000-0000FC040000}"/>
    <cellStyle name="Normal 3 19 22" xfId="1285" xr:uid="{00000000-0005-0000-0000-0000FD040000}"/>
    <cellStyle name="Normal 3 19 23" xfId="1286" xr:uid="{00000000-0005-0000-0000-0000FE040000}"/>
    <cellStyle name="Normal 3 19 3" xfId="1287" xr:uid="{00000000-0005-0000-0000-0000FF040000}"/>
    <cellStyle name="Normal 3 19 4" xfId="1288" xr:uid="{00000000-0005-0000-0000-000000050000}"/>
    <cellStyle name="Normal 3 19 5" xfId="1289" xr:uid="{00000000-0005-0000-0000-000001050000}"/>
    <cellStyle name="Normal 3 19 6" xfId="1290" xr:uid="{00000000-0005-0000-0000-000002050000}"/>
    <cellStyle name="Normal 3 19 7" xfId="1291" xr:uid="{00000000-0005-0000-0000-000003050000}"/>
    <cellStyle name="Normal 3 19 8" xfId="1292" xr:uid="{00000000-0005-0000-0000-000004050000}"/>
    <cellStyle name="Normal 3 19 9" xfId="1293" xr:uid="{00000000-0005-0000-0000-000005050000}"/>
    <cellStyle name="Normal 3 2" xfId="1294" xr:uid="{00000000-0005-0000-0000-000006050000}"/>
    <cellStyle name="Normal 3 2 10" xfId="1295" xr:uid="{00000000-0005-0000-0000-000007050000}"/>
    <cellStyle name="Normal 3 2 11" xfId="1296" xr:uid="{00000000-0005-0000-0000-000008050000}"/>
    <cellStyle name="Normal 3 2 12" xfId="1297" xr:uid="{00000000-0005-0000-0000-000009050000}"/>
    <cellStyle name="Normal 3 2 13" xfId="1298" xr:uid="{00000000-0005-0000-0000-00000A050000}"/>
    <cellStyle name="Normal 3 2 14" xfId="1299" xr:uid="{00000000-0005-0000-0000-00000B050000}"/>
    <cellStyle name="Normal 3 2 15" xfId="1300" xr:uid="{00000000-0005-0000-0000-00000C050000}"/>
    <cellStyle name="Normal 3 2 16" xfId="1301" xr:uid="{00000000-0005-0000-0000-00000D050000}"/>
    <cellStyle name="Normal 3 2 17" xfId="1302" xr:uid="{00000000-0005-0000-0000-00000E050000}"/>
    <cellStyle name="Normal 3 2 18" xfId="1303" xr:uid="{00000000-0005-0000-0000-00000F050000}"/>
    <cellStyle name="Normal 3 2 19" xfId="1304" xr:uid="{00000000-0005-0000-0000-000010050000}"/>
    <cellStyle name="Normal 3 2 2" xfId="1305" xr:uid="{00000000-0005-0000-0000-000011050000}"/>
    <cellStyle name="Normal 3 2 2 10" xfId="1306" xr:uid="{00000000-0005-0000-0000-000012050000}"/>
    <cellStyle name="Normal 3 2 2 11" xfId="1307" xr:uid="{00000000-0005-0000-0000-000013050000}"/>
    <cellStyle name="Normal 3 2 2 12" xfId="1308" xr:uid="{00000000-0005-0000-0000-000014050000}"/>
    <cellStyle name="Normal 3 2 2 13" xfId="1309" xr:uid="{00000000-0005-0000-0000-000015050000}"/>
    <cellStyle name="Normal 3 2 2 14" xfId="1310" xr:uid="{00000000-0005-0000-0000-000016050000}"/>
    <cellStyle name="Normal 3 2 2 15" xfId="1311" xr:uid="{00000000-0005-0000-0000-000017050000}"/>
    <cellStyle name="Normal 3 2 2 16" xfId="1312" xr:uid="{00000000-0005-0000-0000-000018050000}"/>
    <cellStyle name="Normal 3 2 2 17" xfId="1313" xr:uid="{00000000-0005-0000-0000-000019050000}"/>
    <cellStyle name="Normal 3 2 2 18" xfId="1314" xr:uid="{00000000-0005-0000-0000-00001A050000}"/>
    <cellStyle name="Normal 3 2 2 19" xfId="1315" xr:uid="{00000000-0005-0000-0000-00001B050000}"/>
    <cellStyle name="Normal 3 2 2 2" xfId="1316" xr:uid="{00000000-0005-0000-0000-00001C050000}"/>
    <cellStyle name="Normal 3 2 2 20" xfId="1317" xr:uid="{00000000-0005-0000-0000-00001D050000}"/>
    <cellStyle name="Normal 3 2 2 21" xfId="1318" xr:uid="{00000000-0005-0000-0000-00001E050000}"/>
    <cellStyle name="Normal 3 2 2 22" xfId="1319" xr:uid="{00000000-0005-0000-0000-00001F050000}"/>
    <cellStyle name="Normal 3 2 2 23" xfId="1320" xr:uid="{00000000-0005-0000-0000-000020050000}"/>
    <cellStyle name="Normal 3 2 2 24" xfId="1321" xr:uid="{00000000-0005-0000-0000-000021050000}"/>
    <cellStyle name="Normal 3 2 2 25" xfId="1322" xr:uid="{00000000-0005-0000-0000-000022050000}"/>
    <cellStyle name="Normal 3 2 2 26" xfId="1323" xr:uid="{00000000-0005-0000-0000-000023050000}"/>
    <cellStyle name="Normal 3 2 2 27" xfId="1324" xr:uid="{00000000-0005-0000-0000-000024050000}"/>
    <cellStyle name="Normal 3 2 2 28" xfId="1325" xr:uid="{00000000-0005-0000-0000-000025050000}"/>
    <cellStyle name="Normal 3 2 2 29" xfId="1326" xr:uid="{00000000-0005-0000-0000-000026050000}"/>
    <cellStyle name="Normal 3 2 2 3" xfId="1327" xr:uid="{00000000-0005-0000-0000-000027050000}"/>
    <cellStyle name="Normal 3 2 2 30" xfId="1328" xr:uid="{00000000-0005-0000-0000-000028050000}"/>
    <cellStyle name="Normal 3 2 2 31" xfId="1329" xr:uid="{00000000-0005-0000-0000-000029050000}"/>
    <cellStyle name="Normal 3 2 2 32" xfId="1330" xr:uid="{00000000-0005-0000-0000-00002A050000}"/>
    <cellStyle name="Normal 3 2 2 33" xfId="1331" xr:uid="{00000000-0005-0000-0000-00002B050000}"/>
    <cellStyle name="Normal 3 2 2 4" xfId="1332" xr:uid="{00000000-0005-0000-0000-00002C050000}"/>
    <cellStyle name="Normal 3 2 2 5" xfId="1333" xr:uid="{00000000-0005-0000-0000-00002D050000}"/>
    <cellStyle name="Normal 3 2 2 6" xfId="1334" xr:uid="{00000000-0005-0000-0000-00002E050000}"/>
    <cellStyle name="Normal 3 2 2 7" xfId="1335" xr:uid="{00000000-0005-0000-0000-00002F050000}"/>
    <cellStyle name="Normal 3 2 2 8" xfId="1336" xr:uid="{00000000-0005-0000-0000-000030050000}"/>
    <cellStyle name="Normal 3 2 2 9" xfId="1337" xr:uid="{00000000-0005-0000-0000-000031050000}"/>
    <cellStyle name="Normal 3 2 20" xfId="1338" xr:uid="{00000000-0005-0000-0000-000032050000}"/>
    <cellStyle name="Normal 3 2 21" xfId="1339" xr:uid="{00000000-0005-0000-0000-000033050000}"/>
    <cellStyle name="Normal 3 2 22" xfId="1340" xr:uid="{00000000-0005-0000-0000-000034050000}"/>
    <cellStyle name="Normal 3 2 23" xfId="1341" xr:uid="{00000000-0005-0000-0000-000035050000}"/>
    <cellStyle name="Normal 3 2 24" xfId="1342" xr:uid="{00000000-0005-0000-0000-000036050000}"/>
    <cellStyle name="Normal 3 2 25" xfId="1343" xr:uid="{00000000-0005-0000-0000-000037050000}"/>
    <cellStyle name="Normal 3 2 26" xfId="1344" xr:uid="{00000000-0005-0000-0000-000038050000}"/>
    <cellStyle name="Normal 3 2 27" xfId="1345" xr:uid="{00000000-0005-0000-0000-000039050000}"/>
    <cellStyle name="Normal 3 2 28" xfId="1346" xr:uid="{00000000-0005-0000-0000-00003A050000}"/>
    <cellStyle name="Normal 3 2 29" xfId="1347" xr:uid="{00000000-0005-0000-0000-00003B050000}"/>
    <cellStyle name="Normal 3 2 3" xfId="1348" xr:uid="{00000000-0005-0000-0000-00003C050000}"/>
    <cellStyle name="Normal 3 2 30" xfId="1349" xr:uid="{00000000-0005-0000-0000-00003D050000}"/>
    <cellStyle name="Normal 3 2 31" xfId="1350" xr:uid="{00000000-0005-0000-0000-00003E050000}"/>
    <cellStyle name="Normal 3 2 32" xfId="1351" xr:uid="{00000000-0005-0000-0000-00003F050000}"/>
    <cellStyle name="Normal 3 2 33" xfId="1352" xr:uid="{00000000-0005-0000-0000-000040050000}"/>
    <cellStyle name="Normal 3 2 34" xfId="1353" xr:uid="{00000000-0005-0000-0000-000041050000}"/>
    <cellStyle name="Normal 3 2 35" xfId="1354" xr:uid="{00000000-0005-0000-0000-000042050000}"/>
    <cellStyle name="Normal 3 2 36" xfId="1355" xr:uid="{00000000-0005-0000-0000-000043050000}"/>
    <cellStyle name="Normal 3 2 37" xfId="1356" xr:uid="{00000000-0005-0000-0000-000044050000}"/>
    <cellStyle name="Normal 3 2 38" xfId="1357" xr:uid="{00000000-0005-0000-0000-000045050000}"/>
    <cellStyle name="Normal 3 2 39" xfId="1358" xr:uid="{00000000-0005-0000-0000-000046050000}"/>
    <cellStyle name="Normal 3 2 4" xfId="1359" xr:uid="{00000000-0005-0000-0000-000047050000}"/>
    <cellStyle name="Normal 3 2 40" xfId="1360" xr:uid="{00000000-0005-0000-0000-000048050000}"/>
    <cellStyle name="Normal 3 2 41" xfId="1361" xr:uid="{00000000-0005-0000-0000-000049050000}"/>
    <cellStyle name="Normal 3 2 42" xfId="1362" xr:uid="{00000000-0005-0000-0000-00004A050000}"/>
    <cellStyle name="Normal 3 2 43" xfId="1363" xr:uid="{00000000-0005-0000-0000-00004B050000}"/>
    <cellStyle name="Normal 3 2 44" xfId="1364" xr:uid="{00000000-0005-0000-0000-00004C050000}"/>
    <cellStyle name="Normal 3 2 45" xfId="1365" xr:uid="{00000000-0005-0000-0000-00004D050000}"/>
    <cellStyle name="Normal 3 2 46" xfId="1366" xr:uid="{00000000-0005-0000-0000-00004E050000}"/>
    <cellStyle name="Normal 3 2 47" xfId="1367" xr:uid="{00000000-0005-0000-0000-00004F050000}"/>
    <cellStyle name="Normal 3 2 48" xfId="1368" xr:uid="{00000000-0005-0000-0000-000050050000}"/>
    <cellStyle name="Normal 3 2 49" xfId="1369" xr:uid="{00000000-0005-0000-0000-000051050000}"/>
    <cellStyle name="Normal 3 2 5" xfId="1370" xr:uid="{00000000-0005-0000-0000-000052050000}"/>
    <cellStyle name="Normal 3 2 50" xfId="1371" xr:uid="{00000000-0005-0000-0000-000053050000}"/>
    <cellStyle name="Normal 3 2 51" xfId="1372" xr:uid="{00000000-0005-0000-0000-000054050000}"/>
    <cellStyle name="Normal 3 2 52" xfId="1373" xr:uid="{00000000-0005-0000-0000-000055050000}"/>
    <cellStyle name="Normal 3 2 53" xfId="1374" xr:uid="{00000000-0005-0000-0000-000056050000}"/>
    <cellStyle name="Normal 3 2 54" xfId="1375" xr:uid="{00000000-0005-0000-0000-000057050000}"/>
    <cellStyle name="Normal 3 2 55" xfId="1376" xr:uid="{00000000-0005-0000-0000-000058050000}"/>
    <cellStyle name="Normal 3 2 56" xfId="2407" xr:uid="{00000000-0005-0000-0000-00006A060000}"/>
    <cellStyle name="Normal 3 2 6" xfId="1377" xr:uid="{00000000-0005-0000-0000-000059050000}"/>
    <cellStyle name="Normal 3 2 7" xfId="1378" xr:uid="{00000000-0005-0000-0000-00005A050000}"/>
    <cellStyle name="Normal 3 2 8" xfId="1379" xr:uid="{00000000-0005-0000-0000-00005B050000}"/>
    <cellStyle name="Normal 3 2 9" xfId="1380" xr:uid="{00000000-0005-0000-0000-00005C050000}"/>
    <cellStyle name="Normal 3 20" xfId="1381" xr:uid="{00000000-0005-0000-0000-00005D050000}"/>
    <cellStyle name="Normal 3 20 10" xfId="1382" xr:uid="{00000000-0005-0000-0000-00005E050000}"/>
    <cellStyle name="Normal 3 20 11" xfId="1383" xr:uid="{00000000-0005-0000-0000-00005F050000}"/>
    <cellStyle name="Normal 3 20 12" xfId="1384" xr:uid="{00000000-0005-0000-0000-000060050000}"/>
    <cellStyle name="Normal 3 20 13" xfId="1385" xr:uid="{00000000-0005-0000-0000-000061050000}"/>
    <cellStyle name="Normal 3 20 14" xfId="1386" xr:uid="{00000000-0005-0000-0000-000062050000}"/>
    <cellStyle name="Normal 3 20 15" xfId="1387" xr:uid="{00000000-0005-0000-0000-000063050000}"/>
    <cellStyle name="Normal 3 20 16" xfId="1388" xr:uid="{00000000-0005-0000-0000-000064050000}"/>
    <cellStyle name="Normal 3 20 17" xfId="1389" xr:uid="{00000000-0005-0000-0000-000065050000}"/>
    <cellStyle name="Normal 3 20 18" xfId="1390" xr:uid="{00000000-0005-0000-0000-000066050000}"/>
    <cellStyle name="Normal 3 20 19" xfId="1391" xr:uid="{00000000-0005-0000-0000-000067050000}"/>
    <cellStyle name="Normal 3 20 2" xfId="1392" xr:uid="{00000000-0005-0000-0000-000068050000}"/>
    <cellStyle name="Normal 3 20 20" xfId="1393" xr:uid="{00000000-0005-0000-0000-000069050000}"/>
    <cellStyle name="Normal 3 20 21" xfId="1394" xr:uid="{00000000-0005-0000-0000-00006A050000}"/>
    <cellStyle name="Normal 3 20 22" xfId="1395" xr:uid="{00000000-0005-0000-0000-00006B050000}"/>
    <cellStyle name="Normal 3 20 23" xfId="1396" xr:uid="{00000000-0005-0000-0000-00006C050000}"/>
    <cellStyle name="Normal 3 20 3" xfId="1397" xr:uid="{00000000-0005-0000-0000-00006D050000}"/>
    <cellStyle name="Normal 3 20 4" xfId="1398" xr:uid="{00000000-0005-0000-0000-00006E050000}"/>
    <cellStyle name="Normal 3 20 5" xfId="1399" xr:uid="{00000000-0005-0000-0000-00006F050000}"/>
    <cellStyle name="Normal 3 20 6" xfId="1400" xr:uid="{00000000-0005-0000-0000-000070050000}"/>
    <cellStyle name="Normal 3 20 7" xfId="1401" xr:uid="{00000000-0005-0000-0000-000071050000}"/>
    <cellStyle name="Normal 3 20 8" xfId="1402" xr:uid="{00000000-0005-0000-0000-000072050000}"/>
    <cellStyle name="Normal 3 20 9" xfId="1403" xr:uid="{00000000-0005-0000-0000-000073050000}"/>
    <cellStyle name="Normal 3 21" xfId="1404" xr:uid="{00000000-0005-0000-0000-000074050000}"/>
    <cellStyle name="Normal 3 21 10" xfId="1405" xr:uid="{00000000-0005-0000-0000-000075050000}"/>
    <cellStyle name="Normal 3 21 11" xfId="1406" xr:uid="{00000000-0005-0000-0000-000076050000}"/>
    <cellStyle name="Normal 3 21 12" xfId="1407" xr:uid="{00000000-0005-0000-0000-000077050000}"/>
    <cellStyle name="Normal 3 21 13" xfId="1408" xr:uid="{00000000-0005-0000-0000-000078050000}"/>
    <cellStyle name="Normal 3 21 14" xfId="1409" xr:uid="{00000000-0005-0000-0000-000079050000}"/>
    <cellStyle name="Normal 3 21 15" xfId="1410" xr:uid="{00000000-0005-0000-0000-00007A050000}"/>
    <cellStyle name="Normal 3 21 16" xfId="1411" xr:uid="{00000000-0005-0000-0000-00007B050000}"/>
    <cellStyle name="Normal 3 21 17" xfId="1412" xr:uid="{00000000-0005-0000-0000-00007C050000}"/>
    <cellStyle name="Normal 3 21 18" xfId="1413" xr:uid="{00000000-0005-0000-0000-00007D050000}"/>
    <cellStyle name="Normal 3 21 19" xfId="1414" xr:uid="{00000000-0005-0000-0000-00007E050000}"/>
    <cellStyle name="Normal 3 21 2" xfId="1415" xr:uid="{00000000-0005-0000-0000-00007F050000}"/>
    <cellStyle name="Normal 3 21 20" xfId="1416" xr:uid="{00000000-0005-0000-0000-000080050000}"/>
    <cellStyle name="Normal 3 21 21" xfId="1417" xr:uid="{00000000-0005-0000-0000-000081050000}"/>
    <cellStyle name="Normal 3 21 22" xfId="1418" xr:uid="{00000000-0005-0000-0000-000082050000}"/>
    <cellStyle name="Normal 3 21 23" xfId="1419" xr:uid="{00000000-0005-0000-0000-000083050000}"/>
    <cellStyle name="Normal 3 21 3" xfId="1420" xr:uid="{00000000-0005-0000-0000-000084050000}"/>
    <cellStyle name="Normal 3 21 4" xfId="1421" xr:uid="{00000000-0005-0000-0000-000085050000}"/>
    <cellStyle name="Normal 3 21 5" xfId="1422" xr:uid="{00000000-0005-0000-0000-000086050000}"/>
    <cellStyle name="Normal 3 21 6" xfId="1423" xr:uid="{00000000-0005-0000-0000-000087050000}"/>
    <cellStyle name="Normal 3 21 7" xfId="1424" xr:uid="{00000000-0005-0000-0000-000088050000}"/>
    <cellStyle name="Normal 3 21 8" xfId="1425" xr:uid="{00000000-0005-0000-0000-000089050000}"/>
    <cellStyle name="Normal 3 21 9" xfId="1426" xr:uid="{00000000-0005-0000-0000-00008A050000}"/>
    <cellStyle name="Normal 3 22" xfId="1427" xr:uid="{00000000-0005-0000-0000-00008B050000}"/>
    <cellStyle name="Normal 3 22 10" xfId="1428" xr:uid="{00000000-0005-0000-0000-00008C050000}"/>
    <cellStyle name="Normal 3 22 11" xfId="1429" xr:uid="{00000000-0005-0000-0000-00008D050000}"/>
    <cellStyle name="Normal 3 22 12" xfId="1430" xr:uid="{00000000-0005-0000-0000-00008E050000}"/>
    <cellStyle name="Normal 3 22 13" xfId="1431" xr:uid="{00000000-0005-0000-0000-00008F050000}"/>
    <cellStyle name="Normal 3 22 14" xfId="1432" xr:uid="{00000000-0005-0000-0000-000090050000}"/>
    <cellStyle name="Normal 3 22 15" xfId="1433" xr:uid="{00000000-0005-0000-0000-000091050000}"/>
    <cellStyle name="Normal 3 22 16" xfId="1434" xr:uid="{00000000-0005-0000-0000-000092050000}"/>
    <cellStyle name="Normal 3 22 17" xfId="1435" xr:uid="{00000000-0005-0000-0000-000093050000}"/>
    <cellStyle name="Normal 3 22 18" xfId="1436" xr:uid="{00000000-0005-0000-0000-000094050000}"/>
    <cellStyle name="Normal 3 22 19" xfId="1437" xr:uid="{00000000-0005-0000-0000-000095050000}"/>
    <cellStyle name="Normal 3 22 2" xfId="1438" xr:uid="{00000000-0005-0000-0000-000096050000}"/>
    <cellStyle name="Normal 3 22 20" xfId="1439" xr:uid="{00000000-0005-0000-0000-000097050000}"/>
    <cellStyle name="Normal 3 22 21" xfId="1440" xr:uid="{00000000-0005-0000-0000-000098050000}"/>
    <cellStyle name="Normal 3 22 22" xfId="1441" xr:uid="{00000000-0005-0000-0000-000099050000}"/>
    <cellStyle name="Normal 3 22 23" xfId="1442" xr:uid="{00000000-0005-0000-0000-00009A050000}"/>
    <cellStyle name="Normal 3 22 3" xfId="1443" xr:uid="{00000000-0005-0000-0000-00009B050000}"/>
    <cellStyle name="Normal 3 22 4" xfId="1444" xr:uid="{00000000-0005-0000-0000-00009C050000}"/>
    <cellStyle name="Normal 3 22 5" xfId="1445" xr:uid="{00000000-0005-0000-0000-00009D050000}"/>
    <cellStyle name="Normal 3 22 6" xfId="1446" xr:uid="{00000000-0005-0000-0000-00009E050000}"/>
    <cellStyle name="Normal 3 22 7" xfId="1447" xr:uid="{00000000-0005-0000-0000-00009F050000}"/>
    <cellStyle name="Normal 3 22 8" xfId="1448" xr:uid="{00000000-0005-0000-0000-0000A0050000}"/>
    <cellStyle name="Normal 3 22 9" xfId="1449" xr:uid="{00000000-0005-0000-0000-0000A1050000}"/>
    <cellStyle name="Normal 3 23" xfId="1450" xr:uid="{00000000-0005-0000-0000-0000A2050000}"/>
    <cellStyle name="Normal 3 23 10" xfId="1451" xr:uid="{00000000-0005-0000-0000-0000A3050000}"/>
    <cellStyle name="Normal 3 23 11" xfId="1452" xr:uid="{00000000-0005-0000-0000-0000A4050000}"/>
    <cellStyle name="Normal 3 23 12" xfId="1453" xr:uid="{00000000-0005-0000-0000-0000A5050000}"/>
    <cellStyle name="Normal 3 23 13" xfId="1454" xr:uid="{00000000-0005-0000-0000-0000A6050000}"/>
    <cellStyle name="Normal 3 23 14" xfId="1455" xr:uid="{00000000-0005-0000-0000-0000A7050000}"/>
    <cellStyle name="Normal 3 23 15" xfId="1456" xr:uid="{00000000-0005-0000-0000-0000A8050000}"/>
    <cellStyle name="Normal 3 23 16" xfId="1457" xr:uid="{00000000-0005-0000-0000-0000A9050000}"/>
    <cellStyle name="Normal 3 23 17" xfId="1458" xr:uid="{00000000-0005-0000-0000-0000AA050000}"/>
    <cellStyle name="Normal 3 23 18" xfId="1459" xr:uid="{00000000-0005-0000-0000-0000AB050000}"/>
    <cellStyle name="Normal 3 23 19" xfId="1460" xr:uid="{00000000-0005-0000-0000-0000AC050000}"/>
    <cellStyle name="Normal 3 23 2" xfId="1461" xr:uid="{00000000-0005-0000-0000-0000AD050000}"/>
    <cellStyle name="Normal 3 23 20" xfId="1462" xr:uid="{00000000-0005-0000-0000-0000AE050000}"/>
    <cellStyle name="Normal 3 23 21" xfId="1463" xr:uid="{00000000-0005-0000-0000-0000AF050000}"/>
    <cellStyle name="Normal 3 23 22" xfId="1464" xr:uid="{00000000-0005-0000-0000-0000B0050000}"/>
    <cellStyle name="Normal 3 23 23" xfId="1465" xr:uid="{00000000-0005-0000-0000-0000B1050000}"/>
    <cellStyle name="Normal 3 23 3" xfId="1466" xr:uid="{00000000-0005-0000-0000-0000B2050000}"/>
    <cellStyle name="Normal 3 23 4" xfId="1467" xr:uid="{00000000-0005-0000-0000-0000B3050000}"/>
    <cellStyle name="Normal 3 23 5" xfId="1468" xr:uid="{00000000-0005-0000-0000-0000B4050000}"/>
    <cellStyle name="Normal 3 23 6" xfId="1469" xr:uid="{00000000-0005-0000-0000-0000B5050000}"/>
    <cellStyle name="Normal 3 23 7" xfId="1470" xr:uid="{00000000-0005-0000-0000-0000B6050000}"/>
    <cellStyle name="Normal 3 23 8" xfId="1471" xr:uid="{00000000-0005-0000-0000-0000B7050000}"/>
    <cellStyle name="Normal 3 23 9" xfId="1472" xr:uid="{00000000-0005-0000-0000-0000B8050000}"/>
    <cellStyle name="Normal 3 24" xfId="1473" xr:uid="{00000000-0005-0000-0000-0000B9050000}"/>
    <cellStyle name="Normal 3 24 10" xfId="1474" xr:uid="{00000000-0005-0000-0000-0000BA050000}"/>
    <cellStyle name="Normal 3 24 11" xfId="1475" xr:uid="{00000000-0005-0000-0000-0000BB050000}"/>
    <cellStyle name="Normal 3 24 12" xfId="1476" xr:uid="{00000000-0005-0000-0000-0000BC050000}"/>
    <cellStyle name="Normal 3 24 13" xfId="1477" xr:uid="{00000000-0005-0000-0000-0000BD050000}"/>
    <cellStyle name="Normal 3 24 14" xfId="1478" xr:uid="{00000000-0005-0000-0000-0000BE050000}"/>
    <cellStyle name="Normal 3 24 15" xfId="1479" xr:uid="{00000000-0005-0000-0000-0000BF050000}"/>
    <cellStyle name="Normal 3 24 16" xfId="1480" xr:uid="{00000000-0005-0000-0000-0000C0050000}"/>
    <cellStyle name="Normal 3 24 17" xfId="1481" xr:uid="{00000000-0005-0000-0000-0000C1050000}"/>
    <cellStyle name="Normal 3 24 18" xfId="1482" xr:uid="{00000000-0005-0000-0000-0000C2050000}"/>
    <cellStyle name="Normal 3 24 19" xfId="1483" xr:uid="{00000000-0005-0000-0000-0000C3050000}"/>
    <cellStyle name="Normal 3 24 2" xfId="1484" xr:uid="{00000000-0005-0000-0000-0000C4050000}"/>
    <cellStyle name="Normal 3 24 20" xfId="1485" xr:uid="{00000000-0005-0000-0000-0000C5050000}"/>
    <cellStyle name="Normal 3 24 21" xfId="1486" xr:uid="{00000000-0005-0000-0000-0000C6050000}"/>
    <cellStyle name="Normal 3 24 22" xfId="1487" xr:uid="{00000000-0005-0000-0000-0000C7050000}"/>
    <cellStyle name="Normal 3 24 23" xfId="1488" xr:uid="{00000000-0005-0000-0000-0000C8050000}"/>
    <cellStyle name="Normal 3 24 3" xfId="1489" xr:uid="{00000000-0005-0000-0000-0000C9050000}"/>
    <cellStyle name="Normal 3 24 4" xfId="1490" xr:uid="{00000000-0005-0000-0000-0000CA050000}"/>
    <cellStyle name="Normal 3 24 5" xfId="1491" xr:uid="{00000000-0005-0000-0000-0000CB050000}"/>
    <cellStyle name="Normal 3 24 6" xfId="1492" xr:uid="{00000000-0005-0000-0000-0000CC050000}"/>
    <cellStyle name="Normal 3 24 7" xfId="1493" xr:uid="{00000000-0005-0000-0000-0000CD050000}"/>
    <cellStyle name="Normal 3 24 8" xfId="1494" xr:uid="{00000000-0005-0000-0000-0000CE050000}"/>
    <cellStyle name="Normal 3 24 9" xfId="1495" xr:uid="{00000000-0005-0000-0000-0000CF050000}"/>
    <cellStyle name="Normal 3 25" xfId="1496" xr:uid="{00000000-0005-0000-0000-0000D0050000}"/>
    <cellStyle name="Normal 3 25 10" xfId="1497" xr:uid="{00000000-0005-0000-0000-0000D1050000}"/>
    <cellStyle name="Normal 3 25 11" xfId="1498" xr:uid="{00000000-0005-0000-0000-0000D2050000}"/>
    <cellStyle name="Normal 3 25 12" xfId="1499" xr:uid="{00000000-0005-0000-0000-0000D3050000}"/>
    <cellStyle name="Normal 3 25 13" xfId="1500" xr:uid="{00000000-0005-0000-0000-0000D4050000}"/>
    <cellStyle name="Normal 3 25 14" xfId="1501" xr:uid="{00000000-0005-0000-0000-0000D5050000}"/>
    <cellStyle name="Normal 3 25 15" xfId="1502" xr:uid="{00000000-0005-0000-0000-0000D6050000}"/>
    <cellStyle name="Normal 3 25 16" xfId="1503" xr:uid="{00000000-0005-0000-0000-0000D7050000}"/>
    <cellStyle name="Normal 3 25 17" xfId="1504" xr:uid="{00000000-0005-0000-0000-0000D8050000}"/>
    <cellStyle name="Normal 3 25 18" xfId="1505" xr:uid="{00000000-0005-0000-0000-0000D9050000}"/>
    <cellStyle name="Normal 3 25 19" xfId="1506" xr:uid="{00000000-0005-0000-0000-0000DA050000}"/>
    <cellStyle name="Normal 3 25 2" xfId="1507" xr:uid="{00000000-0005-0000-0000-0000DB050000}"/>
    <cellStyle name="Normal 3 25 20" xfId="1508" xr:uid="{00000000-0005-0000-0000-0000DC050000}"/>
    <cellStyle name="Normal 3 25 21" xfId="1509" xr:uid="{00000000-0005-0000-0000-0000DD050000}"/>
    <cellStyle name="Normal 3 25 22" xfId="1510" xr:uid="{00000000-0005-0000-0000-0000DE050000}"/>
    <cellStyle name="Normal 3 25 23" xfId="1511" xr:uid="{00000000-0005-0000-0000-0000DF050000}"/>
    <cellStyle name="Normal 3 25 3" xfId="1512" xr:uid="{00000000-0005-0000-0000-0000E0050000}"/>
    <cellStyle name="Normal 3 25 4" xfId="1513" xr:uid="{00000000-0005-0000-0000-0000E1050000}"/>
    <cellStyle name="Normal 3 25 5" xfId="1514" xr:uid="{00000000-0005-0000-0000-0000E2050000}"/>
    <cellStyle name="Normal 3 25 6" xfId="1515" xr:uid="{00000000-0005-0000-0000-0000E3050000}"/>
    <cellStyle name="Normal 3 25 7" xfId="1516" xr:uid="{00000000-0005-0000-0000-0000E4050000}"/>
    <cellStyle name="Normal 3 25 8" xfId="1517" xr:uid="{00000000-0005-0000-0000-0000E5050000}"/>
    <cellStyle name="Normal 3 25 9" xfId="1518" xr:uid="{00000000-0005-0000-0000-0000E6050000}"/>
    <cellStyle name="Normal 3 26" xfId="1519" xr:uid="{00000000-0005-0000-0000-0000E7050000}"/>
    <cellStyle name="Normal 3 26 10" xfId="1520" xr:uid="{00000000-0005-0000-0000-0000E8050000}"/>
    <cellStyle name="Normal 3 26 11" xfId="1521" xr:uid="{00000000-0005-0000-0000-0000E9050000}"/>
    <cellStyle name="Normal 3 26 12" xfId="1522" xr:uid="{00000000-0005-0000-0000-0000EA050000}"/>
    <cellStyle name="Normal 3 26 13" xfId="1523" xr:uid="{00000000-0005-0000-0000-0000EB050000}"/>
    <cellStyle name="Normal 3 26 14" xfId="1524" xr:uid="{00000000-0005-0000-0000-0000EC050000}"/>
    <cellStyle name="Normal 3 26 15" xfId="1525" xr:uid="{00000000-0005-0000-0000-0000ED050000}"/>
    <cellStyle name="Normal 3 26 16" xfId="1526" xr:uid="{00000000-0005-0000-0000-0000EE050000}"/>
    <cellStyle name="Normal 3 26 17" xfId="1527" xr:uid="{00000000-0005-0000-0000-0000EF050000}"/>
    <cellStyle name="Normal 3 26 18" xfId="1528" xr:uid="{00000000-0005-0000-0000-0000F0050000}"/>
    <cellStyle name="Normal 3 26 19" xfId="1529" xr:uid="{00000000-0005-0000-0000-0000F1050000}"/>
    <cellStyle name="Normal 3 26 2" xfId="1530" xr:uid="{00000000-0005-0000-0000-0000F2050000}"/>
    <cellStyle name="Normal 3 26 20" xfId="1531" xr:uid="{00000000-0005-0000-0000-0000F3050000}"/>
    <cellStyle name="Normal 3 26 21" xfId="1532" xr:uid="{00000000-0005-0000-0000-0000F4050000}"/>
    <cellStyle name="Normal 3 26 22" xfId="1533" xr:uid="{00000000-0005-0000-0000-0000F5050000}"/>
    <cellStyle name="Normal 3 26 23" xfId="1534" xr:uid="{00000000-0005-0000-0000-0000F6050000}"/>
    <cellStyle name="Normal 3 26 3" xfId="1535" xr:uid="{00000000-0005-0000-0000-0000F7050000}"/>
    <cellStyle name="Normal 3 26 4" xfId="1536" xr:uid="{00000000-0005-0000-0000-0000F8050000}"/>
    <cellStyle name="Normal 3 26 5" xfId="1537" xr:uid="{00000000-0005-0000-0000-0000F9050000}"/>
    <cellStyle name="Normal 3 26 6" xfId="1538" xr:uid="{00000000-0005-0000-0000-0000FA050000}"/>
    <cellStyle name="Normal 3 26 7" xfId="1539" xr:uid="{00000000-0005-0000-0000-0000FB050000}"/>
    <cellStyle name="Normal 3 26 8" xfId="1540" xr:uid="{00000000-0005-0000-0000-0000FC050000}"/>
    <cellStyle name="Normal 3 26 9" xfId="1541" xr:uid="{00000000-0005-0000-0000-0000FD050000}"/>
    <cellStyle name="Normal 3 27" xfId="1542" xr:uid="{00000000-0005-0000-0000-0000FE050000}"/>
    <cellStyle name="Normal 3 27 10" xfId="1543" xr:uid="{00000000-0005-0000-0000-0000FF050000}"/>
    <cellStyle name="Normal 3 27 11" xfId="1544" xr:uid="{00000000-0005-0000-0000-000000060000}"/>
    <cellStyle name="Normal 3 27 12" xfId="1545" xr:uid="{00000000-0005-0000-0000-000001060000}"/>
    <cellStyle name="Normal 3 27 13" xfId="1546" xr:uid="{00000000-0005-0000-0000-000002060000}"/>
    <cellStyle name="Normal 3 27 14" xfId="1547" xr:uid="{00000000-0005-0000-0000-000003060000}"/>
    <cellStyle name="Normal 3 27 15" xfId="1548" xr:uid="{00000000-0005-0000-0000-000004060000}"/>
    <cellStyle name="Normal 3 27 16" xfId="1549" xr:uid="{00000000-0005-0000-0000-000005060000}"/>
    <cellStyle name="Normal 3 27 17" xfId="1550" xr:uid="{00000000-0005-0000-0000-000006060000}"/>
    <cellStyle name="Normal 3 27 18" xfId="1551" xr:uid="{00000000-0005-0000-0000-000007060000}"/>
    <cellStyle name="Normal 3 27 19" xfId="1552" xr:uid="{00000000-0005-0000-0000-000008060000}"/>
    <cellStyle name="Normal 3 27 2" xfId="1553" xr:uid="{00000000-0005-0000-0000-000009060000}"/>
    <cellStyle name="Normal 3 27 20" xfId="1554" xr:uid="{00000000-0005-0000-0000-00000A060000}"/>
    <cellStyle name="Normal 3 27 21" xfId="1555" xr:uid="{00000000-0005-0000-0000-00000B060000}"/>
    <cellStyle name="Normal 3 27 22" xfId="1556" xr:uid="{00000000-0005-0000-0000-00000C060000}"/>
    <cellStyle name="Normal 3 27 23" xfId="1557" xr:uid="{00000000-0005-0000-0000-00000D060000}"/>
    <cellStyle name="Normal 3 27 3" xfId="1558" xr:uid="{00000000-0005-0000-0000-00000E060000}"/>
    <cellStyle name="Normal 3 27 4" xfId="1559" xr:uid="{00000000-0005-0000-0000-00000F060000}"/>
    <cellStyle name="Normal 3 27 5" xfId="1560" xr:uid="{00000000-0005-0000-0000-000010060000}"/>
    <cellStyle name="Normal 3 27 6" xfId="1561" xr:uid="{00000000-0005-0000-0000-000011060000}"/>
    <cellStyle name="Normal 3 27 7" xfId="1562" xr:uid="{00000000-0005-0000-0000-000012060000}"/>
    <cellStyle name="Normal 3 27 8" xfId="1563" xr:uid="{00000000-0005-0000-0000-000013060000}"/>
    <cellStyle name="Normal 3 27 9" xfId="1564" xr:uid="{00000000-0005-0000-0000-000014060000}"/>
    <cellStyle name="Normal 3 28" xfId="1565" xr:uid="{00000000-0005-0000-0000-000015060000}"/>
    <cellStyle name="Normal 3 28 10" xfId="1566" xr:uid="{00000000-0005-0000-0000-000016060000}"/>
    <cellStyle name="Normal 3 28 11" xfId="1567" xr:uid="{00000000-0005-0000-0000-000017060000}"/>
    <cellStyle name="Normal 3 28 12" xfId="1568" xr:uid="{00000000-0005-0000-0000-000018060000}"/>
    <cellStyle name="Normal 3 28 13" xfId="1569" xr:uid="{00000000-0005-0000-0000-000019060000}"/>
    <cellStyle name="Normal 3 28 14" xfId="1570" xr:uid="{00000000-0005-0000-0000-00001A060000}"/>
    <cellStyle name="Normal 3 28 15" xfId="1571" xr:uid="{00000000-0005-0000-0000-00001B060000}"/>
    <cellStyle name="Normal 3 28 16" xfId="1572" xr:uid="{00000000-0005-0000-0000-00001C060000}"/>
    <cellStyle name="Normal 3 28 17" xfId="1573" xr:uid="{00000000-0005-0000-0000-00001D060000}"/>
    <cellStyle name="Normal 3 28 18" xfId="1574" xr:uid="{00000000-0005-0000-0000-00001E060000}"/>
    <cellStyle name="Normal 3 28 19" xfId="1575" xr:uid="{00000000-0005-0000-0000-00001F060000}"/>
    <cellStyle name="Normal 3 28 2" xfId="1576" xr:uid="{00000000-0005-0000-0000-000020060000}"/>
    <cellStyle name="Normal 3 28 20" xfId="1577" xr:uid="{00000000-0005-0000-0000-000021060000}"/>
    <cellStyle name="Normal 3 28 21" xfId="1578" xr:uid="{00000000-0005-0000-0000-000022060000}"/>
    <cellStyle name="Normal 3 28 22" xfId="1579" xr:uid="{00000000-0005-0000-0000-000023060000}"/>
    <cellStyle name="Normal 3 28 23" xfId="1580" xr:uid="{00000000-0005-0000-0000-000024060000}"/>
    <cellStyle name="Normal 3 28 3" xfId="1581" xr:uid="{00000000-0005-0000-0000-000025060000}"/>
    <cellStyle name="Normal 3 28 4" xfId="1582" xr:uid="{00000000-0005-0000-0000-000026060000}"/>
    <cellStyle name="Normal 3 28 5" xfId="1583" xr:uid="{00000000-0005-0000-0000-000027060000}"/>
    <cellStyle name="Normal 3 28 6" xfId="1584" xr:uid="{00000000-0005-0000-0000-000028060000}"/>
    <cellStyle name="Normal 3 28 7" xfId="1585" xr:uid="{00000000-0005-0000-0000-000029060000}"/>
    <cellStyle name="Normal 3 28 8" xfId="1586" xr:uid="{00000000-0005-0000-0000-00002A060000}"/>
    <cellStyle name="Normal 3 28 9" xfId="1587" xr:uid="{00000000-0005-0000-0000-00002B060000}"/>
    <cellStyle name="Normal 3 29" xfId="1588" xr:uid="{00000000-0005-0000-0000-00002C060000}"/>
    <cellStyle name="Normal 3 29 10" xfId="1589" xr:uid="{00000000-0005-0000-0000-00002D060000}"/>
    <cellStyle name="Normal 3 29 11" xfId="1590" xr:uid="{00000000-0005-0000-0000-00002E060000}"/>
    <cellStyle name="Normal 3 29 12" xfId="1591" xr:uid="{00000000-0005-0000-0000-00002F060000}"/>
    <cellStyle name="Normal 3 29 13" xfId="1592" xr:uid="{00000000-0005-0000-0000-000030060000}"/>
    <cellStyle name="Normal 3 29 14" xfId="1593" xr:uid="{00000000-0005-0000-0000-000031060000}"/>
    <cellStyle name="Normal 3 29 15" xfId="1594" xr:uid="{00000000-0005-0000-0000-000032060000}"/>
    <cellStyle name="Normal 3 29 16" xfId="1595" xr:uid="{00000000-0005-0000-0000-000033060000}"/>
    <cellStyle name="Normal 3 29 17" xfId="1596" xr:uid="{00000000-0005-0000-0000-000034060000}"/>
    <cellStyle name="Normal 3 29 18" xfId="1597" xr:uid="{00000000-0005-0000-0000-000035060000}"/>
    <cellStyle name="Normal 3 29 19" xfId="1598" xr:uid="{00000000-0005-0000-0000-000036060000}"/>
    <cellStyle name="Normal 3 29 2" xfId="1599" xr:uid="{00000000-0005-0000-0000-000037060000}"/>
    <cellStyle name="Normal 3 29 20" xfId="1600" xr:uid="{00000000-0005-0000-0000-000038060000}"/>
    <cellStyle name="Normal 3 29 21" xfId="1601" xr:uid="{00000000-0005-0000-0000-000039060000}"/>
    <cellStyle name="Normal 3 29 22" xfId="1602" xr:uid="{00000000-0005-0000-0000-00003A060000}"/>
    <cellStyle name="Normal 3 29 23" xfId="1603" xr:uid="{00000000-0005-0000-0000-00003B060000}"/>
    <cellStyle name="Normal 3 29 3" xfId="1604" xr:uid="{00000000-0005-0000-0000-00003C060000}"/>
    <cellStyle name="Normal 3 29 4" xfId="1605" xr:uid="{00000000-0005-0000-0000-00003D060000}"/>
    <cellStyle name="Normal 3 29 5" xfId="1606" xr:uid="{00000000-0005-0000-0000-00003E060000}"/>
    <cellStyle name="Normal 3 29 6" xfId="1607" xr:uid="{00000000-0005-0000-0000-00003F060000}"/>
    <cellStyle name="Normal 3 29 7" xfId="1608" xr:uid="{00000000-0005-0000-0000-000040060000}"/>
    <cellStyle name="Normal 3 29 8" xfId="1609" xr:uid="{00000000-0005-0000-0000-000041060000}"/>
    <cellStyle name="Normal 3 29 9" xfId="1610" xr:uid="{00000000-0005-0000-0000-000042060000}"/>
    <cellStyle name="Normal 3 3" xfId="1611" xr:uid="{00000000-0005-0000-0000-000043060000}"/>
    <cellStyle name="Normal 3 3 10" xfId="1612" xr:uid="{00000000-0005-0000-0000-000044060000}"/>
    <cellStyle name="Normal 3 3 11" xfId="1613" xr:uid="{00000000-0005-0000-0000-000045060000}"/>
    <cellStyle name="Normal 3 3 12" xfId="1614" xr:uid="{00000000-0005-0000-0000-000046060000}"/>
    <cellStyle name="Normal 3 3 13" xfId="1615" xr:uid="{00000000-0005-0000-0000-000047060000}"/>
    <cellStyle name="Normal 3 3 14" xfId="1616" xr:uid="{00000000-0005-0000-0000-000048060000}"/>
    <cellStyle name="Normal 3 3 15" xfId="1617" xr:uid="{00000000-0005-0000-0000-000049060000}"/>
    <cellStyle name="Normal 3 3 16" xfId="1618" xr:uid="{00000000-0005-0000-0000-00004A060000}"/>
    <cellStyle name="Normal 3 3 17" xfId="1619" xr:uid="{00000000-0005-0000-0000-00004B060000}"/>
    <cellStyle name="Normal 3 3 18" xfId="1620" xr:uid="{00000000-0005-0000-0000-00004C060000}"/>
    <cellStyle name="Normal 3 3 19" xfId="1621" xr:uid="{00000000-0005-0000-0000-00004D060000}"/>
    <cellStyle name="Normal 3 3 2" xfId="1622" xr:uid="{00000000-0005-0000-0000-00004E060000}"/>
    <cellStyle name="Normal 3 3 20" xfId="1623" xr:uid="{00000000-0005-0000-0000-00004F060000}"/>
    <cellStyle name="Normal 3 3 21" xfId="1624" xr:uid="{00000000-0005-0000-0000-000050060000}"/>
    <cellStyle name="Normal 3 3 22" xfId="1625" xr:uid="{00000000-0005-0000-0000-000051060000}"/>
    <cellStyle name="Normal 3 3 23" xfId="1626" xr:uid="{00000000-0005-0000-0000-000052060000}"/>
    <cellStyle name="Normal 3 3 3" xfId="1627" xr:uid="{00000000-0005-0000-0000-000053060000}"/>
    <cellStyle name="Normal 3 3 4" xfId="1628" xr:uid="{00000000-0005-0000-0000-000054060000}"/>
    <cellStyle name="Normal 3 3 5" xfId="1629" xr:uid="{00000000-0005-0000-0000-000055060000}"/>
    <cellStyle name="Normal 3 3 6" xfId="1630" xr:uid="{00000000-0005-0000-0000-000056060000}"/>
    <cellStyle name="Normal 3 3 7" xfId="1631" xr:uid="{00000000-0005-0000-0000-000057060000}"/>
    <cellStyle name="Normal 3 3 8" xfId="1632" xr:uid="{00000000-0005-0000-0000-000058060000}"/>
    <cellStyle name="Normal 3 3 9" xfId="1633" xr:uid="{00000000-0005-0000-0000-000059060000}"/>
    <cellStyle name="Normal 3 30" xfId="1634" xr:uid="{00000000-0005-0000-0000-00005A060000}"/>
    <cellStyle name="Normal 3 30 10" xfId="1635" xr:uid="{00000000-0005-0000-0000-00005B060000}"/>
    <cellStyle name="Normal 3 30 11" xfId="1636" xr:uid="{00000000-0005-0000-0000-00005C060000}"/>
    <cellStyle name="Normal 3 30 12" xfId="1637" xr:uid="{00000000-0005-0000-0000-00005D060000}"/>
    <cellStyle name="Normal 3 30 13" xfId="1638" xr:uid="{00000000-0005-0000-0000-00005E060000}"/>
    <cellStyle name="Normal 3 30 14" xfId="1639" xr:uid="{00000000-0005-0000-0000-00005F060000}"/>
    <cellStyle name="Normal 3 30 15" xfId="1640" xr:uid="{00000000-0005-0000-0000-000060060000}"/>
    <cellStyle name="Normal 3 30 16" xfId="1641" xr:uid="{00000000-0005-0000-0000-000061060000}"/>
    <cellStyle name="Normal 3 30 17" xfId="1642" xr:uid="{00000000-0005-0000-0000-000062060000}"/>
    <cellStyle name="Normal 3 30 18" xfId="1643" xr:uid="{00000000-0005-0000-0000-000063060000}"/>
    <cellStyle name="Normal 3 30 19" xfId="1644" xr:uid="{00000000-0005-0000-0000-000064060000}"/>
    <cellStyle name="Normal 3 30 2" xfId="1645" xr:uid="{00000000-0005-0000-0000-000065060000}"/>
    <cellStyle name="Normal 3 30 20" xfId="1646" xr:uid="{00000000-0005-0000-0000-000066060000}"/>
    <cellStyle name="Normal 3 30 21" xfId="1647" xr:uid="{00000000-0005-0000-0000-000067060000}"/>
    <cellStyle name="Normal 3 30 22" xfId="1648" xr:uid="{00000000-0005-0000-0000-000068060000}"/>
    <cellStyle name="Normal 3 30 23" xfId="1649" xr:uid="{00000000-0005-0000-0000-000069060000}"/>
    <cellStyle name="Normal 3 30 3" xfId="1650" xr:uid="{00000000-0005-0000-0000-00006A060000}"/>
    <cellStyle name="Normal 3 30 4" xfId="1651" xr:uid="{00000000-0005-0000-0000-00006B060000}"/>
    <cellStyle name="Normal 3 30 5" xfId="1652" xr:uid="{00000000-0005-0000-0000-00006C060000}"/>
    <cellStyle name="Normal 3 30 6" xfId="1653" xr:uid="{00000000-0005-0000-0000-00006D060000}"/>
    <cellStyle name="Normal 3 30 7" xfId="1654" xr:uid="{00000000-0005-0000-0000-00006E060000}"/>
    <cellStyle name="Normal 3 30 8" xfId="1655" xr:uid="{00000000-0005-0000-0000-00006F060000}"/>
    <cellStyle name="Normal 3 30 9" xfId="1656" xr:uid="{00000000-0005-0000-0000-000070060000}"/>
    <cellStyle name="Normal 3 31" xfId="1657" xr:uid="{00000000-0005-0000-0000-000071060000}"/>
    <cellStyle name="Normal 3 31 10" xfId="1658" xr:uid="{00000000-0005-0000-0000-000072060000}"/>
    <cellStyle name="Normal 3 31 11" xfId="1659" xr:uid="{00000000-0005-0000-0000-000073060000}"/>
    <cellStyle name="Normal 3 31 12" xfId="1660" xr:uid="{00000000-0005-0000-0000-000074060000}"/>
    <cellStyle name="Normal 3 31 13" xfId="1661" xr:uid="{00000000-0005-0000-0000-000075060000}"/>
    <cellStyle name="Normal 3 31 14" xfId="1662" xr:uid="{00000000-0005-0000-0000-000076060000}"/>
    <cellStyle name="Normal 3 31 15" xfId="1663" xr:uid="{00000000-0005-0000-0000-000077060000}"/>
    <cellStyle name="Normal 3 31 16" xfId="1664" xr:uid="{00000000-0005-0000-0000-000078060000}"/>
    <cellStyle name="Normal 3 31 17" xfId="1665" xr:uid="{00000000-0005-0000-0000-000079060000}"/>
    <cellStyle name="Normal 3 31 18" xfId="1666" xr:uid="{00000000-0005-0000-0000-00007A060000}"/>
    <cellStyle name="Normal 3 31 19" xfId="1667" xr:uid="{00000000-0005-0000-0000-00007B060000}"/>
    <cellStyle name="Normal 3 31 2" xfId="1668" xr:uid="{00000000-0005-0000-0000-00007C060000}"/>
    <cellStyle name="Normal 3 31 20" xfId="1669" xr:uid="{00000000-0005-0000-0000-00007D060000}"/>
    <cellStyle name="Normal 3 31 21" xfId="1670" xr:uid="{00000000-0005-0000-0000-00007E060000}"/>
    <cellStyle name="Normal 3 31 22" xfId="1671" xr:uid="{00000000-0005-0000-0000-00007F060000}"/>
    <cellStyle name="Normal 3 31 23" xfId="1672" xr:uid="{00000000-0005-0000-0000-000080060000}"/>
    <cellStyle name="Normal 3 31 3" xfId="1673" xr:uid="{00000000-0005-0000-0000-000081060000}"/>
    <cellStyle name="Normal 3 31 4" xfId="1674" xr:uid="{00000000-0005-0000-0000-000082060000}"/>
    <cellStyle name="Normal 3 31 5" xfId="1675" xr:uid="{00000000-0005-0000-0000-000083060000}"/>
    <cellStyle name="Normal 3 31 6" xfId="1676" xr:uid="{00000000-0005-0000-0000-000084060000}"/>
    <cellStyle name="Normal 3 31 7" xfId="1677" xr:uid="{00000000-0005-0000-0000-000085060000}"/>
    <cellStyle name="Normal 3 31 8" xfId="1678" xr:uid="{00000000-0005-0000-0000-000086060000}"/>
    <cellStyle name="Normal 3 31 9" xfId="1679" xr:uid="{00000000-0005-0000-0000-000087060000}"/>
    <cellStyle name="Normal 3 32" xfId="1680" xr:uid="{00000000-0005-0000-0000-000088060000}"/>
    <cellStyle name="Normal 3 32 10" xfId="1681" xr:uid="{00000000-0005-0000-0000-000089060000}"/>
    <cellStyle name="Normal 3 32 11" xfId="1682" xr:uid="{00000000-0005-0000-0000-00008A060000}"/>
    <cellStyle name="Normal 3 32 12" xfId="1683" xr:uid="{00000000-0005-0000-0000-00008B060000}"/>
    <cellStyle name="Normal 3 32 13" xfId="1684" xr:uid="{00000000-0005-0000-0000-00008C060000}"/>
    <cellStyle name="Normal 3 32 14" xfId="1685" xr:uid="{00000000-0005-0000-0000-00008D060000}"/>
    <cellStyle name="Normal 3 32 15" xfId="1686" xr:uid="{00000000-0005-0000-0000-00008E060000}"/>
    <cellStyle name="Normal 3 32 16" xfId="1687" xr:uid="{00000000-0005-0000-0000-00008F060000}"/>
    <cellStyle name="Normal 3 32 17" xfId="1688" xr:uid="{00000000-0005-0000-0000-000090060000}"/>
    <cellStyle name="Normal 3 32 18" xfId="1689" xr:uid="{00000000-0005-0000-0000-000091060000}"/>
    <cellStyle name="Normal 3 32 19" xfId="1690" xr:uid="{00000000-0005-0000-0000-000092060000}"/>
    <cellStyle name="Normal 3 32 2" xfId="1691" xr:uid="{00000000-0005-0000-0000-000093060000}"/>
    <cellStyle name="Normal 3 32 20" xfId="1692" xr:uid="{00000000-0005-0000-0000-000094060000}"/>
    <cellStyle name="Normal 3 32 21" xfId="1693" xr:uid="{00000000-0005-0000-0000-000095060000}"/>
    <cellStyle name="Normal 3 32 22" xfId="1694" xr:uid="{00000000-0005-0000-0000-000096060000}"/>
    <cellStyle name="Normal 3 32 23" xfId="1695" xr:uid="{00000000-0005-0000-0000-000097060000}"/>
    <cellStyle name="Normal 3 32 3" xfId="1696" xr:uid="{00000000-0005-0000-0000-000098060000}"/>
    <cellStyle name="Normal 3 32 4" xfId="1697" xr:uid="{00000000-0005-0000-0000-000099060000}"/>
    <cellStyle name="Normal 3 32 5" xfId="1698" xr:uid="{00000000-0005-0000-0000-00009A060000}"/>
    <cellStyle name="Normal 3 32 6" xfId="1699" xr:uid="{00000000-0005-0000-0000-00009B060000}"/>
    <cellStyle name="Normal 3 32 7" xfId="1700" xr:uid="{00000000-0005-0000-0000-00009C060000}"/>
    <cellStyle name="Normal 3 32 8" xfId="1701" xr:uid="{00000000-0005-0000-0000-00009D060000}"/>
    <cellStyle name="Normal 3 32 9" xfId="1702" xr:uid="{00000000-0005-0000-0000-00009E060000}"/>
    <cellStyle name="Normal 3 33" xfId="1703" xr:uid="{00000000-0005-0000-0000-00009F060000}"/>
    <cellStyle name="Normal 3 33 10" xfId="1704" xr:uid="{00000000-0005-0000-0000-0000A0060000}"/>
    <cellStyle name="Normal 3 33 11" xfId="1705" xr:uid="{00000000-0005-0000-0000-0000A1060000}"/>
    <cellStyle name="Normal 3 33 12" xfId="1706" xr:uid="{00000000-0005-0000-0000-0000A2060000}"/>
    <cellStyle name="Normal 3 33 13" xfId="1707" xr:uid="{00000000-0005-0000-0000-0000A3060000}"/>
    <cellStyle name="Normal 3 33 14" xfId="1708" xr:uid="{00000000-0005-0000-0000-0000A4060000}"/>
    <cellStyle name="Normal 3 33 15" xfId="1709" xr:uid="{00000000-0005-0000-0000-0000A5060000}"/>
    <cellStyle name="Normal 3 33 16" xfId="1710" xr:uid="{00000000-0005-0000-0000-0000A6060000}"/>
    <cellStyle name="Normal 3 33 17" xfId="1711" xr:uid="{00000000-0005-0000-0000-0000A7060000}"/>
    <cellStyle name="Normal 3 33 18" xfId="1712" xr:uid="{00000000-0005-0000-0000-0000A8060000}"/>
    <cellStyle name="Normal 3 33 19" xfId="1713" xr:uid="{00000000-0005-0000-0000-0000A9060000}"/>
    <cellStyle name="Normal 3 33 2" xfId="1714" xr:uid="{00000000-0005-0000-0000-0000AA060000}"/>
    <cellStyle name="Normal 3 33 20" xfId="1715" xr:uid="{00000000-0005-0000-0000-0000AB060000}"/>
    <cellStyle name="Normal 3 33 21" xfId="1716" xr:uid="{00000000-0005-0000-0000-0000AC060000}"/>
    <cellStyle name="Normal 3 33 22" xfId="1717" xr:uid="{00000000-0005-0000-0000-0000AD060000}"/>
    <cellStyle name="Normal 3 33 23" xfId="1718" xr:uid="{00000000-0005-0000-0000-0000AE060000}"/>
    <cellStyle name="Normal 3 33 3" xfId="1719" xr:uid="{00000000-0005-0000-0000-0000AF060000}"/>
    <cellStyle name="Normal 3 33 4" xfId="1720" xr:uid="{00000000-0005-0000-0000-0000B0060000}"/>
    <cellStyle name="Normal 3 33 5" xfId="1721" xr:uid="{00000000-0005-0000-0000-0000B1060000}"/>
    <cellStyle name="Normal 3 33 6" xfId="1722" xr:uid="{00000000-0005-0000-0000-0000B2060000}"/>
    <cellStyle name="Normal 3 33 7" xfId="1723" xr:uid="{00000000-0005-0000-0000-0000B3060000}"/>
    <cellStyle name="Normal 3 33 8" xfId="1724" xr:uid="{00000000-0005-0000-0000-0000B4060000}"/>
    <cellStyle name="Normal 3 33 9" xfId="1725" xr:uid="{00000000-0005-0000-0000-0000B5060000}"/>
    <cellStyle name="Normal 3 34" xfId="1726" xr:uid="{00000000-0005-0000-0000-0000B6060000}"/>
    <cellStyle name="Normal 3 35" xfId="1727" xr:uid="{00000000-0005-0000-0000-0000B7060000}"/>
    <cellStyle name="Normal 3 36" xfId="1728" xr:uid="{00000000-0005-0000-0000-0000B8060000}"/>
    <cellStyle name="Normal 3 37" xfId="1729" xr:uid="{00000000-0005-0000-0000-0000B9060000}"/>
    <cellStyle name="Normal 3 38" xfId="1730" xr:uid="{00000000-0005-0000-0000-0000BA060000}"/>
    <cellStyle name="Normal 3 39" xfId="1731" xr:uid="{00000000-0005-0000-0000-0000BB060000}"/>
    <cellStyle name="Normal 3 4" xfId="1732" xr:uid="{00000000-0005-0000-0000-0000BC060000}"/>
    <cellStyle name="Normal 3 4 10" xfId="1733" xr:uid="{00000000-0005-0000-0000-0000BD060000}"/>
    <cellStyle name="Normal 3 4 11" xfId="1734" xr:uid="{00000000-0005-0000-0000-0000BE060000}"/>
    <cellStyle name="Normal 3 4 12" xfId="1735" xr:uid="{00000000-0005-0000-0000-0000BF060000}"/>
    <cellStyle name="Normal 3 4 13" xfId="1736" xr:uid="{00000000-0005-0000-0000-0000C0060000}"/>
    <cellStyle name="Normal 3 4 14" xfId="1737" xr:uid="{00000000-0005-0000-0000-0000C1060000}"/>
    <cellStyle name="Normal 3 4 15" xfId="1738" xr:uid="{00000000-0005-0000-0000-0000C2060000}"/>
    <cellStyle name="Normal 3 4 16" xfId="1739" xr:uid="{00000000-0005-0000-0000-0000C3060000}"/>
    <cellStyle name="Normal 3 4 17" xfId="1740" xr:uid="{00000000-0005-0000-0000-0000C4060000}"/>
    <cellStyle name="Normal 3 4 18" xfId="1741" xr:uid="{00000000-0005-0000-0000-0000C5060000}"/>
    <cellStyle name="Normal 3 4 19" xfId="1742" xr:uid="{00000000-0005-0000-0000-0000C6060000}"/>
    <cellStyle name="Normal 3 4 2" xfId="1743" xr:uid="{00000000-0005-0000-0000-0000C7060000}"/>
    <cellStyle name="Normal 3 4 20" xfId="1744" xr:uid="{00000000-0005-0000-0000-0000C8060000}"/>
    <cellStyle name="Normal 3 4 21" xfId="1745" xr:uid="{00000000-0005-0000-0000-0000C9060000}"/>
    <cellStyle name="Normal 3 4 22" xfId="1746" xr:uid="{00000000-0005-0000-0000-0000CA060000}"/>
    <cellStyle name="Normal 3 4 23" xfId="1747" xr:uid="{00000000-0005-0000-0000-0000CB060000}"/>
    <cellStyle name="Normal 3 4 3" xfId="1748" xr:uid="{00000000-0005-0000-0000-0000CC060000}"/>
    <cellStyle name="Normal 3 4 4" xfId="1749" xr:uid="{00000000-0005-0000-0000-0000CD060000}"/>
    <cellStyle name="Normal 3 4 5" xfId="1750" xr:uid="{00000000-0005-0000-0000-0000CE060000}"/>
    <cellStyle name="Normal 3 4 6" xfId="1751" xr:uid="{00000000-0005-0000-0000-0000CF060000}"/>
    <cellStyle name="Normal 3 4 7" xfId="1752" xr:uid="{00000000-0005-0000-0000-0000D0060000}"/>
    <cellStyle name="Normal 3 4 8" xfId="1753" xr:uid="{00000000-0005-0000-0000-0000D1060000}"/>
    <cellStyle name="Normal 3 4 9" xfId="1754" xr:uid="{00000000-0005-0000-0000-0000D2060000}"/>
    <cellStyle name="Normal 3 40" xfId="1755" xr:uid="{00000000-0005-0000-0000-0000D3060000}"/>
    <cellStyle name="Normal 3 41" xfId="1756" xr:uid="{00000000-0005-0000-0000-0000D4060000}"/>
    <cellStyle name="Normal 3 42" xfId="1757" xr:uid="{00000000-0005-0000-0000-0000D5060000}"/>
    <cellStyle name="Normal 3 43" xfId="1758" xr:uid="{00000000-0005-0000-0000-0000D6060000}"/>
    <cellStyle name="Normal 3 44" xfId="1759" xr:uid="{00000000-0005-0000-0000-0000D7060000}"/>
    <cellStyle name="Normal 3 45" xfId="1760" xr:uid="{00000000-0005-0000-0000-0000D8060000}"/>
    <cellStyle name="Normal 3 46" xfId="1761" xr:uid="{00000000-0005-0000-0000-0000D9060000}"/>
    <cellStyle name="Normal 3 47" xfId="1762" xr:uid="{00000000-0005-0000-0000-0000DA060000}"/>
    <cellStyle name="Normal 3 48" xfId="1763" xr:uid="{00000000-0005-0000-0000-0000DB060000}"/>
    <cellStyle name="Normal 3 49" xfId="1764" xr:uid="{00000000-0005-0000-0000-0000DC060000}"/>
    <cellStyle name="Normal 3 5" xfId="1765" xr:uid="{00000000-0005-0000-0000-0000DD060000}"/>
    <cellStyle name="Normal 3 5 10" xfId="1766" xr:uid="{00000000-0005-0000-0000-0000DE060000}"/>
    <cellStyle name="Normal 3 5 11" xfId="1767" xr:uid="{00000000-0005-0000-0000-0000DF060000}"/>
    <cellStyle name="Normal 3 5 12" xfId="1768" xr:uid="{00000000-0005-0000-0000-0000E0060000}"/>
    <cellStyle name="Normal 3 5 13" xfId="1769" xr:uid="{00000000-0005-0000-0000-0000E1060000}"/>
    <cellStyle name="Normal 3 5 14" xfId="1770" xr:uid="{00000000-0005-0000-0000-0000E2060000}"/>
    <cellStyle name="Normal 3 5 15" xfId="1771" xr:uid="{00000000-0005-0000-0000-0000E3060000}"/>
    <cellStyle name="Normal 3 5 16" xfId="1772" xr:uid="{00000000-0005-0000-0000-0000E4060000}"/>
    <cellStyle name="Normal 3 5 17" xfId="1773" xr:uid="{00000000-0005-0000-0000-0000E5060000}"/>
    <cellStyle name="Normal 3 5 18" xfId="1774" xr:uid="{00000000-0005-0000-0000-0000E6060000}"/>
    <cellStyle name="Normal 3 5 19" xfId="1775" xr:uid="{00000000-0005-0000-0000-0000E7060000}"/>
    <cellStyle name="Normal 3 5 2" xfId="1776" xr:uid="{00000000-0005-0000-0000-0000E8060000}"/>
    <cellStyle name="Normal 3 5 20" xfId="1777" xr:uid="{00000000-0005-0000-0000-0000E9060000}"/>
    <cellStyle name="Normal 3 5 21" xfId="1778" xr:uid="{00000000-0005-0000-0000-0000EA060000}"/>
    <cellStyle name="Normal 3 5 22" xfId="1779" xr:uid="{00000000-0005-0000-0000-0000EB060000}"/>
    <cellStyle name="Normal 3 5 23" xfId="1780" xr:uid="{00000000-0005-0000-0000-0000EC060000}"/>
    <cellStyle name="Normal 3 5 3" xfId="1781" xr:uid="{00000000-0005-0000-0000-0000ED060000}"/>
    <cellStyle name="Normal 3 5 4" xfId="1782" xr:uid="{00000000-0005-0000-0000-0000EE060000}"/>
    <cellStyle name="Normal 3 5 5" xfId="1783" xr:uid="{00000000-0005-0000-0000-0000EF060000}"/>
    <cellStyle name="Normal 3 5 6" xfId="1784" xr:uid="{00000000-0005-0000-0000-0000F0060000}"/>
    <cellStyle name="Normal 3 5 7" xfId="1785" xr:uid="{00000000-0005-0000-0000-0000F1060000}"/>
    <cellStyle name="Normal 3 5 8" xfId="1786" xr:uid="{00000000-0005-0000-0000-0000F2060000}"/>
    <cellStyle name="Normal 3 5 9" xfId="1787" xr:uid="{00000000-0005-0000-0000-0000F3060000}"/>
    <cellStyle name="Normal 3 50" xfId="1788" xr:uid="{00000000-0005-0000-0000-0000F4060000}"/>
    <cellStyle name="Normal 3 51" xfId="1789" xr:uid="{00000000-0005-0000-0000-0000F5060000}"/>
    <cellStyle name="Normal 3 52" xfId="1790" xr:uid="{00000000-0005-0000-0000-0000F6060000}"/>
    <cellStyle name="Normal 3 53" xfId="1791" xr:uid="{00000000-0005-0000-0000-0000F7060000}"/>
    <cellStyle name="Normal 3 54" xfId="1792" xr:uid="{00000000-0005-0000-0000-0000F8060000}"/>
    <cellStyle name="Normal 3 55" xfId="1793" xr:uid="{00000000-0005-0000-0000-0000F9060000}"/>
    <cellStyle name="Normal 3 56" xfId="1794" xr:uid="{00000000-0005-0000-0000-0000FA060000}"/>
    <cellStyle name="Normal 3 57" xfId="1795" xr:uid="{00000000-0005-0000-0000-0000FB060000}"/>
    <cellStyle name="Normal 3 58" xfId="1796" xr:uid="{00000000-0005-0000-0000-0000FC060000}"/>
    <cellStyle name="Normal 3 59" xfId="1797" xr:uid="{00000000-0005-0000-0000-0000FD060000}"/>
    <cellStyle name="Normal 3 6" xfId="1798" xr:uid="{00000000-0005-0000-0000-0000FE060000}"/>
    <cellStyle name="Normal 3 6 10" xfId="1799" xr:uid="{00000000-0005-0000-0000-0000FF060000}"/>
    <cellStyle name="Normal 3 6 11" xfId="1800" xr:uid="{00000000-0005-0000-0000-000000070000}"/>
    <cellStyle name="Normal 3 6 12" xfId="1801" xr:uid="{00000000-0005-0000-0000-000001070000}"/>
    <cellStyle name="Normal 3 6 13" xfId="1802" xr:uid="{00000000-0005-0000-0000-000002070000}"/>
    <cellStyle name="Normal 3 6 14" xfId="1803" xr:uid="{00000000-0005-0000-0000-000003070000}"/>
    <cellStyle name="Normal 3 6 15" xfId="1804" xr:uid="{00000000-0005-0000-0000-000004070000}"/>
    <cellStyle name="Normal 3 6 16" xfId="1805" xr:uid="{00000000-0005-0000-0000-000005070000}"/>
    <cellStyle name="Normal 3 6 17" xfId="1806" xr:uid="{00000000-0005-0000-0000-000006070000}"/>
    <cellStyle name="Normal 3 6 18" xfId="1807" xr:uid="{00000000-0005-0000-0000-000007070000}"/>
    <cellStyle name="Normal 3 6 19" xfId="1808" xr:uid="{00000000-0005-0000-0000-000008070000}"/>
    <cellStyle name="Normal 3 6 2" xfId="1809" xr:uid="{00000000-0005-0000-0000-000009070000}"/>
    <cellStyle name="Normal 3 6 20" xfId="1810" xr:uid="{00000000-0005-0000-0000-00000A070000}"/>
    <cellStyle name="Normal 3 6 21" xfId="1811" xr:uid="{00000000-0005-0000-0000-00000B070000}"/>
    <cellStyle name="Normal 3 6 22" xfId="1812" xr:uid="{00000000-0005-0000-0000-00000C070000}"/>
    <cellStyle name="Normal 3 6 23" xfId="1813" xr:uid="{00000000-0005-0000-0000-00000D070000}"/>
    <cellStyle name="Normal 3 6 3" xfId="1814" xr:uid="{00000000-0005-0000-0000-00000E070000}"/>
    <cellStyle name="Normal 3 6 4" xfId="1815" xr:uid="{00000000-0005-0000-0000-00000F070000}"/>
    <cellStyle name="Normal 3 6 5" xfId="1816" xr:uid="{00000000-0005-0000-0000-000010070000}"/>
    <cellStyle name="Normal 3 6 6" xfId="1817" xr:uid="{00000000-0005-0000-0000-000011070000}"/>
    <cellStyle name="Normal 3 6 7" xfId="1818" xr:uid="{00000000-0005-0000-0000-000012070000}"/>
    <cellStyle name="Normal 3 6 8" xfId="1819" xr:uid="{00000000-0005-0000-0000-000013070000}"/>
    <cellStyle name="Normal 3 6 9" xfId="1820" xr:uid="{00000000-0005-0000-0000-000014070000}"/>
    <cellStyle name="Normal 3 60" xfId="1821" xr:uid="{00000000-0005-0000-0000-000015070000}"/>
    <cellStyle name="Normal 3 61" xfId="1822" xr:uid="{00000000-0005-0000-0000-000016070000}"/>
    <cellStyle name="Normal 3 62" xfId="1823" xr:uid="{00000000-0005-0000-0000-000017070000}"/>
    <cellStyle name="Normal 3 63" xfId="1824" xr:uid="{00000000-0005-0000-0000-000018070000}"/>
    <cellStyle name="Normal 3 64" xfId="1825" xr:uid="{00000000-0005-0000-0000-000019070000}"/>
    <cellStyle name="Normal 3 65" xfId="1826" xr:uid="{00000000-0005-0000-0000-00001A070000}"/>
    <cellStyle name="Normal 3 66" xfId="1063" xr:uid="{00000000-0005-0000-0000-00001B070000}"/>
    <cellStyle name="Normal 3 67" xfId="2088" xr:uid="{00000000-0005-0000-0000-000030050000}"/>
    <cellStyle name="Normal 3 7" xfId="1827" xr:uid="{00000000-0005-0000-0000-00001C070000}"/>
    <cellStyle name="Normal 3 7 10" xfId="1828" xr:uid="{00000000-0005-0000-0000-00001D070000}"/>
    <cellStyle name="Normal 3 7 11" xfId="1829" xr:uid="{00000000-0005-0000-0000-00001E070000}"/>
    <cellStyle name="Normal 3 7 12" xfId="1830" xr:uid="{00000000-0005-0000-0000-00001F070000}"/>
    <cellStyle name="Normal 3 7 13" xfId="1831" xr:uid="{00000000-0005-0000-0000-000020070000}"/>
    <cellStyle name="Normal 3 7 14" xfId="1832" xr:uid="{00000000-0005-0000-0000-000021070000}"/>
    <cellStyle name="Normal 3 7 15" xfId="1833" xr:uid="{00000000-0005-0000-0000-000022070000}"/>
    <cellStyle name="Normal 3 7 16" xfId="1834" xr:uid="{00000000-0005-0000-0000-000023070000}"/>
    <cellStyle name="Normal 3 7 17" xfId="1835" xr:uid="{00000000-0005-0000-0000-000024070000}"/>
    <cellStyle name="Normal 3 7 18" xfId="1836" xr:uid="{00000000-0005-0000-0000-000025070000}"/>
    <cellStyle name="Normal 3 7 19" xfId="1837" xr:uid="{00000000-0005-0000-0000-000026070000}"/>
    <cellStyle name="Normal 3 7 2" xfId="1838" xr:uid="{00000000-0005-0000-0000-000027070000}"/>
    <cellStyle name="Normal 3 7 20" xfId="1839" xr:uid="{00000000-0005-0000-0000-000028070000}"/>
    <cellStyle name="Normal 3 7 21" xfId="1840" xr:uid="{00000000-0005-0000-0000-000029070000}"/>
    <cellStyle name="Normal 3 7 22" xfId="1841" xr:uid="{00000000-0005-0000-0000-00002A070000}"/>
    <cellStyle name="Normal 3 7 23" xfId="1842" xr:uid="{00000000-0005-0000-0000-00002B070000}"/>
    <cellStyle name="Normal 3 7 3" xfId="1843" xr:uid="{00000000-0005-0000-0000-00002C070000}"/>
    <cellStyle name="Normal 3 7 4" xfId="1844" xr:uid="{00000000-0005-0000-0000-00002D070000}"/>
    <cellStyle name="Normal 3 7 5" xfId="1845" xr:uid="{00000000-0005-0000-0000-00002E070000}"/>
    <cellStyle name="Normal 3 7 6" xfId="1846" xr:uid="{00000000-0005-0000-0000-00002F070000}"/>
    <cellStyle name="Normal 3 7 7" xfId="1847" xr:uid="{00000000-0005-0000-0000-000030070000}"/>
    <cellStyle name="Normal 3 7 8" xfId="1848" xr:uid="{00000000-0005-0000-0000-000031070000}"/>
    <cellStyle name="Normal 3 7 9" xfId="1849" xr:uid="{00000000-0005-0000-0000-000032070000}"/>
    <cellStyle name="Normal 3 7_Summary" xfId="2412" xr:uid="{00000000-0005-0000-0000-000045080000}"/>
    <cellStyle name="Normal 3 8" xfId="1850" xr:uid="{00000000-0005-0000-0000-000033070000}"/>
    <cellStyle name="Normal 3 8 10" xfId="1851" xr:uid="{00000000-0005-0000-0000-000034070000}"/>
    <cellStyle name="Normal 3 8 11" xfId="1852" xr:uid="{00000000-0005-0000-0000-000035070000}"/>
    <cellStyle name="Normal 3 8 12" xfId="1853" xr:uid="{00000000-0005-0000-0000-000036070000}"/>
    <cellStyle name="Normal 3 8 13" xfId="1854" xr:uid="{00000000-0005-0000-0000-000037070000}"/>
    <cellStyle name="Normal 3 8 14" xfId="1855" xr:uid="{00000000-0005-0000-0000-000038070000}"/>
    <cellStyle name="Normal 3 8 15" xfId="1856" xr:uid="{00000000-0005-0000-0000-000039070000}"/>
    <cellStyle name="Normal 3 8 16" xfId="1857" xr:uid="{00000000-0005-0000-0000-00003A070000}"/>
    <cellStyle name="Normal 3 8 17" xfId="1858" xr:uid="{00000000-0005-0000-0000-00003B070000}"/>
    <cellStyle name="Normal 3 8 18" xfId="1859" xr:uid="{00000000-0005-0000-0000-00003C070000}"/>
    <cellStyle name="Normal 3 8 19" xfId="1860" xr:uid="{00000000-0005-0000-0000-00003D070000}"/>
    <cellStyle name="Normal 3 8 2" xfId="1861" xr:uid="{00000000-0005-0000-0000-00003E070000}"/>
    <cellStyle name="Normal 3 8 20" xfId="1862" xr:uid="{00000000-0005-0000-0000-00003F070000}"/>
    <cellStyle name="Normal 3 8 21" xfId="1863" xr:uid="{00000000-0005-0000-0000-000040070000}"/>
    <cellStyle name="Normal 3 8 22" xfId="1864" xr:uid="{00000000-0005-0000-0000-000041070000}"/>
    <cellStyle name="Normal 3 8 23" xfId="1865" xr:uid="{00000000-0005-0000-0000-000042070000}"/>
    <cellStyle name="Normal 3 8 3" xfId="1866" xr:uid="{00000000-0005-0000-0000-000043070000}"/>
    <cellStyle name="Normal 3 8 4" xfId="1867" xr:uid="{00000000-0005-0000-0000-000044070000}"/>
    <cellStyle name="Normal 3 8 5" xfId="1868" xr:uid="{00000000-0005-0000-0000-000045070000}"/>
    <cellStyle name="Normal 3 8 6" xfId="1869" xr:uid="{00000000-0005-0000-0000-000046070000}"/>
    <cellStyle name="Normal 3 8 7" xfId="1870" xr:uid="{00000000-0005-0000-0000-000047070000}"/>
    <cellStyle name="Normal 3 8 8" xfId="1871" xr:uid="{00000000-0005-0000-0000-000048070000}"/>
    <cellStyle name="Normal 3 8 9" xfId="1872" xr:uid="{00000000-0005-0000-0000-000049070000}"/>
    <cellStyle name="Normal 3 9" xfId="1873" xr:uid="{00000000-0005-0000-0000-00004A070000}"/>
    <cellStyle name="Normal 3 9 10" xfId="1874" xr:uid="{00000000-0005-0000-0000-00004B070000}"/>
    <cellStyle name="Normal 3 9 11" xfId="1875" xr:uid="{00000000-0005-0000-0000-00004C070000}"/>
    <cellStyle name="Normal 3 9 12" xfId="1876" xr:uid="{00000000-0005-0000-0000-00004D070000}"/>
    <cellStyle name="Normal 3 9 13" xfId="1877" xr:uid="{00000000-0005-0000-0000-00004E070000}"/>
    <cellStyle name="Normal 3 9 14" xfId="1878" xr:uid="{00000000-0005-0000-0000-00004F070000}"/>
    <cellStyle name="Normal 3 9 15" xfId="1879" xr:uid="{00000000-0005-0000-0000-000050070000}"/>
    <cellStyle name="Normal 3 9 16" xfId="1880" xr:uid="{00000000-0005-0000-0000-000051070000}"/>
    <cellStyle name="Normal 3 9 17" xfId="1881" xr:uid="{00000000-0005-0000-0000-000052070000}"/>
    <cellStyle name="Normal 3 9 18" xfId="1882" xr:uid="{00000000-0005-0000-0000-000053070000}"/>
    <cellStyle name="Normal 3 9 19" xfId="1883" xr:uid="{00000000-0005-0000-0000-000054070000}"/>
    <cellStyle name="Normal 3 9 2" xfId="1884" xr:uid="{00000000-0005-0000-0000-000055070000}"/>
    <cellStyle name="Normal 3 9 20" xfId="1885" xr:uid="{00000000-0005-0000-0000-000056070000}"/>
    <cellStyle name="Normal 3 9 21" xfId="1886" xr:uid="{00000000-0005-0000-0000-000057070000}"/>
    <cellStyle name="Normal 3 9 22" xfId="1887" xr:uid="{00000000-0005-0000-0000-000058070000}"/>
    <cellStyle name="Normal 3 9 23" xfId="1888" xr:uid="{00000000-0005-0000-0000-000059070000}"/>
    <cellStyle name="Normal 3 9 3" xfId="1889" xr:uid="{00000000-0005-0000-0000-00005A070000}"/>
    <cellStyle name="Normal 3 9 4" xfId="1890" xr:uid="{00000000-0005-0000-0000-00005B070000}"/>
    <cellStyle name="Normal 3 9 5" xfId="1891" xr:uid="{00000000-0005-0000-0000-00005C070000}"/>
    <cellStyle name="Normal 3 9 6" xfId="1892" xr:uid="{00000000-0005-0000-0000-00005D070000}"/>
    <cellStyle name="Normal 3 9 7" xfId="1893" xr:uid="{00000000-0005-0000-0000-00005E070000}"/>
    <cellStyle name="Normal 3 9 8" xfId="1894" xr:uid="{00000000-0005-0000-0000-00005F070000}"/>
    <cellStyle name="Normal 3 9 9" xfId="1895" xr:uid="{00000000-0005-0000-0000-000060070000}"/>
    <cellStyle name="Normal 3 9_Summary" xfId="2413" xr:uid="{00000000-0005-0000-0000-000074080000}"/>
    <cellStyle name="Normal 3_Rates" xfId="2414" xr:uid="{00000000-0005-0000-0000-000075080000}"/>
    <cellStyle name="Normal 31" xfId="2024" xr:uid="{00000000-0005-0000-0000-000076080000}"/>
    <cellStyle name="Normal 4" xfId="51" xr:uid="{00000000-0005-0000-0000-000061070000}"/>
    <cellStyle name="Normal 4 2" xfId="1897" xr:uid="{00000000-0005-0000-0000-000062070000}"/>
    <cellStyle name="Normal 4 2 2" xfId="2091" xr:uid="{00000000-0005-0000-0000-000079080000}"/>
    <cellStyle name="Normal 4 2 3" xfId="2415" xr:uid="{00000000-0005-0000-0000-00007A080000}"/>
    <cellStyle name="Normal 4 2 4" xfId="2416" xr:uid="{00000000-0005-0000-0000-00007B080000}"/>
    <cellStyle name="Normal 4 2 5" xfId="2090" xr:uid="{00000000-0005-0000-0000-000078080000}"/>
    <cellStyle name="Normal 4 26" xfId="2417" xr:uid="{00000000-0005-0000-0000-00007C080000}"/>
    <cellStyle name="Normal 4 26 2" xfId="2418" xr:uid="{00000000-0005-0000-0000-00007D080000}"/>
    <cellStyle name="Normal 4 3" xfId="1896" xr:uid="{00000000-0005-0000-0000-000063070000}"/>
    <cellStyle name="Normal 4 3 2" xfId="2025" xr:uid="{00000000-0005-0000-0000-00007E080000}"/>
    <cellStyle name="Normal 4 4" xfId="2089" xr:uid="{00000000-0005-0000-0000-000077080000}"/>
    <cellStyle name="Normal 5" xfId="42" xr:uid="{00000000-0005-0000-0000-000064070000}"/>
    <cellStyle name="Normal 5 10" xfId="1898" xr:uid="{00000000-0005-0000-0000-000065070000}"/>
    <cellStyle name="Normal 5 11" xfId="1899" xr:uid="{00000000-0005-0000-0000-000066070000}"/>
    <cellStyle name="Normal 5 12" xfId="1900" xr:uid="{00000000-0005-0000-0000-000067070000}"/>
    <cellStyle name="Normal 5 13" xfId="1901" xr:uid="{00000000-0005-0000-0000-000068070000}"/>
    <cellStyle name="Normal 5 14" xfId="1902" xr:uid="{00000000-0005-0000-0000-000069070000}"/>
    <cellStyle name="Normal 5 15" xfId="1903" xr:uid="{00000000-0005-0000-0000-00006A070000}"/>
    <cellStyle name="Normal 5 16" xfId="1904" xr:uid="{00000000-0005-0000-0000-00006B070000}"/>
    <cellStyle name="Normal 5 17" xfId="1905" xr:uid="{00000000-0005-0000-0000-00006C070000}"/>
    <cellStyle name="Normal 5 18" xfId="1906" xr:uid="{00000000-0005-0000-0000-00006D070000}"/>
    <cellStyle name="Normal 5 19" xfId="1907" xr:uid="{00000000-0005-0000-0000-00006E070000}"/>
    <cellStyle name="Normal 5 2" xfId="1908" xr:uid="{00000000-0005-0000-0000-00006F070000}"/>
    <cellStyle name="Normal 5 2 10" xfId="1909" xr:uid="{00000000-0005-0000-0000-000070070000}"/>
    <cellStyle name="Normal 5 2 11" xfId="1910" xr:uid="{00000000-0005-0000-0000-000071070000}"/>
    <cellStyle name="Normal 5 2 12" xfId="1911" xr:uid="{00000000-0005-0000-0000-000072070000}"/>
    <cellStyle name="Normal 5 2 13" xfId="1912" xr:uid="{00000000-0005-0000-0000-000073070000}"/>
    <cellStyle name="Normal 5 2 14" xfId="1913" xr:uid="{00000000-0005-0000-0000-000074070000}"/>
    <cellStyle name="Normal 5 2 15" xfId="1914" xr:uid="{00000000-0005-0000-0000-000075070000}"/>
    <cellStyle name="Normal 5 2 16" xfId="1915" xr:uid="{00000000-0005-0000-0000-000076070000}"/>
    <cellStyle name="Normal 5 2 17" xfId="1916" xr:uid="{00000000-0005-0000-0000-000077070000}"/>
    <cellStyle name="Normal 5 2 18" xfId="1917" xr:uid="{00000000-0005-0000-0000-000078070000}"/>
    <cellStyle name="Normal 5 2 19" xfId="1918" xr:uid="{00000000-0005-0000-0000-000079070000}"/>
    <cellStyle name="Normal 5 2 2" xfId="1919" xr:uid="{00000000-0005-0000-0000-00007A070000}"/>
    <cellStyle name="Normal 5 2 20" xfId="1920" xr:uid="{00000000-0005-0000-0000-00007B070000}"/>
    <cellStyle name="Normal 5 2 21" xfId="1921" xr:uid="{00000000-0005-0000-0000-00007C070000}"/>
    <cellStyle name="Normal 5 2 22" xfId="1922" xr:uid="{00000000-0005-0000-0000-00007D070000}"/>
    <cellStyle name="Normal 5 2 23" xfId="1923" xr:uid="{00000000-0005-0000-0000-00007E070000}"/>
    <cellStyle name="Normal 5 2 3" xfId="1924" xr:uid="{00000000-0005-0000-0000-00007F070000}"/>
    <cellStyle name="Normal 5 2 4" xfId="1925" xr:uid="{00000000-0005-0000-0000-000080070000}"/>
    <cellStyle name="Normal 5 2 5" xfId="1926" xr:uid="{00000000-0005-0000-0000-000081070000}"/>
    <cellStyle name="Normal 5 2 6" xfId="1927" xr:uid="{00000000-0005-0000-0000-000082070000}"/>
    <cellStyle name="Normal 5 2 7" xfId="1928" xr:uid="{00000000-0005-0000-0000-000083070000}"/>
    <cellStyle name="Normal 5 2 8" xfId="1929" xr:uid="{00000000-0005-0000-0000-000084070000}"/>
    <cellStyle name="Normal 5 2 9" xfId="1930" xr:uid="{00000000-0005-0000-0000-000085070000}"/>
    <cellStyle name="Normal 5 20" xfId="1931" xr:uid="{00000000-0005-0000-0000-000086070000}"/>
    <cellStyle name="Normal 5 21" xfId="1932" xr:uid="{00000000-0005-0000-0000-000087070000}"/>
    <cellStyle name="Normal 5 22" xfId="1933" xr:uid="{00000000-0005-0000-0000-000088070000}"/>
    <cellStyle name="Normal 5 23" xfId="1934" xr:uid="{00000000-0005-0000-0000-000089070000}"/>
    <cellStyle name="Normal 5 24" xfId="1935" xr:uid="{00000000-0005-0000-0000-00008A070000}"/>
    <cellStyle name="Normal 5 25" xfId="2092" xr:uid="{00000000-0005-0000-0000-00007F080000}"/>
    <cellStyle name="Normal 5 3" xfId="1936" xr:uid="{00000000-0005-0000-0000-00008B070000}"/>
    <cellStyle name="Normal 5 4" xfId="1937" xr:uid="{00000000-0005-0000-0000-00008C070000}"/>
    <cellStyle name="Normal 5 5" xfId="1938" xr:uid="{00000000-0005-0000-0000-00008D070000}"/>
    <cellStyle name="Normal 5 6" xfId="1939" xr:uid="{00000000-0005-0000-0000-00008E070000}"/>
    <cellStyle name="Normal 5 7" xfId="1940" xr:uid="{00000000-0005-0000-0000-00008F070000}"/>
    <cellStyle name="Normal 5 8" xfId="1941" xr:uid="{00000000-0005-0000-0000-000090070000}"/>
    <cellStyle name="Normal 5 9" xfId="1942" xr:uid="{00000000-0005-0000-0000-000091070000}"/>
    <cellStyle name="Normal 5_Summary" xfId="2419" xr:uid="{00000000-0005-0000-0000-0000AD080000}"/>
    <cellStyle name="Normal 6" xfId="1943" xr:uid="{00000000-0005-0000-0000-000092070000}"/>
    <cellStyle name="Normal 6 2" xfId="2094" xr:uid="{00000000-0005-0000-0000-0000AF080000}"/>
    <cellStyle name="Normal 6 2 2" xfId="2095" xr:uid="{00000000-0005-0000-0000-0000B0080000}"/>
    <cellStyle name="Normal 6 2 2 2" xfId="2096" xr:uid="{00000000-0005-0000-0000-0000B1080000}"/>
    <cellStyle name="Normal 6 2 3" xfId="2097" xr:uid="{00000000-0005-0000-0000-0000B2080000}"/>
    <cellStyle name="Normal 6 3" xfId="2098" xr:uid="{00000000-0005-0000-0000-0000B3080000}"/>
    <cellStyle name="Normal 6 3 2" xfId="2099" xr:uid="{00000000-0005-0000-0000-0000B4080000}"/>
    <cellStyle name="Normal 6 4" xfId="2100" xr:uid="{00000000-0005-0000-0000-0000B5080000}"/>
    <cellStyle name="Normal 6 5" xfId="2093" xr:uid="{00000000-0005-0000-0000-0000AE080000}"/>
    <cellStyle name="Normal 7" xfId="1944" xr:uid="{00000000-0005-0000-0000-000093070000}"/>
    <cellStyle name="Normal 7 10" xfId="1945" xr:uid="{00000000-0005-0000-0000-000094070000}"/>
    <cellStyle name="Normal 7 11" xfId="1946" xr:uid="{00000000-0005-0000-0000-000095070000}"/>
    <cellStyle name="Normal 7 12" xfId="1947" xr:uid="{00000000-0005-0000-0000-000096070000}"/>
    <cellStyle name="Normal 7 13" xfId="1948" xr:uid="{00000000-0005-0000-0000-000097070000}"/>
    <cellStyle name="Normal 7 14" xfId="1949" xr:uid="{00000000-0005-0000-0000-000098070000}"/>
    <cellStyle name="Normal 7 15" xfId="1950" xr:uid="{00000000-0005-0000-0000-000099070000}"/>
    <cellStyle name="Normal 7 16" xfId="1951" xr:uid="{00000000-0005-0000-0000-00009A070000}"/>
    <cellStyle name="Normal 7 17" xfId="1952" xr:uid="{00000000-0005-0000-0000-00009B070000}"/>
    <cellStyle name="Normal 7 18" xfId="1953" xr:uid="{00000000-0005-0000-0000-00009C070000}"/>
    <cellStyle name="Normal 7 19" xfId="1954" xr:uid="{00000000-0005-0000-0000-00009D070000}"/>
    <cellStyle name="Normal 7 2" xfId="1955" xr:uid="{00000000-0005-0000-0000-00009E070000}"/>
    <cellStyle name="Normal 7 2 10" xfId="1956" xr:uid="{00000000-0005-0000-0000-00009F070000}"/>
    <cellStyle name="Normal 7 2 11" xfId="1957" xr:uid="{00000000-0005-0000-0000-0000A0070000}"/>
    <cellStyle name="Normal 7 2 12" xfId="1958" xr:uid="{00000000-0005-0000-0000-0000A1070000}"/>
    <cellStyle name="Normal 7 2 13" xfId="1959" xr:uid="{00000000-0005-0000-0000-0000A2070000}"/>
    <cellStyle name="Normal 7 2 14" xfId="1960" xr:uid="{00000000-0005-0000-0000-0000A3070000}"/>
    <cellStyle name="Normal 7 2 15" xfId="1961" xr:uid="{00000000-0005-0000-0000-0000A4070000}"/>
    <cellStyle name="Normal 7 2 16" xfId="1962" xr:uid="{00000000-0005-0000-0000-0000A5070000}"/>
    <cellStyle name="Normal 7 2 17" xfId="1963" xr:uid="{00000000-0005-0000-0000-0000A6070000}"/>
    <cellStyle name="Normal 7 2 18" xfId="1964" xr:uid="{00000000-0005-0000-0000-0000A7070000}"/>
    <cellStyle name="Normal 7 2 19" xfId="1965" xr:uid="{00000000-0005-0000-0000-0000A8070000}"/>
    <cellStyle name="Normal 7 2 2" xfId="1966" xr:uid="{00000000-0005-0000-0000-0000A9070000}"/>
    <cellStyle name="Normal 7 2 20" xfId="1967" xr:uid="{00000000-0005-0000-0000-0000AA070000}"/>
    <cellStyle name="Normal 7 2 21" xfId="1968" xr:uid="{00000000-0005-0000-0000-0000AB070000}"/>
    <cellStyle name="Normal 7 2 22" xfId="1969" xr:uid="{00000000-0005-0000-0000-0000AC070000}"/>
    <cellStyle name="Normal 7 2 23" xfId="1970" xr:uid="{00000000-0005-0000-0000-0000AD070000}"/>
    <cellStyle name="Normal 7 2 24" xfId="2102" xr:uid="{00000000-0005-0000-0000-0000C1080000}"/>
    <cellStyle name="Normal 7 2 3" xfId="1971" xr:uid="{00000000-0005-0000-0000-0000AE070000}"/>
    <cellStyle name="Normal 7 2 4" xfId="1972" xr:uid="{00000000-0005-0000-0000-0000AF070000}"/>
    <cellStyle name="Normal 7 2 5" xfId="1973" xr:uid="{00000000-0005-0000-0000-0000B0070000}"/>
    <cellStyle name="Normal 7 2 6" xfId="1974" xr:uid="{00000000-0005-0000-0000-0000B1070000}"/>
    <cellStyle name="Normal 7 2 7" xfId="1975" xr:uid="{00000000-0005-0000-0000-0000B2070000}"/>
    <cellStyle name="Normal 7 2 8" xfId="1976" xr:uid="{00000000-0005-0000-0000-0000B3070000}"/>
    <cellStyle name="Normal 7 2 9" xfId="1977" xr:uid="{00000000-0005-0000-0000-0000B4070000}"/>
    <cellStyle name="Normal 7 20" xfId="1978" xr:uid="{00000000-0005-0000-0000-0000B5070000}"/>
    <cellStyle name="Normal 7 21" xfId="1979" xr:uid="{00000000-0005-0000-0000-0000B6070000}"/>
    <cellStyle name="Normal 7 22" xfId="1980" xr:uid="{00000000-0005-0000-0000-0000B7070000}"/>
    <cellStyle name="Normal 7 23" xfId="1981" xr:uid="{00000000-0005-0000-0000-0000B8070000}"/>
    <cellStyle name="Normal 7 24" xfId="1982" xr:uid="{00000000-0005-0000-0000-0000B9070000}"/>
    <cellStyle name="Normal 7 25" xfId="2101" xr:uid="{00000000-0005-0000-0000-0000B6080000}"/>
    <cellStyle name="Normal 7 3" xfId="1983" xr:uid="{00000000-0005-0000-0000-0000BA070000}"/>
    <cellStyle name="Normal 7 4" xfId="1984" xr:uid="{00000000-0005-0000-0000-0000BB070000}"/>
    <cellStyle name="Normal 7 5" xfId="1985" xr:uid="{00000000-0005-0000-0000-0000BC070000}"/>
    <cellStyle name="Normal 7 6" xfId="1986" xr:uid="{00000000-0005-0000-0000-0000BD070000}"/>
    <cellStyle name="Normal 7 7" xfId="1987" xr:uid="{00000000-0005-0000-0000-0000BE070000}"/>
    <cellStyle name="Normal 7 8" xfId="1988" xr:uid="{00000000-0005-0000-0000-0000BF070000}"/>
    <cellStyle name="Normal 7 9" xfId="1989" xr:uid="{00000000-0005-0000-0000-0000C0070000}"/>
    <cellStyle name="Normal 8" xfId="1990" xr:uid="{00000000-0005-0000-0000-0000C1070000}"/>
    <cellStyle name="Normal 8 2" xfId="2104" xr:uid="{00000000-0005-0000-0000-0000E5080000}"/>
    <cellStyle name="Normal 8 2 2" xfId="2105" xr:uid="{00000000-0005-0000-0000-0000E6080000}"/>
    <cellStyle name="Normal 8 3" xfId="2106" xr:uid="{00000000-0005-0000-0000-0000E7080000}"/>
    <cellStyle name="Normal 8 4" xfId="2103" xr:uid="{00000000-0005-0000-0000-0000E4080000}"/>
    <cellStyle name="Normal 9" xfId="2107" xr:uid="{00000000-0005-0000-0000-0000E8080000}"/>
    <cellStyle name="Normal 9 2" xfId="2108" xr:uid="{00000000-0005-0000-0000-0000E9080000}"/>
    <cellStyle name="Normal 9 3" xfId="2420" xr:uid="{00000000-0005-0000-0000-0000EA080000}"/>
    <cellStyle name="Note" xfId="15" builtinId="10" customBuiltin="1"/>
    <cellStyle name="Note 2" xfId="1991" xr:uid="{00000000-0005-0000-0000-0000C3070000}"/>
    <cellStyle name="Note 2 2" xfId="2422" xr:uid="{00000000-0005-0000-0000-0000F0080000}"/>
    <cellStyle name="Note 2 2 2" xfId="2505" xr:uid="{00000000-0005-0000-0000-0000F1080000}"/>
    <cellStyle name="Note 2 2 3" xfId="2508" xr:uid="{00000000-0005-0000-0000-0000F2080000}"/>
    <cellStyle name="Note 2 3" xfId="2421" xr:uid="{00000000-0005-0000-0000-0000EF080000}"/>
    <cellStyle name="Note 3" xfId="2423" xr:uid="{00000000-0005-0000-0000-0000F3080000}"/>
    <cellStyle name="NumColmHd" xfId="2424" xr:uid="{00000000-0005-0000-0000-0000F4080000}"/>
    <cellStyle name="NumColmHd 2" xfId="2506" xr:uid="{00000000-0005-0000-0000-0000F5080000}"/>
    <cellStyle name="NumColmHd 3" xfId="2509" xr:uid="{00000000-0005-0000-0000-0000F6080000}"/>
    <cellStyle name="Output" xfId="10" builtinId="21" customBuiltin="1"/>
    <cellStyle name="Output 2" xfId="1992" xr:uid="{00000000-0005-0000-0000-0000C5070000}"/>
    <cellStyle name="Output 2 2" xfId="2507" xr:uid="{00000000-0005-0000-0000-0000F8080000}"/>
    <cellStyle name="Output 2 3" xfId="2510" xr:uid="{00000000-0005-0000-0000-0000F9080000}"/>
    <cellStyle name="Percent" xfId="2513" builtinId="5"/>
    <cellStyle name="Percent [0]" xfId="2425" xr:uid="{00000000-0005-0000-0000-0000FA080000}"/>
    <cellStyle name="Percent [00]" xfId="2426" xr:uid="{00000000-0005-0000-0000-0000FB080000}"/>
    <cellStyle name="Percent [2]" xfId="2427" xr:uid="{00000000-0005-0000-0000-0000FC080000}"/>
    <cellStyle name="Percent 10" xfId="2109" xr:uid="{00000000-0005-0000-0000-0000FD080000}"/>
    <cellStyle name="Percent 10 2" xfId="2110" xr:uid="{00000000-0005-0000-0000-0000FE080000}"/>
    <cellStyle name="Percent 10 2 2" xfId="2428" xr:uid="{00000000-0005-0000-0000-0000FF080000}"/>
    <cellStyle name="Percent 10 3" xfId="2429" xr:uid="{00000000-0005-0000-0000-000000090000}"/>
    <cellStyle name="Percent 11" xfId="2111" xr:uid="{00000000-0005-0000-0000-000001090000}"/>
    <cellStyle name="Percent 11 2" xfId="2112" xr:uid="{00000000-0005-0000-0000-000002090000}"/>
    <cellStyle name="Percent 12" xfId="2113" xr:uid="{00000000-0005-0000-0000-000003090000}"/>
    <cellStyle name="Percent 12 2" xfId="2430" xr:uid="{00000000-0005-0000-0000-000004090000}"/>
    <cellStyle name="Percent 13" xfId="2148" xr:uid="{00000000-0005-0000-0000-000005090000}"/>
    <cellStyle name="Percent 14" xfId="2431" xr:uid="{00000000-0005-0000-0000-000006090000}"/>
    <cellStyle name="Percent 15" xfId="2432" xr:uid="{00000000-0005-0000-0000-000007090000}"/>
    <cellStyle name="Percent 15 2" xfId="2433" xr:uid="{00000000-0005-0000-0000-000008090000}"/>
    <cellStyle name="Percent 16" xfId="2434" xr:uid="{00000000-0005-0000-0000-000009090000}"/>
    <cellStyle name="Percent 16 2" xfId="2435" xr:uid="{00000000-0005-0000-0000-00000A090000}"/>
    <cellStyle name="Percent 17" xfId="2436" xr:uid="{00000000-0005-0000-0000-00000B090000}"/>
    <cellStyle name="Percent 17 2" xfId="2437" xr:uid="{00000000-0005-0000-0000-00000C090000}"/>
    <cellStyle name="Percent 18" xfId="2438" xr:uid="{00000000-0005-0000-0000-00000D090000}"/>
    <cellStyle name="Percent 19" xfId="2439" xr:uid="{00000000-0005-0000-0000-00000E090000}"/>
    <cellStyle name="Percent 19 2" xfId="2440" xr:uid="{00000000-0005-0000-0000-00000F090000}"/>
    <cellStyle name="Percent 2" xfId="53" xr:uid="{00000000-0005-0000-0000-0000C6070000}"/>
    <cellStyle name="Percent 2 10" xfId="2022" xr:uid="{00000000-0005-0000-0000-0000C7070000}"/>
    <cellStyle name="Percent 2 11" xfId="2016" xr:uid="{00000000-0005-0000-0000-0000C7070000}"/>
    <cellStyle name="Percent 2 2" xfId="2010" xr:uid="{00000000-0005-0000-0000-0000C7070000}"/>
    <cellStyle name="Percent 2 2 10" xfId="2441" xr:uid="{00000000-0005-0000-0000-000012090000}"/>
    <cellStyle name="Percent 2 2 10 2" xfId="2442" xr:uid="{00000000-0005-0000-0000-000013090000}"/>
    <cellStyle name="Percent 2 2 11" xfId="2443" xr:uid="{00000000-0005-0000-0000-000014090000}"/>
    <cellStyle name="Percent 2 2 12" xfId="2444" xr:uid="{00000000-0005-0000-0000-000015090000}"/>
    <cellStyle name="Percent 2 2 13" xfId="2445" xr:uid="{00000000-0005-0000-0000-000016090000}"/>
    <cellStyle name="Percent 2 2 2" xfId="2446" xr:uid="{00000000-0005-0000-0000-000017090000}"/>
    <cellStyle name="Percent 2 2 2 2" xfId="2447" xr:uid="{00000000-0005-0000-0000-000018090000}"/>
    <cellStyle name="Percent 2 2 2 3" xfId="2448" xr:uid="{00000000-0005-0000-0000-000019090000}"/>
    <cellStyle name="Percent 2 2 2 4" xfId="2449" xr:uid="{00000000-0005-0000-0000-00001A090000}"/>
    <cellStyle name="Percent 2 2 3" xfId="2450" xr:uid="{00000000-0005-0000-0000-00001B090000}"/>
    <cellStyle name="Percent 2 2 4" xfId="2451" xr:uid="{00000000-0005-0000-0000-00001C090000}"/>
    <cellStyle name="Percent 2 2 5" xfId="2452" xr:uid="{00000000-0005-0000-0000-00001D090000}"/>
    <cellStyle name="Percent 2 2 6" xfId="2453" xr:uid="{00000000-0005-0000-0000-00001E090000}"/>
    <cellStyle name="Percent 2 2 6 2" xfId="2454" xr:uid="{00000000-0005-0000-0000-00001F090000}"/>
    <cellStyle name="Percent 2 2 7" xfId="2455" xr:uid="{00000000-0005-0000-0000-000020090000}"/>
    <cellStyle name="Percent 2 2 7 2" xfId="2456" xr:uid="{00000000-0005-0000-0000-000021090000}"/>
    <cellStyle name="Percent 2 2 8" xfId="2457" xr:uid="{00000000-0005-0000-0000-000022090000}"/>
    <cellStyle name="Percent 2 2 8 2" xfId="2458" xr:uid="{00000000-0005-0000-0000-000023090000}"/>
    <cellStyle name="Percent 2 2 9" xfId="2459" xr:uid="{00000000-0005-0000-0000-000024090000}"/>
    <cellStyle name="Percent 2 2 9 2" xfId="2460" xr:uid="{00000000-0005-0000-0000-000025090000}"/>
    <cellStyle name="Percent 2 3" xfId="2115" xr:uid="{00000000-0005-0000-0000-000026090000}"/>
    <cellStyle name="Percent 2 3 2" xfId="2461" xr:uid="{00000000-0005-0000-0000-000027090000}"/>
    <cellStyle name="Percent 2 3 3" xfId="2462" xr:uid="{00000000-0005-0000-0000-000028090000}"/>
    <cellStyle name="Percent 2 3 4" xfId="2463" xr:uid="{00000000-0005-0000-0000-000029090000}"/>
    <cellStyle name="Percent 2 3 5" xfId="2464" xr:uid="{00000000-0005-0000-0000-00002A090000}"/>
    <cellStyle name="Percent 2 4" xfId="2116" xr:uid="{00000000-0005-0000-0000-00002B090000}"/>
    <cellStyle name="Percent 2 4 2" xfId="2465" xr:uid="{00000000-0005-0000-0000-00002C090000}"/>
    <cellStyle name="Percent 2 5" xfId="2466" xr:uid="{00000000-0005-0000-0000-00002D090000}"/>
    <cellStyle name="Percent 2 6" xfId="2467" xr:uid="{00000000-0005-0000-0000-00002E090000}"/>
    <cellStyle name="Percent 2 6 2" xfId="2468" xr:uid="{00000000-0005-0000-0000-00002F090000}"/>
    <cellStyle name="Percent 2 6 3" xfId="2469" xr:uid="{00000000-0005-0000-0000-000030090000}"/>
    <cellStyle name="Percent 2 6 4" xfId="2470" xr:uid="{00000000-0005-0000-0000-000031090000}"/>
    <cellStyle name="Percent 2 7" xfId="2471" xr:uid="{00000000-0005-0000-0000-000032090000}"/>
    <cellStyle name="Percent 2 8" xfId="2472" xr:uid="{00000000-0005-0000-0000-000033090000}"/>
    <cellStyle name="Percent 2 9" xfId="2114" xr:uid="{00000000-0005-0000-0000-000010090000}"/>
    <cellStyle name="Percent 20" xfId="2473" xr:uid="{00000000-0005-0000-0000-000034090000}"/>
    <cellStyle name="Percent 21" xfId="2474" xr:uid="{00000000-0005-0000-0000-000035090000}"/>
    <cellStyle name="Percent 22" xfId="2475" xr:uid="{00000000-0005-0000-0000-000036090000}"/>
    <cellStyle name="Percent 3" xfId="52" xr:uid="{00000000-0005-0000-0000-0000C7070000}"/>
    <cellStyle name="Percent 3 10" xfId="2117" xr:uid="{00000000-0005-0000-0000-000037090000}"/>
    <cellStyle name="Percent 3 11" xfId="2021" xr:uid="{00000000-0005-0000-0000-0000C8070000}"/>
    <cellStyle name="Percent 3 12" xfId="2015" xr:uid="{00000000-0005-0000-0000-0000C8070000}"/>
    <cellStyle name="Percent 3 2" xfId="2009" xr:uid="{00000000-0005-0000-0000-0000C8070000}"/>
    <cellStyle name="Percent 3 2 2" xfId="2119" xr:uid="{00000000-0005-0000-0000-000039090000}"/>
    <cellStyle name="Percent 3 2 2 2" xfId="2120" xr:uid="{00000000-0005-0000-0000-00003A090000}"/>
    <cellStyle name="Percent 3 2 3" xfId="2121" xr:uid="{00000000-0005-0000-0000-00003B090000}"/>
    <cellStyle name="Percent 3 2 4" xfId="2118" xr:uid="{00000000-0005-0000-0000-000038090000}"/>
    <cellStyle name="Percent 3 3" xfId="2122" xr:uid="{00000000-0005-0000-0000-00003C090000}"/>
    <cellStyle name="Percent 3 3 2" xfId="2123" xr:uid="{00000000-0005-0000-0000-00003D090000}"/>
    <cellStyle name="Percent 3 4" xfId="2124" xr:uid="{00000000-0005-0000-0000-00003E090000}"/>
    <cellStyle name="Percent 3 5" xfId="2476" xr:uid="{00000000-0005-0000-0000-00003F090000}"/>
    <cellStyle name="Percent 3 6" xfId="2477" xr:uid="{00000000-0005-0000-0000-000040090000}"/>
    <cellStyle name="Percent 3 7" xfId="2478" xr:uid="{00000000-0005-0000-0000-000041090000}"/>
    <cellStyle name="Percent 3 8" xfId="2479" xr:uid="{00000000-0005-0000-0000-000042090000}"/>
    <cellStyle name="Percent 3 9" xfId="2480" xr:uid="{00000000-0005-0000-0000-000043090000}"/>
    <cellStyle name="Percent 4" xfId="1993" xr:uid="{00000000-0005-0000-0000-0000C8070000}"/>
    <cellStyle name="Percent 4 2" xfId="2126" xr:uid="{00000000-0005-0000-0000-000045090000}"/>
    <cellStyle name="Percent 4 2 2" xfId="2127" xr:uid="{00000000-0005-0000-0000-000046090000}"/>
    <cellStyle name="Percent 4 3" xfId="2128" xr:uid="{00000000-0005-0000-0000-000047090000}"/>
    <cellStyle name="Percent 4 4" xfId="2129" xr:uid="{00000000-0005-0000-0000-000048090000}"/>
    <cellStyle name="Percent 4 5" xfId="2481" xr:uid="{00000000-0005-0000-0000-000049090000}"/>
    <cellStyle name="Percent 4 6" xfId="2125" xr:uid="{00000000-0005-0000-0000-000044090000}"/>
    <cellStyle name="Percent 5" xfId="2130" xr:uid="{00000000-0005-0000-0000-00004A090000}"/>
    <cellStyle name="Percent 5 2" xfId="2131" xr:uid="{00000000-0005-0000-0000-00004B090000}"/>
    <cellStyle name="Percent 5 2 2" xfId="2132" xr:uid="{00000000-0005-0000-0000-00004C090000}"/>
    <cellStyle name="Percent 5 2 2 2" xfId="2133" xr:uid="{00000000-0005-0000-0000-00004D090000}"/>
    <cellStyle name="Percent 5 2 3" xfId="2134" xr:uid="{00000000-0005-0000-0000-00004E090000}"/>
    <cellStyle name="Percent 5 3" xfId="2135" xr:uid="{00000000-0005-0000-0000-00004F090000}"/>
    <cellStyle name="Percent 5 3 2" xfId="2136" xr:uid="{00000000-0005-0000-0000-000050090000}"/>
    <cellStyle name="Percent 5 4" xfId="2137" xr:uid="{00000000-0005-0000-0000-000051090000}"/>
    <cellStyle name="Percent 6" xfId="2138" xr:uid="{00000000-0005-0000-0000-000052090000}"/>
    <cellStyle name="Percent 6 2" xfId="2139" xr:uid="{00000000-0005-0000-0000-000053090000}"/>
    <cellStyle name="Percent 6 2 2" xfId="2140" xr:uid="{00000000-0005-0000-0000-000054090000}"/>
    <cellStyle name="Percent 6 3" xfId="2141" xr:uid="{00000000-0005-0000-0000-000055090000}"/>
    <cellStyle name="Percent 7" xfId="2142" xr:uid="{00000000-0005-0000-0000-000056090000}"/>
    <cellStyle name="Percent 7 2" xfId="2143" xr:uid="{00000000-0005-0000-0000-000057090000}"/>
    <cellStyle name="Percent 8" xfId="2144" xr:uid="{00000000-0005-0000-0000-000058090000}"/>
    <cellStyle name="Percent 8 2" xfId="2482" xr:uid="{00000000-0005-0000-0000-000059090000}"/>
    <cellStyle name="Percent 9" xfId="2145" xr:uid="{00000000-0005-0000-0000-00005A090000}"/>
    <cellStyle name="Percent 9 2" xfId="2483" xr:uid="{00000000-0005-0000-0000-00005B090000}"/>
    <cellStyle name="Percent 9 3" xfId="2484" xr:uid="{00000000-0005-0000-0000-00005C090000}"/>
    <cellStyle name="PrePop Currency (0)" xfId="2485" xr:uid="{00000000-0005-0000-0000-00005D090000}"/>
    <cellStyle name="PrePop Currency (2)" xfId="2486" xr:uid="{00000000-0005-0000-0000-00005E090000}"/>
    <cellStyle name="PrePop Units (0)" xfId="2487" xr:uid="{00000000-0005-0000-0000-00005F090000}"/>
    <cellStyle name="PrePop Units (1)" xfId="2488" xr:uid="{00000000-0005-0000-0000-000060090000}"/>
    <cellStyle name="PrePop Units (2)" xfId="2489" xr:uid="{00000000-0005-0000-0000-000061090000}"/>
    <cellStyle name="RowLabel" xfId="2490" xr:uid="{00000000-0005-0000-0000-000062090000}"/>
    <cellStyle name="Text Indent A" xfId="2491" xr:uid="{00000000-0005-0000-0000-000063090000}"/>
    <cellStyle name="Text Indent B" xfId="2492" xr:uid="{00000000-0005-0000-0000-000064090000}"/>
    <cellStyle name="Text Indent C" xfId="2493" xr:uid="{00000000-0005-0000-0000-000065090000}"/>
    <cellStyle name="Title" xfId="1" builtinId="15" customBuiltin="1"/>
    <cellStyle name="Title 2" xfId="1994" xr:uid="{00000000-0005-0000-0000-0000CA070000}"/>
    <cellStyle name="Title 3" xfId="1997" xr:uid="{00000000-0005-0000-0000-0000D6070000}"/>
    <cellStyle name="Total" xfId="17" builtinId="25" customBuiltin="1"/>
    <cellStyle name="Total 2" xfId="1995" xr:uid="{00000000-0005-0000-0000-0000CC070000}"/>
    <cellStyle name="Total 2 2" xfId="2494" xr:uid="{00000000-0005-0000-0000-000067090000}"/>
    <cellStyle name="Unprot" xfId="2495" xr:uid="{00000000-0005-0000-0000-000068090000}"/>
    <cellStyle name="Unprot 2" xfId="2496" xr:uid="{00000000-0005-0000-0000-000069090000}"/>
    <cellStyle name="Unprot$" xfId="2497" xr:uid="{00000000-0005-0000-0000-00006A090000}"/>
    <cellStyle name="Unprotect" xfId="2498" xr:uid="{00000000-0005-0000-0000-00006B090000}"/>
    <cellStyle name="Warning Text" xfId="14" builtinId="11" customBuiltin="1"/>
    <cellStyle name="Warning Text 2" xfId="1996" xr:uid="{00000000-0005-0000-0000-0000CE07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5CB8"/>
      <color rgb="FFB3B3B3"/>
      <color rgb="FFE8E8E8"/>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xdr:col>
      <xdr:colOff>800100</xdr:colOff>
      <xdr:row>5</xdr:row>
      <xdr:rowOff>82674</xdr:rowOff>
    </xdr:to>
    <xdr:pic>
      <xdr:nvPicPr>
        <xdr:cNvPr id="3" name="Picture 2">
          <a:extLst>
            <a:ext uri="{FF2B5EF4-FFF2-40B4-BE49-F238E27FC236}">
              <a16:creationId xmlns:a16="http://schemas.microsoft.com/office/drawing/2014/main" id="{8818BF02-2A10-4A33-A0ED-09C4E5CB7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3476625" cy="866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188928</xdr:colOff>
      <xdr:row>45</xdr:row>
      <xdr:rowOff>140809</xdr:rowOff>
    </xdr:to>
    <xdr:pic>
      <xdr:nvPicPr>
        <xdr:cNvPr id="2" name="Picture 1">
          <a:extLst>
            <a:ext uri="{FF2B5EF4-FFF2-40B4-BE49-F238E27FC236}">
              <a16:creationId xmlns:a16="http://schemas.microsoft.com/office/drawing/2014/main" id="{A3AE2CC8-5378-8B3F-D056-BEF934E815F0}"/>
            </a:ext>
          </a:extLst>
        </xdr:cNvPr>
        <xdr:cNvPicPr>
          <a:picLocks noChangeAspect="1"/>
        </xdr:cNvPicPr>
      </xdr:nvPicPr>
      <xdr:blipFill>
        <a:blip xmlns:r="http://schemas.openxmlformats.org/officeDocument/2006/relationships" r:embed="rId1"/>
        <a:stretch>
          <a:fillRect/>
        </a:stretch>
      </xdr:blipFill>
      <xdr:spPr>
        <a:xfrm>
          <a:off x="0" y="232833"/>
          <a:ext cx="12571428" cy="8057143"/>
        </a:xfrm>
        <a:prstGeom prst="rect">
          <a:avLst/>
        </a:prstGeom>
      </xdr:spPr>
    </xdr:pic>
    <xdr:clientData/>
  </xdr:twoCellAnchor>
  <xdr:twoCellAnchor editAs="oneCell">
    <xdr:from>
      <xdr:col>18</xdr:col>
      <xdr:colOff>169334</xdr:colOff>
      <xdr:row>1</xdr:row>
      <xdr:rowOff>0</xdr:rowOff>
    </xdr:from>
    <xdr:to>
      <xdr:col>36</xdr:col>
      <xdr:colOff>316993</xdr:colOff>
      <xdr:row>43</xdr:row>
      <xdr:rowOff>141912</xdr:rowOff>
    </xdr:to>
    <xdr:pic>
      <xdr:nvPicPr>
        <xdr:cNvPr id="3" name="Picture 2">
          <a:extLst>
            <a:ext uri="{FF2B5EF4-FFF2-40B4-BE49-F238E27FC236}">
              <a16:creationId xmlns:a16="http://schemas.microsoft.com/office/drawing/2014/main" id="{20EA957A-D7BB-68A6-576B-F7A25E03A04D}"/>
            </a:ext>
          </a:extLst>
        </xdr:cNvPr>
        <xdr:cNvPicPr>
          <a:picLocks noChangeAspect="1"/>
        </xdr:cNvPicPr>
      </xdr:nvPicPr>
      <xdr:blipFill>
        <a:blip xmlns:r="http://schemas.openxmlformats.org/officeDocument/2006/relationships" r:embed="rId2"/>
        <a:stretch>
          <a:fillRect/>
        </a:stretch>
      </xdr:blipFill>
      <xdr:spPr>
        <a:xfrm>
          <a:off x="12551834" y="232833"/>
          <a:ext cx="12523809" cy="7704762"/>
        </a:xfrm>
        <a:prstGeom prst="rect">
          <a:avLst/>
        </a:prstGeom>
      </xdr:spPr>
    </xdr:pic>
    <xdr:clientData/>
  </xdr:twoCellAnchor>
  <xdr:twoCellAnchor editAs="oneCell">
    <xdr:from>
      <xdr:col>36</xdr:col>
      <xdr:colOff>317500</xdr:colOff>
      <xdr:row>0</xdr:row>
      <xdr:rowOff>211666</xdr:rowOff>
    </xdr:from>
    <xdr:to>
      <xdr:col>45</xdr:col>
      <xdr:colOff>345298</xdr:colOff>
      <xdr:row>44</xdr:row>
      <xdr:rowOff>105909</xdr:rowOff>
    </xdr:to>
    <xdr:pic>
      <xdr:nvPicPr>
        <xdr:cNvPr id="4" name="Picture 3">
          <a:extLst>
            <a:ext uri="{FF2B5EF4-FFF2-40B4-BE49-F238E27FC236}">
              <a16:creationId xmlns:a16="http://schemas.microsoft.com/office/drawing/2014/main" id="{44CC4397-9F23-50D8-E4FF-C42B1C45710B}"/>
            </a:ext>
          </a:extLst>
        </xdr:cNvPr>
        <xdr:cNvPicPr>
          <a:picLocks noChangeAspect="1"/>
        </xdr:cNvPicPr>
      </xdr:nvPicPr>
      <xdr:blipFill>
        <a:blip xmlns:r="http://schemas.openxmlformats.org/officeDocument/2006/relationships" r:embed="rId3"/>
        <a:stretch>
          <a:fillRect/>
        </a:stretch>
      </xdr:blipFill>
      <xdr:spPr>
        <a:xfrm>
          <a:off x="25082500" y="211666"/>
          <a:ext cx="6219048" cy="7857143"/>
        </a:xfrm>
        <a:prstGeom prst="rect">
          <a:avLst/>
        </a:prstGeom>
      </xdr:spPr>
    </xdr:pic>
    <xdr:clientData/>
  </xdr:twoCellAnchor>
  <xdr:twoCellAnchor editAs="oneCell">
    <xdr:from>
      <xdr:col>36</xdr:col>
      <xdr:colOff>0</xdr:colOff>
      <xdr:row>46</xdr:row>
      <xdr:rowOff>0</xdr:rowOff>
    </xdr:from>
    <xdr:to>
      <xdr:col>54</xdr:col>
      <xdr:colOff>150833</xdr:colOff>
      <xdr:row>90</xdr:row>
      <xdr:rowOff>49798</xdr:rowOff>
    </xdr:to>
    <xdr:pic>
      <xdr:nvPicPr>
        <xdr:cNvPr id="7" name="Picture 6">
          <a:extLst>
            <a:ext uri="{FF2B5EF4-FFF2-40B4-BE49-F238E27FC236}">
              <a16:creationId xmlns:a16="http://schemas.microsoft.com/office/drawing/2014/main" id="{CAE987F1-6C85-E284-79BB-2D5A14C9E927}"/>
            </a:ext>
          </a:extLst>
        </xdr:cNvPr>
        <xdr:cNvPicPr>
          <a:picLocks noChangeAspect="1"/>
        </xdr:cNvPicPr>
      </xdr:nvPicPr>
      <xdr:blipFill>
        <a:blip xmlns:r="http://schemas.openxmlformats.org/officeDocument/2006/relationships" r:embed="rId4"/>
        <a:stretch>
          <a:fillRect/>
        </a:stretch>
      </xdr:blipFill>
      <xdr:spPr>
        <a:xfrm>
          <a:off x="24765000" y="8741833"/>
          <a:ext cx="12533333" cy="8019048"/>
        </a:xfrm>
        <a:prstGeom prst="rect">
          <a:avLst/>
        </a:prstGeom>
      </xdr:spPr>
    </xdr:pic>
    <xdr:clientData/>
  </xdr:twoCellAnchor>
  <xdr:twoCellAnchor editAs="oneCell">
    <xdr:from>
      <xdr:col>54</xdr:col>
      <xdr:colOff>0</xdr:colOff>
      <xdr:row>46</xdr:row>
      <xdr:rowOff>0</xdr:rowOff>
    </xdr:from>
    <xdr:to>
      <xdr:col>63</xdr:col>
      <xdr:colOff>2404</xdr:colOff>
      <xdr:row>89</xdr:row>
      <xdr:rowOff>159872</xdr:rowOff>
    </xdr:to>
    <xdr:pic>
      <xdr:nvPicPr>
        <xdr:cNvPr id="8" name="Picture 7">
          <a:extLst>
            <a:ext uri="{FF2B5EF4-FFF2-40B4-BE49-F238E27FC236}">
              <a16:creationId xmlns:a16="http://schemas.microsoft.com/office/drawing/2014/main" id="{CCB7C6F0-7EF6-C3C3-2CFB-35F0B91D3543}"/>
            </a:ext>
          </a:extLst>
        </xdr:cNvPr>
        <xdr:cNvPicPr>
          <a:picLocks noChangeAspect="1"/>
        </xdr:cNvPicPr>
      </xdr:nvPicPr>
      <xdr:blipFill>
        <a:blip xmlns:r="http://schemas.openxmlformats.org/officeDocument/2006/relationships" r:embed="rId5"/>
        <a:stretch>
          <a:fillRect/>
        </a:stretch>
      </xdr:blipFill>
      <xdr:spPr>
        <a:xfrm>
          <a:off x="37147500" y="8741833"/>
          <a:ext cx="6171429" cy="7952381"/>
        </a:xfrm>
        <a:prstGeom prst="rect">
          <a:avLst/>
        </a:prstGeom>
      </xdr:spPr>
    </xdr:pic>
    <xdr:clientData/>
  </xdr:twoCellAnchor>
  <xdr:twoCellAnchor editAs="oneCell">
    <xdr:from>
      <xdr:col>0</xdr:col>
      <xdr:colOff>0</xdr:colOff>
      <xdr:row>48</xdr:row>
      <xdr:rowOff>0</xdr:rowOff>
    </xdr:from>
    <xdr:to>
      <xdr:col>18</xdr:col>
      <xdr:colOff>131786</xdr:colOff>
      <xdr:row>92</xdr:row>
      <xdr:rowOff>83666</xdr:rowOff>
    </xdr:to>
    <xdr:pic>
      <xdr:nvPicPr>
        <xdr:cNvPr id="9" name="Picture 8">
          <a:extLst>
            <a:ext uri="{FF2B5EF4-FFF2-40B4-BE49-F238E27FC236}">
              <a16:creationId xmlns:a16="http://schemas.microsoft.com/office/drawing/2014/main" id="{A9FD7A3B-E538-C1AD-54DF-DC9B1C6181DE}"/>
            </a:ext>
          </a:extLst>
        </xdr:cNvPr>
        <xdr:cNvPicPr>
          <a:picLocks noChangeAspect="1"/>
        </xdr:cNvPicPr>
      </xdr:nvPicPr>
      <xdr:blipFill>
        <a:blip xmlns:r="http://schemas.openxmlformats.org/officeDocument/2006/relationships" r:embed="rId6"/>
        <a:stretch>
          <a:fillRect/>
        </a:stretch>
      </xdr:blipFill>
      <xdr:spPr>
        <a:xfrm>
          <a:off x="0" y="17250833"/>
          <a:ext cx="12514286" cy="8000000"/>
        </a:xfrm>
        <a:prstGeom prst="rect">
          <a:avLst/>
        </a:prstGeom>
      </xdr:spPr>
    </xdr:pic>
    <xdr:clientData/>
  </xdr:twoCellAnchor>
  <xdr:twoCellAnchor editAs="oneCell">
    <xdr:from>
      <xdr:col>18</xdr:col>
      <xdr:colOff>0</xdr:colOff>
      <xdr:row>48</xdr:row>
      <xdr:rowOff>0</xdr:rowOff>
    </xdr:from>
    <xdr:to>
      <xdr:col>36</xdr:col>
      <xdr:colOff>141309</xdr:colOff>
      <xdr:row>92</xdr:row>
      <xdr:rowOff>102714</xdr:rowOff>
    </xdr:to>
    <xdr:pic>
      <xdr:nvPicPr>
        <xdr:cNvPr id="10" name="Picture 9">
          <a:extLst>
            <a:ext uri="{FF2B5EF4-FFF2-40B4-BE49-F238E27FC236}">
              <a16:creationId xmlns:a16="http://schemas.microsoft.com/office/drawing/2014/main" id="{C1AB2941-5AF9-EAA4-3397-E820D28A40D5}"/>
            </a:ext>
          </a:extLst>
        </xdr:cNvPr>
        <xdr:cNvPicPr>
          <a:picLocks noChangeAspect="1"/>
        </xdr:cNvPicPr>
      </xdr:nvPicPr>
      <xdr:blipFill>
        <a:blip xmlns:r="http://schemas.openxmlformats.org/officeDocument/2006/relationships" r:embed="rId7"/>
        <a:stretch>
          <a:fillRect/>
        </a:stretch>
      </xdr:blipFill>
      <xdr:spPr>
        <a:xfrm>
          <a:off x="12382500" y="17250833"/>
          <a:ext cx="12523809" cy="8019048"/>
        </a:xfrm>
        <a:prstGeom prst="rect">
          <a:avLst/>
        </a:prstGeom>
      </xdr:spPr>
    </xdr:pic>
    <xdr:clientData/>
  </xdr:twoCellAnchor>
  <xdr:twoCellAnchor editAs="oneCell">
    <xdr:from>
      <xdr:col>0</xdr:col>
      <xdr:colOff>0</xdr:colOff>
      <xdr:row>95</xdr:row>
      <xdr:rowOff>0</xdr:rowOff>
    </xdr:from>
    <xdr:to>
      <xdr:col>18</xdr:col>
      <xdr:colOff>160357</xdr:colOff>
      <xdr:row>139</xdr:row>
      <xdr:rowOff>93190</xdr:rowOff>
    </xdr:to>
    <xdr:pic>
      <xdr:nvPicPr>
        <xdr:cNvPr id="11" name="Picture 10">
          <a:extLst>
            <a:ext uri="{FF2B5EF4-FFF2-40B4-BE49-F238E27FC236}">
              <a16:creationId xmlns:a16="http://schemas.microsoft.com/office/drawing/2014/main" id="{AE88BD63-E191-5663-51A4-7DB495B783E1}"/>
            </a:ext>
          </a:extLst>
        </xdr:cNvPr>
        <xdr:cNvPicPr>
          <a:picLocks noChangeAspect="1"/>
        </xdr:cNvPicPr>
      </xdr:nvPicPr>
      <xdr:blipFill>
        <a:blip xmlns:r="http://schemas.openxmlformats.org/officeDocument/2006/relationships" r:embed="rId8"/>
        <a:stretch>
          <a:fillRect/>
        </a:stretch>
      </xdr:blipFill>
      <xdr:spPr>
        <a:xfrm>
          <a:off x="0" y="25759833"/>
          <a:ext cx="12542857" cy="8009524"/>
        </a:xfrm>
        <a:prstGeom prst="rect">
          <a:avLst/>
        </a:prstGeom>
      </xdr:spPr>
    </xdr:pic>
    <xdr:clientData/>
  </xdr:twoCellAnchor>
  <xdr:twoCellAnchor editAs="oneCell">
    <xdr:from>
      <xdr:col>18</xdr:col>
      <xdr:colOff>0</xdr:colOff>
      <xdr:row>95</xdr:row>
      <xdr:rowOff>0</xdr:rowOff>
    </xdr:from>
    <xdr:to>
      <xdr:col>36</xdr:col>
      <xdr:colOff>150833</xdr:colOff>
      <xdr:row>139</xdr:row>
      <xdr:rowOff>74142</xdr:rowOff>
    </xdr:to>
    <xdr:pic>
      <xdr:nvPicPr>
        <xdr:cNvPr id="12" name="Picture 11">
          <a:extLst>
            <a:ext uri="{FF2B5EF4-FFF2-40B4-BE49-F238E27FC236}">
              <a16:creationId xmlns:a16="http://schemas.microsoft.com/office/drawing/2014/main" id="{16A16A5B-7F9C-E667-EF6F-F1E3CEB4E87F}"/>
            </a:ext>
          </a:extLst>
        </xdr:cNvPr>
        <xdr:cNvPicPr>
          <a:picLocks noChangeAspect="1"/>
        </xdr:cNvPicPr>
      </xdr:nvPicPr>
      <xdr:blipFill>
        <a:blip xmlns:r="http://schemas.openxmlformats.org/officeDocument/2006/relationships" r:embed="rId9"/>
        <a:stretch>
          <a:fillRect/>
        </a:stretch>
      </xdr:blipFill>
      <xdr:spPr>
        <a:xfrm>
          <a:off x="12382500" y="25759833"/>
          <a:ext cx="12533333" cy="7990476"/>
        </a:xfrm>
        <a:prstGeom prst="rect">
          <a:avLst/>
        </a:prstGeom>
      </xdr:spPr>
    </xdr:pic>
    <xdr:clientData/>
  </xdr:twoCellAnchor>
  <xdr:twoCellAnchor editAs="oneCell">
    <xdr:from>
      <xdr:col>36</xdr:col>
      <xdr:colOff>0</xdr:colOff>
      <xdr:row>95</xdr:row>
      <xdr:rowOff>0</xdr:rowOff>
    </xdr:from>
    <xdr:to>
      <xdr:col>45</xdr:col>
      <xdr:colOff>8750</xdr:colOff>
      <xdr:row>139</xdr:row>
      <xdr:rowOff>83666</xdr:rowOff>
    </xdr:to>
    <xdr:pic>
      <xdr:nvPicPr>
        <xdr:cNvPr id="13" name="Picture 12">
          <a:extLst>
            <a:ext uri="{FF2B5EF4-FFF2-40B4-BE49-F238E27FC236}">
              <a16:creationId xmlns:a16="http://schemas.microsoft.com/office/drawing/2014/main" id="{C2FCF59C-382C-EBE1-B050-E0CDD7EFBA8E}"/>
            </a:ext>
          </a:extLst>
        </xdr:cNvPr>
        <xdr:cNvPicPr>
          <a:picLocks noChangeAspect="1"/>
        </xdr:cNvPicPr>
      </xdr:nvPicPr>
      <xdr:blipFill>
        <a:blip xmlns:r="http://schemas.openxmlformats.org/officeDocument/2006/relationships" r:embed="rId10"/>
        <a:stretch>
          <a:fillRect/>
        </a:stretch>
      </xdr:blipFill>
      <xdr:spPr>
        <a:xfrm>
          <a:off x="24765000" y="25759833"/>
          <a:ext cx="6200000" cy="8000000"/>
        </a:xfrm>
        <a:prstGeom prst="rect">
          <a:avLst/>
        </a:prstGeom>
      </xdr:spPr>
    </xdr:pic>
    <xdr:clientData/>
  </xdr:twoCellAnchor>
  <xdr:twoCellAnchor editAs="oneCell">
    <xdr:from>
      <xdr:col>0</xdr:col>
      <xdr:colOff>0</xdr:colOff>
      <xdr:row>142</xdr:row>
      <xdr:rowOff>0</xdr:rowOff>
    </xdr:from>
    <xdr:to>
      <xdr:col>18</xdr:col>
      <xdr:colOff>160357</xdr:colOff>
      <xdr:row>186</xdr:row>
      <xdr:rowOff>112237</xdr:rowOff>
    </xdr:to>
    <xdr:pic>
      <xdr:nvPicPr>
        <xdr:cNvPr id="14" name="Picture 13">
          <a:extLst>
            <a:ext uri="{FF2B5EF4-FFF2-40B4-BE49-F238E27FC236}">
              <a16:creationId xmlns:a16="http://schemas.microsoft.com/office/drawing/2014/main" id="{130BFF01-0806-671E-9544-78D8879E1783}"/>
            </a:ext>
          </a:extLst>
        </xdr:cNvPr>
        <xdr:cNvPicPr>
          <a:picLocks noChangeAspect="1"/>
        </xdr:cNvPicPr>
      </xdr:nvPicPr>
      <xdr:blipFill>
        <a:blip xmlns:r="http://schemas.openxmlformats.org/officeDocument/2006/relationships" r:embed="rId11"/>
        <a:stretch>
          <a:fillRect/>
        </a:stretch>
      </xdr:blipFill>
      <xdr:spPr>
        <a:xfrm>
          <a:off x="0" y="34268833"/>
          <a:ext cx="12542857" cy="8028571"/>
        </a:xfrm>
        <a:prstGeom prst="rect">
          <a:avLst/>
        </a:prstGeom>
      </xdr:spPr>
    </xdr:pic>
    <xdr:clientData/>
  </xdr:twoCellAnchor>
  <xdr:twoCellAnchor editAs="oneCell">
    <xdr:from>
      <xdr:col>18</xdr:col>
      <xdr:colOff>0</xdr:colOff>
      <xdr:row>142</xdr:row>
      <xdr:rowOff>0</xdr:rowOff>
    </xdr:from>
    <xdr:to>
      <xdr:col>27</xdr:col>
      <xdr:colOff>37321</xdr:colOff>
      <xdr:row>186</xdr:row>
      <xdr:rowOff>121761</xdr:rowOff>
    </xdr:to>
    <xdr:pic>
      <xdr:nvPicPr>
        <xdr:cNvPr id="15" name="Picture 14">
          <a:extLst>
            <a:ext uri="{FF2B5EF4-FFF2-40B4-BE49-F238E27FC236}">
              <a16:creationId xmlns:a16="http://schemas.microsoft.com/office/drawing/2014/main" id="{BE5860CA-A79F-4B47-EA6E-FD317A9CD21B}"/>
            </a:ext>
          </a:extLst>
        </xdr:cNvPr>
        <xdr:cNvPicPr>
          <a:picLocks noChangeAspect="1"/>
        </xdr:cNvPicPr>
      </xdr:nvPicPr>
      <xdr:blipFill>
        <a:blip xmlns:r="http://schemas.openxmlformats.org/officeDocument/2006/relationships" r:embed="rId12"/>
        <a:stretch>
          <a:fillRect/>
        </a:stretch>
      </xdr:blipFill>
      <xdr:spPr>
        <a:xfrm>
          <a:off x="12382500" y="34268833"/>
          <a:ext cx="6228571" cy="8038095"/>
        </a:xfrm>
        <a:prstGeom prst="rect">
          <a:avLst/>
        </a:prstGeom>
      </xdr:spPr>
    </xdr:pic>
    <xdr:clientData/>
  </xdr:twoCellAnchor>
  <xdr:twoCellAnchor editAs="oneCell">
    <xdr:from>
      <xdr:col>0</xdr:col>
      <xdr:colOff>0</xdr:colOff>
      <xdr:row>189</xdr:row>
      <xdr:rowOff>0</xdr:rowOff>
    </xdr:from>
    <xdr:to>
      <xdr:col>9</xdr:col>
      <xdr:colOff>2401</xdr:colOff>
      <xdr:row>233</xdr:row>
      <xdr:rowOff>83666</xdr:rowOff>
    </xdr:to>
    <xdr:pic>
      <xdr:nvPicPr>
        <xdr:cNvPr id="16" name="Picture 15">
          <a:extLst>
            <a:ext uri="{FF2B5EF4-FFF2-40B4-BE49-F238E27FC236}">
              <a16:creationId xmlns:a16="http://schemas.microsoft.com/office/drawing/2014/main" id="{9D68034D-AA6A-F2C7-215A-9E603CF41A45}"/>
            </a:ext>
          </a:extLst>
        </xdr:cNvPr>
        <xdr:cNvPicPr>
          <a:picLocks noChangeAspect="1"/>
        </xdr:cNvPicPr>
      </xdr:nvPicPr>
      <xdr:blipFill>
        <a:blip xmlns:r="http://schemas.openxmlformats.org/officeDocument/2006/relationships" r:embed="rId13"/>
        <a:stretch>
          <a:fillRect/>
        </a:stretch>
      </xdr:blipFill>
      <xdr:spPr>
        <a:xfrm>
          <a:off x="0" y="42777833"/>
          <a:ext cx="6190476" cy="8000000"/>
        </a:xfrm>
        <a:prstGeom prst="rect">
          <a:avLst/>
        </a:prstGeom>
      </xdr:spPr>
    </xdr:pic>
    <xdr:clientData/>
  </xdr:twoCellAnchor>
  <xdr:twoCellAnchor editAs="oneCell">
    <xdr:from>
      <xdr:col>9</xdr:col>
      <xdr:colOff>0</xdr:colOff>
      <xdr:row>189</xdr:row>
      <xdr:rowOff>0</xdr:rowOff>
    </xdr:from>
    <xdr:to>
      <xdr:col>27</xdr:col>
      <xdr:colOff>188928</xdr:colOff>
      <xdr:row>233</xdr:row>
      <xdr:rowOff>83666</xdr:rowOff>
    </xdr:to>
    <xdr:pic>
      <xdr:nvPicPr>
        <xdr:cNvPr id="17" name="Picture 16">
          <a:extLst>
            <a:ext uri="{FF2B5EF4-FFF2-40B4-BE49-F238E27FC236}">
              <a16:creationId xmlns:a16="http://schemas.microsoft.com/office/drawing/2014/main" id="{1D7C9B10-A730-821C-C4A7-3161FED066B3}"/>
            </a:ext>
          </a:extLst>
        </xdr:cNvPr>
        <xdr:cNvPicPr>
          <a:picLocks noChangeAspect="1"/>
        </xdr:cNvPicPr>
      </xdr:nvPicPr>
      <xdr:blipFill>
        <a:blip xmlns:r="http://schemas.openxmlformats.org/officeDocument/2006/relationships" r:embed="rId14"/>
        <a:stretch>
          <a:fillRect/>
        </a:stretch>
      </xdr:blipFill>
      <xdr:spPr>
        <a:xfrm>
          <a:off x="6191250" y="42777833"/>
          <a:ext cx="12571428" cy="8000000"/>
        </a:xfrm>
        <a:prstGeom prst="rect">
          <a:avLst/>
        </a:prstGeom>
      </xdr:spPr>
    </xdr:pic>
    <xdr:clientData/>
  </xdr:twoCellAnchor>
  <xdr:twoCellAnchor editAs="oneCell">
    <xdr:from>
      <xdr:col>0</xdr:col>
      <xdr:colOff>0</xdr:colOff>
      <xdr:row>236</xdr:row>
      <xdr:rowOff>0</xdr:rowOff>
    </xdr:from>
    <xdr:to>
      <xdr:col>9</xdr:col>
      <xdr:colOff>8750</xdr:colOff>
      <xdr:row>280</xdr:row>
      <xdr:rowOff>121761</xdr:rowOff>
    </xdr:to>
    <xdr:pic>
      <xdr:nvPicPr>
        <xdr:cNvPr id="18" name="Picture 17">
          <a:extLst>
            <a:ext uri="{FF2B5EF4-FFF2-40B4-BE49-F238E27FC236}">
              <a16:creationId xmlns:a16="http://schemas.microsoft.com/office/drawing/2014/main" id="{01F0C099-CDE2-BA4A-4CD7-7BEA4DA20693}"/>
            </a:ext>
          </a:extLst>
        </xdr:cNvPr>
        <xdr:cNvPicPr>
          <a:picLocks noChangeAspect="1"/>
        </xdr:cNvPicPr>
      </xdr:nvPicPr>
      <xdr:blipFill>
        <a:blip xmlns:r="http://schemas.openxmlformats.org/officeDocument/2006/relationships" r:embed="rId15"/>
        <a:stretch>
          <a:fillRect/>
        </a:stretch>
      </xdr:blipFill>
      <xdr:spPr>
        <a:xfrm>
          <a:off x="0" y="51286833"/>
          <a:ext cx="6200000" cy="8038095"/>
        </a:xfrm>
        <a:prstGeom prst="rect">
          <a:avLst/>
        </a:prstGeom>
      </xdr:spPr>
    </xdr:pic>
    <xdr:clientData/>
  </xdr:twoCellAnchor>
  <xdr:twoCellAnchor editAs="oneCell">
    <xdr:from>
      <xdr:col>9</xdr:col>
      <xdr:colOff>0</xdr:colOff>
      <xdr:row>236</xdr:row>
      <xdr:rowOff>0</xdr:rowOff>
    </xdr:from>
    <xdr:to>
      <xdr:col>27</xdr:col>
      <xdr:colOff>122262</xdr:colOff>
      <xdr:row>280</xdr:row>
      <xdr:rowOff>74142</xdr:rowOff>
    </xdr:to>
    <xdr:pic>
      <xdr:nvPicPr>
        <xdr:cNvPr id="19" name="Picture 18">
          <a:extLst>
            <a:ext uri="{FF2B5EF4-FFF2-40B4-BE49-F238E27FC236}">
              <a16:creationId xmlns:a16="http://schemas.microsoft.com/office/drawing/2014/main" id="{2045F7B5-8A6C-8FC4-73E7-831BF780219B}"/>
            </a:ext>
          </a:extLst>
        </xdr:cNvPr>
        <xdr:cNvPicPr>
          <a:picLocks noChangeAspect="1"/>
        </xdr:cNvPicPr>
      </xdr:nvPicPr>
      <xdr:blipFill>
        <a:blip xmlns:r="http://schemas.openxmlformats.org/officeDocument/2006/relationships" r:embed="rId16"/>
        <a:stretch>
          <a:fillRect/>
        </a:stretch>
      </xdr:blipFill>
      <xdr:spPr>
        <a:xfrm>
          <a:off x="6191250" y="51286833"/>
          <a:ext cx="12504762" cy="7990476"/>
        </a:xfrm>
        <a:prstGeom prst="rect">
          <a:avLst/>
        </a:prstGeom>
      </xdr:spPr>
    </xdr:pic>
    <xdr:clientData/>
  </xdr:twoCellAnchor>
  <xdr:twoCellAnchor editAs="oneCell">
    <xdr:from>
      <xdr:col>0</xdr:col>
      <xdr:colOff>0</xdr:colOff>
      <xdr:row>283</xdr:row>
      <xdr:rowOff>0</xdr:rowOff>
    </xdr:from>
    <xdr:to>
      <xdr:col>9</xdr:col>
      <xdr:colOff>18274</xdr:colOff>
      <xdr:row>327</xdr:row>
      <xdr:rowOff>93190</xdr:rowOff>
    </xdr:to>
    <xdr:pic>
      <xdr:nvPicPr>
        <xdr:cNvPr id="20" name="Picture 19">
          <a:extLst>
            <a:ext uri="{FF2B5EF4-FFF2-40B4-BE49-F238E27FC236}">
              <a16:creationId xmlns:a16="http://schemas.microsoft.com/office/drawing/2014/main" id="{1728707E-E718-9E52-398D-A1419BD5EFC4}"/>
            </a:ext>
          </a:extLst>
        </xdr:cNvPr>
        <xdr:cNvPicPr>
          <a:picLocks noChangeAspect="1"/>
        </xdr:cNvPicPr>
      </xdr:nvPicPr>
      <xdr:blipFill>
        <a:blip xmlns:r="http://schemas.openxmlformats.org/officeDocument/2006/relationships" r:embed="rId17"/>
        <a:stretch>
          <a:fillRect/>
        </a:stretch>
      </xdr:blipFill>
      <xdr:spPr>
        <a:xfrm>
          <a:off x="0" y="59795833"/>
          <a:ext cx="6209524" cy="8009524"/>
        </a:xfrm>
        <a:prstGeom prst="rect">
          <a:avLst/>
        </a:prstGeom>
      </xdr:spPr>
    </xdr:pic>
    <xdr:clientData/>
  </xdr:twoCellAnchor>
  <xdr:twoCellAnchor editAs="oneCell">
    <xdr:from>
      <xdr:col>9</xdr:col>
      <xdr:colOff>0</xdr:colOff>
      <xdr:row>283</xdr:row>
      <xdr:rowOff>0</xdr:rowOff>
    </xdr:from>
    <xdr:to>
      <xdr:col>27</xdr:col>
      <xdr:colOff>141309</xdr:colOff>
      <xdr:row>327</xdr:row>
      <xdr:rowOff>83666</xdr:rowOff>
    </xdr:to>
    <xdr:pic>
      <xdr:nvPicPr>
        <xdr:cNvPr id="21" name="Picture 20">
          <a:extLst>
            <a:ext uri="{FF2B5EF4-FFF2-40B4-BE49-F238E27FC236}">
              <a16:creationId xmlns:a16="http://schemas.microsoft.com/office/drawing/2014/main" id="{7B4EAA0F-75D1-84E3-0F00-59A3D45209E1}"/>
            </a:ext>
          </a:extLst>
        </xdr:cNvPr>
        <xdr:cNvPicPr>
          <a:picLocks noChangeAspect="1"/>
        </xdr:cNvPicPr>
      </xdr:nvPicPr>
      <xdr:blipFill>
        <a:blip xmlns:r="http://schemas.openxmlformats.org/officeDocument/2006/relationships" r:embed="rId18"/>
        <a:stretch>
          <a:fillRect/>
        </a:stretch>
      </xdr:blipFill>
      <xdr:spPr>
        <a:xfrm>
          <a:off x="6191250" y="59795833"/>
          <a:ext cx="12523809" cy="8000000"/>
        </a:xfrm>
        <a:prstGeom prst="rect">
          <a:avLst/>
        </a:prstGeom>
      </xdr:spPr>
    </xdr:pic>
    <xdr:clientData/>
  </xdr:twoCellAnchor>
  <xdr:twoCellAnchor editAs="oneCell">
    <xdr:from>
      <xdr:col>0</xdr:col>
      <xdr:colOff>0</xdr:colOff>
      <xdr:row>330</xdr:row>
      <xdr:rowOff>0</xdr:rowOff>
    </xdr:from>
    <xdr:to>
      <xdr:col>8</xdr:col>
      <xdr:colOff>649048</xdr:colOff>
      <xdr:row>373</xdr:row>
      <xdr:rowOff>111202</xdr:rowOff>
    </xdr:to>
    <xdr:pic>
      <xdr:nvPicPr>
        <xdr:cNvPr id="22" name="Picture 21">
          <a:extLst>
            <a:ext uri="{FF2B5EF4-FFF2-40B4-BE49-F238E27FC236}">
              <a16:creationId xmlns:a16="http://schemas.microsoft.com/office/drawing/2014/main" id="{25713879-7812-783E-9C25-7FA7F50970E5}"/>
            </a:ext>
          </a:extLst>
        </xdr:cNvPr>
        <xdr:cNvPicPr>
          <a:picLocks noChangeAspect="1"/>
        </xdr:cNvPicPr>
      </xdr:nvPicPr>
      <xdr:blipFill>
        <a:blip xmlns:r="http://schemas.openxmlformats.org/officeDocument/2006/relationships" r:embed="rId19"/>
        <a:stretch>
          <a:fillRect/>
        </a:stretch>
      </xdr:blipFill>
      <xdr:spPr>
        <a:xfrm>
          <a:off x="0" y="68304833"/>
          <a:ext cx="6152381" cy="7847619"/>
        </a:xfrm>
        <a:prstGeom prst="rect">
          <a:avLst/>
        </a:prstGeom>
      </xdr:spPr>
    </xdr:pic>
    <xdr:clientData/>
  </xdr:twoCellAnchor>
  <xdr:twoCellAnchor editAs="oneCell">
    <xdr:from>
      <xdr:col>9</xdr:col>
      <xdr:colOff>0</xdr:colOff>
      <xdr:row>330</xdr:row>
      <xdr:rowOff>0</xdr:rowOff>
    </xdr:from>
    <xdr:to>
      <xdr:col>27</xdr:col>
      <xdr:colOff>84167</xdr:colOff>
      <xdr:row>373</xdr:row>
      <xdr:rowOff>6440</xdr:rowOff>
    </xdr:to>
    <xdr:pic>
      <xdr:nvPicPr>
        <xdr:cNvPr id="23" name="Picture 22">
          <a:extLst>
            <a:ext uri="{FF2B5EF4-FFF2-40B4-BE49-F238E27FC236}">
              <a16:creationId xmlns:a16="http://schemas.microsoft.com/office/drawing/2014/main" id="{92433C26-9539-7DA2-6168-858AAEEF7100}"/>
            </a:ext>
          </a:extLst>
        </xdr:cNvPr>
        <xdr:cNvPicPr>
          <a:picLocks noChangeAspect="1"/>
        </xdr:cNvPicPr>
      </xdr:nvPicPr>
      <xdr:blipFill>
        <a:blip xmlns:r="http://schemas.openxmlformats.org/officeDocument/2006/relationships" r:embed="rId20"/>
        <a:stretch>
          <a:fillRect/>
        </a:stretch>
      </xdr:blipFill>
      <xdr:spPr>
        <a:xfrm>
          <a:off x="6191250" y="68304833"/>
          <a:ext cx="12466667" cy="7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learesult5.sharepoint.com/Users/Bitul.Sinha/Documents/Maryland%20Calculator/Calculator%20Appli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learesult5.sharepoint.com/Users/Bitul.Sinha/AppData/Local/Microsoft/Windows/Temporary%20Internet%20Files/Content.Outlook/B6FBBWGN/PE%20HVAC%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row r="3">
          <cell r="B3" t="str">
            <v>Early Replacement</v>
          </cell>
          <cell r="D3" t="str">
            <v>Air Cooled Chiller</v>
          </cell>
        </row>
        <row r="4">
          <cell r="B4" t="str">
            <v>Time of Sale</v>
          </cell>
          <cell r="D4" t="str">
            <v>Water Cooled Chiller</v>
          </cell>
          <cell r="H4" t="str">
            <v>Arena/Auditorium/Convention</v>
          </cell>
          <cell r="J4">
            <v>861</v>
          </cell>
          <cell r="K4">
            <v>1168</v>
          </cell>
        </row>
        <row r="5">
          <cell r="B5" t="str">
            <v>New Construction</v>
          </cell>
          <cell r="D5" t="str">
            <v>Unitary Air Conditioner</v>
          </cell>
          <cell r="H5" t="str">
            <v>Auto-Related</v>
          </cell>
          <cell r="J5">
            <v>840</v>
          </cell>
          <cell r="K5">
            <v>652</v>
          </cell>
        </row>
        <row r="6">
          <cell r="D6" t="str">
            <v>Unitary Heat Pump</v>
          </cell>
          <cell r="H6" t="str">
            <v>Convenience Stores</v>
          </cell>
          <cell r="J6">
            <v>618</v>
          </cell>
          <cell r="K6">
            <v>1031</v>
          </cell>
        </row>
        <row r="7">
          <cell r="D7" t="str">
            <v>Packaged Terminal Air Conditioner</v>
          </cell>
          <cell r="H7" t="str">
            <v>Daycare</v>
          </cell>
          <cell r="J7">
            <v>269</v>
          </cell>
          <cell r="K7">
            <v>700</v>
          </cell>
        </row>
        <row r="8">
          <cell r="B8" t="str">
            <v>EER/SEER/IEER</v>
          </cell>
          <cell r="D8" t="str">
            <v>Packaged Terminal Heat Pump</v>
          </cell>
          <cell r="H8" t="str">
            <v>Education – College/University</v>
          </cell>
          <cell r="J8">
            <v>723</v>
          </cell>
          <cell r="K8">
            <v>555</v>
          </cell>
          <cell r="L8">
            <v>743</v>
          </cell>
        </row>
        <row r="9">
          <cell r="B9" t="str">
            <v>kW/ton</v>
          </cell>
          <cell r="D9" t="str">
            <v>Ductless Mini Split Heat Pump</v>
          </cell>
          <cell r="H9" t="str">
            <v>Education – K-12</v>
          </cell>
          <cell r="J9">
            <v>309</v>
          </cell>
          <cell r="K9">
            <v>754</v>
          </cell>
          <cell r="L9">
            <v>336</v>
          </cell>
        </row>
        <row r="10">
          <cell r="D10" t="str">
            <v>Geothermal Heat Pump</v>
          </cell>
          <cell r="H10" t="str">
            <v>Grocery</v>
          </cell>
          <cell r="J10">
            <v>618</v>
          </cell>
          <cell r="K10">
            <v>1031</v>
          </cell>
        </row>
        <row r="11">
          <cell r="D11" t="str">
            <v>Air Conditioner Water Cooled</v>
          </cell>
          <cell r="H11" t="str">
            <v>Gymnasium/Performing Arts Theater</v>
          </cell>
          <cell r="J11">
            <v>861</v>
          </cell>
          <cell r="K11">
            <v>1168</v>
          </cell>
        </row>
        <row r="12">
          <cell r="B12" t="str">
            <v>tons</v>
          </cell>
          <cell r="D12" t="str">
            <v>Air Conditioner Evaporatively Cooled</v>
          </cell>
          <cell r="H12" t="str">
            <v>Industrial – 1 Shift/Light Mfctg</v>
          </cell>
          <cell r="J12">
            <v>419</v>
          </cell>
          <cell r="K12">
            <v>613</v>
          </cell>
        </row>
        <row r="13">
          <cell r="B13" t="str">
            <v>Btu/h</v>
          </cell>
          <cell r="D13" t="str">
            <v>Room Air Conditioner</v>
          </cell>
          <cell r="H13" t="str">
            <v>Industrial – 2 Shift</v>
          </cell>
          <cell r="J13">
            <v>796</v>
          </cell>
          <cell r="K13">
            <v>153</v>
          </cell>
          <cell r="L13">
            <v>738</v>
          </cell>
        </row>
        <row r="14">
          <cell r="D14" t="str">
            <v>VRF Air Conditioner</v>
          </cell>
          <cell r="H14" t="str">
            <v>Industrial – 3 Shift</v>
          </cell>
          <cell r="J14">
            <v>796</v>
          </cell>
          <cell r="K14">
            <v>153</v>
          </cell>
          <cell r="L14">
            <v>738</v>
          </cell>
        </row>
        <row r="15">
          <cell r="D15" t="str">
            <v>VRF Heat Pump</v>
          </cell>
          <cell r="H15" t="str">
            <v>Lodging – Common Areas</v>
          </cell>
          <cell r="J15">
            <v>1386</v>
          </cell>
          <cell r="K15">
            <v>268</v>
          </cell>
        </row>
        <row r="16">
          <cell r="D16" t="str">
            <v>Single Package Vertical Air Conditioner</v>
          </cell>
          <cell r="H16" t="str">
            <v>Lodging (MF, Dorms)</v>
          </cell>
          <cell r="J16">
            <v>1668</v>
          </cell>
          <cell r="K16">
            <v>2350</v>
          </cell>
          <cell r="L16">
            <v>1641</v>
          </cell>
        </row>
        <row r="17">
          <cell r="D17" t="str">
            <v>Single Package Vertical Heat Pump</v>
          </cell>
          <cell r="H17" t="str">
            <v>Lodging Hotel (Guest Rooms)</v>
          </cell>
          <cell r="J17">
            <v>1668</v>
          </cell>
          <cell r="K17">
            <v>2350</v>
          </cell>
          <cell r="L17">
            <v>1641</v>
          </cell>
        </row>
        <row r="18">
          <cell r="H18" t="str">
            <v>Medical – Clinic</v>
          </cell>
          <cell r="J18">
            <v>577</v>
          </cell>
          <cell r="K18">
            <v>461</v>
          </cell>
          <cell r="L18">
            <v>509</v>
          </cell>
        </row>
        <row r="19">
          <cell r="H19" t="str">
            <v>Medical – Hospital</v>
          </cell>
          <cell r="J19">
            <v>1114</v>
          </cell>
          <cell r="K19">
            <v>224</v>
          </cell>
          <cell r="L19">
            <v>1430</v>
          </cell>
        </row>
        <row r="20">
          <cell r="H20" t="str">
            <v>Multifamily/Common Areas</v>
          </cell>
          <cell r="J20">
            <v>1386</v>
          </cell>
          <cell r="K20">
            <v>268</v>
          </cell>
        </row>
        <row r="21">
          <cell r="H21" t="str">
            <v>Museum/Library</v>
          </cell>
          <cell r="J21">
            <v>577</v>
          </cell>
          <cell r="K21">
            <v>461</v>
          </cell>
          <cell r="L21">
            <v>509</v>
          </cell>
        </row>
        <row r="22">
          <cell r="H22" t="str">
            <v>Nursing Homes</v>
          </cell>
          <cell r="J22">
            <v>592</v>
          </cell>
          <cell r="K22">
            <v>977</v>
          </cell>
          <cell r="L22">
            <v>547</v>
          </cell>
        </row>
        <row r="23">
          <cell r="H23" t="str">
            <v>Office</v>
          </cell>
          <cell r="J23">
            <v>577</v>
          </cell>
          <cell r="K23">
            <v>461</v>
          </cell>
          <cell r="L23">
            <v>509</v>
          </cell>
        </row>
        <row r="24">
          <cell r="H24" t="str">
            <v>Other</v>
          </cell>
          <cell r="J24">
            <v>577</v>
          </cell>
          <cell r="K24">
            <v>461</v>
          </cell>
          <cell r="L24">
            <v>509</v>
          </cell>
        </row>
        <row r="25">
          <cell r="H25" t="str">
            <v>Penitentiary</v>
          </cell>
          <cell r="J25">
            <v>1114</v>
          </cell>
          <cell r="K25">
            <v>224</v>
          </cell>
          <cell r="L25">
            <v>1430</v>
          </cell>
        </row>
        <row r="26">
          <cell r="H26" t="str">
            <v>Police/Fire Stations</v>
          </cell>
          <cell r="J26">
            <v>577</v>
          </cell>
          <cell r="K26">
            <v>461</v>
          </cell>
          <cell r="L26">
            <v>509</v>
          </cell>
        </row>
        <row r="27">
          <cell r="H27" t="str">
            <v>Post Office/Town Hall/Court</v>
          </cell>
          <cell r="J27">
            <v>577</v>
          </cell>
          <cell r="K27">
            <v>461</v>
          </cell>
          <cell r="L27">
            <v>509</v>
          </cell>
        </row>
        <row r="28">
          <cell r="H28" t="str">
            <v>Public Assembly</v>
          </cell>
          <cell r="J28">
            <v>861</v>
          </cell>
          <cell r="K28">
            <v>1168</v>
          </cell>
        </row>
        <row r="29">
          <cell r="H29" t="str">
            <v>Public Order &amp; Safety</v>
          </cell>
          <cell r="J29">
            <v>577</v>
          </cell>
          <cell r="K29">
            <v>461</v>
          </cell>
          <cell r="L29">
            <v>509</v>
          </cell>
        </row>
        <row r="30">
          <cell r="H30" t="str">
            <v>Public Services (Non-food)</v>
          </cell>
          <cell r="J30">
            <v>577</v>
          </cell>
          <cell r="K30">
            <v>461</v>
          </cell>
          <cell r="L30">
            <v>509</v>
          </cell>
        </row>
        <row r="31">
          <cell r="H31" t="str">
            <v>Religious Worship/Church</v>
          </cell>
          <cell r="J31">
            <v>577</v>
          </cell>
          <cell r="K31">
            <v>461</v>
          </cell>
          <cell r="L31">
            <v>509</v>
          </cell>
        </row>
        <row r="32">
          <cell r="H32" t="str">
            <v>Restaurant – Fast-Food</v>
          </cell>
          <cell r="J32">
            <v>665</v>
          </cell>
          <cell r="K32">
            <v>1285</v>
          </cell>
        </row>
        <row r="33">
          <cell r="H33" t="str">
            <v>Restaurant – Sit-Down</v>
          </cell>
          <cell r="J33">
            <v>700</v>
          </cell>
          <cell r="K33">
            <v>1185</v>
          </cell>
        </row>
        <row r="34">
          <cell r="H34" t="str">
            <v>Retail – Large</v>
          </cell>
          <cell r="J34">
            <v>830</v>
          </cell>
          <cell r="K34">
            <v>774</v>
          </cell>
        </row>
        <row r="35">
          <cell r="H35" t="str">
            <v>Retail – Small</v>
          </cell>
          <cell r="J35">
            <v>840</v>
          </cell>
          <cell r="K35">
            <v>652</v>
          </cell>
        </row>
        <row r="36">
          <cell r="H36" t="str">
            <v>Storage – Conditioned</v>
          </cell>
          <cell r="J36">
            <v>223</v>
          </cell>
          <cell r="K36">
            <v>895</v>
          </cell>
        </row>
        <row r="37">
          <cell r="H37" t="str">
            <v>Storage – Unconditioned</v>
          </cell>
          <cell r="J37">
            <v>0</v>
          </cell>
          <cell r="K37">
            <v>0</v>
          </cell>
        </row>
        <row r="38">
          <cell r="H38" t="str">
            <v>Warehouses (Not Refrigerated)</v>
          </cell>
          <cell r="J38">
            <v>223</v>
          </cell>
          <cell r="K38">
            <v>895</v>
          </cell>
        </row>
        <row r="39">
          <cell r="H39" t="str">
            <v>Warehouses (Refrigerated)</v>
          </cell>
          <cell r="J39">
            <v>3569</v>
          </cell>
          <cell r="K39">
            <v>359</v>
          </cell>
        </row>
        <row r="40">
          <cell r="H40" t="str">
            <v>Waste Water Treatment Plant</v>
          </cell>
          <cell r="J40">
            <v>577</v>
          </cell>
          <cell r="K40">
            <v>461</v>
          </cell>
          <cell r="L40">
            <v>509</v>
          </cell>
        </row>
        <row r="48">
          <cell r="F48" t="str">
            <v>Elec Res or None</v>
          </cell>
        </row>
        <row r="49">
          <cell r="F49" t="str">
            <v>Other</v>
          </cell>
        </row>
      </sheetData>
      <sheetData sheetId="5">
        <row r="12">
          <cell r="S12">
            <v>1.1764705882352942</v>
          </cell>
          <cell r="T12">
            <v>1.1406844106463878</v>
          </cell>
          <cell r="U12">
            <v>1.1214953271028039</v>
          </cell>
          <cell r="X12">
            <v>0.72</v>
          </cell>
          <cell r="Y12">
            <v>0.68</v>
          </cell>
          <cell r="Z12">
            <v>0.64</v>
          </cell>
          <cell r="AA12">
            <v>0.6</v>
          </cell>
          <cell r="AC12">
            <v>0.6</v>
          </cell>
          <cell r="AD12">
            <v>0.57999999999999996</v>
          </cell>
          <cell r="AE12">
            <v>0.54</v>
          </cell>
        </row>
        <row r="13">
          <cell r="R13">
            <v>400</v>
          </cell>
          <cell r="S13">
            <v>7</v>
          </cell>
          <cell r="T13">
            <v>18</v>
          </cell>
          <cell r="U13">
            <v>26</v>
          </cell>
          <cell r="W13">
            <v>400</v>
          </cell>
          <cell r="AA13">
            <v>6</v>
          </cell>
          <cell r="AB13">
            <v>600</v>
          </cell>
          <cell r="AE13">
            <v>13</v>
          </cell>
        </row>
        <row r="14">
          <cell r="R14">
            <v>200</v>
          </cell>
          <cell r="S14">
            <v>14</v>
          </cell>
          <cell r="T14">
            <v>37</v>
          </cell>
          <cell r="U14">
            <v>52</v>
          </cell>
          <cell r="W14">
            <v>200</v>
          </cell>
          <cell r="Z14">
            <v>26</v>
          </cell>
          <cell r="AA14">
            <v>78</v>
          </cell>
          <cell r="AB14">
            <v>300</v>
          </cell>
          <cell r="AE14">
            <v>31</v>
          </cell>
        </row>
        <row r="15">
          <cell r="R15">
            <v>150</v>
          </cell>
          <cell r="S15">
            <v>18</v>
          </cell>
          <cell r="T15">
            <v>49</v>
          </cell>
          <cell r="U15">
            <v>69</v>
          </cell>
          <cell r="W15">
            <v>100</v>
          </cell>
          <cell r="X15">
            <v>0</v>
          </cell>
          <cell r="Y15">
            <v>104</v>
          </cell>
          <cell r="AB15">
            <v>200</v>
          </cell>
          <cell r="AC15">
            <v>44</v>
          </cell>
          <cell r="AD15">
            <v>70</v>
          </cell>
          <cell r="AE15">
            <v>122</v>
          </cell>
        </row>
        <row r="16">
          <cell r="R16">
            <v>100</v>
          </cell>
          <cell r="S16">
            <v>27</v>
          </cell>
          <cell r="T16">
            <v>73</v>
          </cell>
          <cell r="U16">
            <v>104</v>
          </cell>
          <cell r="W16">
            <v>50</v>
          </cell>
          <cell r="X16">
            <v>156</v>
          </cell>
          <cell r="Y16">
            <v>363</v>
          </cell>
          <cell r="AB16">
            <v>150</v>
          </cell>
          <cell r="AC16">
            <v>59</v>
          </cell>
          <cell r="AD16">
            <v>93</v>
          </cell>
          <cell r="AE16">
            <v>162</v>
          </cell>
        </row>
        <row r="17">
          <cell r="R17">
            <v>50</v>
          </cell>
          <cell r="S17">
            <v>55</v>
          </cell>
          <cell r="T17">
            <v>146</v>
          </cell>
          <cell r="U17">
            <v>207</v>
          </cell>
          <cell r="AB17">
            <v>100</v>
          </cell>
          <cell r="AC17">
            <v>88</v>
          </cell>
          <cell r="AD17">
            <v>140</v>
          </cell>
          <cell r="AE17">
            <v>244</v>
          </cell>
        </row>
        <row r="44">
          <cell r="V44">
            <v>2</v>
          </cell>
          <cell r="W44">
            <v>1.5</v>
          </cell>
          <cell r="X44">
            <v>1</v>
          </cell>
          <cell r="Y44">
            <v>0.75</v>
          </cell>
        </row>
        <row r="45">
          <cell r="U45">
            <v>0.92307692307692313</v>
          </cell>
          <cell r="V45">
            <v>3273</v>
          </cell>
          <cell r="W45">
            <v>3016</v>
          </cell>
          <cell r="X45">
            <v>2803</v>
          </cell>
          <cell r="Y45">
            <v>2733</v>
          </cell>
        </row>
        <row r="46">
          <cell r="U46">
            <v>0.66666666666666663</v>
          </cell>
          <cell r="V46">
            <v>3874</v>
          </cell>
          <cell r="W46">
            <v>3374</v>
          </cell>
          <cell r="X46">
            <v>3138</v>
          </cell>
          <cell r="Y46">
            <v>3078</v>
          </cell>
        </row>
        <row r="47">
          <cell r="U47">
            <v>0.5714285714285714</v>
          </cell>
          <cell r="W47">
            <v>3640</v>
          </cell>
          <cell r="X47">
            <v>3407</v>
          </cell>
          <cell r="Y47">
            <v>3236</v>
          </cell>
        </row>
        <row r="48">
          <cell r="U48">
            <v>0.46153846153846156</v>
          </cell>
          <cell r="X48">
            <v>3363</v>
          </cell>
          <cell r="Y48">
            <v>3460</v>
          </cell>
        </row>
        <row r="69">
          <cell r="M69">
            <v>0.75</v>
          </cell>
        </row>
        <row r="70">
          <cell r="M70">
            <v>1.4634146341463417</v>
          </cell>
        </row>
      </sheetData>
      <sheetData sheetId="6"/>
      <sheetData sheetId="7">
        <row r="4">
          <cell r="F4">
            <v>0</v>
          </cell>
          <cell r="G4">
            <v>0</v>
          </cell>
        </row>
        <row r="5">
          <cell r="F5">
            <v>0.63300000000000001</v>
          </cell>
          <cell r="G5">
            <v>0.46</v>
          </cell>
        </row>
        <row r="6">
          <cell r="F6">
            <v>0.65200000000000002</v>
          </cell>
          <cell r="G6">
            <v>0</v>
          </cell>
        </row>
        <row r="7">
          <cell r="C7">
            <v>0.65</v>
          </cell>
        </row>
        <row r="8">
          <cell r="C8">
            <v>0.55000000000000004</v>
          </cell>
        </row>
        <row r="14">
          <cell r="B14" t="str">
            <v>No Control or Bypass Damper</v>
          </cell>
        </row>
        <row r="15">
          <cell r="B15" t="str">
            <v>Discharge Dampers</v>
          </cell>
        </row>
        <row r="16">
          <cell r="B16" t="str">
            <v>Outlet Damper, BI and Airfoil Fans</v>
          </cell>
        </row>
        <row r="17">
          <cell r="B17" t="str">
            <v>Inlet Damper Box</v>
          </cell>
        </row>
        <row r="18">
          <cell r="B18" t="str">
            <v>Inlet Guide Vane, BI and Airfoil Fans</v>
          </cell>
        </row>
        <row r="19">
          <cell r="B19" t="str">
            <v>Inlet Vane Dampers</v>
          </cell>
        </row>
        <row r="20">
          <cell r="B20" t="str">
            <v>Outlet Damper, FC Fans</v>
          </cell>
        </row>
        <row r="21">
          <cell r="B21" t="str">
            <v>Eddy Current Drives</v>
          </cell>
        </row>
        <row r="22">
          <cell r="B22" t="str">
            <v>Inlet Guide Vane, FC Fans</v>
          </cell>
        </row>
        <row r="23">
          <cell r="B23" t="str">
            <v>VFD with duct static pressure controls</v>
          </cell>
        </row>
        <row r="24">
          <cell r="B24" t="str">
            <v>VFD with low or no duct static pressure</v>
          </cell>
        </row>
        <row r="42">
          <cell r="D42" t="str">
            <v>Fan Motor</v>
          </cell>
          <cell r="E42" t="str">
            <v>Chilled Water Pump</v>
          </cell>
          <cell r="F42" t="str">
            <v>Hot Water Pump</v>
          </cell>
        </row>
        <row r="43">
          <cell r="D43">
            <v>1954</v>
          </cell>
          <cell r="E43">
            <v>1121</v>
          </cell>
          <cell r="F43">
            <v>5376</v>
          </cell>
          <cell r="H43">
            <v>200</v>
          </cell>
          <cell r="I43">
            <v>50</v>
          </cell>
          <cell r="M43">
            <v>17143</v>
          </cell>
          <cell r="N43">
            <v>16121</v>
          </cell>
          <cell r="P43" t="str">
            <v>yes</v>
          </cell>
        </row>
        <row r="44">
          <cell r="D44">
            <v>4056</v>
          </cell>
          <cell r="E44">
            <v>1878</v>
          </cell>
          <cell r="F44">
            <v>5376</v>
          </cell>
          <cell r="H44">
            <v>100</v>
          </cell>
          <cell r="I44">
            <v>5000</v>
          </cell>
          <cell r="M44">
            <v>10663</v>
          </cell>
          <cell r="N44">
            <v>9641</v>
          </cell>
          <cell r="P44" t="str">
            <v>no</v>
          </cell>
        </row>
        <row r="45">
          <cell r="D45">
            <v>6376</v>
          </cell>
          <cell r="E45">
            <v>2713</v>
          </cell>
          <cell r="F45">
            <v>5376</v>
          </cell>
          <cell r="H45">
            <v>75</v>
          </cell>
          <cell r="I45">
            <v>3750</v>
          </cell>
          <cell r="M45">
            <v>9043</v>
          </cell>
          <cell r="N45">
            <v>8021</v>
          </cell>
        </row>
        <row r="46">
          <cell r="D46">
            <v>2187</v>
          </cell>
          <cell r="E46">
            <v>1205</v>
          </cell>
          <cell r="F46">
            <v>3229</v>
          </cell>
          <cell r="H46">
            <v>60</v>
          </cell>
          <cell r="I46">
            <v>3000</v>
          </cell>
          <cell r="M46">
            <v>8071</v>
          </cell>
          <cell r="N46">
            <v>7049</v>
          </cell>
        </row>
        <row r="47">
          <cell r="D47">
            <v>2187</v>
          </cell>
          <cell r="E47">
            <v>1205</v>
          </cell>
          <cell r="F47">
            <v>4038</v>
          </cell>
          <cell r="H47">
            <v>50</v>
          </cell>
          <cell r="I47">
            <v>2500</v>
          </cell>
          <cell r="M47">
            <v>6842</v>
          </cell>
          <cell r="N47">
            <v>5820</v>
          </cell>
        </row>
        <row r="48">
          <cell r="D48">
            <v>2187</v>
          </cell>
          <cell r="E48">
            <v>1205</v>
          </cell>
          <cell r="F48">
            <v>3229</v>
          </cell>
          <cell r="H48">
            <v>40</v>
          </cell>
          <cell r="I48">
            <v>2000</v>
          </cell>
          <cell r="M48">
            <v>6038</v>
          </cell>
          <cell r="N48">
            <v>5016</v>
          </cell>
        </row>
        <row r="49">
          <cell r="D49">
            <v>4055</v>
          </cell>
          <cell r="E49">
            <v>1877</v>
          </cell>
          <cell r="F49">
            <v>5376</v>
          </cell>
          <cell r="H49">
            <v>30</v>
          </cell>
          <cell r="I49">
            <v>1800</v>
          </cell>
          <cell r="M49">
            <v>5235</v>
          </cell>
          <cell r="N49">
            <v>4213</v>
          </cell>
        </row>
        <row r="50">
          <cell r="D50">
            <v>2586</v>
          </cell>
          <cell r="E50">
            <v>1348</v>
          </cell>
          <cell r="F50">
            <v>5376</v>
          </cell>
          <cell r="H50">
            <v>25</v>
          </cell>
          <cell r="I50">
            <v>1600</v>
          </cell>
          <cell r="M50">
            <v>4833</v>
          </cell>
          <cell r="N50">
            <v>3811</v>
          </cell>
        </row>
        <row r="51">
          <cell r="D51">
            <v>2857</v>
          </cell>
          <cell r="E51">
            <v>1446</v>
          </cell>
          <cell r="F51">
            <v>5376</v>
          </cell>
          <cell r="H51">
            <v>20</v>
          </cell>
          <cell r="I51">
            <v>1500</v>
          </cell>
          <cell r="M51">
            <v>4432</v>
          </cell>
          <cell r="N51">
            <v>3410</v>
          </cell>
        </row>
        <row r="52">
          <cell r="D52">
            <v>4730</v>
          </cell>
          <cell r="E52">
            <v>2120</v>
          </cell>
          <cell r="F52">
            <v>5376</v>
          </cell>
          <cell r="H52">
            <v>15</v>
          </cell>
          <cell r="I52">
            <v>1350</v>
          </cell>
          <cell r="M52">
            <v>4030</v>
          </cell>
          <cell r="N52">
            <v>3008</v>
          </cell>
        </row>
        <row r="53">
          <cell r="D53">
            <v>6631</v>
          </cell>
          <cell r="E53">
            <v>2805</v>
          </cell>
          <cell r="F53">
            <v>5376</v>
          </cell>
          <cell r="H53">
            <v>10</v>
          </cell>
          <cell r="I53">
            <v>1100</v>
          </cell>
          <cell r="M53">
            <v>2737</v>
          </cell>
          <cell r="N53">
            <v>2370</v>
          </cell>
        </row>
        <row r="54">
          <cell r="D54">
            <v>3064</v>
          </cell>
          <cell r="E54">
            <v>1521</v>
          </cell>
          <cell r="F54">
            <v>5942</v>
          </cell>
          <cell r="H54">
            <v>7.5</v>
          </cell>
          <cell r="I54">
            <v>900</v>
          </cell>
          <cell r="M54">
            <v>2581</v>
          </cell>
          <cell r="N54">
            <v>2215</v>
          </cell>
        </row>
        <row r="55">
          <cell r="D55">
            <v>3066</v>
          </cell>
          <cell r="E55">
            <v>1521</v>
          </cell>
          <cell r="F55">
            <v>5376</v>
          </cell>
          <cell r="H55">
            <v>5</v>
          </cell>
          <cell r="I55">
            <v>800</v>
          </cell>
          <cell r="M55">
            <v>2426</v>
          </cell>
          <cell r="N55">
            <v>2059</v>
          </cell>
        </row>
        <row r="56">
          <cell r="D56">
            <v>3064</v>
          </cell>
          <cell r="E56">
            <v>1521</v>
          </cell>
          <cell r="F56">
            <v>5942</v>
          </cell>
          <cell r="H56">
            <v>4</v>
          </cell>
          <cell r="I56">
            <v>700</v>
          </cell>
          <cell r="M56">
            <v>2344</v>
          </cell>
          <cell r="N56">
            <v>1977</v>
          </cell>
        </row>
        <row r="57">
          <cell r="D57">
            <v>3748</v>
          </cell>
          <cell r="E57">
            <v>1767</v>
          </cell>
          <cell r="F57">
            <v>5376</v>
          </cell>
          <cell r="H57">
            <v>3</v>
          </cell>
          <cell r="I57">
            <v>600</v>
          </cell>
          <cell r="M57">
            <v>2261</v>
          </cell>
          <cell r="N57">
            <v>1894</v>
          </cell>
        </row>
        <row r="58">
          <cell r="D58">
            <v>7674</v>
          </cell>
          <cell r="E58">
            <v>3180</v>
          </cell>
          <cell r="F58">
            <v>8760</v>
          </cell>
          <cell r="H58">
            <v>2</v>
          </cell>
          <cell r="I58">
            <v>500</v>
          </cell>
          <cell r="M58">
            <v>2178</v>
          </cell>
          <cell r="N58">
            <v>1811</v>
          </cell>
        </row>
        <row r="59">
          <cell r="D59">
            <v>7665</v>
          </cell>
          <cell r="E59">
            <v>3177</v>
          </cell>
          <cell r="F59">
            <v>5376</v>
          </cell>
        </row>
        <row r="60">
          <cell r="D60">
            <v>3748</v>
          </cell>
          <cell r="E60">
            <v>1767</v>
          </cell>
          <cell r="F60">
            <v>5376</v>
          </cell>
        </row>
        <row r="61">
          <cell r="D61">
            <v>5840</v>
          </cell>
          <cell r="E61">
            <v>2520</v>
          </cell>
          <cell r="F61">
            <v>5428</v>
          </cell>
        </row>
        <row r="62">
          <cell r="D62">
            <v>3748</v>
          </cell>
          <cell r="E62">
            <v>1767</v>
          </cell>
          <cell r="F62">
            <v>3038</v>
          </cell>
        </row>
        <row r="63">
          <cell r="D63">
            <v>3748</v>
          </cell>
          <cell r="E63">
            <v>1767</v>
          </cell>
          <cell r="F63">
            <v>3038</v>
          </cell>
        </row>
        <row r="64">
          <cell r="D64">
            <v>5477</v>
          </cell>
          <cell r="E64">
            <v>2389</v>
          </cell>
          <cell r="F64">
            <v>5376</v>
          </cell>
        </row>
        <row r="65">
          <cell r="D65">
            <v>7665</v>
          </cell>
          <cell r="E65">
            <v>3177</v>
          </cell>
          <cell r="F65">
            <v>5376</v>
          </cell>
        </row>
        <row r="66">
          <cell r="D66">
            <v>3748</v>
          </cell>
          <cell r="E66">
            <v>1767</v>
          </cell>
          <cell r="F66">
            <v>5376</v>
          </cell>
        </row>
        <row r="67">
          <cell r="D67">
            <v>1954</v>
          </cell>
          <cell r="E67">
            <v>1121</v>
          </cell>
          <cell r="F67">
            <v>5376</v>
          </cell>
        </row>
        <row r="68">
          <cell r="D68">
            <v>3748</v>
          </cell>
          <cell r="E68">
            <v>1767</v>
          </cell>
          <cell r="F68">
            <v>3038</v>
          </cell>
        </row>
        <row r="69">
          <cell r="D69">
            <v>3748</v>
          </cell>
          <cell r="E69">
            <v>1767</v>
          </cell>
          <cell r="F69">
            <v>3038</v>
          </cell>
        </row>
        <row r="70">
          <cell r="D70">
            <v>1955</v>
          </cell>
          <cell r="E70">
            <v>1121</v>
          </cell>
          <cell r="F70">
            <v>5376</v>
          </cell>
        </row>
        <row r="71">
          <cell r="D71">
            <v>6456</v>
          </cell>
          <cell r="E71">
            <v>2742</v>
          </cell>
          <cell r="F71">
            <v>5376</v>
          </cell>
        </row>
        <row r="72">
          <cell r="D72">
            <v>4182</v>
          </cell>
          <cell r="E72">
            <v>1923</v>
          </cell>
          <cell r="F72">
            <v>5376</v>
          </cell>
        </row>
        <row r="73">
          <cell r="D73">
            <v>4057</v>
          </cell>
          <cell r="E73">
            <v>1878</v>
          </cell>
          <cell r="F73">
            <v>2344</v>
          </cell>
        </row>
        <row r="74">
          <cell r="D74">
            <v>4057</v>
          </cell>
          <cell r="E74">
            <v>1878</v>
          </cell>
          <cell r="F74">
            <v>2344</v>
          </cell>
        </row>
        <row r="75">
          <cell r="D75">
            <v>2602</v>
          </cell>
          <cell r="E75">
            <v>1354</v>
          </cell>
          <cell r="F75">
            <v>5376</v>
          </cell>
        </row>
        <row r="76">
          <cell r="D76">
            <v>2602</v>
          </cell>
          <cell r="E76">
            <v>1354</v>
          </cell>
          <cell r="F76">
            <v>5376</v>
          </cell>
        </row>
        <row r="77">
          <cell r="D77">
            <v>2602</v>
          </cell>
          <cell r="E77">
            <v>1354</v>
          </cell>
          <cell r="F77">
            <v>5376</v>
          </cell>
        </row>
        <row r="78">
          <cell r="D78">
            <v>2602</v>
          </cell>
          <cell r="E78">
            <v>1354</v>
          </cell>
          <cell r="F78">
            <v>0</v>
          </cell>
        </row>
        <row r="79">
          <cell r="D79">
            <v>6631</v>
          </cell>
          <cell r="E79">
            <v>2805</v>
          </cell>
          <cell r="F79">
            <v>5376</v>
          </cell>
        </row>
      </sheetData>
      <sheetData sheetId="8"/>
      <sheetData sheetId="9">
        <row r="12">
          <cell r="E12" t="str">
            <v>Time of Sale - Professional Installation</v>
          </cell>
          <cell r="F12">
            <v>204</v>
          </cell>
        </row>
        <row r="13">
          <cell r="E13" t="str">
            <v>Time of Sale - Self-installed</v>
          </cell>
          <cell r="F13">
            <v>154</v>
          </cell>
        </row>
        <row r="14">
          <cell r="E14" t="str">
            <v>Retrofit - Professional Installation</v>
          </cell>
          <cell r="F14">
            <v>258</v>
          </cell>
        </row>
        <row r="15">
          <cell r="E15" t="str">
            <v>Retrofit - Self-Installed</v>
          </cell>
          <cell r="F15">
            <v>208</v>
          </cell>
        </row>
      </sheetData>
      <sheetData sheetId="10"/>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B4FD-AF98-4301-B57E-9AC21313C13F}">
  <sheetPr codeName="Sheet1">
    <tabColor theme="0"/>
  </sheetPr>
  <dimension ref="A1:J65"/>
  <sheetViews>
    <sheetView workbookViewId="0">
      <selection activeCell="A13" sqref="A13:B13"/>
    </sheetView>
  </sheetViews>
  <sheetFormatPr defaultColWidth="0" defaultRowHeight="14.25" zeroHeight="1"/>
  <cols>
    <col min="1" max="1" width="35.125" style="2" customWidth="1"/>
    <col min="2" max="2" width="35.75" style="2" customWidth="1"/>
    <col min="3" max="3" width="48.125" style="2" customWidth="1"/>
    <col min="4" max="9" width="8.75" style="2" hidden="1" customWidth="1"/>
    <col min="10" max="10" width="17.25" style="2" hidden="1" customWidth="1"/>
    <col min="11" max="16384" width="8.75" style="2" hidden="1"/>
  </cols>
  <sheetData>
    <row r="1" spans="1:9">
      <c r="A1" s="77"/>
      <c r="B1" s="410" t="s">
        <v>0</v>
      </c>
      <c r="C1" s="410"/>
      <c r="D1" s="77"/>
      <c r="E1" s="77"/>
      <c r="F1" s="77"/>
      <c r="G1" s="77"/>
      <c r="H1" s="77"/>
      <c r="I1" s="77"/>
    </row>
    <row r="2" spans="1:9">
      <c r="A2" s="77"/>
      <c r="B2" s="410"/>
      <c r="C2" s="410"/>
      <c r="D2" s="77"/>
      <c r="E2" s="77"/>
      <c r="F2" s="77"/>
      <c r="G2" s="77"/>
      <c r="H2" s="77"/>
      <c r="I2" s="77"/>
    </row>
    <row r="3" spans="1:9">
      <c r="A3" s="77"/>
      <c r="B3" s="410"/>
      <c r="C3" s="410"/>
      <c r="D3" s="77"/>
      <c r="E3" s="77"/>
      <c r="F3" s="77"/>
      <c r="G3" s="77"/>
      <c r="H3" s="77"/>
      <c r="I3" s="77"/>
    </row>
    <row r="4" spans="1:9">
      <c r="A4" s="77"/>
      <c r="B4" s="410"/>
      <c r="C4" s="410"/>
      <c r="D4" s="77"/>
      <c r="E4" s="77"/>
      <c r="F4" s="77"/>
      <c r="G4" s="77"/>
      <c r="H4" s="77"/>
      <c r="I4" s="77"/>
    </row>
    <row r="5" spans="1:9">
      <c r="A5" s="77"/>
      <c r="B5" s="410"/>
      <c r="C5" s="410"/>
      <c r="D5" s="77"/>
      <c r="E5" s="77"/>
      <c r="F5" s="77"/>
      <c r="G5" s="77"/>
      <c r="H5" s="77"/>
      <c r="I5" s="77"/>
    </row>
    <row r="6" spans="1:9">
      <c r="A6" s="77"/>
      <c r="B6" s="410"/>
      <c r="C6" s="410"/>
      <c r="D6" s="77"/>
      <c r="E6" s="77"/>
      <c r="F6" s="77"/>
      <c r="G6" s="77"/>
      <c r="H6" s="77"/>
      <c r="I6" s="77"/>
    </row>
    <row r="7" spans="1:9">
      <c r="A7" s="79"/>
      <c r="B7" s="79"/>
      <c r="C7" s="78"/>
      <c r="D7" s="77"/>
      <c r="E7" s="77"/>
      <c r="F7" s="77"/>
      <c r="G7" s="77"/>
      <c r="H7" s="77"/>
      <c r="I7" s="77"/>
    </row>
    <row r="8" spans="1:9" ht="14.25" customHeight="1">
      <c r="A8" s="414" t="s">
        <v>1</v>
      </c>
      <c r="B8" s="414"/>
      <c r="C8" s="414"/>
    </row>
    <row r="9" spans="1:9">
      <c r="A9" s="414"/>
      <c r="B9" s="414"/>
      <c r="C9" s="414"/>
    </row>
    <row r="10" spans="1:9">
      <c r="A10" s="414"/>
      <c r="B10" s="414"/>
      <c r="C10" s="414"/>
    </row>
    <row r="11" spans="1:9">
      <c r="A11" s="82"/>
      <c r="B11" s="82"/>
      <c r="C11" s="82"/>
    </row>
    <row r="12" spans="1:9" ht="18">
      <c r="A12" s="80" t="s">
        <v>2</v>
      </c>
      <c r="B12" s="82"/>
      <c r="C12" s="82"/>
    </row>
    <row r="13" spans="1:9">
      <c r="A13" s="412" t="s">
        <v>496</v>
      </c>
      <c r="B13" s="412"/>
      <c r="C13" s="3"/>
    </row>
    <row r="14" spans="1:9">
      <c r="A14" s="413" t="s">
        <v>3</v>
      </c>
      <c r="B14" s="413"/>
      <c r="C14" s="3"/>
    </row>
    <row r="15" spans="1:9" ht="15">
      <c r="A15" s="4"/>
      <c r="B15" s="4"/>
      <c r="C15" s="4"/>
    </row>
    <row r="16" spans="1:9" ht="20.25">
      <c r="A16" s="80" t="s">
        <v>4</v>
      </c>
      <c r="B16" s="76"/>
      <c r="C16" s="4"/>
    </row>
    <row r="17" spans="1:3" s="85" customFormat="1" ht="14.25" customHeight="1">
      <c r="A17" s="81" t="s">
        <v>5</v>
      </c>
      <c r="B17" s="83"/>
      <c r="C17" s="84"/>
    </row>
    <row r="18" spans="1:3" s="85" customFormat="1">
      <c r="A18" s="415" t="s">
        <v>6</v>
      </c>
      <c r="B18" s="415"/>
      <c r="C18" s="415"/>
    </row>
    <row r="19" spans="1:3" s="85" customFormat="1" ht="14.25" customHeight="1">
      <c r="A19" s="81"/>
      <c r="B19" s="83"/>
      <c r="C19" s="84"/>
    </row>
    <row r="20" spans="1:3" ht="15" hidden="1">
      <c r="A20" s="81" t="s">
        <v>7</v>
      </c>
      <c r="B20" s="5"/>
      <c r="C20" s="6"/>
    </row>
    <row r="21" spans="1:3" hidden="1">
      <c r="A21" s="411" t="s">
        <v>8</v>
      </c>
      <c r="B21" s="411"/>
      <c r="C21" s="411"/>
    </row>
    <row r="23" spans="1:3" ht="15" hidden="1">
      <c r="A23" s="81" t="s">
        <v>9</v>
      </c>
      <c r="B23" s="5"/>
      <c r="C23" s="6"/>
    </row>
    <row r="24" spans="1:3" hidden="1">
      <c r="A24" s="411" t="s">
        <v>10</v>
      </c>
      <c r="B24" s="411"/>
      <c r="C24" s="411"/>
    </row>
    <row r="25" spans="1:3" hidden="1">
      <c r="A25" s="6"/>
      <c r="B25" s="6"/>
      <c r="C25" s="6"/>
    </row>
    <row r="26" spans="1:3" ht="15">
      <c r="A26" s="81" t="s">
        <v>11</v>
      </c>
      <c r="B26" s="5"/>
      <c r="C26" s="6"/>
    </row>
    <row r="27" spans="1:3">
      <c r="A27" s="411" t="s">
        <v>12</v>
      </c>
      <c r="B27" s="411"/>
      <c r="C27" s="411"/>
    </row>
    <row r="28" spans="1:3">
      <c r="A28" s="6"/>
      <c r="B28" s="6"/>
      <c r="C28" s="6"/>
    </row>
    <row r="29" spans="1:3" ht="15" hidden="1">
      <c r="A29" s="81" t="s">
        <v>13</v>
      </c>
      <c r="B29" s="5"/>
      <c r="C29" s="6"/>
    </row>
    <row r="30" spans="1:3" hidden="1">
      <c r="A30" s="411" t="s">
        <v>14</v>
      </c>
      <c r="B30" s="411"/>
      <c r="C30" s="411"/>
    </row>
    <row r="31" spans="1:3" hidden="1">
      <c r="A31" s="6"/>
      <c r="B31" s="6"/>
      <c r="C31" s="6"/>
    </row>
    <row r="32" spans="1:3" ht="15">
      <c r="A32" s="81" t="s">
        <v>15</v>
      </c>
      <c r="B32" s="5"/>
      <c r="C32" s="6"/>
    </row>
    <row r="33" spans="1:3">
      <c r="A33" s="411" t="s">
        <v>16</v>
      </c>
      <c r="B33" s="411"/>
      <c r="C33" s="411"/>
    </row>
    <row r="34" spans="1:3">
      <c r="A34" s="6"/>
      <c r="B34" s="6"/>
      <c r="C34" s="6"/>
    </row>
    <row r="35" spans="1:3" ht="15">
      <c r="A35" s="81" t="s">
        <v>17</v>
      </c>
      <c r="B35" s="5"/>
      <c r="C35" s="6"/>
    </row>
    <row r="36" spans="1:3">
      <c r="A36" s="411" t="s">
        <v>18</v>
      </c>
      <c r="B36" s="411"/>
      <c r="C36" s="411"/>
    </row>
    <row r="37" spans="1:3">
      <c r="A37" s="6"/>
      <c r="B37" s="6"/>
      <c r="C37" s="6"/>
    </row>
    <row r="38" spans="1:3" ht="15">
      <c r="A38" s="81" t="s">
        <v>21</v>
      </c>
      <c r="B38" s="5"/>
      <c r="C38" s="6"/>
    </row>
    <row r="39" spans="1:3">
      <c r="A39" s="411" t="s">
        <v>22</v>
      </c>
      <c r="B39" s="411"/>
      <c r="C39" s="411"/>
    </row>
    <row r="40" spans="1:3">
      <c r="A40" s="6"/>
      <c r="B40" s="6"/>
      <c r="C40" s="6"/>
    </row>
    <row r="41" spans="1:3" ht="15">
      <c r="A41" s="81" t="s">
        <v>19</v>
      </c>
      <c r="B41" s="5"/>
      <c r="C41" s="6"/>
    </row>
    <row r="42" spans="1:3">
      <c r="A42" s="411" t="s">
        <v>20</v>
      </c>
      <c r="B42" s="411"/>
      <c r="C42" s="411"/>
    </row>
    <row r="43" spans="1:3">
      <c r="A43" s="6"/>
      <c r="B43" s="6"/>
      <c r="C43" s="6"/>
    </row>
    <row r="44" spans="1:3" ht="15">
      <c r="A44" s="81" t="s">
        <v>25</v>
      </c>
      <c r="B44" s="5"/>
      <c r="C44" s="6"/>
    </row>
    <row r="45" spans="1:3">
      <c r="A45" s="411" t="s">
        <v>26</v>
      </c>
      <c r="B45" s="411"/>
      <c r="C45" s="411"/>
    </row>
    <row r="46" spans="1:3" ht="14.25" customHeight="1">
      <c r="A46" s="6"/>
      <c r="B46" s="6"/>
      <c r="C46" s="6"/>
    </row>
    <row r="47" spans="1:3" ht="15">
      <c r="A47" s="81" t="s">
        <v>23</v>
      </c>
      <c r="B47" s="5"/>
      <c r="C47" s="6"/>
    </row>
    <row r="48" spans="1:3">
      <c r="A48" s="411" t="s">
        <v>24</v>
      </c>
      <c r="B48" s="411"/>
      <c r="C48" s="411"/>
    </row>
    <row r="49" spans="1:3">
      <c r="A49" s="6"/>
      <c r="B49" s="6"/>
      <c r="C49" s="6"/>
    </row>
    <row r="50" spans="1:3" ht="15">
      <c r="A50" s="81" t="s">
        <v>495</v>
      </c>
      <c r="B50" s="5"/>
      <c r="C50" s="6"/>
    </row>
    <row r="51" spans="1:3">
      <c r="A51" s="411" t="s">
        <v>502</v>
      </c>
      <c r="B51" s="411"/>
      <c r="C51" s="411"/>
    </row>
    <row r="52" spans="1:3">
      <c r="A52" s="6"/>
      <c r="B52" s="6"/>
      <c r="C52" s="6"/>
    </row>
    <row r="53" spans="1:3" ht="15">
      <c r="A53" s="81" t="s">
        <v>27</v>
      </c>
      <c r="B53" s="5"/>
      <c r="C53" s="6"/>
    </row>
    <row r="54" spans="1:3">
      <c r="A54" s="411" t="s">
        <v>28</v>
      </c>
      <c r="B54" s="411"/>
      <c r="C54" s="411"/>
    </row>
    <row r="55" spans="1:3">
      <c r="A55" s="6"/>
      <c r="B55" s="6"/>
      <c r="C55" s="6"/>
    </row>
    <row r="56" spans="1:3">
      <c r="A56" s="6"/>
      <c r="B56" s="6"/>
      <c r="C56" s="6"/>
    </row>
    <row r="57" spans="1:3" ht="28.5" customHeight="1">
      <c r="A57" s="6"/>
      <c r="B57" s="6"/>
      <c r="C57" s="6"/>
    </row>
    <row r="58" spans="1:3" ht="15">
      <c r="A58" s="81"/>
      <c r="B58" s="5"/>
      <c r="C58" s="6"/>
    </row>
    <row r="59" spans="1:3">
      <c r="A59" s="411"/>
      <c r="B59" s="411"/>
      <c r="C59" s="411"/>
    </row>
    <row r="60" spans="1:3">
      <c r="A60" s="6"/>
      <c r="B60" s="6"/>
      <c r="C60" s="6"/>
    </row>
    <row r="61" spans="1:3" ht="15">
      <c r="A61" s="81"/>
      <c r="B61" s="5"/>
      <c r="C61" s="6"/>
    </row>
    <row r="62" spans="1:3">
      <c r="A62" s="411"/>
      <c r="B62" s="411"/>
      <c r="C62" s="411"/>
    </row>
    <row r="63" spans="1:3" ht="15" hidden="1">
      <c r="A63" s="4"/>
      <c r="B63" s="4"/>
      <c r="C63" s="4"/>
    </row>
    <row r="64" spans="1:3" ht="15" hidden="1">
      <c r="A64" s="81"/>
      <c r="B64" s="5"/>
      <c r="C64" s="6"/>
    </row>
    <row r="65" spans="1:3" hidden="1">
      <c r="A65" s="411" t="s">
        <v>20</v>
      </c>
      <c r="B65" s="411"/>
      <c r="C65" s="411"/>
    </row>
  </sheetData>
  <sheetProtection algorithmName="SHA-512" hashValue="mYCAVnAy2LF12fE2JzET51zUySfQObXU3SpeGJQ23AYuAgHeaSdOW3CL+56Ic2lc3zydbna2R2mVkW8Uq+bbAw==" saltValue="gc8MaROpyxGm0ek9NyeVOQ==" spinCount="100000" sheet="1" objects="1" scenarios="1"/>
  <mergeCells count="20">
    <mergeCell ref="A65:C65"/>
    <mergeCell ref="A42:C42"/>
    <mergeCell ref="A54:C54"/>
    <mergeCell ref="A48:C48"/>
    <mergeCell ref="A51:C51"/>
    <mergeCell ref="B1:C6"/>
    <mergeCell ref="A62:C62"/>
    <mergeCell ref="A13:B13"/>
    <mergeCell ref="A14:B14"/>
    <mergeCell ref="A21:C21"/>
    <mergeCell ref="A36:C36"/>
    <mergeCell ref="A59:C59"/>
    <mergeCell ref="A24:C24"/>
    <mergeCell ref="A30:C30"/>
    <mergeCell ref="A33:C33"/>
    <mergeCell ref="A8:C10"/>
    <mergeCell ref="A18:C18"/>
    <mergeCell ref="A39:C39"/>
    <mergeCell ref="A45:C45"/>
    <mergeCell ref="A27:C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6629-2BE8-4BB1-837F-FF6A6C75EBE2}">
  <sheetPr codeName="Sheet11">
    <tabColor rgb="FF005CB8"/>
  </sheetPr>
  <dimension ref="B2:K12"/>
  <sheetViews>
    <sheetView showGridLines="0" zoomScale="90" zoomScaleNormal="90" workbookViewId="0">
      <selection activeCell="C20" sqref="C20"/>
    </sheetView>
  </sheetViews>
  <sheetFormatPr defaultColWidth="9" defaultRowHeight="14.25"/>
  <cols>
    <col min="1" max="1" width="9" style="204"/>
    <col min="2" max="2" width="28" style="204" customWidth="1"/>
    <col min="3" max="3" width="29.625" style="204" customWidth="1"/>
    <col min="4" max="4" width="20.25" style="204" customWidth="1"/>
    <col min="5" max="5" width="18.375" style="204" customWidth="1"/>
    <col min="6" max="6" width="15.625" style="204" customWidth="1"/>
    <col min="7" max="7" width="55.125" style="204" customWidth="1"/>
    <col min="8" max="8" width="18" style="204" customWidth="1"/>
    <col min="9" max="9" width="23.25" style="204" customWidth="1"/>
    <col min="10" max="10" width="14.5" style="204" hidden="1" customWidth="1"/>
    <col min="11" max="11" width="11.5" style="204" hidden="1" customWidth="1"/>
    <col min="12" max="16384" width="9" style="204"/>
  </cols>
  <sheetData>
    <row r="2" spans="2:11" ht="18">
      <c r="B2" s="371" t="s">
        <v>25</v>
      </c>
      <c r="C2" s="302"/>
      <c r="D2" s="302"/>
      <c r="E2" s="302"/>
      <c r="F2" s="302"/>
    </row>
    <row r="3" spans="2:11" ht="14.25" customHeight="1">
      <c r="B3" s="444" t="s">
        <v>499</v>
      </c>
      <c r="C3" s="444"/>
      <c r="D3" s="444"/>
      <c r="E3" s="444"/>
      <c r="F3" s="444"/>
      <c r="G3" s="444"/>
    </row>
    <row r="4" spans="2:11">
      <c r="B4" s="444"/>
      <c r="C4" s="444"/>
      <c r="D4" s="444"/>
      <c r="E4" s="444"/>
      <c r="F4" s="444"/>
      <c r="G4" s="444"/>
    </row>
    <row r="5" spans="2:11" ht="15" thickBot="1">
      <c r="B5" s="209"/>
      <c r="C5" s="209"/>
      <c r="D5" s="209"/>
      <c r="E5" s="209"/>
      <c r="F5" s="209"/>
    </row>
    <row r="6" spans="2:11" ht="48" customHeight="1">
      <c r="B6" s="363" t="s">
        <v>58</v>
      </c>
      <c r="C6" s="364" t="s">
        <v>57</v>
      </c>
      <c r="D6" s="364" t="s">
        <v>53</v>
      </c>
      <c r="E6" s="364" t="s">
        <v>54</v>
      </c>
      <c r="F6" s="364" t="s">
        <v>65</v>
      </c>
      <c r="G6" s="364" t="s">
        <v>461</v>
      </c>
      <c r="H6" s="364" t="s">
        <v>83</v>
      </c>
      <c r="I6" s="365" t="s">
        <v>56</v>
      </c>
      <c r="J6" s="368" t="s">
        <v>60</v>
      </c>
      <c r="K6" s="362" t="s">
        <v>490</v>
      </c>
    </row>
    <row r="7" spans="2:11" ht="14.25" customHeight="1" thickBot="1">
      <c r="B7" s="366" t="str">
        <f>IF(H7="","",$H$7*VLOOKUP($G$7,'Lookup Tables'!$C$138:$H$141,5,FALSE))</f>
        <v/>
      </c>
      <c r="C7" s="367" t="str">
        <f>IF(H7="","",$H$7*VLOOKUP($G$7,'Lookup Tables'!$C$138:$H$141,4,FALSE))</f>
        <v/>
      </c>
      <c r="D7" s="374"/>
      <c r="E7" s="374"/>
      <c r="F7" s="374"/>
      <c r="G7" s="375"/>
      <c r="H7" s="376"/>
      <c r="I7" s="377"/>
      <c r="J7" s="373" t="str">
        <f>IF(OR($H$7="",I7=""),"",MIN($H$7*'Lookup Tables'!$D$135,I7))</f>
        <v/>
      </c>
      <c r="K7" s="378" t="str">
        <f>IF(H7="","",$H$7*VLOOKUP($G$7,'Lookup Tables'!$C$138:$H$141,6,FALSE))</f>
        <v/>
      </c>
    </row>
    <row r="8" spans="2:11">
      <c r="B8" s="209"/>
      <c r="C8" s="209"/>
      <c r="D8" s="209"/>
      <c r="E8" s="209"/>
    </row>
    <row r="12" spans="2:11" ht="14.25" customHeight="1"/>
  </sheetData>
  <sheetProtection algorithmName="SHA-512" hashValue="uPbXxmh5IcArBWHZYQnJuEElosk/UWVSHMgxskeaFqDJzmrp6vFK9z2mxo10qIDZsJhQWIt+MRA0cMwlFuvIOA==" saltValue="mwycsXQfJN57Xtmp3jWkMg==" spinCount="100000" sheet="1" objects="1" scenarios="1"/>
  <mergeCells count="1">
    <mergeCell ref="B3:G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2262409-B9F1-462B-8187-3A9843FA033F}">
          <x14:formula1>
            <xm:f>'Lookup Tables'!$C$138:$C$141</xm:f>
          </x14:formula1>
          <xm:sqref>G7</xm:sqref>
        </x14:dataValidation>
        <x14:dataValidation type="list" allowBlank="1" showInputMessage="1" showErrorMessage="1" xr:uid="{28F9A39E-9E3B-4897-A0C7-D388113BADA0}">
          <x14:formula1>
            <xm:f>'Lookup Tables'!$F$220:$F$234</xm:f>
          </x14:formula1>
          <xm:sqref>F7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BC3A3-A2F9-445D-ADF6-B5FE06CB5796}">
  <sheetPr codeName="Sheet12">
    <tabColor rgb="FF005CB8"/>
  </sheetPr>
  <dimension ref="A2:O30"/>
  <sheetViews>
    <sheetView showGridLines="0" zoomScale="90" zoomScaleNormal="90" workbookViewId="0">
      <selection activeCell="C20" sqref="C20"/>
    </sheetView>
  </sheetViews>
  <sheetFormatPr defaultColWidth="9" defaultRowHeight="14.25"/>
  <cols>
    <col min="1" max="1" width="9" style="204"/>
    <col min="2" max="2" width="14.375" style="204" customWidth="1"/>
    <col min="3" max="3" width="18.75" style="204" customWidth="1"/>
    <col min="4" max="4" width="14.375" style="204" customWidth="1"/>
    <col min="5" max="5" width="33.25" style="204" customWidth="1"/>
    <col min="6" max="6" width="9.375" style="204" customWidth="1"/>
    <col min="7" max="7" width="19.75" style="204" customWidth="1"/>
    <col min="8" max="8" width="10.5" style="204" customWidth="1"/>
    <col min="9" max="9" width="8.125" style="204" hidden="1" customWidth="1"/>
    <col min="10" max="10" width="11" style="204" hidden="1" customWidth="1"/>
    <col min="11" max="11" width="12.5" style="204" customWidth="1"/>
    <col min="12" max="12" width="10.875" style="204" customWidth="1"/>
    <col min="13" max="13" width="10.125" style="204" customWidth="1"/>
    <col min="14" max="15" width="9" style="204" hidden="1" customWidth="1"/>
    <col min="16" max="16384" width="9" style="204"/>
  </cols>
  <sheetData>
    <row r="2" spans="2:15" ht="21" customHeight="1">
      <c r="B2" s="206" t="s">
        <v>23</v>
      </c>
      <c r="C2" s="207"/>
      <c r="D2" s="207"/>
    </row>
    <row r="3" spans="2:15" ht="13.5" customHeight="1">
      <c r="B3" s="443" t="s">
        <v>501</v>
      </c>
      <c r="C3" s="443"/>
      <c r="D3" s="443"/>
      <c r="E3" s="443"/>
      <c r="F3" s="443"/>
      <c r="G3" s="208"/>
      <c r="H3" s="208"/>
      <c r="I3" s="208"/>
    </row>
    <row r="4" spans="2:15">
      <c r="B4" s="443"/>
      <c r="C4" s="443"/>
      <c r="D4" s="443"/>
      <c r="E4" s="443"/>
      <c r="F4" s="443"/>
      <c r="G4" s="208"/>
      <c r="H4" s="208"/>
      <c r="I4" s="208"/>
    </row>
    <row r="5" spans="2:15" ht="14.25" customHeight="1">
      <c r="B5" s="443"/>
      <c r="C5" s="443"/>
      <c r="D5" s="443"/>
      <c r="E5" s="443"/>
      <c r="F5" s="443"/>
      <c r="G5" s="209"/>
      <c r="H5" s="209"/>
      <c r="I5" s="209"/>
    </row>
    <row r="6" spans="2:15" ht="18.75" customHeight="1">
      <c r="B6" s="443"/>
      <c r="C6" s="443"/>
      <c r="D6" s="443"/>
      <c r="E6" s="443"/>
      <c r="F6" s="443"/>
    </row>
    <row r="7" spans="2:15" ht="16.5" hidden="1" customHeight="1" thickBot="1">
      <c r="B7" s="210" t="s">
        <v>35</v>
      </c>
      <c r="C7" s="211" t="str">
        <f>IF(Summary!C5="","",Summary!C5)</f>
        <v/>
      </c>
      <c r="D7" s="212"/>
      <c r="E7" s="213"/>
      <c r="F7" s="214"/>
      <c r="L7" s="215" t="s">
        <v>59</v>
      </c>
      <c r="M7" s="216"/>
      <c r="N7" s="216"/>
    </row>
    <row r="8" spans="2:15" ht="36" hidden="1" customHeight="1">
      <c r="B8" s="217" t="s">
        <v>36</v>
      </c>
      <c r="C8" s="218" t="str">
        <f>IF(Summary!C7="","",Summary!C7)</f>
        <v/>
      </c>
      <c r="D8" s="219"/>
      <c r="E8" s="220"/>
      <c r="F8" s="221"/>
      <c r="L8" s="222" t="s">
        <v>57</v>
      </c>
      <c r="M8" s="223" t="s">
        <v>58</v>
      </c>
      <c r="N8" s="224" t="s">
        <v>60</v>
      </c>
      <c r="O8" s="224" t="s">
        <v>490</v>
      </c>
    </row>
    <row r="9" spans="2:15" ht="15" hidden="1" thickBot="1">
      <c r="B9" s="217" t="s">
        <v>38</v>
      </c>
      <c r="C9" s="218" t="str">
        <f>IF(Summary!C8="","",Summary!C8)</f>
        <v/>
      </c>
      <c r="D9" s="219"/>
      <c r="E9" s="220"/>
      <c r="F9" s="221"/>
      <c r="L9" s="225" t="str">
        <f>IFERROR(IF(SUM(D15:D24)=0,"",SUM(D15:D24)),"")</f>
        <v/>
      </c>
      <c r="M9" s="226" t="str">
        <f>IFERROR(IF(SUM(C15:C24)=0,"",SUM(C15:C24)),"")</f>
        <v/>
      </c>
      <c r="N9" s="227" t="str">
        <f>IFERROR(IF(SUM(N15:N24)=0,"",SUM(N15:N24)),"")</f>
        <v/>
      </c>
      <c r="O9" s="263" t="str">
        <f>IFERROR(IF(SUM(O15:O24)=0,"",SUM(O15:O24)),"")</f>
        <v/>
      </c>
    </row>
    <row r="10" spans="2:15" ht="15" hidden="1" thickBot="1">
      <c r="B10" s="228" t="s">
        <v>52</v>
      </c>
      <c r="C10" s="229"/>
      <c r="D10" s="229"/>
      <c r="E10" s="230"/>
      <c r="F10" s="221"/>
      <c r="G10" s="221"/>
      <c r="H10" s="231"/>
      <c r="I10" s="231"/>
      <c r="J10" s="231"/>
      <c r="K10" s="231"/>
      <c r="L10" s="231"/>
      <c r="M10" s="231"/>
    </row>
    <row r="11" spans="2:15" hidden="1">
      <c r="B11" s="231"/>
      <c r="C11" s="231"/>
      <c r="D11" s="231"/>
      <c r="E11" s="232"/>
      <c r="F11" s="435"/>
      <c r="G11" s="435"/>
      <c r="H11" s="435"/>
      <c r="I11" s="233"/>
      <c r="J11" s="231"/>
      <c r="K11" s="231"/>
      <c r="L11" s="231"/>
      <c r="M11" s="231"/>
    </row>
    <row r="12" spans="2:15" hidden="1">
      <c r="B12" s="231"/>
      <c r="C12" s="231"/>
      <c r="D12" s="231"/>
      <c r="E12" s="231"/>
      <c r="F12" s="231"/>
      <c r="G12" s="231"/>
      <c r="H12" s="231"/>
      <c r="I12" s="231"/>
      <c r="J12" s="231"/>
      <c r="K12" s="231"/>
      <c r="L12" s="231"/>
      <c r="M12" s="231"/>
    </row>
    <row r="13" spans="2:15" ht="14.25" customHeight="1" thickBot="1">
      <c r="B13" s="231"/>
      <c r="C13" s="231"/>
      <c r="D13" s="231"/>
      <c r="E13" s="231"/>
      <c r="F13" s="231"/>
      <c r="G13" s="231"/>
      <c r="H13" s="231"/>
      <c r="I13" s="231"/>
      <c r="J13" s="231"/>
      <c r="K13" s="231"/>
      <c r="L13" s="231"/>
      <c r="M13" s="231"/>
    </row>
    <row r="14" spans="2:15" ht="48" customHeight="1">
      <c r="B14" s="238" t="s">
        <v>62</v>
      </c>
      <c r="C14" s="239" t="s">
        <v>58</v>
      </c>
      <c r="D14" s="239" t="s">
        <v>57</v>
      </c>
      <c r="E14" s="240" t="s">
        <v>53</v>
      </c>
      <c r="F14" s="240" t="s">
        <v>54</v>
      </c>
      <c r="G14" s="239" t="s">
        <v>498</v>
      </c>
      <c r="H14" s="239" t="s">
        <v>84</v>
      </c>
      <c r="I14" s="239" t="s">
        <v>85</v>
      </c>
      <c r="J14" s="239" t="s">
        <v>86</v>
      </c>
      <c r="K14" s="239" t="s">
        <v>87</v>
      </c>
      <c r="L14" s="239" t="s">
        <v>64</v>
      </c>
      <c r="M14" s="241" t="s">
        <v>70</v>
      </c>
      <c r="N14" s="224" t="s">
        <v>60</v>
      </c>
      <c r="O14" s="234" t="s">
        <v>345</v>
      </c>
    </row>
    <row r="15" spans="2:15">
      <c r="B15" s="242">
        <v>1</v>
      </c>
      <c r="C15" s="312" t="str">
        <f t="shared" ref="C15:C24" si="0">IF(D15="","",D15*0.0001149)</f>
        <v/>
      </c>
      <c r="D15" s="244" t="str" cm="1">
        <f t="array" ref="D15">IF(L15="","",(ROUND(L15*I15*0.473/24*1632*INDEX('Lookup Tables'!$F$124:$F$127,MATCH('Dehumidifier '!J15,'Lookup Tables'!$B$124:$B$127,0),0),2)))</f>
        <v/>
      </c>
      <c r="E15" s="245"/>
      <c r="F15" s="246"/>
      <c r="G15" s="246"/>
      <c r="H15" s="381"/>
      <c r="I15" s="247">
        <v>20</v>
      </c>
      <c r="J15" s="405" t="str">
        <f>IF(G15="Unknown","Unknown",IF(AND(H15&gt;0,H15&lt;25.1),"Small",IF(AND(H15&gt;25,H15&lt;50.1),"Medium",IF(H15&gt;50,"Large",""))))</f>
        <v/>
      </c>
      <c r="K15" s="246"/>
      <c r="L15" s="248"/>
      <c r="M15" s="249"/>
      <c r="N15" s="236" t="str">
        <f>IF(OR(L15="",M15=""),"",MIN(L15*'Lookup Tables'!$H$120,M15))</f>
        <v/>
      </c>
      <c r="O15" s="235" t="e">
        <f t="shared" ref="O15:O24" si="1">D15*0.0001474</f>
        <v>#VALUE!</v>
      </c>
    </row>
    <row r="16" spans="2:15">
      <c r="B16" s="242">
        <v>2</v>
      </c>
      <c r="C16" s="312" t="str">
        <f t="shared" si="0"/>
        <v/>
      </c>
      <c r="D16" s="244" t="str" cm="1">
        <f t="array" ref="D16">IF(L16="","",(ROUND(L16*I16*0.473/24*1632*INDEX('Lookup Tables'!$F$124:$F$127,MATCH('Dehumidifier '!J16,'Lookup Tables'!$B$124:$B$127,0),0),2)))</f>
        <v/>
      </c>
      <c r="E16" s="245"/>
      <c r="F16" s="246"/>
      <c r="G16" s="246"/>
      <c r="H16" s="381"/>
      <c r="I16" s="247">
        <v>56</v>
      </c>
      <c r="J16" s="405" t="str">
        <f t="shared" ref="J16:J24" si="2">IF(G16="Unknown","Unknown",IF(AND(H16&gt;0,H16&lt;25.1),"Small",IF(AND(H16&gt;25,H16&lt;50.1),"Medium",IF(H16&gt;50,"Large",""))))</f>
        <v/>
      </c>
      <c r="K16" s="246"/>
      <c r="L16" s="248"/>
      <c r="M16" s="249"/>
      <c r="N16" s="236" t="str">
        <f>IF(OR(L16="",M16=""),"",MIN(L16*'Lookup Tables'!$H$120,M16))</f>
        <v/>
      </c>
      <c r="O16" s="235" t="e">
        <f t="shared" si="1"/>
        <v>#VALUE!</v>
      </c>
    </row>
    <row r="17" spans="1:15">
      <c r="B17" s="242">
        <v>3</v>
      </c>
      <c r="C17" s="312" t="str">
        <f t="shared" si="0"/>
        <v/>
      </c>
      <c r="D17" s="244" t="str" cm="1">
        <f t="array" ref="D17">IF(L17="","",(ROUND(L17*I17*0.473/24*1632*INDEX('Lookup Tables'!$F$124:$F$127,MATCH('Dehumidifier '!J17,'Lookup Tables'!$B$124:$B$127,0),0),2)))</f>
        <v/>
      </c>
      <c r="E17" s="245"/>
      <c r="F17" s="246"/>
      <c r="G17" s="246"/>
      <c r="H17" s="381"/>
      <c r="I17" s="247">
        <v>56</v>
      </c>
      <c r="J17" s="405" t="str">
        <f t="shared" si="2"/>
        <v/>
      </c>
      <c r="K17" s="246"/>
      <c r="L17" s="248"/>
      <c r="M17" s="249"/>
      <c r="N17" s="236" t="str">
        <f>IF(OR(L17="",M17=""),"",MIN(L17*'Lookup Tables'!$H$120,M17))</f>
        <v/>
      </c>
      <c r="O17" s="235" t="e">
        <f t="shared" si="1"/>
        <v>#VALUE!</v>
      </c>
    </row>
    <row r="18" spans="1:15">
      <c r="B18" s="242">
        <v>4</v>
      </c>
      <c r="C18" s="312" t="str">
        <f t="shared" si="0"/>
        <v/>
      </c>
      <c r="D18" s="244" t="str" cm="1">
        <f t="array" ref="D18">IF(L18="","",(ROUND(L18*I18*0.473/24*1632*INDEX('Lookup Tables'!$F$124:$F$127,MATCH('Dehumidifier '!J18,'Lookup Tables'!$B$124:$B$127,0),0),2)))</f>
        <v/>
      </c>
      <c r="E18" s="245"/>
      <c r="F18" s="246"/>
      <c r="G18" s="246"/>
      <c r="H18" s="381"/>
      <c r="I18" s="247">
        <v>30</v>
      </c>
      <c r="J18" s="405" t="str">
        <f t="shared" si="2"/>
        <v/>
      </c>
      <c r="K18" s="246"/>
      <c r="L18" s="248"/>
      <c r="M18" s="249"/>
      <c r="N18" s="236" t="str">
        <f>IF(OR(L18="",M18=""),"",MIN(L18*'Lookup Tables'!$H$120,M18))</f>
        <v/>
      </c>
      <c r="O18" s="235" t="e">
        <f t="shared" si="1"/>
        <v>#VALUE!</v>
      </c>
    </row>
    <row r="19" spans="1:15">
      <c r="B19" s="242">
        <v>5</v>
      </c>
      <c r="C19" s="312" t="str">
        <f t="shared" si="0"/>
        <v/>
      </c>
      <c r="D19" s="244" t="str" cm="1">
        <f t="array" ref="D19">IF(L19="","",(ROUND(L19*I19*0.473/24*1632*INDEX('Lookup Tables'!$F$124:$F$127,MATCH('Dehumidifier '!J19,'Lookup Tables'!$B$124:$B$127,0),0),2)))</f>
        <v/>
      </c>
      <c r="E19" s="245"/>
      <c r="F19" s="246"/>
      <c r="G19" s="246"/>
      <c r="H19" s="381"/>
      <c r="I19" s="247">
        <v>40</v>
      </c>
      <c r="J19" s="405" t="str">
        <f t="shared" si="2"/>
        <v/>
      </c>
      <c r="K19" s="246"/>
      <c r="L19" s="248"/>
      <c r="M19" s="249"/>
      <c r="N19" s="236" t="str">
        <f>IF(OR(L19="",M19=""),"",MIN(L19*'Lookup Tables'!$H$120,M19))</f>
        <v/>
      </c>
      <c r="O19" s="235" t="e">
        <f t="shared" si="1"/>
        <v>#VALUE!</v>
      </c>
    </row>
    <row r="20" spans="1:15">
      <c r="B20" s="242">
        <v>6</v>
      </c>
      <c r="C20" s="312" t="str">
        <f t="shared" si="0"/>
        <v/>
      </c>
      <c r="D20" s="244" t="str" cm="1">
        <f t="array" ref="D20">IF(L20="","",(ROUND(L20*I20*0.473/24*1632*INDEX('Lookup Tables'!$F$124:$F$127,MATCH('Dehumidifier '!J20,'Lookup Tables'!$B$124:$B$127,0),0),2)))</f>
        <v/>
      </c>
      <c r="E20" s="245"/>
      <c r="F20" s="246"/>
      <c r="G20" s="246"/>
      <c r="H20" s="381"/>
      <c r="I20" s="247">
        <v>50</v>
      </c>
      <c r="J20" s="405" t="str">
        <f t="shared" si="2"/>
        <v/>
      </c>
      <c r="K20" s="246"/>
      <c r="L20" s="248"/>
      <c r="M20" s="249"/>
      <c r="N20" s="236" t="str">
        <f>IF(OR(L20="",M20=""),"",MIN(L20*'Lookup Tables'!$H$120,M20))</f>
        <v/>
      </c>
      <c r="O20" s="235" t="e">
        <f t="shared" si="1"/>
        <v>#VALUE!</v>
      </c>
    </row>
    <row r="21" spans="1:15">
      <c r="B21" s="242">
        <v>7</v>
      </c>
      <c r="C21" s="312" t="str">
        <f t="shared" si="0"/>
        <v/>
      </c>
      <c r="D21" s="244" t="str" cm="1">
        <f t="array" ref="D21">IF(L21="","",(ROUND(L21*I21*0.473/24*1632*INDEX('Lookup Tables'!$F$124:$F$127,MATCH('Dehumidifier '!J21,'Lookup Tables'!$B$124:$B$127,0),0),2)))</f>
        <v/>
      </c>
      <c r="E21" s="245"/>
      <c r="F21" s="246"/>
      <c r="G21" s="246"/>
      <c r="H21" s="381"/>
      <c r="I21" s="247">
        <v>60</v>
      </c>
      <c r="J21" s="405" t="str">
        <f t="shared" si="2"/>
        <v/>
      </c>
      <c r="K21" s="246"/>
      <c r="L21" s="248"/>
      <c r="M21" s="249"/>
      <c r="N21" s="236" t="str">
        <f>IF(OR(L21="",M21=""),"",MIN(L21*'Lookup Tables'!$H$120,M21))</f>
        <v/>
      </c>
      <c r="O21" s="235" t="e">
        <f t="shared" si="1"/>
        <v>#VALUE!</v>
      </c>
    </row>
    <row r="22" spans="1:15">
      <c r="B22" s="242">
        <v>8</v>
      </c>
      <c r="C22" s="312" t="str">
        <f t="shared" si="0"/>
        <v/>
      </c>
      <c r="D22" s="244" t="str" cm="1">
        <f t="array" ref="D22">IF(L22="","",(ROUND(L22*I22*0.473/24*1632*INDEX('Lookup Tables'!$F$124:$F$127,MATCH('Dehumidifier '!J22,'Lookup Tables'!$B$124:$B$127,0),0),2)))</f>
        <v/>
      </c>
      <c r="E22" s="245"/>
      <c r="F22" s="246"/>
      <c r="G22" s="246"/>
      <c r="H22" s="381"/>
      <c r="I22" s="247">
        <v>70</v>
      </c>
      <c r="J22" s="405" t="str">
        <f t="shared" si="2"/>
        <v/>
      </c>
      <c r="K22" s="246"/>
      <c r="L22" s="248"/>
      <c r="M22" s="249"/>
      <c r="N22" s="236" t="str">
        <f>IF(OR(L22="",M22=""),"",MIN(L22*'Lookup Tables'!$H$120,M22))</f>
        <v/>
      </c>
      <c r="O22" s="235" t="e">
        <f t="shared" si="1"/>
        <v>#VALUE!</v>
      </c>
    </row>
    <row r="23" spans="1:15">
      <c r="B23" s="242">
        <v>9</v>
      </c>
      <c r="C23" s="312" t="str">
        <f t="shared" si="0"/>
        <v/>
      </c>
      <c r="D23" s="244" t="str" cm="1">
        <f t="array" ref="D23">IF(L23="","",(ROUND(L23*I23*0.473/24*1632*INDEX('Lookup Tables'!$F$124:$F$127,MATCH('Dehumidifier '!J23,'Lookup Tables'!$B$124:$B$127,0),0),2)))</f>
        <v/>
      </c>
      <c r="E23" s="245"/>
      <c r="F23" s="246"/>
      <c r="G23" s="246"/>
      <c r="H23" s="381"/>
      <c r="I23" s="247">
        <v>50</v>
      </c>
      <c r="J23" s="405" t="str">
        <f t="shared" si="2"/>
        <v/>
      </c>
      <c r="K23" s="246"/>
      <c r="L23" s="248"/>
      <c r="M23" s="249"/>
      <c r="N23" s="236" t="str">
        <f>IF(OR(L23="",M23=""),"",MIN(L23*'Lookup Tables'!$H$120,M23))</f>
        <v/>
      </c>
      <c r="O23" s="235" t="e">
        <f t="shared" si="1"/>
        <v>#VALUE!</v>
      </c>
    </row>
    <row r="24" spans="1:15" ht="15" thickBot="1">
      <c r="B24" s="243">
        <v>10</v>
      </c>
      <c r="C24" s="313" t="str">
        <f t="shared" si="0"/>
        <v/>
      </c>
      <c r="D24" s="250" t="str" cm="1">
        <f t="array" ref="D24">IF(L24="","",(ROUND(L24*I24*0.473/24*1632*INDEX('Lookup Tables'!$F$124:$F$127,MATCH('Dehumidifier '!J24,'Lookup Tables'!$B$124:$B$127,0),0),2)))</f>
        <v/>
      </c>
      <c r="E24" s="251"/>
      <c r="F24" s="252"/>
      <c r="G24" s="252"/>
      <c r="H24" s="382"/>
      <c r="I24" s="253">
        <v>20</v>
      </c>
      <c r="J24" s="406" t="str">
        <f t="shared" si="2"/>
        <v/>
      </c>
      <c r="K24" s="252"/>
      <c r="L24" s="254"/>
      <c r="M24" s="255"/>
      <c r="N24" s="237" t="str">
        <f>IF(OR(L24="",M24=""),"",MIN(L24*'Lookup Tables'!$H$120,M24))</f>
        <v/>
      </c>
      <c r="O24" s="235" t="e">
        <f t="shared" si="1"/>
        <v>#VALUE!</v>
      </c>
    </row>
    <row r="28" spans="1:15" hidden="1">
      <c r="A28" s="204" t="s">
        <v>88</v>
      </c>
    </row>
    <row r="29" spans="1:15" hidden="1">
      <c r="A29" s="204" t="s">
        <v>89</v>
      </c>
    </row>
    <row r="30" spans="1:15" hidden="1">
      <c r="A30" s="204" t="s">
        <v>90</v>
      </c>
    </row>
  </sheetData>
  <sheetProtection algorithmName="SHA-512" hashValue="O3RE2O+eu4ZoBDNt/VyunI1Bau+8vCW1Kr0qFVbY5hsba/vf8miospLNi+z2R9xLC+N+kP31mLPhrqzjYYSiXA==" saltValue="NfGT8UFtozU1QTSUylT+zg==" spinCount="100000" sheet="1" objects="1" scenarios="1"/>
  <mergeCells count="2">
    <mergeCell ref="F11:H11"/>
    <mergeCell ref="B3:F6"/>
  </mergeCells>
  <conditionalFormatting sqref="H15:H24">
    <cfRule type="expression" dxfId="10" priority="1">
      <formula>$G15 = "Unknown"</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10090E8C-E1DD-46A4-BF18-BBBEFE1FD0CD}">
          <x14:formula1>
            <xm:f>'Lookup Tables'!$C$5:$C$7</xm:f>
          </x14:formula1>
          <xm:sqref>F11:H11</xm:sqref>
        </x14:dataValidation>
        <x14:dataValidation type="list" allowBlank="1" showInputMessage="1" showErrorMessage="1" xr:uid="{68AF23AE-2135-48C9-A103-D91A439C78AC}">
          <x14:formula1>
            <xm:f>'Lookup Tables'!$C$120:$C$121</xm:f>
          </x14:formula1>
          <xm:sqref>G15:G24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647E-28E3-4847-8A7E-E64C4028ADC9}">
  <sheetPr>
    <tabColor rgb="FF005CB8"/>
  </sheetPr>
  <dimension ref="B2:K6"/>
  <sheetViews>
    <sheetView showGridLines="0" zoomScaleNormal="100" workbookViewId="0">
      <selection activeCell="D6" sqref="D6"/>
    </sheetView>
  </sheetViews>
  <sheetFormatPr defaultColWidth="9" defaultRowHeight="14.25"/>
  <cols>
    <col min="1" max="1" width="9" style="204"/>
    <col min="2" max="2" width="29.875" style="204" customWidth="1"/>
    <col min="3" max="3" width="27" style="204" customWidth="1"/>
    <col min="4" max="4" width="10.375" style="204" customWidth="1"/>
    <col min="5" max="5" width="29.25" style="204" customWidth="1"/>
    <col min="6" max="6" width="35.625" style="204" customWidth="1"/>
    <col min="7" max="7" width="30" style="204" customWidth="1"/>
    <col min="8" max="8" width="16" style="204" customWidth="1"/>
    <col min="9" max="9" width="9" style="204"/>
    <col min="10" max="11" width="9" style="204" hidden="1" customWidth="1"/>
    <col min="12" max="16384" width="9" style="204"/>
  </cols>
  <sheetData>
    <row r="2" spans="2:11" ht="18">
      <c r="B2" s="203" t="s">
        <v>495</v>
      </c>
    </row>
    <row r="3" spans="2:11">
      <c r="B3" s="447" t="s">
        <v>478</v>
      </c>
      <c r="C3" s="447"/>
      <c r="D3" s="447"/>
      <c r="E3" s="447"/>
    </row>
    <row r="4" spans="2:11" ht="15" thickBot="1">
      <c r="B4" s="448"/>
      <c r="C4" s="448"/>
      <c r="D4" s="448"/>
      <c r="E4" s="448"/>
    </row>
    <row r="5" spans="2:11" ht="48" customHeight="1">
      <c r="B5" s="193" t="s">
        <v>58</v>
      </c>
      <c r="C5" s="194" t="s">
        <v>76</v>
      </c>
      <c r="D5" s="194" t="s">
        <v>64</v>
      </c>
      <c r="E5" s="194" t="s">
        <v>481</v>
      </c>
      <c r="F5" s="194" t="s">
        <v>480</v>
      </c>
      <c r="G5" s="194" t="s">
        <v>486</v>
      </c>
      <c r="H5" s="256" t="s">
        <v>42</v>
      </c>
      <c r="J5" s="407" t="s">
        <v>490</v>
      </c>
      <c r="K5" s="256" t="s">
        <v>505</v>
      </c>
    </row>
    <row r="6" spans="2:11" ht="14.25" customHeight="1" thickBot="1">
      <c r="B6" s="403" t="str">
        <f>IF(OR(D6="",E6="",F6="",G6=""),"",'Lookup Tables'!I211)</f>
        <v/>
      </c>
      <c r="C6" s="404" t="str">
        <f>IF(OR(D6="",E6="",F6="",G6=""),"",'Lookup Tables'!H211)</f>
        <v/>
      </c>
      <c r="D6" s="205"/>
      <c r="E6" s="205"/>
      <c r="F6" s="205"/>
      <c r="G6" s="205"/>
      <c r="H6" s="257"/>
      <c r="J6" s="408" t="str">
        <f>IF(D6="","",'Lookup Tables'!J211)</f>
        <v/>
      </c>
      <c r="K6" s="257" t="str">
        <f>IF(OR(D6="",H6=""),"",MIN(D6*'Lookup Tables'!$O$211,H6))</f>
        <v/>
      </c>
    </row>
  </sheetData>
  <sheetProtection algorithmName="SHA-512" hashValue="35A7QeLzHCryu73Lda1uKpoPgg063Slr7OEeq4Hoc1i0y8MSIom6U6DJ3snqNg5mtbX8+rZ4CLOyU2ej+n5Y8g==" saltValue="PHegwG7hIVc9li2kBN40cg==" spinCount="100000" sheet="1" objects="1" scenarios="1"/>
  <mergeCells count="1">
    <mergeCell ref="B3:E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E101138-AF9B-4495-A064-C1DF609A1FFE}">
          <x14:formula1>
            <xm:f>'Lookup Tables'!$L$210:$L$211</xm:f>
          </x14:formula1>
          <xm:sqref>G6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C0507-5A54-44C7-A5D0-7E5F20AB4580}">
  <sheetPr codeName="Sheet13"/>
  <dimension ref="A1:BC64"/>
  <sheetViews>
    <sheetView topLeftCell="A17" workbookViewId="0">
      <selection activeCell="B18" sqref="B18"/>
    </sheetView>
  </sheetViews>
  <sheetFormatPr defaultColWidth="9" defaultRowHeight="14.25"/>
  <cols>
    <col min="1" max="1" width="9" customWidth="1"/>
    <col min="2" max="3" width="28.875" customWidth="1"/>
    <col min="4" max="4" width="9" customWidth="1"/>
    <col min="5" max="5" width="11.125" customWidth="1"/>
    <col min="6" max="10" width="9" customWidth="1"/>
    <col min="11" max="11" width="12.625" customWidth="1"/>
    <col min="12" max="12" width="9" customWidth="1"/>
    <col min="13" max="13" width="10" customWidth="1"/>
    <col min="14" max="14" width="9" customWidth="1"/>
    <col min="15" max="15" width="9.75" customWidth="1"/>
    <col min="16" max="18" width="9" customWidth="1"/>
    <col min="19" max="19" width="9.625" customWidth="1"/>
    <col min="20" max="21" width="9" customWidth="1"/>
    <col min="22" max="22" width="12.75" style="125" customWidth="1"/>
    <col min="23" max="23" width="9" customWidth="1"/>
    <col min="24" max="24" width="11" customWidth="1"/>
    <col min="25" max="28" width="9" customWidth="1"/>
    <col min="29" max="29" width="12" customWidth="1"/>
    <col min="30" max="30" width="9" customWidth="1"/>
    <col min="31" max="31" width="12.5" customWidth="1"/>
    <col min="32" max="37" width="9" customWidth="1"/>
    <col min="38" max="38" width="8.375" customWidth="1"/>
    <col min="39" max="39" width="9" customWidth="1"/>
    <col min="40" max="40" width="15.875" customWidth="1"/>
    <col min="41" max="41" width="9" customWidth="1"/>
    <col min="42" max="42" width="10.125" style="125" bestFit="1" customWidth="1"/>
    <col min="43" max="53" width="9" customWidth="1"/>
    <col min="54" max="54" width="10.875" customWidth="1"/>
    <col min="55" max="55" width="9.75" customWidth="1"/>
  </cols>
  <sheetData>
    <row r="1" spans="1:55" s="11" customFormat="1" ht="90">
      <c r="A1" s="129" t="s">
        <v>91</v>
      </c>
      <c r="B1" s="129" t="s">
        <v>92</v>
      </c>
      <c r="C1" s="129" t="s">
        <v>93</v>
      </c>
      <c r="D1" s="129" t="s">
        <v>94</v>
      </c>
      <c r="E1" s="129" t="s">
        <v>95</v>
      </c>
      <c r="F1" s="129" t="s">
        <v>53</v>
      </c>
      <c r="G1" s="129" t="s">
        <v>96</v>
      </c>
      <c r="H1" s="129" t="s">
        <v>97</v>
      </c>
      <c r="I1" s="130" t="s">
        <v>98</v>
      </c>
      <c r="J1" s="130" t="s">
        <v>99</v>
      </c>
      <c r="K1" s="130" t="s">
        <v>100</v>
      </c>
      <c r="L1" s="129" t="s">
        <v>101</v>
      </c>
      <c r="M1" s="129" t="s">
        <v>102</v>
      </c>
      <c r="N1" s="129" t="s">
        <v>103</v>
      </c>
      <c r="O1" s="129" t="s">
        <v>104</v>
      </c>
      <c r="P1" s="129" t="s">
        <v>72</v>
      </c>
      <c r="Q1" s="129" t="s">
        <v>80</v>
      </c>
      <c r="R1" s="131" t="s">
        <v>105</v>
      </c>
      <c r="S1" s="131" t="s">
        <v>106</v>
      </c>
      <c r="T1" s="131" t="s">
        <v>107</v>
      </c>
      <c r="U1" s="131" t="s">
        <v>108</v>
      </c>
      <c r="V1" s="131" t="s">
        <v>109</v>
      </c>
      <c r="W1" s="129" t="s">
        <v>110</v>
      </c>
      <c r="X1" s="129" t="s">
        <v>111</v>
      </c>
      <c r="Y1" s="131" t="s">
        <v>112</v>
      </c>
      <c r="Z1" s="129" t="s">
        <v>113</v>
      </c>
      <c r="AA1" s="129" t="s">
        <v>114</v>
      </c>
      <c r="AB1" s="129" t="s">
        <v>115</v>
      </c>
      <c r="AC1" s="129" t="s">
        <v>116</v>
      </c>
      <c r="AD1" s="129" t="s">
        <v>117</v>
      </c>
      <c r="AE1" s="131" t="s">
        <v>118</v>
      </c>
      <c r="AF1" s="131" t="s">
        <v>119</v>
      </c>
      <c r="AG1" s="131" t="s">
        <v>120</v>
      </c>
      <c r="AH1" s="131" t="s">
        <v>121</v>
      </c>
      <c r="AI1" s="131" t="s">
        <v>122</v>
      </c>
      <c r="AJ1" s="129" t="s">
        <v>67</v>
      </c>
      <c r="AK1" s="129" t="s">
        <v>123</v>
      </c>
      <c r="AL1" s="129" t="s">
        <v>124</v>
      </c>
      <c r="AM1" s="129" t="s">
        <v>64</v>
      </c>
      <c r="AN1" s="129" t="s">
        <v>125</v>
      </c>
      <c r="AO1" s="131" t="s">
        <v>126</v>
      </c>
      <c r="AP1" s="131" t="s">
        <v>127</v>
      </c>
      <c r="AQ1" s="131" t="s">
        <v>128</v>
      </c>
      <c r="AR1" s="131" t="s">
        <v>129</v>
      </c>
      <c r="AS1" s="131" t="s">
        <v>130</v>
      </c>
      <c r="AT1" s="131" t="s">
        <v>131</v>
      </c>
      <c r="AU1" s="131" t="s">
        <v>132</v>
      </c>
      <c r="AV1" s="131" t="s">
        <v>133</v>
      </c>
      <c r="AW1" s="131" t="s">
        <v>134</v>
      </c>
      <c r="AX1" s="131" t="s">
        <v>135</v>
      </c>
      <c r="AY1" s="131" t="s">
        <v>136</v>
      </c>
      <c r="AZ1" s="131" t="s">
        <v>137</v>
      </c>
      <c r="BA1" s="131" t="s">
        <v>138</v>
      </c>
      <c r="BB1" s="131" t="s">
        <v>139</v>
      </c>
      <c r="BC1" s="131" t="s">
        <v>140</v>
      </c>
    </row>
    <row r="2" spans="1:55">
      <c r="A2" t="e">
        <f>IF(B2="", "", 1)</f>
        <v>#REF!</v>
      </c>
      <c r="B2" t="e" cm="1">
        <f t="array" ref="B2">IF(OR(#REF!="",#REF!&lt;0),"",Summary!B25)</f>
        <v>#REF!</v>
      </c>
      <c r="C2" t="e">
        <f>IF(B2="","",50746)</f>
        <v>#REF!</v>
      </c>
      <c r="D2" t="e">
        <f xml:space="preserve"> IF(B2="", "",#REF!)</f>
        <v>#REF!</v>
      </c>
      <c r="E2" t="e">
        <f>IF(B2="", "", "Time of Sale")</f>
        <v>#REF!</v>
      </c>
      <c r="F2" t="e">
        <f>IF(B2="", "",#REF!)</f>
        <v>#REF!</v>
      </c>
      <c r="G2" t="e">
        <f>IF(B2="", "",#REF!)</f>
        <v>#REF!</v>
      </c>
      <c r="H2" t="e">
        <f>IF(B2="","",0)</f>
        <v>#REF!</v>
      </c>
      <c r="J2" t="e">
        <f>IF(B2="","",VLOOKUP(#REF!,'Lookup Tables'!C4:D7,2,FALSE))</f>
        <v>#REF!</v>
      </c>
      <c r="AF2" s="128" t="e">
        <f>IF(B2="", "",#REF!)</f>
        <v>#REF!</v>
      </c>
      <c r="AK2" t="e">
        <f>IF(B2="", "",Summary!$C$9)</f>
        <v>#REF!</v>
      </c>
      <c r="AL2" t="e">
        <f>IF(B2="", "", 993519)</f>
        <v>#REF!</v>
      </c>
      <c r="AM2" t="e">
        <f xml:space="preserve"> IF(B2="", "",#REF!)</f>
        <v>#REF!</v>
      </c>
      <c r="AN2" t="e">
        <f>IF(B2="", "", "PE-007500-EE-41")</f>
        <v>#REF!</v>
      </c>
      <c r="AO2" t="e">
        <f>IF(B2="","",Summary!$E$7*'Data Export'!AP2/SUM('Data Export'!$AP$2:$AP$64))</f>
        <v>#REF!</v>
      </c>
      <c r="AP2" s="127" t="e">
        <f>IF(B2="", "",#REF!)</f>
        <v>#REF!</v>
      </c>
    </row>
    <row r="3" spans="1:55">
      <c r="A3" t="str">
        <f>IF(B3="", "", 2)</f>
        <v/>
      </c>
      <c r="B3" t="str">
        <f>IF(OR('Commercial Clothes Washer'!D12&lt;0,'Commercial Clothes Washer'!N12=""),"",Summary!$B$26)</f>
        <v/>
      </c>
      <c r="C3" t="str">
        <f>IF(B3="","",50741)</f>
        <v/>
      </c>
      <c r="D3" t="str">
        <f>IF(B3="", "",'Commercial Clothes Washer'!D12)</f>
        <v/>
      </c>
      <c r="E3" t="str">
        <f t="shared" ref="E3:E64" si="0">IF(B3="", "", "Time of Sale")</f>
        <v/>
      </c>
      <c r="F3" t="str">
        <f>IF(B3="", "",'Commercial Clothes Washer'!E12)</f>
        <v/>
      </c>
      <c r="G3" t="str">
        <f>IF(B3="", "",'Commercial Clothes Washer'!F12)</f>
        <v/>
      </c>
      <c r="H3" t="str">
        <f>IF(B3="","",'Lookup Tables'!$D$27)</f>
        <v/>
      </c>
      <c r="K3" t="str">
        <f>IF(B3="", "",'Commercial Clothes Washer'!H12)</f>
        <v/>
      </c>
      <c r="L3" t="str">
        <f>IF(B3="", "",'Commercial Clothes Washer'!L12)</f>
        <v/>
      </c>
      <c r="N3" t="str">
        <f t="shared" ref="N3:N12" si="1">IF(B3="", "No","Yes")</f>
        <v>No</v>
      </c>
      <c r="O3" t="str">
        <f>IF(B3="", "",'Commercial Clothes Washer'!K12)</f>
        <v/>
      </c>
      <c r="T3" t="str">
        <f>IF(B3="","",VLOOKUP('Commercial Clothes Washer'!I12,'Lookup Tables'!$C$12:$D$14,2,FALSE))</f>
        <v/>
      </c>
      <c r="V3" s="127" t="str">
        <f>IF(B3="", "",'Commercial Clothes Washer'!M12)</f>
        <v/>
      </c>
      <c r="Y3" t="str">
        <f>IF(B3="", "","2.20")</f>
        <v/>
      </c>
      <c r="Z3" t="str">
        <f>IF(B3="","",'Commercial Clothes Washer'!B12)</f>
        <v/>
      </c>
      <c r="AC3" t="str">
        <f>IF(B3="", "",'Commercial Clothes Washer'!I12)</f>
        <v/>
      </c>
      <c r="AF3" s="128" t="str">
        <f>IF(B3="", "",'Commercial Clothes Washer'!C12)</f>
        <v/>
      </c>
      <c r="AJ3" t="str">
        <f>IF(B3="", "",'Commercial Clothes Washer'!J12)</f>
        <v/>
      </c>
      <c r="AK3" t="str">
        <f>IF(B3="", "",Summary!$C$9)</f>
        <v/>
      </c>
      <c r="AL3" t="str">
        <f t="shared" ref="AL3:AL64" si="2">IF(B3="", "", 993519)</f>
        <v/>
      </c>
      <c r="AM3" t="str">
        <f>IF(B3="", "",'Commercial Clothes Washer'!G12)</f>
        <v/>
      </c>
      <c r="AN3" t="str">
        <f t="shared" ref="AN3:AN64" si="3">IF(B3="", "", "PE-007500-EE-41")</f>
        <v/>
      </c>
      <c r="AO3" t="str">
        <f>IF(B3="","",Summary!$E$7*'Data Export'!AP3/SUM('Data Export'!$AP$2:$AP$64))</f>
        <v/>
      </c>
      <c r="AP3" s="127" t="str">
        <f>IF(B3="", "",'Commercial Clothes Washer'!N12)</f>
        <v/>
      </c>
      <c r="AQ3" t="str">
        <f>IF(B3="","",'Lookup Tables'!U35)</f>
        <v/>
      </c>
      <c r="AR3" t="str">
        <f>IF(B3="","",'Lookup Tables'!V35)</f>
        <v/>
      </c>
      <c r="AS3" t="str">
        <f>IF(B3="","",'Lookup Tables'!S35)</f>
        <v/>
      </c>
      <c r="AT3" t="str">
        <f>IF(B3="","",'Lookup Tables'!T35)</f>
        <v/>
      </c>
      <c r="AU3" t="str">
        <f>IF(B3="","",75)</f>
        <v/>
      </c>
      <c r="AV3" t="str">
        <f>IF(B3="","",IF('Commercial Clothes Washer'!J12="Gas",1,0))</f>
        <v/>
      </c>
      <c r="AW3" t="str">
        <f>IF(B3="","",IF('Commercial Clothes Washer'!K12="Gas",1,0))</f>
        <v/>
      </c>
    </row>
    <row r="4" spans="1:55">
      <c r="A4" t="str">
        <f>IF(B4="", "", 3)</f>
        <v/>
      </c>
      <c r="B4" t="str">
        <f>IF(OR('Commercial Clothes Washer'!D13&lt;0,'Commercial Clothes Washer'!N13=""),"",Summary!$B$26)</f>
        <v/>
      </c>
      <c r="C4" t="str">
        <f t="shared" ref="C4:C12" si="4">IF(B4="","",50741)</f>
        <v/>
      </c>
      <c r="D4" t="str">
        <f>IF(B4="", "",'Commercial Clothes Washer'!D13)</f>
        <v/>
      </c>
      <c r="E4" t="str">
        <f t="shared" si="0"/>
        <v/>
      </c>
      <c r="F4" t="str">
        <f>IF(B4="", "",'Commercial Clothes Washer'!E13)</f>
        <v/>
      </c>
      <c r="G4" t="str">
        <f>IF(B4="", "",'Commercial Clothes Washer'!F13)</f>
        <v/>
      </c>
      <c r="H4" t="str">
        <f>IF(B4="","",'Lookup Tables'!$D$27)</f>
        <v/>
      </c>
      <c r="K4" t="str">
        <f>IF(B4="", "",'Commercial Clothes Washer'!H13)</f>
        <v/>
      </c>
      <c r="L4" t="str">
        <f>IF(B4="", "",'Commercial Clothes Washer'!L13)</f>
        <v/>
      </c>
      <c r="N4" t="str">
        <f t="shared" si="1"/>
        <v>No</v>
      </c>
      <c r="O4" t="str">
        <f>IF(B4="", "",'Commercial Clothes Washer'!K13)</f>
        <v/>
      </c>
      <c r="T4" t="str">
        <f>IF(B4="","",VLOOKUP('Commercial Clothes Washer'!I13,'Lookup Tables'!$C$12:$D$14,2,FALSE))</f>
        <v/>
      </c>
      <c r="V4" s="127" t="str">
        <f>IF(B4="", "",'Commercial Clothes Washer'!M13)</f>
        <v/>
      </c>
      <c r="Y4" t="str">
        <f t="shared" ref="Y4:Y12" si="5">IF(B4="", "","2.20")</f>
        <v/>
      </c>
      <c r="Z4" t="str">
        <f>IF(B4="","",'Commercial Clothes Washer'!B13)</f>
        <v/>
      </c>
      <c r="AC4" t="str">
        <f>IF(B4="", "",'Commercial Clothes Washer'!I13)</f>
        <v/>
      </c>
      <c r="AF4" s="128" t="str">
        <f>IF(B4="", "",'Commercial Clothes Washer'!C13)</f>
        <v/>
      </c>
      <c r="AJ4" t="str">
        <f>IF(B4="", "",'Commercial Clothes Washer'!J13)</f>
        <v/>
      </c>
      <c r="AK4" t="str">
        <f>IF(B4="", "",Summary!$C$9)</f>
        <v/>
      </c>
      <c r="AL4" t="str">
        <f t="shared" si="2"/>
        <v/>
      </c>
      <c r="AM4" t="str">
        <f>IF(B4="", "",'Commercial Clothes Washer'!G13)</f>
        <v/>
      </c>
      <c r="AN4" t="str">
        <f t="shared" si="3"/>
        <v/>
      </c>
      <c r="AO4" t="str">
        <f>IF(B4="","",Summary!$E$7*'Data Export'!AP4/SUM('Data Export'!$AP$2:$AP$64))</f>
        <v/>
      </c>
      <c r="AP4" s="127" t="str">
        <f>IF(B4="", "",'Commercial Clothes Washer'!N13)</f>
        <v/>
      </c>
      <c r="AQ4" t="str">
        <f>IF(B4="","",'Lookup Tables'!U36)</f>
        <v/>
      </c>
      <c r="AR4" t="str">
        <f>IF(B4="","",'Lookup Tables'!V36)</f>
        <v/>
      </c>
      <c r="AS4" t="str">
        <f>IF(B4="","",'Lookup Tables'!S36)</f>
        <v/>
      </c>
      <c r="AT4" t="str">
        <f>IF(B4="","",'Lookup Tables'!T36)</f>
        <v/>
      </c>
      <c r="AU4" t="str">
        <f t="shared" ref="AU4:AU12" si="6">IF(B4="","",75)</f>
        <v/>
      </c>
      <c r="AV4" t="str">
        <f>IF(B4="","",IF('Commercial Clothes Washer'!J13="Gas",1,0))</f>
        <v/>
      </c>
      <c r="AW4" t="str">
        <f>IF(B4="","",IF('Commercial Clothes Washer'!K13="Gas",1,0))</f>
        <v/>
      </c>
    </row>
    <row r="5" spans="1:55">
      <c r="A5" t="str">
        <f>IF(B5="", "", 4)</f>
        <v/>
      </c>
      <c r="B5" t="str">
        <f>IF(OR('Commercial Clothes Washer'!D14&lt;0,'Commercial Clothes Washer'!N14=""),"",Summary!$B$26)</f>
        <v/>
      </c>
      <c r="C5" t="str">
        <f t="shared" si="4"/>
        <v/>
      </c>
      <c r="D5" t="str">
        <f>IF(B5="", "",'Commercial Clothes Washer'!D14)</f>
        <v/>
      </c>
      <c r="E5" t="str">
        <f t="shared" si="0"/>
        <v/>
      </c>
      <c r="F5" t="str">
        <f>IF(B5="", "",'Commercial Clothes Washer'!E14)</f>
        <v/>
      </c>
      <c r="G5" t="str">
        <f>IF(B5="", "",'Commercial Clothes Washer'!F14)</f>
        <v/>
      </c>
      <c r="H5" t="str">
        <f>IF(B5="","",'Lookup Tables'!$D$27)</f>
        <v/>
      </c>
      <c r="K5" t="str">
        <f>IF(B5="", "",'Commercial Clothes Washer'!H14)</f>
        <v/>
      </c>
      <c r="L5" t="str">
        <f>IF(B5="", "",'Commercial Clothes Washer'!L14)</f>
        <v/>
      </c>
      <c r="N5" t="str">
        <f t="shared" si="1"/>
        <v>No</v>
      </c>
      <c r="O5" t="str">
        <f>IF(B5="", "",'Commercial Clothes Washer'!K14)</f>
        <v/>
      </c>
      <c r="T5" t="str">
        <f>IF(B5="","",VLOOKUP('Commercial Clothes Washer'!I14,'Lookup Tables'!$C$12:$D$14,2,FALSE))</f>
        <v/>
      </c>
      <c r="V5" s="127" t="str">
        <f>IF(B5="", "",'Commercial Clothes Washer'!M14)</f>
        <v/>
      </c>
      <c r="Y5" t="str">
        <f t="shared" si="5"/>
        <v/>
      </c>
      <c r="Z5" t="str">
        <f>IF(B5="","",'Commercial Clothes Washer'!B14)</f>
        <v/>
      </c>
      <c r="AC5" t="str">
        <f>IF(B5="", "",'Commercial Clothes Washer'!I14)</f>
        <v/>
      </c>
      <c r="AF5" s="128" t="str">
        <f>IF(B5="", "",'Commercial Clothes Washer'!C14)</f>
        <v/>
      </c>
      <c r="AJ5" t="str">
        <f>IF(B5="", "",'Commercial Clothes Washer'!J14)</f>
        <v/>
      </c>
      <c r="AK5" t="str">
        <f>IF(B5="", "",Summary!$C$9)</f>
        <v/>
      </c>
      <c r="AL5" t="str">
        <f t="shared" si="2"/>
        <v/>
      </c>
      <c r="AM5" t="str">
        <f>IF(B5="", "",'Commercial Clothes Washer'!G14)</f>
        <v/>
      </c>
      <c r="AN5" t="str">
        <f t="shared" si="3"/>
        <v/>
      </c>
      <c r="AO5" t="str">
        <f>IF(B5="","",Summary!$E$7*'Data Export'!AP5/SUM('Data Export'!$AP$2:$AP$64))</f>
        <v/>
      </c>
      <c r="AP5" s="127" t="str">
        <f>IF(B5="", "",'Commercial Clothes Washer'!N14)</f>
        <v/>
      </c>
      <c r="AQ5" t="str">
        <f>IF(B5="","",'Lookup Tables'!U37)</f>
        <v/>
      </c>
      <c r="AR5" t="str">
        <f>IF(B5="","",'Lookup Tables'!V37)</f>
        <v/>
      </c>
      <c r="AS5" t="str">
        <f>IF(B5="","",'Lookup Tables'!S37)</f>
        <v/>
      </c>
      <c r="AT5" t="str">
        <f>IF(B5="","",'Lookup Tables'!T37)</f>
        <v/>
      </c>
      <c r="AU5" t="str">
        <f t="shared" si="6"/>
        <v/>
      </c>
      <c r="AV5" t="str">
        <f>IF(B5="","",IF('Commercial Clothes Washer'!J14="Gas",1,0))</f>
        <v/>
      </c>
      <c r="AW5" t="str">
        <f>IF(B5="","",IF('Commercial Clothes Washer'!K14="Gas",1,0))</f>
        <v/>
      </c>
    </row>
    <row r="6" spans="1:55">
      <c r="A6" t="str">
        <f>IF(B6="", "", 5)</f>
        <v/>
      </c>
      <c r="B6" t="str">
        <f>IF(OR('Commercial Clothes Washer'!D15&lt;0,'Commercial Clothes Washer'!N15=""),"",Summary!$B$26)</f>
        <v/>
      </c>
      <c r="C6" t="str">
        <f t="shared" si="4"/>
        <v/>
      </c>
      <c r="D6" t="str">
        <f>IF(B6="", "",'Commercial Clothes Washer'!D15)</f>
        <v/>
      </c>
      <c r="E6" t="str">
        <f t="shared" si="0"/>
        <v/>
      </c>
      <c r="F6" t="str">
        <f>IF(B6="", "",'Commercial Clothes Washer'!E15)</f>
        <v/>
      </c>
      <c r="G6" t="str">
        <f>IF(B6="", "",'Commercial Clothes Washer'!F15)</f>
        <v/>
      </c>
      <c r="H6" t="str">
        <f>IF(B6="","",'Lookup Tables'!$D$27)</f>
        <v/>
      </c>
      <c r="K6" t="str">
        <f>IF(B6="", "",'Commercial Clothes Washer'!H15)</f>
        <v/>
      </c>
      <c r="L6" t="str">
        <f>IF(B6="", "",'Commercial Clothes Washer'!L15)</f>
        <v/>
      </c>
      <c r="N6" t="str">
        <f t="shared" si="1"/>
        <v>No</v>
      </c>
      <c r="O6" t="str">
        <f>IF(B6="", "",'Commercial Clothes Washer'!K15)</f>
        <v/>
      </c>
      <c r="T6" t="str">
        <f>IF(B6="","",VLOOKUP('Commercial Clothes Washer'!I15,'Lookup Tables'!$C$12:$D$14,2,FALSE))</f>
        <v/>
      </c>
      <c r="V6" s="127" t="str">
        <f>IF(B6="", "",'Commercial Clothes Washer'!M15)</f>
        <v/>
      </c>
      <c r="Y6" t="str">
        <f t="shared" si="5"/>
        <v/>
      </c>
      <c r="Z6" t="str">
        <f>IF(B6="","",'Commercial Clothes Washer'!B15)</f>
        <v/>
      </c>
      <c r="AC6" t="str">
        <f>IF(B6="", "",'Commercial Clothes Washer'!I15)</f>
        <v/>
      </c>
      <c r="AF6" s="128" t="str">
        <f>IF(B6="", "",'Commercial Clothes Washer'!C15)</f>
        <v/>
      </c>
      <c r="AJ6" t="str">
        <f>IF(B6="", "",'Commercial Clothes Washer'!J15)</f>
        <v/>
      </c>
      <c r="AK6" t="str">
        <f>IF(B6="", "",Summary!$C$9)</f>
        <v/>
      </c>
      <c r="AL6" t="str">
        <f t="shared" si="2"/>
        <v/>
      </c>
      <c r="AM6" t="str">
        <f>IF(B6="", "",'Commercial Clothes Washer'!G15)</f>
        <v/>
      </c>
      <c r="AN6" t="str">
        <f t="shared" si="3"/>
        <v/>
      </c>
      <c r="AO6" t="str">
        <f>IF(B6="","",Summary!$E$7*'Data Export'!AP6/SUM('Data Export'!$AP$2:$AP$64))</f>
        <v/>
      </c>
      <c r="AP6" s="127" t="str">
        <f>IF(B6="", "",'Commercial Clothes Washer'!N15)</f>
        <v/>
      </c>
      <c r="AQ6" t="str">
        <f>IF(B6="","",'Lookup Tables'!U38)</f>
        <v/>
      </c>
      <c r="AR6" t="str">
        <f>IF(B6="","",'Lookup Tables'!V38)</f>
        <v/>
      </c>
      <c r="AS6" t="str">
        <f>IF(B6="","",'Lookup Tables'!S38)</f>
        <v/>
      </c>
      <c r="AT6" t="str">
        <f>IF(B6="","",'Lookup Tables'!T38)</f>
        <v/>
      </c>
      <c r="AU6" t="str">
        <f t="shared" si="6"/>
        <v/>
      </c>
      <c r="AV6" t="str">
        <f>IF(B6="","",IF('Commercial Clothes Washer'!J15="Gas",1,0))</f>
        <v/>
      </c>
      <c r="AW6" t="str">
        <f>IF(B6="","",IF('Commercial Clothes Washer'!K15="Gas",1,0))</f>
        <v/>
      </c>
    </row>
    <row r="7" spans="1:55">
      <c r="A7" t="str">
        <f>IF(B7="", "", 6)</f>
        <v/>
      </c>
      <c r="B7" t="str">
        <f>IF(OR('Commercial Clothes Washer'!D16&lt;0,'Commercial Clothes Washer'!N16=""),"",Summary!$B$26)</f>
        <v/>
      </c>
      <c r="C7" t="str">
        <f t="shared" si="4"/>
        <v/>
      </c>
      <c r="D7" t="str">
        <f>IF(B7="", "",'Commercial Clothes Washer'!D16)</f>
        <v/>
      </c>
      <c r="E7" t="str">
        <f t="shared" si="0"/>
        <v/>
      </c>
      <c r="F7" t="str">
        <f>IF(B7="", "",'Commercial Clothes Washer'!E16)</f>
        <v/>
      </c>
      <c r="G7" t="str">
        <f>IF(B7="", "",'Commercial Clothes Washer'!F16)</f>
        <v/>
      </c>
      <c r="H7" t="str">
        <f>IF(B7="","",'Lookup Tables'!$D$27)</f>
        <v/>
      </c>
      <c r="K7" t="str">
        <f>IF(B7="", "",'Commercial Clothes Washer'!H16)</f>
        <v/>
      </c>
      <c r="L7" t="str">
        <f>IF(B7="", "",'Commercial Clothes Washer'!L16)</f>
        <v/>
      </c>
      <c r="N7" t="str">
        <f t="shared" si="1"/>
        <v>No</v>
      </c>
      <c r="O7" t="str">
        <f>IF(B7="", "",'Commercial Clothes Washer'!K16)</f>
        <v/>
      </c>
      <c r="T7" t="str">
        <f>IF(B7="","",VLOOKUP('Commercial Clothes Washer'!I16,'Lookup Tables'!$C$12:$D$14,2,FALSE))</f>
        <v/>
      </c>
      <c r="V7" s="127" t="str">
        <f>IF(B7="", "",'Commercial Clothes Washer'!M16)</f>
        <v/>
      </c>
      <c r="Y7" t="str">
        <f t="shared" si="5"/>
        <v/>
      </c>
      <c r="Z7" t="str">
        <f>IF(B7="","",'Commercial Clothes Washer'!B16)</f>
        <v/>
      </c>
      <c r="AC7" t="str">
        <f>IF(B7="", "",'Commercial Clothes Washer'!I16)</f>
        <v/>
      </c>
      <c r="AF7" s="128" t="str">
        <f>IF(B7="", "",'Commercial Clothes Washer'!C16)</f>
        <v/>
      </c>
      <c r="AJ7" t="str">
        <f>IF(B7="", "",'Commercial Clothes Washer'!J16)</f>
        <v/>
      </c>
      <c r="AK7" t="str">
        <f>IF(B7="", "",Summary!$C$9)</f>
        <v/>
      </c>
      <c r="AL7" t="str">
        <f t="shared" si="2"/>
        <v/>
      </c>
      <c r="AM7" t="str">
        <f>IF(B7="", "",'Commercial Clothes Washer'!G16)</f>
        <v/>
      </c>
      <c r="AN7" t="str">
        <f t="shared" si="3"/>
        <v/>
      </c>
      <c r="AO7" t="str">
        <f>IF(B7="","",Summary!$E$7*'Data Export'!AP7/SUM('Data Export'!$AP$2:$AP$64))</f>
        <v/>
      </c>
      <c r="AP7" s="127" t="str">
        <f>IF(B7="", "",'Commercial Clothes Washer'!N16)</f>
        <v/>
      </c>
      <c r="AQ7" t="str">
        <f>IF(B7="","",'Lookup Tables'!U39)</f>
        <v/>
      </c>
      <c r="AR7" t="str">
        <f>IF(B7="","",'Lookup Tables'!V39)</f>
        <v/>
      </c>
      <c r="AS7" t="str">
        <f>IF(B7="","",'Lookup Tables'!S39)</f>
        <v/>
      </c>
      <c r="AT7" t="str">
        <f>IF(B7="","",'Lookup Tables'!T39)</f>
        <v/>
      </c>
      <c r="AU7" t="str">
        <f t="shared" si="6"/>
        <v/>
      </c>
      <c r="AV7" t="str">
        <f>IF(B7="","",IF('Commercial Clothes Washer'!J16="Gas",1,0))</f>
        <v/>
      </c>
      <c r="AW7" t="str">
        <f>IF(B7="","",IF('Commercial Clothes Washer'!K16="Gas",1,0))</f>
        <v/>
      </c>
    </row>
    <row r="8" spans="1:55">
      <c r="A8" t="str">
        <f>IF(B8="", "", 7)</f>
        <v/>
      </c>
      <c r="B8" t="str">
        <f>IF(OR('Commercial Clothes Washer'!D17&lt;0,'Commercial Clothes Washer'!N17=""),"",Summary!$B$26)</f>
        <v/>
      </c>
      <c r="C8" t="str">
        <f t="shared" si="4"/>
        <v/>
      </c>
      <c r="D8" t="str">
        <f>IF(B8="", "",'Commercial Clothes Washer'!D17)</f>
        <v/>
      </c>
      <c r="E8" t="str">
        <f t="shared" si="0"/>
        <v/>
      </c>
      <c r="F8" t="str">
        <f>IF(B8="", "",'Commercial Clothes Washer'!E17)</f>
        <v/>
      </c>
      <c r="G8" t="str">
        <f>IF(B8="", "",'Commercial Clothes Washer'!F17)</f>
        <v/>
      </c>
      <c r="H8" t="str">
        <f>IF(B8="","",'Lookup Tables'!$D$27)</f>
        <v/>
      </c>
      <c r="K8" t="str">
        <f>IF(B8="", "",'Commercial Clothes Washer'!H17)</f>
        <v/>
      </c>
      <c r="L8" t="str">
        <f>IF(B8="", "",'Commercial Clothes Washer'!L17)</f>
        <v/>
      </c>
      <c r="N8" t="str">
        <f t="shared" si="1"/>
        <v>No</v>
      </c>
      <c r="O8" t="str">
        <f>IF(B8="", "",'Commercial Clothes Washer'!K17)</f>
        <v/>
      </c>
      <c r="T8" t="str">
        <f>IF(B8="","",VLOOKUP('Commercial Clothes Washer'!I17,'Lookup Tables'!$C$12:$D$14,2,FALSE))</f>
        <v/>
      </c>
      <c r="V8" s="127" t="str">
        <f>IF(B8="", "",'Commercial Clothes Washer'!M17)</f>
        <v/>
      </c>
      <c r="Y8" t="str">
        <f t="shared" si="5"/>
        <v/>
      </c>
      <c r="Z8" t="str">
        <f>IF(B8="","",'Commercial Clothes Washer'!B17)</f>
        <v/>
      </c>
      <c r="AC8" t="str">
        <f>IF(B8="", "",'Commercial Clothes Washer'!I17)</f>
        <v/>
      </c>
      <c r="AF8" s="128" t="str">
        <f>IF(B8="", "",'Commercial Clothes Washer'!C17)</f>
        <v/>
      </c>
      <c r="AJ8" t="str">
        <f>IF(B8="", "",'Commercial Clothes Washer'!J17)</f>
        <v/>
      </c>
      <c r="AK8" t="str">
        <f>IF(B8="", "",Summary!$C$9)</f>
        <v/>
      </c>
      <c r="AL8" t="str">
        <f t="shared" si="2"/>
        <v/>
      </c>
      <c r="AM8" t="str">
        <f>IF(B8="", "",'Commercial Clothes Washer'!G17)</f>
        <v/>
      </c>
      <c r="AN8" t="str">
        <f t="shared" si="3"/>
        <v/>
      </c>
      <c r="AO8" t="str">
        <f>IF(B8="","",Summary!$E$7*'Data Export'!AP8/SUM('Data Export'!$AP$2:$AP$64))</f>
        <v/>
      </c>
      <c r="AP8" s="127" t="str">
        <f>IF(B8="", "",'Commercial Clothes Washer'!N17)</f>
        <v/>
      </c>
      <c r="AQ8" t="str">
        <f>IF(B8="","",'Lookup Tables'!U40)</f>
        <v/>
      </c>
      <c r="AR8" t="str">
        <f>IF(B8="","",'Lookup Tables'!V40)</f>
        <v/>
      </c>
      <c r="AS8" t="str">
        <f>IF(B8="","",'Lookup Tables'!S40)</f>
        <v/>
      </c>
      <c r="AT8" t="str">
        <f>IF(B8="","",'Lookup Tables'!T40)</f>
        <v/>
      </c>
      <c r="AU8" t="str">
        <f t="shared" si="6"/>
        <v/>
      </c>
      <c r="AV8" t="str">
        <f>IF(B8="","",IF('Commercial Clothes Washer'!J17="Gas",1,0))</f>
        <v/>
      </c>
      <c r="AW8" t="str">
        <f>IF(B8="","",IF('Commercial Clothes Washer'!K17="Gas",1,0))</f>
        <v/>
      </c>
    </row>
    <row r="9" spans="1:55">
      <c r="A9" t="str">
        <f>IF(B9="", "", 8)</f>
        <v/>
      </c>
      <c r="B9" t="str">
        <f>IF(OR('Commercial Clothes Washer'!D18&lt;0,'Commercial Clothes Washer'!N18=""),"",Summary!$B$26)</f>
        <v/>
      </c>
      <c r="C9" t="str">
        <f t="shared" si="4"/>
        <v/>
      </c>
      <c r="D9" t="str">
        <f>IF(B9="", "",'Commercial Clothes Washer'!D18)</f>
        <v/>
      </c>
      <c r="E9" t="str">
        <f t="shared" si="0"/>
        <v/>
      </c>
      <c r="F9" t="str">
        <f>IF(B9="", "",'Commercial Clothes Washer'!E18)</f>
        <v/>
      </c>
      <c r="G9" t="str">
        <f>IF(B9="", "",'Commercial Clothes Washer'!F18)</f>
        <v/>
      </c>
      <c r="H9" t="str">
        <f>IF(B9="","",'Lookup Tables'!$D$27)</f>
        <v/>
      </c>
      <c r="K9" t="str">
        <f>IF(B9="", "",'Commercial Clothes Washer'!H18)</f>
        <v/>
      </c>
      <c r="L9" t="str">
        <f>IF(B9="", "",'Commercial Clothes Washer'!L18)</f>
        <v/>
      </c>
      <c r="N9" t="str">
        <f t="shared" si="1"/>
        <v>No</v>
      </c>
      <c r="O9" t="str">
        <f>IF(B9="", "",'Commercial Clothes Washer'!K18)</f>
        <v/>
      </c>
      <c r="T9" t="str">
        <f>IF(B9="","",VLOOKUP('Commercial Clothes Washer'!I18,'Lookup Tables'!$C$12:$D$14,2,FALSE))</f>
        <v/>
      </c>
      <c r="V9" s="127" t="str">
        <f>IF(B9="", "",'Commercial Clothes Washer'!M18)</f>
        <v/>
      </c>
      <c r="Y9" t="str">
        <f t="shared" si="5"/>
        <v/>
      </c>
      <c r="Z9" t="str">
        <f>IF(B9="","",'Commercial Clothes Washer'!B18)</f>
        <v/>
      </c>
      <c r="AC9" t="str">
        <f>IF(B9="", "",'Commercial Clothes Washer'!I18)</f>
        <v/>
      </c>
      <c r="AF9" s="128" t="str">
        <f>IF(B9="", "",'Commercial Clothes Washer'!C18)</f>
        <v/>
      </c>
      <c r="AJ9" t="str">
        <f>IF(B9="", "",'Commercial Clothes Washer'!J18)</f>
        <v/>
      </c>
      <c r="AK9" t="str">
        <f>IF(B9="", "",Summary!$C$9)</f>
        <v/>
      </c>
      <c r="AL9" t="str">
        <f t="shared" si="2"/>
        <v/>
      </c>
      <c r="AM9" t="str">
        <f>IF(B9="", "",'Commercial Clothes Washer'!G18)</f>
        <v/>
      </c>
      <c r="AN9" t="str">
        <f t="shared" si="3"/>
        <v/>
      </c>
      <c r="AO9" t="str">
        <f>IF(B9="","",Summary!$E$7*'Data Export'!AP9/SUM('Data Export'!$AP$2:$AP$64))</f>
        <v/>
      </c>
      <c r="AP9" s="127" t="str">
        <f>IF(B9="", "",'Commercial Clothes Washer'!N18)</f>
        <v/>
      </c>
      <c r="AQ9" t="str">
        <f>IF(B9="","",'Lookup Tables'!U41)</f>
        <v/>
      </c>
      <c r="AR9" t="str">
        <f>IF(B9="","",'Lookup Tables'!V41)</f>
        <v/>
      </c>
      <c r="AS9" t="str">
        <f>IF(B9="","",'Lookup Tables'!S41)</f>
        <v/>
      </c>
      <c r="AT9" t="str">
        <f>IF(B9="","",'Lookup Tables'!T41)</f>
        <v/>
      </c>
      <c r="AU9" t="str">
        <f t="shared" si="6"/>
        <v/>
      </c>
      <c r="AV9" t="str">
        <f>IF(B9="","",IF('Commercial Clothes Washer'!J18="Gas",1,0))</f>
        <v/>
      </c>
      <c r="AW9" t="str">
        <f>IF(B9="","",IF('Commercial Clothes Washer'!K18="Gas",1,0))</f>
        <v/>
      </c>
    </row>
    <row r="10" spans="1:55">
      <c r="A10" t="str">
        <f>IF(B10="", "", 9)</f>
        <v/>
      </c>
      <c r="B10" t="str">
        <f>IF(OR('Commercial Clothes Washer'!D19&lt;0,'Commercial Clothes Washer'!N19=""),"",Summary!$B$26)</f>
        <v/>
      </c>
      <c r="C10" t="str">
        <f t="shared" si="4"/>
        <v/>
      </c>
      <c r="D10" t="str">
        <f>IF(B10="", "",'Commercial Clothes Washer'!D19)</f>
        <v/>
      </c>
      <c r="E10" t="str">
        <f t="shared" si="0"/>
        <v/>
      </c>
      <c r="F10" t="str">
        <f>IF(B10="", "",'Commercial Clothes Washer'!E19)</f>
        <v/>
      </c>
      <c r="G10" t="str">
        <f>IF(B10="", "",'Commercial Clothes Washer'!F19)</f>
        <v/>
      </c>
      <c r="H10" t="str">
        <f>IF(B10="","",'Lookup Tables'!$D$27)</f>
        <v/>
      </c>
      <c r="K10" t="str">
        <f>IF(B10="", "",'Commercial Clothes Washer'!H19)</f>
        <v/>
      </c>
      <c r="L10" t="str">
        <f>IF(B10="", "",'Commercial Clothes Washer'!L19)</f>
        <v/>
      </c>
      <c r="N10" t="str">
        <f t="shared" si="1"/>
        <v>No</v>
      </c>
      <c r="O10" t="str">
        <f>IF(B10="", "",'Commercial Clothes Washer'!K19)</f>
        <v/>
      </c>
      <c r="T10" t="str">
        <f>IF(B10="","",VLOOKUP('Commercial Clothes Washer'!I19,'Lookup Tables'!$C$12:$D$14,2,FALSE))</f>
        <v/>
      </c>
      <c r="V10" s="127" t="str">
        <f>IF(B10="", "",'Commercial Clothes Washer'!M19)</f>
        <v/>
      </c>
      <c r="Y10" t="str">
        <f t="shared" si="5"/>
        <v/>
      </c>
      <c r="Z10" t="str">
        <f>IF(B10="","",'Commercial Clothes Washer'!B19)</f>
        <v/>
      </c>
      <c r="AC10" t="str">
        <f>IF(B10="", "",'Commercial Clothes Washer'!I19)</f>
        <v/>
      </c>
      <c r="AF10" s="128" t="str">
        <f>IF(B10="", "",'Commercial Clothes Washer'!C19)</f>
        <v/>
      </c>
      <c r="AJ10" t="str">
        <f>IF(B10="", "",'Commercial Clothes Washer'!J19)</f>
        <v/>
      </c>
      <c r="AK10" t="str">
        <f>IF(B10="", "",Summary!$C$9)</f>
        <v/>
      </c>
      <c r="AL10" t="str">
        <f t="shared" si="2"/>
        <v/>
      </c>
      <c r="AM10" t="str">
        <f>IF(B10="", "",'Commercial Clothes Washer'!G19)</f>
        <v/>
      </c>
      <c r="AN10" t="str">
        <f t="shared" si="3"/>
        <v/>
      </c>
      <c r="AO10" t="str">
        <f>IF(B10="","",Summary!$E$7*'Data Export'!AP10/SUM('Data Export'!$AP$2:$AP$64))</f>
        <v/>
      </c>
      <c r="AP10" s="127" t="str">
        <f>IF(B10="", "",'Commercial Clothes Washer'!N19)</f>
        <v/>
      </c>
      <c r="AQ10" t="str">
        <f>IF(B10="","",'Lookup Tables'!U42)</f>
        <v/>
      </c>
      <c r="AR10" t="str">
        <f>IF(B10="","",'Lookup Tables'!V42)</f>
        <v/>
      </c>
      <c r="AS10" t="str">
        <f>IF(B10="","",'Lookup Tables'!S42)</f>
        <v/>
      </c>
      <c r="AT10" t="str">
        <f>IF(B10="","",'Lookup Tables'!T42)</f>
        <v/>
      </c>
      <c r="AU10" t="str">
        <f t="shared" si="6"/>
        <v/>
      </c>
      <c r="AV10" t="str">
        <f>IF(B10="","",IF('Commercial Clothes Washer'!J19="Gas",1,0))</f>
        <v/>
      </c>
      <c r="AW10" t="str">
        <f>IF(B10="","",IF('Commercial Clothes Washer'!K19="Gas",1,0))</f>
        <v/>
      </c>
    </row>
    <row r="11" spans="1:55">
      <c r="A11" t="str">
        <f>IF(B11="", "", 10)</f>
        <v/>
      </c>
      <c r="B11" t="str">
        <f>IF(OR('Commercial Clothes Washer'!D20&lt;0,'Commercial Clothes Washer'!N20=""),"",Summary!$B$26)</f>
        <v/>
      </c>
      <c r="C11" t="str">
        <f t="shared" si="4"/>
        <v/>
      </c>
      <c r="D11" t="str">
        <f>IF(B11="", "",'Commercial Clothes Washer'!D20)</f>
        <v/>
      </c>
      <c r="E11" t="str">
        <f t="shared" si="0"/>
        <v/>
      </c>
      <c r="F11" t="str">
        <f>IF(B11="", "",'Commercial Clothes Washer'!E20)</f>
        <v/>
      </c>
      <c r="G11" t="str">
        <f>IF(B11="", "",'Commercial Clothes Washer'!F20)</f>
        <v/>
      </c>
      <c r="H11" t="str">
        <f>IF(B11="","",'Lookup Tables'!$D$27)</f>
        <v/>
      </c>
      <c r="K11" t="str">
        <f>IF(B11="", "",'Commercial Clothes Washer'!H20)</f>
        <v/>
      </c>
      <c r="L11" t="str">
        <f>IF(B11="", "",'Commercial Clothes Washer'!L20)</f>
        <v/>
      </c>
      <c r="N11" t="str">
        <f t="shared" si="1"/>
        <v>No</v>
      </c>
      <c r="O11" t="str">
        <f>IF(B11="", "",'Commercial Clothes Washer'!K20)</f>
        <v/>
      </c>
      <c r="T11" t="str">
        <f>IF(B11="","",VLOOKUP('Commercial Clothes Washer'!I20,'Lookup Tables'!$C$12:$D$14,2,FALSE))</f>
        <v/>
      </c>
      <c r="V11" s="127" t="str">
        <f>IF(B11="", "",'Commercial Clothes Washer'!M20)</f>
        <v/>
      </c>
      <c r="Y11" t="str">
        <f t="shared" si="5"/>
        <v/>
      </c>
      <c r="Z11" t="str">
        <f>IF(B11="","",'Commercial Clothes Washer'!B20)</f>
        <v/>
      </c>
      <c r="AC11" t="str">
        <f>IF(B11="", "",'Commercial Clothes Washer'!I20)</f>
        <v/>
      </c>
      <c r="AF11" s="128" t="str">
        <f>IF(B11="", "",'Commercial Clothes Washer'!C20)</f>
        <v/>
      </c>
      <c r="AJ11" t="str">
        <f>IF(B11="", "",'Commercial Clothes Washer'!J20)</f>
        <v/>
      </c>
      <c r="AK11" t="str">
        <f>IF(B11="", "",Summary!$C$9)</f>
        <v/>
      </c>
      <c r="AL11" t="str">
        <f t="shared" si="2"/>
        <v/>
      </c>
      <c r="AM11" t="str">
        <f>IF(B11="", "",'Commercial Clothes Washer'!G20)</f>
        <v/>
      </c>
      <c r="AN11" t="str">
        <f t="shared" si="3"/>
        <v/>
      </c>
      <c r="AO11" t="str">
        <f>IF(B11="","",Summary!$E$7*'Data Export'!AP11/SUM('Data Export'!$AP$2:$AP$64))</f>
        <v/>
      </c>
      <c r="AP11" s="127" t="str">
        <f>IF(B11="", "",'Commercial Clothes Washer'!N20)</f>
        <v/>
      </c>
      <c r="AQ11" t="str">
        <f>IF(B11="","",'Lookup Tables'!U43)</f>
        <v/>
      </c>
      <c r="AR11" t="str">
        <f>IF(B11="","",'Lookup Tables'!V43)</f>
        <v/>
      </c>
      <c r="AS11" t="str">
        <f>IF(B11="","",'Lookup Tables'!S43)</f>
        <v/>
      </c>
      <c r="AT11" t="str">
        <f>IF(B11="","",'Lookup Tables'!T43)</f>
        <v/>
      </c>
      <c r="AU11" t="str">
        <f t="shared" si="6"/>
        <v/>
      </c>
      <c r="AV11" t="str">
        <f>IF(B11="","",IF('Commercial Clothes Washer'!J20="Gas",1,0))</f>
        <v/>
      </c>
      <c r="AW11" t="str">
        <f>IF(B11="","",IF('Commercial Clothes Washer'!K20="Gas",1,0))</f>
        <v/>
      </c>
    </row>
    <row r="12" spans="1:55">
      <c r="A12" t="str">
        <f>IF(B12="", "", 11)</f>
        <v/>
      </c>
      <c r="B12" t="str">
        <f>IF(OR('Commercial Clothes Washer'!D21&lt;0,'Commercial Clothes Washer'!N21=""),"",Summary!$B$26)</f>
        <v/>
      </c>
      <c r="C12" t="str">
        <f t="shared" si="4"/>
        <v/>
      </c>
      <c r="D12" t="str">
        <f>IF(B12="", "",'Commercial Clothes Washer'!D21)</f>
        <v/>
      </c>
      <c r="E12" t="str">
        <f t="shared" si="0"/>
        <v/>
      </c>
      <c r="F12" t="str">
        <f>IF(B12="", "",'Commercial Clothes Washer'!E21)</f>
        <v/>
      </c>
      <c r="G12" t="str">
        <f>IF(B12="", "",'Commercial Clothes Washer'!F21)</f>
        <v/>
      </c>
      <c r="H12" t="str">
        <f>IF(B12="","",'Lookup Tables'!$D$27)</f>
        <v/>
      </c>
      <c r="K12" t="str">
        <f>IF(B12="", "",'Commercial Clothes Washer'!H21)</f>
        <v/>
      </c>
      <c r="L12" t="str">
        <f>IF(B12="", "",'Commercial Clothes Washer'!L21)</f>
        <v/>
      </c>
      <c r="N12" t="str">
        <f t="shared" si="1"/>
        <v>No</v>
      </c>
      <c r="O12" t="str">
        <f>IF(B12="", "",'Commercial Clothes Washer'!K21)</f>
        <v/>
      </c>
      <c r="T12" t="str">
        <f>IF(B12="","",VLOOKUP('Commercial Clothes Washer'!I21,'Lookup Tables'!$C$12:$D$14,2,FALSE))</f>
        <v/>
      </c>
      <c r="V12" s="127" t="str">
        <f>IF(B12="", "",'Commercial Clothes Washer'!M21)</f>
        <v/>
      </c>
      <c r="Y12" t="str">
        <f t="shared" si="5"/>
        <v/>
      </c>
      <c r="Z12" t="str">
        <f>IF(B12="","",'Commercial Clothes Washer'!B21)</f>
        <v/>
      </c>
      <c r="AC12" t="str">
        <f>IF(B12="", "",'Commercial Clothes Washer'!I21)</f>
        <v/>
      </c>
      <c r="AF12" s="128" t="str">
        <f>IF(B12="", "",'Commercial Clothes Washer'!C21)</f>
        <v/>
      </c>
      <c r="AJ12" t="str">
        <f>IF(B12="", "",'Commercial Clothes Washer'!J21)</f>
        <v/>
      </c>
      <c r="AK12" t="str">
        <f>IF(B12="", "",Summary!$C$9)</f>
        <v/>
      </c>
      <c r="AL12" t="str">
        <f t="shared" si="2"/>
        <v/>
      </c>
      <c r="AM12" t="str">
        <f>IF(B12="", "",'Commercial Clothes Washer'!G21)</f>
        <v/>
      </c>
      <c r="AN12" t="str">
        <f t="shared" si="3"/>
        <v/>
      </c>
      <c r="AO12" t="str">
        <f>IF(B12="","",Summary!$E$7*'Data Export'!AP12/SUM('Data Export'!$AP$2:$AP$64))</f>
        <v/>
      </c>
      <c r="AP12" s="127" t="str">
        <f>IF(B12="", "",'Commercial Clothes Washer'!N21)</f>
        <v/>
      </c>
      <c r="AQ12" t="str">
        <f>IF(B12="","",'Lookup Tables'!U44)</f>
        <v/>
      </c>
      <c r="AR12" t="str">
        <f>IF(B12="","",'Lookup Tables'!V44)</f>
        <v/>
      </c>
      <c r="AS12" t="str">
        <f>IF(B12="","",'Lookup Tables'!S44)</f>
        <v/>
      </c>
      <c r="AT12" t="str">
        <f>IF(B12="","",'Lookup Tables'!T44)</f>
        <v/>
      </c>
      <c r="AU12" t="str">
        <f t="shared" si="6"/>
        <v/>
      </c>
      <c r="AV12" t="str">
        <f>IF(B12="","",IF('Commercial Clothes Washer'!J21="Gas",1,0))</f>
        <v/>
      </c>
      <c r="AW12" t="str">
        <f>IF(B12="","",IF('Commercial Clothes Washer'!K21="Gas",1,0))</f>
        <v/>
      </c>
    </row>
    <row r="13" spans="1:55">
      <c r="A13">
        <f>IF(B13="", "", 12)</f>
        <v>12</v>
      </c>
      <c r="B13" t="str">
        <f>IF(OR('Non Comm Clothes Washer'!D12&lt;0,'Non Comm Clothes Washer'!N12=""),"",Summary!$B$27)</f>
        <v>Non Commercial Clothes Washer</v>
      </c>
      <c r="C13">
        <f>IF(B13="","",50740)</f>
        <v>50740</v>
      </c>
      <c r="D13" t="str">
        <f>IF(B13="", "",'Non Comm Clothes Washer'!D12)</f>
        <v/>
      </c>
      <c r="E13" t="str">
        <f t="shared" si="0"/>
        <v>Time of Sale</v>
      </c>
      <c r="F13">
        <f>IF(B13="", "",'Non Comm Clothes Washer'!E12)</f>
        <v>0</v>
      </c>
      <c r="G13">
        <f>IF(B13="", "",'Non Comm Clothes Washer'!F12)</f>
        <v>0</v>
      </c>
      <c r="H13">
        <f>IF(B13="","",'Lookup Tables'!$D$56)</f>
        <v>2.9000000000000001E-2</v>
      </c>
      <c r="L13">
        <f>IF(B13="", "",'Non Comm Clothes Washer'!K12)</f>
        <v>0</v>
      </c>
      <c r="N13" t="str">
        <f>IF(B13="","",IF('Non Comm Clothes Washer'!L12="ENERGY STAR","Yes","No"))</f>
        <v>No</v>
      </c>
      <c r="O13">
        <f>IF(B13="", "",'Non Comm Clothes Washer'!J12)</f>
        <v>0</v>
      </c>
      <c r="T13" t="e">
        <f>IF(B13="","",VLOOKUP('Non Comm Clothes Washer'!H12,'Lookup Tables'!$C$49:$D$51,2,FALSE))</f>
        <v>#N/A</v>
      </c>
      <c r="V13" s="127">
        <f>IF(B13="", "",'Non Comm Clothes Washer'!M12)</f>
        <v>0</v>
      </c>
      <c r="Y13" t="e">
        <f>IF(B13="","",IF('Non Comm Clothes Washer'!K12&gt;2.5,INDEX('Lookup Tables'!$S$53:$T$55,MATCH('Non Comm Clothes Washer'!L12,'Lookup Tables'!$P$53:$P$55,0),MATCH('Non Comm Clothes Washer'!H12,'Lookup Tables'!$S$51:$T$51,0)),IF('Non Comm Clothes Washer'!K12&lt;=2.5,INDEX('Lookup Tables'!$S$57:$T$58,MATCH('Non Comm Clothes Washer'!L12,'Lookup Tables'!$P$57:$P$58,0),MATCH('Non Comm Clothes Washer'!H12,'Lookup Tables'!$S$51:$T$51,0)),"")))</f>
        <v>#N/A</v>
      </c>
      <c r="Z13">
        <f>IF(B13="","",'Non Comm Clothes Washer'!B12)</f>
        <v>1</v>
      </c>
      <c r="AC13">
        <f>IF(B13="", "",'Non Comm Clothes Washer'!H12)</f>
        <v>0</v>
      </c>
      <c r="AF13" s="128" t="str">
        <f>IF(B13="", "",'Non Comm Clothes Washer'!C12)</f>
        <v/>
      </c>
      <c r="AK13">
        <f>IF(B13="", "",Summary!$C$9)</f>
        <v>0</v>
      </c>
      <c r="AL13">
        <f t="shared" si="2"/>
        <v>993519</v>
      </c>
      <c r="AM13">
        <f>IF(B13="", "",'Non Comm Clothes Washer'!G12)</f>
        <v>0</v>
      </c>
      <c r="AN13" t="str">
        <f t="shared" si="3"/>
        <v>PE-007500-EE-41</v>
      </c>
      <c r="AO13" t="e">
        <f>IF(B13="","",Summary!$E$7*'Data Export'!AP13/SUM('Data Export'!$AP$2:$AP$64))</f>
        <v>#VALUE!</v>
      </c>
      <c r="AP13" s="127">
        <f>IF(B13="", "",'Non Comm Clothes Washer'!N12)</f>
        <v>0</v>
      </c>
    </row>
    <row r="14" spans="1:55">
      <c r="A14">
        <f>IF(B14="", "", 13)</f>
        <v>13</v>
      </c>
      <c r="B14" t="str">
        <f>IF(OR('Non Comm Clothes Washer'!D13&lt;0,'Non Comm Clothes Washer'!N13=""),"",Summary!$B$27)</f>
        <v>Non Commercial Clothes Washer</v>
      </c>
      <c r="C14">
        <f t="shared" ref="C14:C22" si="7">IF(B14="","",50740)</f>
        <v>50740</v>
      </c>
      <c r="D14" t="str">
        <f>IF(B14="", "",'Non Comm Clothes Washer'!D13)</f>
        <v/>
      </c>
      <c r="E14" t="str">
        <f t="shared" si="0"/>
        <v>Time of Sale</v>
      </c>
      <c r="F14">
        <f>IF(B14="", "",'Non Comm Clothes Washer'!E13)</f>
        <v>0</v>
      </c>
      <c r="G14">
        <f>IF(B14="", "",'Non Comm Clothes Washer'!F13)</f>
        <v>0</v>
      </c>
      <c r="H14">
        <f>IF(B14="","",'Lookup Tables'!$D$56)</f>
        <v>2.9000000000000001E-2</v>
      </c>
      <c r="L14">
        <f>IF(B14="", "",'Non Comm Clothes Washer'!K13)</f>
        <v>0</v>
      </c>
      <c r="N14" t="str">
        <f>IF(B14="","",IF('Non Comm Clothes Washer'!L13="ENERGY STAR","Yes","No"))</f>
        <v>No</v>
      </c>
      <c r="O14">
        <f>IF(B14="", "",'Non Comm Clothes Washer'!J13)</f>
        <v>0</v>
      </c>
      <c r="T14" t="e">
        <f>IF(B14="","",VLOOKUP('Non Comm Clothes Washer'!H13,'Lookup Tables'!$C$49:$D$51,2,FALSE))</f>
        <v>#N/A</v>
      </c>
      <c r="V14" s="127">
        <f>IF(B14="", "",'Non Comm Clothes Washer'!M13)</f>
        <v>0</v>
      </c>
      <c r="Y14" t="e">
        <f>IF(B14="","",IF('Non Comm Clothes Washer'!K13&gt;2.5,INDEX('Lookup Tables'!$S$53:$T$55,MATCH('Non Comm Clothes Washer'!L13,'Lookup Tables'!$P$53:$P$55,0),MATCH('Non Comm Clothes Washer'!H13,'Lookup Tables'!$S$51:$T$51,0)),IF('Non Comm Clothes Washer'!K13&lt;=2.5,INDEX('Lookup Tables'!$S$57:$T$58,MATCH('Non Comm Clothes Washer'!L13,'Lookup Tables'!$P$57:$P$58,0),MATCH('Non Comm Clothes Washer'!H13,'Lookup Tables'!$S$51:$T$51,0)),"")))</f>
        <v>#N/A</v>
      </c>
      <c r="Z14">
        <f>IF(B14="","",'Non Comm Clothes Washer'!B13)</f>
        <v>2</v>
      </c>
      <c r="AC14">
        <f>IF(B14="", "",'Non Comm Clothes Washer'!H13)</f>
        <v>0</v>
      </c>
      <c r="AF14" s="128" t="str">
        <f>IF(B14="", "",'Non Comm Clothes Washer'!C13)</f>
        <v/>
      </c>
      <c r="AK14">
        <f>IF(B14="", "",Summary!$C$9)</f>
        <v>0</v>
      </c>
      <c r="AL14">
        <f t="shared" si="2"/>
        <v>993519</v>
      </c>
      <c r="AM14">
        <f>IF(B14="", "",'Non Comm Clothes Washer'!G13)</f>
        <v>0</v>
      </c>
      <c r="AN14" t="str">
        <f t="shared" si="3"/>
        <v>PE-007500-EE-41</v>
      </c>
      <c r="AO14" t="e">
        <f>IF(B14="","",Summary!$E$7*'Data Export'!AP14/SUM('Data Export'!$AP$2:$AP$64))</f>
        <v>#VALUE!</v>
      </c>
      <c r="AP14" s="127">
        <f>IF(B14="", "",'Non Comm Clothes Washer'!N13)</f>
        <v>0</v>
      </c>
    </row>
    <row r="15" spans="1:55">
      <c r="A15">
        <f>IF(B15="", "", 14)</f>
        <v>14</v>
      </c>
      <c r="B15" t="str">
        <f>IF(OR('Non Comm Clothes Washer'!D14&lt;0,'Non Comm Clothes Washer'!N14=""),"",Summary!$B$27)</f>
        <v>Non Commercial Clothes Washer</v>
      </c>
      <c r="C15">
        <f t="shared" si="7"/>
        <v>50740</v>
      </c>
      <c r="D15" t="str">
        <f>IF(B15="", "",'Non Comm Clothes Washer'!D14)</f>
        <v/>
      </c>
      <c r="E15" t="str">
        <f t="shared" si="0"/>
        <v>Time of Sale</v>
      </c>
      <c r="F15">
        <f>IF(B15="", "",'Non Comm Clothes Washer'!E14)</f>
        <v>0</v>
      </c>
      <c r="G15">
        <f>IF(B15="", "",'Non Comm Clothes Washer'!F14)</f>
        <v>0</v>
      </c>
      <c r="H15">
        <f>IF(B15="","",'Lookup Tables'!$D$56)</f>
        <v>2.9000000000000001E-2</v>
      </c>
      <c r="L15">
        <f>IF(B15="", "",'Non Comm Clothes Washer'!K14)</f>
        <v>0</v>
      </c>
      <c r="N15" t="str">
        <f>IF(B15="","",IF('Non Comm Clothes Washer'!L14="ENERGY STAR","Yes","No"))</f>
        <v>No</v>
      </c>
      <c r="O15">
        <f>IF(B15="", "",'Non Comm Clothes Washer'!J14)</f>
        <v>0</v>
      </c>
      <c r="T15" t="e">
        <f>IF(B15="","",VLOOKUP('Non Comm Clothes Washer'!H14,'Lookup Tables'!$C$49:$D$51,2,FALSE))</f>
        <v>#N/A</v>
      </c>
      <c r="V15" s="127">
        <f>IF(B15="", "",'Non Comm Clothes Washer'!M14)</f>
        <v>0</v>
      </c>
      <c r="Y15" t="e">
        <f>IF(B15="","",IF('Non Comm Clothes Washer'!K14&gt;2.5,INDEX('Lookup Tables'!$S$53:$T$55,MATCH('Non Comm Clothes Washer'!L14,'Lookup Tables'!$P$53:$P$55,0),MATCH('Non Comm Clothes Washer'!H14,'Lookup Tables'!$S$51:$T$51,0)),IF('Non Comm Clothes Washer'!K14&lt;=2.5,INDEX('Lookup Tables'!$S$57:$T$58,MATCH('Non Comm Clothes Washer'!L14,'Lookup Tables'!$P$57:$P$58,0),MATCH('Non Comm Clothes Washer'!H14,'Lookup Tables'!$S$51:$T$51,0)),"")))</f>
        <v>#N/A</v>
      </c>
      <c r="Z15">
        <f>IF(B15="","",'Non Comm Clothes Washer'!B14)</f>
        <v>3</v>
      </c>
      <c r="AC15">
        <f>IF(B15="", "",'Non Comm Clothes Washer'!H14)</f>
        <v>0</v>
      </c>
      <c r="AF15" s="128" t="str">
        <f>IF(B15="", "",'Non Comm Clothes Washer'!C14)</f>
        <v/>
      </c>
      <c r="AK15">
        <f>IF(B15="", "",Summary!$C$9)</f>
        <v>0</v>
      </c>
      <c r="AL15">
        <f t="shared" si="2"/>
        <v>993519</v>
      </c>
      <c r="AM15">
        <f>IF(B15="", "",'Non Comm Clothes Washer'!G14)</f>
        <v>0</v>
      </c>
      <c r="AN15" t="str">
        <f t="shared" si="3"/>
        <v>PE-007500-EE-41</v>
      </c>
      <c r="AO15" t="e">
        <f>IF(B15="","",Summary!$E$7*'Data Export'!AP15/SUM('Data Export'!$AP$2:$AP$64))</f>
        <v>#VALUE!</v>
      </c>
      <c r="AP15" s="127">
        <f>IF(B15="", "",'Non Comm Clothes Washer'!N14)</f>
        <v>0</v>
      </c>
    </row>
    <row r="16" spans="1:55">
      <c r="A16">
        <f>IF(B16="", "", 15)</f>
        <v>15</v>
      </c>
      <c r="B16" t="str">
        <f>IF(OR('Non Comm Clothes Washer'!D15&lt;0,'Non Comm Clothes Washer'!N15=""),"",Summary!$B$27)</f>
        <v>Non Commercial Clothes Washer</v>
      </c>
      <c r="C16">
        <f t="shared" si="7"/>
        <v>50740</v>
      </c>
      <c r="D16" t="str">
        <f>IF(B16="", "",'Non Comm Clothes Washer'!D15)</f>
        <v/>
      </c>
      <c r="E16" t="str">
        <f t="shared" si="0"/>
        <v>Time of Sale</v>
      </c>
      <c r="F16">
        <f>IF(B16="", "",'Non Comm Clothes Washer'!E15)</f>
        <v>0</v>
      </c>
      <c r="G16">
        <f>IF(B16="", "",'Non Comm Clothes Washer'!F15)</f>
        <v>0</v>
      </c>
      <c r="H16">
        <f>IF(B16="","",'Lookup Tables'!$D$56)</f>
        <v>2.9000000000000001E-2</v>
      </c>
      <c r="L16">
        <f>IF(B16="", "",'Non Comm Clothes Washer'!K15)</f>
        <v>0</v>
      </c>
      <c r="N16" t="str">
        <f>IF(B16="","",IF('Non Comm Clothes Washer'!L15="ENERGY STAR","Yes","No"))</f>
        <v>No</v>
      </c>
      <c r="O16">
        <f>IF(B16="", "",'Non Comm Clothes Washer'!J15)</f>
        <v>0</v>
      </c>
      <c r="T16" t="e">
        <f>IF(B16="","",VLOOKUP('Non Comm Clothes Washer'!H15,'Lookup Tables'!$C$49:$D$51,2,FALSE))</f>
        <v>#N/A</v>
      </c>
      <c r="V16" s="127">
        <f>IF(B16="", "",'Non Comm Clothes Washer'!M15)</f>
        <v>0</v>
      </c>
      <c r="Y16" t="e">
        <f>IF(B16="","",IF('Non Comm Clothes Washer'!K15&gt;2.5,INDEX('Lookup Tables'!$S$53:$T$55,MATCH('Non Comm Clothes Washer'!L15,'Lookup Tables'!$P$53:$P$55,0),MATCH('Non Comm Clothes Washer'!H15,'Lookup Tables'!$S$51:$T$51,0)),IF('Non Comm Clothes Washer'!K15&lt;=2.5,INDEX('Lookup Tables'!$S$57:$T$58,MATCH('Non Comm Clothes Washer'!L15,'Lookup Tables'!$P$57:$P$58,0),MATCH('Non Comm Clothes Washer'!H15,'Lookup Tables'!$S$51:$T$51,0)),"")))</f>
        <v>#N/A</v>
      </c>
      <c r="Z16">
        <f>IF(B16="","",'Non Comm Clothes Washer'!B15)</f>
        <v>4</v>
      </c>
      <c r="AC16">
        <f>IF(B16="", "",'Non Comm Clothes Washer'!H15)</f>
        <v>0</v>
      </c>
      <c r="AF16" s="128" t="str">
        <f>IF(B16="", "",'Non Comm Clothes Washer'!C15)</f>
        <v/>
      </c>
      <c r="AK16">
        <f>IF(B16="", "",Summary!$C$9)</f>
        <v>0</v>
      </c>
      <c r="AL16">
        <f t="shared" si="2"/>
        <v>993519</v>
      </c>
      <c r="AM16">
        <f>IF(B16="", "",'Non Comm Clothes Washer'!G15)</f>
        <v>0</v>
      </c>
      <c r="AN16" t="str">
        <f t="shared" si="3"/>
        <v>PE-007500-EE-41</v>
      </c>
      <c r="AO16" t="e">
        <f>IF(B16="","",Summary!$E$7*'Data Export'!AP16/SUM('Data Export'!$AP$2:$AP$64))</f>
        <v>#VALUE!</v>
      </c>
      <c r="AP16" s="127">
        <f>IF(B16="", "",'Non Comm Clothes Washer'!N15)</f>
        <v>0</v>
      </c>
    </row>
    <row r="17" spans="1:42">
      <c r="A17">
        <f>IF(B17="", "", 16)</f>
        <v>16</v>
      </c>
      <c r="B17" t="str">
        <f>IF(OR('Non Comm Clothes Washer'!D16&lt;0,'Non Comm Clothes Washer'!N16=""),"",Summary!$B$27)</f>
        <v>Non Commercial Clothes Washer</v>
      </c>
      <c r="C17">
        <f t="shared" si="7"/>
        <v>50740</v>
      </c>
      <c r="D17" t="str">
        <f>IF(B17="", "",'Non Comm Clothes Washer'!D16)</f>
        <v/>
      </c>
      <c r="E17" t="str">
        <f t="shared" si="0"/>
        <v>Time of Sale</v>
      </c>
      <c r="F17">
        <f>IF(B17="", "",'Non Comm Clothes Washer'!E16)</f>
        <v>0</v>
      </c>
      <c r="G17">
        <f>IF(B17="", "",'Non Comm Clothes Washer'!F16)</f>
        <v>0</v>
      </c>
      <c r="H17">
        <f>IF(B17="","",'Lookup Tables'!$D$56)</f>
        <v>2.9000000000000001E-2</v>
      </c>
      <c r="L17">
        <f>IF(B17="", "",'Non Comm Clothes Washer'!K16)</f>
        <v>0</v>
      </c>
      <c r="N17" t="str">
        <f>IF(B17="","",IF('Non Comm Clothes Washer'!L16="ENERGY STAR","Yes","No"))</f>
        <v>No</v>
      </c>
      <c r="O17">
        <f>IF(B17="", "",'Non Comm Clothes Washer'!J16)</f>
        <v>0</v>
      </c>
      <c r="T17" t="e">
        <f>IF(B17="","",VLOOKUP('Non Comm Clothes Washer'!H16,'Lookup Tables'!$C$49:$D$51,2,FALSE))</f>
        <v>#N/A</v>
      </c>
      <c r="V17" s="127">
        <f>IF(B17="", "",'Non Comm Clothes Washer'!M16)</f>
        <v>0</v>
      </c>
      <c r="Y17" t="e">
        <f>IF(B17="","",IF('Non Comm Clothes Washer'!K16&gt;2.5,INDEX('Lookup Tables'!$S$53:$T$55,MATCH('Non Comm Clothes Washer'!L16,'Lookup Tables'!$P$53:$P$55,0),MATCH('Non Comm Clothes Washer'!H16,'Lookup Tables'!$S$51:$T$51,0)),IF('Non Comm Clothes Washer'!K16&lt;=2.5,INDEX('Lookup Tables'!$S$57:$T$58,MATCH('Non Comm Clothes Washer'!L16,'Lookup Tables'!$P$57:$P$58,0),MATCH('Non Comm Clothes Washer'!H16,'Lookup Tables'!$S$51:$T$51,0)),"")))</f>
        <v>#N/A</v>
      </c>
      <c r="Z17">
        <f>IF(B17="","",'Non Comm Clothes Washer'!B16)</f>
        <v>5</v>
      </c>
      <c r="AC17">
        <f>IF(B17="", "",'Non Comm Clothes Washer'!H16)</f>
        <v>0</v>
      </c>
      <c r="AF17" s="128" t="str">
        <f>IF(B17="", "",'Non Comm Clothes Washer'!C16)</f>
        <v/>
      </c>
      <c r="AK17">
        <f>IF(B17="", "",Summary!$C$9)</f>
        <v>0</v>
      </c>
      <c r="AL17">
        <f t="shared" si="2"/>
        <v>993519</v>
      </c>
      <c r="AM17">
        <f>IF(B17="", "",'Non Comm Clothes Washer'!G16)</f>
        <v>0</v>
      </c>
      <c r="AN17" t="str">
        <f t="shared" si="3"/>
        <v>PE-007500-EE-41</v>
      </c>
      <c r="AO17" t="e">
        <f>IF(B17="","",Summary!$E$7*'Data Export'!AP17/SUM('Data Export'!$AP$2:$AP$64))</f>
        <v>#VALUE!</v>
      </c>
      <c r="AP17" s="127">
        <f>IF(B17="", "",'Non Comm Clothes Washer'!N16)</f>
        <v>0</v>
      </c>
    </row>
    <row r="18" spans="1:42">
      <c r="A18">
        <f>IF(B18="", "", 17)</f>
        <v>17</v>
      </c>
      <c r="B18" t="str">
        <f>IF(OR('Non Comm Clothes Washer'!D17&lt;0,'Non Comm Clothes Washer'!N17=""),"",Summary!$B$27)</f>
        <v>Non Commercial Clothes Washer</v>
      </c>
      <c r="C18">
        <f t="shared" si="7"/>
        <v>50740</v>
      </c>
      <c r="D18" t="str">
        <f>IF(B18="", "",'Non Comm Clothes Washer'!D17)</f>
        <v/>
      </c>
      <c r="E18" t="str">
        <f t="shared" si="0"/>
        <v>Time of Sale</v>
      </c>
      <c r="F18">
        <f>IF(B18="", "",'Non Comm Clothes Washer'!E17)</f>
        <v>0</v>
      </c>
      <c r="G18">
        <f>IF(B18="", "",'Non Comm Clothes Washer'!F17)</f>
        <v>0</v>
      </c>
      <c r="H18">
        <f>IF(B18="","",'Lookup Tables'!$D$56)</f>
        <v>2.9000000000000001E-2</v>
      </c>
      <c r="L18">
        <f>IF(B18="", "",'Non Comm Clothes Washer'!K17)</f>
        <v>0</v>
      </c>
      <c r="N18" t="str">
        <f>IF(B18="","",IF('Non Comm Clothes Washer'!L17="ENERGY STAR","Yes","No"))</f>
        <v>No</v>
      </c>
      <c r="O18">
        <f>IF(B18="", "",'Non Comm Clothes Washer'!J17)</f>
        <v>0</v>
      </c>
      <c r="T18" t="e">
        <f>IF(B18="","",VLOOKUP('Non Comm Clothes Washer'!H17,'Lookup Tables'!$C$49:$D$51,2,FALSE))</f>
        <v>#N/A</v>
      </c>
      <c r="V18" s="127">
        <f>IF(B18="", "",'Non Comm Clothes Washer'!M17)</f>
        <v>0</v>
      </c>
      <c r="Y18" t="e">
        <f>IF(B18="","",IF('Non Comm Clothes Washer'!K17&gt;2.5,INDEX('Lookup Tables'!$S$53:$T$55,MATCH('Non Comm Clothes Washer'!L17,'Lookup Tables'!$P$53:$P$55,0),MATCH('Non Comm Clothes Washer'!H17,'Lookup Tables'!$S$51:$T$51,0)),IF('Non Comm Clothes Washer'!K17&lt;=2.5,INDEX('Lookup Tables'!$S$57:$T$58,MATCH('Non Comm Clothes Washer'!L17,'Lookup Tables'!$P$57:$P$58,0),MATCH('Non Comm Clothes Washer'!H17,'Lookup Tables'!$S$51:$T$51,0)),"")))</f>
        <v>#N/A</v>
      </c>
      <c r="Z18">
        <f>IF(B18="","",'Non Comm Clothes Washer'!B17)</f>
        <v>6</v>
      </c>
      <c r="AC18">
        <f>IF(B18="", "",'Non Comm Clothes Washer'!H17)</f>
        <v>0</v>
      </c>
      <c r="AF18" s="128" t="str">
        <f>IF(B18="", "",'Non Comm Clothes Washer'!C17)</f>
        <v/>
      </c>
      <c r="AK18">
        <f>IF(B18="", "",Summary!$C$9)</f>
        <v>0</v>
      </c>
      <c r="AL18">
        <f t="shared" si="2"/>
        <v>993519</v>
      </c>
      <c r="AM18">
        <f>IF(B18="", "",'Non Comm Clothes Washer'!G17)</f>
        <v>0</v>
      </c>
      <c r="AN18" t="str">
        <f t="shared" si="3"/>
        <v>PE-007500-EE-41</v>
      </c>
      <c r="AO18" t="e">
        <f>IF(B18="","",Summary!$E$7*'Data Export'!AP18/SUM('Data Export'!$AP$2:$AP$64))</f>
        <v>#VALUE!</v>
      </c>
      <c r="AP18" s="127">
        <f>IF(B18="", "",'Non Comm Clothes Washer'!N17)</f>
        <v>0</v>
      </c>
    </row>
    <row r="19" spans="1:42">
      <c r="A19">
        <f>IF(B19="", "", 18)</f>
        <v>18</v>
      </c>
      <c r="B19" t="str">
        <f>IF(OR('Non Comm Clothes Washer'!D18&lt;0,'Non Comm Clothes Washer'!N18=""),"",Summary!$B$27)</f>
        <v>Non Commercial Clothes Washer</v>
      </c>
      <c r="C19">
        <f t="shared" si="7"/>
        <v>50740</v>
      </c>
      <c r="D19" t="str">
        <f>IF(B19="", "",'Non Comm Clothes Washer'!D18)</f>
        <v/>
      </c>
      <c r="E19" t="str">
        <f t="shared" si="0"/>
        <v>Time of Sale</v>
      </c>
      <c r="F19">
        <f>IF(B19="", "",'Non Comm Clothes Washer'!E18)</f>
        <v>0</v>
      </c>
      <c r="G19">
        <f>IF(B19="", "",'Non Comm Clothes Washer'!F18)</f>
        <v>0</v>
      </c>
      <c r="H19">
        <f>IF(B19="","",'Lookup Tables'!$D$56)</f>
        <v>2.9000000000000001E-2</v>
      </c>
      <c r="L19">
        <f>IF(B19="", "",'Non Comm Clothes Washer'!K18)</f>
        <v>0</v>
      </c>
      <c r="N19" t="str">
        <f>IF(B19="","",IF('Non Comm Clothes Washer'!L18="ENERGY STAR","Yes","No"))</f>
        <v>No</v>
      </c>
      <c r="O19">
        <f>IF(B19="", "",'Non Comm Clothes Washer'!J18)</f>
        <v>0</v>
      </c>
      <c r="T19" t="e">
        <f>IF(B19="","",VLOOKUP('Non Comm Clothes Washer'!H18,'Lookup Tables'!$C$49:$D$51,2,FALSE))</f>
        <v>#N/A</v>
      </c>
      <c r="V19" s="127">
        <f>IF(B19="", "",'Non Comm Clothes Washer'!M18)</f>
        <v>0</v>
      </c>
      <c r="Y19" t="e">
        <f>IF(B19="","",IF('Non Comm Clothes Washer'!K18&gt;2.5,INDEX('Lookup Tables'!$S$53:$T$55,MATCH('Non Comm Clothes Washer'!L18,'Lookup Tables'!$P$53:$P$55,0),MATCH('Non Comm Clothes Washer'!H18,'Lookup Tables'!$S$51:$T$51,0)),IF('Non Comm Clothes Washer'!K18&lt;=2.5,INDEX('Lookup Tables'!$S$57:$T$58,MATCH('Non Comm Clothes Washer'!L18,'Lookup Tables'!$P$57:$P$58,0),MATCH('Non Comm Clothes Washer'!H18,'Lookup Tables'!$S$51:$T$51,0)),"")))</f>
        <v>#N/A</v>
      </c>
      <c r="Z19">
        <f>IF(B19="","",'Non Comm Clothes Washer'!B18)</f>
        <v>7</v>
      </c>
      <c r="AC19">
        <f>IF(B19="", "",'Non Comm Clothes Washer'!H18)</f>
        <v>0</v>
      </c>
      <c r="AF19" s="128" t="str">
        <f>IF(B19="", "",'Non Comm Clothes Washer'!C18)</f>
        <v/>
      </c>
      <c r="AK19">
        <f>IF(B19="", "",Summary!$C$9)</f>
        <v>0</v>
      </c>
      <c r="AL19">
        <f t="shared" si="2"/>
        <v>993519</v>
      </c>
      <c r="AM19">
        <f>IF(B19="", "",'Non Comm Clothes Washer'!G18)</f>
        <v>0</v>
      </c>
      <c r="AN19" t="str">
        <f t="shared" si="3"/>
        <v>PE-007500-EE-41</v>
      </c>
      <c r="AO19" t="e">
        <f>IF(B19="","",Summary!$E$7*'Data Export'!AP19/SUM('Data Export'!$AP$2:$AP$64))</f>
        <v>#VALUE!</v>
      </c>
      <c r="AP19" s="127">
        <f>IF(B19="", "",'Non Comm Clothes Washer'!N18)</f>
        <v>0</v>
      </c>
    </row>
    <row r="20" spans="1:42">
      <c r="A20">
        <f>IF(B20="", "", 19)</f>
        <v>19</v>
      </c>
      <c r="B20" t="str">
        <f>IF(OR('Non Comm Clothes Washer'!D19&lt;0,'Non Comm Clothes Washer'!N19=""),"",Summary!$B$27)</f>
        <v>Non Commercial Clothes Washer</v>
      </c>
      <c r="C20">
        <f t="shared" si="7"/>
        <v>50740</v>
      </c>
      <c r="D20" t="str">
        <f>IF(B20="", "",'Non Comm Clothes Washer'!D19)</f>
        <v/>
      </c>
      <c r="E20" t="str">
        <f t="shared" si="0"/>
        <v>Time of Sale</v>
      </c>
      <c r="F20">
        <f>IF(B20="", "",'Non Comm Clothes Washer'!E19)</f>
        <v>0</v>
      </c>
      <c r="G20">
        <f>IF(B20="", "",'Non Comm Clothes Washer'!F19)</f>
        <v>0</v>
      </c>
      <c r="H20">
        <f>IF(B20="","",'Lookup Tables'!$D$56)</f>
        <v>2.9000000000000001E-2</v>
      </c>
      <c r="L20">
        <f>IF(B20="", "",'Non Comm Clothes Washer'!K19)</f>
        <v>0</v>
      </c>
      <c r="N20" t="str">
        <f>IF(B20="","",IF('Non Comm Clothes Washer'!L19="ENERGY STAR","Yes","No"))</f>
        <v>No</v>
      </c>
      <c r="O20">
        <f>IF(B20="", "",'Non Comm Clothes Washer'!J19)</f>
        <v>0</v>
      </c>
      <c r="T20" t="e">
        <f>IF(B20="","",VLOOKUP('Non Comm Clothes Washer'!H19,'Lookup Tables'!$C$49:$D$51,2,FALSE))</f>
        <v>#N/A</v>
      </c>
      <c r="V20" s="127">
        <f>IF(B20="", "",'Non Comm Clothes Washer'!M19)</f>
        <v>0</v>
      </c>
      <c r="Y20" t="e">
        <f>IF(B20="","",IF('Non Comm Clothes Washer'!K19&gt;2.5,INDEX('Lookup Tables'!$S$53:$T$55,MATCH('Non Comm Clothes Washer'!L19,'Lookup Tables'!$P$53:$P$55,0),MATCH('Non Comm Clothes Washer'!H19,'Lookup Tables'!$S$51:$T$51,0)),IF('Non Comm Clothes Washer'!K19&lt;=2.5,INDEX('Lookup Tables'!$S$57:$T$58,MATCH('Non Comm Clothes Washer'!L19,'Lookup Tables'!$P$57:$P$58,0),MATCH('Non Comm Clothes Washer'!H19,'Lookup Tables'!$S$51:$T$51,0)),"")))</f>
        <v>#N/A</v>
      </c>
      <c r="Z20">
        <f>IF(B20="","",'Non Comm Clothes Washer'!B19)</f>
        <v>8</v>
      </c>
      <c r="AC20">
        <f>IF(B20="", "",'Non Comm Clothes Washer'!H19)</f>
        <v>0</v>
      </c>
      <c r="AF20" s="128" t="str">
        <f>IF(B20="", "",'Non Comm Clothes Washer'!C19)</f>
        <v/>
      </c>
      <c r="AK20">
        <f>IF(B20="", "",Summary!$C$9)</f>
        <v>0</v>
      </c>
      <c r="AL20">
        <f t="shared" si="2"/>
        <v>993519</v>
      </c>
      <c r="AM20">
        <f>IF(B20="", "",'Non Comm Clothes Washer'!G19)</f>
        <v>0</v>
      </c>
      <c r="AN20" t="str">
        <f t="shared" si="3"/>
        <v>PE-007500-EE-41</v>
      </c>
      <c r="AO20" t="e">
        <f>IF(B20="","",Summary!$E$7*'Data Export'!AP20/SUM('Data Export'!$AP$2:$AP$64))</f>
        <v>#VALUE!</v>
      </c>
      <c r="AP20" s="127">
        <f>IF(B20="", "",'Non Comm Clothes Washer'!N19)</f>
        <v>0</v>
      </c>
    </row>
    <row r="21" spans="1:42">
      <c r="A21">
        <f>IF(B21="", "", 20)</f>
        <v>20</v>
      </c>
      <c r="B21" t="str">
        <f>IF(OR('Non Comm Clothes Washer'!D20&lt;0,'Non Comm Clothes Washer'!N20=""),"",Summary!$B$27)</f>
        <v>Non Commercial Clothes Washer</v>
      </c>
      <c r="C21">
        <f t="shared" si="7"/>
        <v>50740</v>
      </c>
      <c r="D21" t="str">
        <f>IF(B21="", "",'Non Comm Clothes Washer'!D20)</f>
        <v/>
      </c>
      <c r="E21" t="str">
        <f t="shared" si="0"/>
        <v>Time of Sale</v>
      </c>
      <c r="F21">
        <f>IF(B21="", "",'Non Comm Clothes Washer'!E20)</f>
        <v>0</v>
      </c>
      <c r="G21">
        <f>IF(B21="", "",'Non Comm Clothes Washer'!F20)</f>
        <v>0</v>
      </c>
      <c r="H21">
        <f>IF(B21="","",'Lookup Tables'!$D$56)</f>
        <v>2.9000000000000001E-2</v>
      </c>
      <c r="L21">
        <f>IF(B21="", "",'Non Comm Clothes Washer'!K20)</f>
        <v>0</v>
      </c>
      <c r="N21" t="str">
        <f>IF(B21="","",IF('Non Comm Clothes Washer'!L20="ENERGY STAR","Yes","No"))</f>
        <v>No</v>
      </c>
      <c r="O21">
        <f>IF(B21="", "",'Non Comm Clothes Washer'!J20)</f>
        <v>0</v>
      </c>
      <c r="T21" t="e">
        <f>IF(B21="","",VLOOKUP('Non Comm Clothes Washer'!H20,'Lookup Tables'!$C$49:$D$51,2,FALSE))</f>
        <v>#N/A</v>
      </c>
      <c r="V21" s="127">
        <f>IF(B21="", "",'Non Comm Clothes Washer'!M20)</f>
        <v>0</v>
      </c>
      <c r="Y21" t="e">
        <f>IF(B21="","",IF('Non Comm Clothes Washer'!K20&gt;2.5,INDEX('Lookup Tables'!$S$53:$T$55,MATCH('Non Comm Clothes Washer'!L20,'Lookup Tables'!$P$53:$P$55,0),MATCH('Non Comm Clothes Washer'!H20,'Lookup Tables'!$S$51:$T$51,0)),IF('Non Comm Clothes Washer'!K20&lt;=2.5,INDEX('Lookup Tables'!$S$57:$T$58,MATCH('Non Comm Clothes Washer'!L20,'Lookup Tables'!$P$57:$P$58,0),MATCH('Non Comm Clothes Washer'!H20,'Lookup Tables'!$S$51:$T$51,0)),"")))</f>
        <v>#N/A</v>
      </c>
      <c r="Z21">
        <f>IF(B21="","",'Non Comm Clothes Washer'!B20)</f>
        <v>9</v>
      </c>
      <c r="AC21">
        <f>IF(B21="", "",'Non Comm Clothes Washer'!H20)</f>
        <v>0</v>
      </c>
      <c r="AF21" s="128" t="str">
        <f>IF(B21="", "",'Non Comm Clothes Washer'!C20)</f>
        <v/>
      </c>
      <c r="AK21">
        <f>IF(B21="", "",Summary!$C$9)</f>
        <v>0</v>
      </c>
      <c r="AL21">
        <f t="shared" si="2"/>
        <v>993519</v>
      </c>
      <c r="AM21">
        <f>IF(B21="", "",'Non Comm Clothes Washer'!G20)</f>
        <v>0</v>
      </c>
      <c r="AN21" t="str">
        <f t="shared" si="3"/>
        <v>PE-007500-EE-41</v>
      </c>
      <c r="AO21" t="e">
        <f>IF(B21="","",Summary!$E$7*'Data Export'!AP21/SUM('Data Export'!$AP$2:$AP$64))</f>
        <v>#VALUE!</v>
      </c>
      <c r="AP21" s="127">
        <f>IF(B21="", "",'Non Comm Clothes Washer'!N20)</f>
        <v>0</v>
      </c>
    </row>
    <row r="22" spans="1:42">
      <c r="A22">
        <f>IF(B22="", "", 21)</f>
        <v>21</v>
      </c>
      <c r="B22" t="str">
        <f>IF(OR('Non Comm Clothes Washer'!D21&lt;0,'Non Comm Clothes Washer'!N21=""),"",Summary!$B$27)</f>
        <v>Non Commercial Clothes Washer</v>
      </c>
      <c r="C22">
        <f t="shared" si="7"/>
        <v>50740</v>
      </c>
      <c r="D22" t="str">
        <f>IF(B22="", "",'Non Comm Clothes Washer'!D21)</f>
        <v/>
      </c>
      <c r="E22" t="str">
        <f t="shared" si="0"/>
        <v>Time of Sale</v>
      </c>
      <c r="F22">
        <f>IF(B22="", "",'Non Comm Clothes Washer'!E21)</f>
        <v>0</v>
      </c>
      <c r="G22">
        <f>IF(B22="", "",'Non Comm Clothes Washer'!F21)</f>
        <v>0</v>
      </c>
      <c r="H22">
        <f>IF(B22="","",'Lookup Tables'!$D$56)</f>
        <v>2.9000000000000001E-2</v>
      </c>
      <c r="L22">
        <f>IF(B22="", "",'Non Comm Clothes Washer'!K21)</f>
        <v>0</v>
      </c>
      <c r="N22" t="str">
        <f>IF(B22="","",IF('Non Comm Clothes Washer'!L21="ENERGY STAR","Yes","No"))</f>
        <v>No</v>
      </c>
      <c r="O22">
        <f>IF(B22="", "",'Non Comm Clothes Washer'!J21)</f>
        <v>0</v>
      </c>
      <c r="T22" t="e">
        <f>IF(B22="","",VLOOKUP('Non Comm Clothes Washer'!H21,'Lookup Tables'!$C$49:$D$51,2,FALSE))</f>
        <v>#N/A</v>
      </c>
      <c r="V22" s="127">
        <f>IF(B22="", "",'Non Comm Clothes Washer'!M21)</f>
        <v>0</v>
      </c>
      <c r="Y22" t="e">
        <f>IF(B22="","",IF('Non Comm Clothes Washer'!K21&gt;2.5,INDEX('Lookup Tables'!$S$53:$T$55,MATCH('Non Comm Clothes Washer'!L21,'Lookup Tables'!$P$53:$P$55,0),MATCH('Non Comm Clothes Washer'!H21,'Lookup Tables'!$S$51:$T$51,0)),IF('Non Comm Clothes Washer'!K21&lt;=2.5,INDEX('Lookup Tables'!$S$57:$T$58,MATCH('Non Comm Clothes Washer'!L21,'Lookup Tables'!$P$57:$P$58,0),MATCH('Non Comm Clothes Washer'!H21,'Lookup Tables'!$S$51:$T$51,0)),"")))</f>
        <v>#N/A</v>
      </c>
      <c r="Z22">
        <f>IF(B22="","",'Non Comm Clothes Washer'!B21)</f>
        <v>10</v>
      </c>
      <c r="AC22">
        <f>IF(B22="", "",'Non Comm Clothes Washer'!H21)</f>
        <v>0</v>
      </c>
      <c r="AF22" s="128" t="str">
        <f>IF(B22="", "",'Non Comm Clothes Washer'!C21)</f>
        <v/>
      </c>
      <c r="AK22">
        <f>IF(B22="", "",Summary!$C$9)</f>
        <v>0</v>
      </c>
      <c r="AL22">
        <f t="shared" si="2"/>
        <v>993519</v>
      </c>
      <c r="AM22">
        <f>IF(B22="", "",'Non Comm Clothes Washer'!G21)</f>
        <v>0</v>
      </c>
      <c r="AN22" t="str">
        <f t="shared" si="3"/>
        <v>PE-007500-EE-41</v>
      </c>
      <c r="AO22" t="e">
        <f>IF(B22="","",Summary!$E$7*'Data Export'!AP22/SUM('Data Export'!$AP$2:$AP$64))</f>
        <v>#VALUE!</v>
      </c>
      <c r="AP22" s="127">
        <f>IF(B22="", "",'Non Comm Clothes Washer'!N21)</f>
        <v>0</v>
      </c>
    </row>
    <row r="23" spans="1:42">
      <c r="A23" t="str">
        <f>IF(B23="", "", 22)</f>
        <v/>
      </c>
      <c r="B23" t="str">
        <f>IF(OR('Clothes Dryer'!M15="",'Clothes Dryer'!D15&lt;0),"",Summary!$B$28)</f>
        <v/>
      </c>
      <c r="C23" t="str">
        <f>IF(B23="","",50745)</f>
        <v/>
      </c>
      <c r="D23" t="str">
        <f>IF(B23="", "",'Clothes Dryer'!D15)</f>
        <v/>
      </c>
      <c r="E23" t="str">
        <f t="shared" si="0"/>
        <v/>
      </c>
      <c r="F23" t="str">
        <f>IF(B23="", "",'Clothes Dryer'!E15)</f>
        <v/>
      </c>
      <c r="G23" t="str">
        <f>IF(B23="", "",'Clothes Dryer'!F15)</f>
        <v/>
      </c>
      <c r="O23" t="str">
        <f>(IF(B23="","",IF('Clothes Dryer'!J15='Lookup Tables'!$C$78,"Electric",IF('Clothes Dryer'!J15='Lookup Tables'!$C$79,"Electric",IF('Clothes Dryer'!J15='Lookup Tables'!$C$80,"Electric",IF('Clothes Dryer'!J15='Lookup Tables'!$C$81,"Electric",IF('Clothes Dryer'!J15='Lookup Tables'!$C$82,"Gas",IF('Clothes Dryer'!J15='Lookup Tables'!$C$83,""))))))))</f>
        <v/>
      </c>
      <c r="P23" t="str">
        <f>IF(B23="","",'Clothes Dryer'!G15)</f>
        <v/>
      </c>
      <c r="R23" t="str">
        <f>IF(B23="","",IF('Clothes Dryer'!J15='Lookup Tables'!$C$78,3.11,IF('Clothes Dryer'!J15='Lookup Tables'!$C$79,3.01,IF('Clothes Dryer'!J15='Lookup Tables'!$C$80,2.73,IF('Clothes Dryer'!J15='Lookup Tables'!$C$81,2.13,IF('Clothes Dryer'!J15='Lookup Tables'!$C$82,2.84,IF('Clothes Dryer'!J15='Lookup Tables'!$C$83,3.11,"")))))))</f>
        <v/>
      </c>
      <c r="U23" t="str">
        <f>IF(B23="","",IF('Clothes Dryer'!J15='Lookup Tables'!$C$78,3.93,IF('Clothes Dryer'!J15='Lookup Tables'!$C$79,3.8,IF('Clothes Dryer'!J15='Lookup Tables'!$C$80,3.45,IF('Clothes Dryer'!J15='Lookup Tables'!$C$81,2.68,IF('Clothes Dryer'!J15='Lookup Tables'!$C$82,3.48,IF('Clothes Dryer'!J15='Lookup Tables'!$C$83,3.93,"")))))))</f>
        <v/>
      </c>
      <c r="V23" s="127" t="str">
        <f>IF(B23="", "",'Clothes Dryer'!L15)</f>
        <v/>
      </c>
      <c r="Z23" t="str">
        <f>IF(B23="","",'Clothes Dryer'!B15)</f>
        <v/>
      </c>
      <c r="AB23" t="str">
        <f>IF(B23="","",IF('Clothes Dryer'!J15='Lookup Tables'!$C$78,8.45,IF('Clothes Dryer'!J15='Lookup Tables'!$C$79,3,IF('Clothes Dryer'!J15='Lookup Tables'!$C$80,3,IF('Clothes Dryer'!J15='Lookup Tables'!$C$81,3,IF('Clothes Dryer'!J15='Lookup Tables'!$C$82,8.45,IF('Clothes Dryer'!J15='Lookup Tables'!$C$83,8.45,"")))))))</f>
        <v/>
      </c>
      <c r="AF23" s="128" t="str">
        <f>IF(B23="", "",'Clothes Dryer'!C15)</f>
        <v/>
      </c>
      <c r="AH23" t="str">
        <f>IF(B23="","",'Clothes Dryer'!I15)</f>
        <v/>
      </c>
      <c r="AI23" t="str">
        <f>IF(B23="","",'Clothes Dryer'!H15)</f>
        <v/>
      </c>
      <c r="AK23" t="str">
        <f>IF(B23="", "",Summary!$C$9)</f>
        <v/>
      </c>
      <c r="AL23" t="str">
        <f t="shared" si="2"/>
        <v/>
      </c>
      <c r="AM23" t="str">
        <f>IF(B23="", "",'Clothes Dryer'!K15)</f>
        <v/>
      </c>
      <c r="AN23" t="str">
        <f t="shared" si="3"/>
        <v/>
      </c>
      <c r="AO23" t="str">
        <f>IF(B23="","",Summary!$E$7*'Data Export'!AP23/SUM('Data Export'!$AP$2:$AP$64))</f>
        <v/>
      </c>
      <c r="AP23" s="127" t="str">
        <f>IF(B23="", "",'Clothes Dryer'!M15)</f>
        <v/>
      </c>
    </row>
    <row r="24" spans="1:42">
      <c r="A24" t="str">
        <f>IF(B24="", "", 23)</f>
        <v/>
      </c>
      <c r="B24" t="str">
        <f>IF(OR('Clothes Dryer'!M16="",'Clothes Dryer'!D16&lt;0),"",Summary!$B$28)</f>
        <v/>
      </c>
      <c r="C24" t="str">
        <f t="shared" ref="C24:C32" si="8">IF(B24="","",50745)</f>
        <v/>
      </c>
      <c r="D24" t="str">
        <f>IF(B24="", "",'Clothes Dryer'!D16)</f>
        <v/>
      </c>
      <c r="E24" t="str">
        <f t="shared" si="0"/>
        <v/>
      </c>
      <c r="F24" t="str">
        <f>IF(B24="", "",'Clothes Dryer'!E16)</f>
        <v/>
      </c>
      <c r="G24" t="str">
        <f>IF(B24="", "",'Clothes Dryer'!F16)</f>
        <v/>
      </c>
      <c r="O24" t="str">
        <f>(IF(B24="","",IF('Clothes Dryer'!J16='Lookup Tables'!$C$78,"Electric",IF('Clothes Dryer'!J16='Lookup Tables'!$C$79,"Electric",IF('Clothes Dryer'!J16='Lookup Tables'!$C$80,"Electric",IF('Clothes Dryer'!J16='Lookup Tables'!$C$81,"Electric",IF('Clothes Dryer'!J16='Lookup Tables'!$C$82,"Gas",IF('Clothes Dryer'!J16='Lookup Tables'!$C$83,""))))))))</f>
        <v/>
      </c>
      <c r="P24" t="str">
        <f>IF(B24="","",'Clothes Dryer'!G16)</f>
        <v/>
      </c>
      <c r="R24" t="str">
        <f>IF(B24="","",IF('Clothes Dryer'!J16='Lookup Tables'!$C$78,3.11,IF('Clothes Dryer'!J16='Lookup Tables'!$C$79,3.01,IF('Clothes Dryer'!J16='Lookup Tables'!$C$80,2.73,IF('Clothes Dryer'!J16='Lookup Tables'!$C$81,2.13,IF('Clothes Dryer'!J16='Lookup Tables'!$C$82,2.84,IF('Clothes Dryer'!J16='Lookup Tables'!$C$83,3.11,"")))))))</f>
        <v/>
      </c>
      <c r="U24" t="str">
        <f>IF(B24="","",IF('Clothes Dryer'!J16='Lookup Tables'!$C$78,3.93,IF('Clothes Dryer'!J16='Lookup Tables'!$C$79,3.8,IF('Clothes Dryer'!J16='Lookup Tables'!$C$80,3.45,IF('Clothes Dryer'!J16='Lookup Tables'!$C$81,2.68,IF('Clothes Dryer'!J16='Lookup Tables'!$C$82,3.48,IF('Clothes Dryer'!J16='Lookup Tables'!$C$83,3.93,"")))))))</f>
        <v/>
      </c>
      <c r="V24" s="127" t="str">
        <f>IF(B24="", "",'Clothes Dryer'!L16)</f>
        <v/>
      </c>
      <c r="Z24" t="str">
        <f>IF(B24="","",'Clothes Dryer'!B16)</f>
        <v/>
      </c>
      <c r="AB24" t="str">
        <f>IF(B24="","",IF('Clothes Dryer'!J16='Lookup Tables'!$C$78,8.45,IF('Clothes Dryer'!J16='Lookup Tables'!$C$79,3,IF('Clothes Dryer'!J16='Lookup Tables'!$C$80,3,IF('Clothes Dryer'!J16='Lookup Tables'!$C$81,3,IF('Clothes Dryer'!J16='Lookup Tables'!$C$82,8.45,IF('Clothes Dryer'!J16='Lookup Tables'!$C$83,8.45,"")))))))</f>
        <v/>
      </c>
      <c r="AF24" s="128" t="str">
        <f>IF(B24="", "",'Clothes Dryer'!C16)</f>
        <v/>
      </c>
      <c r="AH24" t="str">
        <f>IF(B24="","",'Clothes Dryer'!I16)</f>
        <v/>
      </c>
      <c r="AI24" t="str">
        <f>IF(B24="","",'Clothes Dryer'!H16)</f>
        <v/>
      </c>
      <c r="AK24" t="str">
        <f>IF(B24="", "",Summary!$C$9)</f>
        <v/>
      </c>
      <c r="AL24" t="str">
        <f t="shared" si="2"/>
        <v/>
      </c>
      <c r="AM24" t="str">
        <f>IF(B24="", "",'Clothes Dryer'!K16)</f>
        <v/>
      </c>
      <c r="AN24" t="str">
        <f t="shared" si="3"/>
        <v/>
      </c>
      <c r="AO24" t="str">
        <f>IF(B24="","",Summary!$E$7*'Data Export'!AP24/SUM('Data Export'!$AP$2:$AP$64))</f>
        <v/>
      </c>
      <c r="AP24" s="127" t="str">
        <f>IF(B24="", "",'Clothes Dryer'!M16)</f>
        <v/>
      </c>
    </row>
    <row r="25" spans="1:42">
      <c r="A25" t="str">
        <f>IF(B25="", "", 24)</f>
        <v/>
      </c>
      <c r="B25" t="str">
        <f>IF(OR('Clothes Dryer'!M17="",'Clothes Dryer'!D17&lt;0),"",Summary!$B$28)</f>
        <v/>
      </c>
      <c r="C25" t="str">
        <f t="shared" si="8"/>
        <v/>
      </c>
      <c r="D25" t="str">
        <f>IF(B25="", "",'Clothes Dryer'!D17)</f>
        <v/>
      </c>
      <c r="E25" t="str">
        <f t="shared" si="0"/>
        <v/>
      </c>
      <c r="F25" t="str">
        <f>IF(B25="", "",'Clothes Dryer'!E17)</f>
        <v/>
      </c>
      <c r="G25" t="str">
        <f>IF(B25="", "",'Clothes Dryer'!F17)</f>
        <v/>
      </c>
      <c r="O25" t="str">
        <f>(IF(B25="","",IF('Clothes Dryer'!J17='Lookup Tables'!$C$78,"Electric",IF('Clothes Dryer'!J17='Lookup Tables'!$C$79,"Electric",IF('Clothes Dryer'!J17='Lookup Tables'!$C$80,"Electric",IF('Clothes Dryer'!J17='Lookup Tables'!$C$81,"Electric",IF('Clothes Dryer'!J17='Lookup Tables'!$C$82,"Gas",IF('Clothes Dryer'!J17='Lookup Tables'!$C$83,""))))))))</f>
        <v/>
      </c>
      <c r="P25" t="str">
        <f>IF(B25="","",'Clothes Dryer'!G17)</f>
        <v/>
      </c>
      <c r="R25" t="str">
        <f>IF(B25="","",IF('Clothes Dryer'!J17='Lookup Tables'!$C$78,3.11,IF('Clothes Dryer'!J17='Lookup Tables'!$C$79,3.01,IF('Clothes Dryer'!J17='Lookup Tables'!$C$80,2.73,IF('Clothes Dryer'!J17='Lookup Tables'!$C$81,2.13,IF('Clothes Dryer'!J17='Lookup Tables'!$C$82,2.84,IF('Clothes Dryer'!J17='Lookup Tables'!$C$83,3.11,"")))))))</f>
        <v/>
      </c>
      <c r="U25" t="str">
        <f>IF(B25="","",IF('Clothes Dryer'!J17='Lookup Tables'!$C$78,3.93,IF('Clothes Dryer'!J17='Lookup Tables'!$C$79,3.8,IF('Clothes Dryer'!J17='Lookup Tables'!$C$80,3.45,IF('Clothes Dryer'!J17='Lookup Tables'!$C$81,2.68,IF('Clothes Dryer'!J17='Lookup Tables'!$C$82,3.48,IF('Clothes Dryer'!J17='Lookup Tables'!$C$83,3.93,"")))))))</f>
        <v/>
      </c>
      <c r="V25" s="127" t="str">
        <f>IF(B25="", "",'Clothes Dryer'!L17)</f>
        <v/>
      </c>
      <c r="Z25" t="str">
        <f>IF(B25="","",'Clothes Dryer'!B17)</f>
        <v/>
      </c>
      <c r="AB25" t="str">
        <f>IF(B25="","",IF('Clothes Dryer'!J17='Lookup Tables'!$C$78,8.45,IF('Clothes Dryer'!J17='Lookup Tables'!$C$79,3,IF('Clothes Dryer'!J17='Lookup Tables'!$C$80,3,IF('Clothes Dryer'!J17='Lookup Tables'!$C$81,3,IF('Clothes Dryer'!J17='Lookup Tables'!$C$82,8.45,IF('Clothes Dryer'!J17='Lookup Tables'!$C$83,8.45,"")))))))</f>
        <v/>
      </c>
      <c r="AF25" s="128" t="str">
        <f>IF(B25="", "",'Clothes Dryer'!C17)</f>
        <v/>
      </c>
      <c r="AH25" t="str">
        <f>IF(B25="","",'Clothes Dryer'!I17)</f>
        <v/>
      </c>
      <c r="AI25" t="str">
        <f>IF(B25="","",'Clothes Dryer'!H17)</f>
        <v/>
      </c>
      <c r="AK25" t="str">
        <f>IF(B25="", "",Summary!$C$9)</f>
        <v/>
      </c>
      <c r="AL25" t="str">
        <f t="shared" si="2"/>
        <v/>
      </c>
      <c r="AM25" t="str">
        <f>IF(B25="", "",'Clothes Dryer'!K17)</f>
        <v/>
      </c>
      <c r="AN25" t="str">
        <f t="shared" si="3"/>
        <v/>
      </c>
      <c r="AO25" t="str">
        <f>IF(B25="","",Summary!$E$7*'Data Export'!AP25/SUM('Data Export'!$AP$2:$AP$64))</f>
        <v/>
      </c>
      <c r="AP25" s="127" t="str">
        <f>IF(B25="", "",'Clothes Dryer'!M17)</f>
        <v/>
      </c>
    </row>
    <row r="26" spans="1:42">
      <c r="A26" t="str">
        <f>IF(B26="", "", 25)</f>
        <v/>
      </c>
      <c r="B26" t="str">
        <f>IF(OR('Clothes Dryer'!M18="",'Clothes Dryer'!D18&lt;0),"",Summary!$B$28)</f>
        <v/>
      </c>
      <c r="C26" t="str">
        <f t="shared" si="8"/>
        <v/>
      </c>
      <c r="D26" t="str">
        <f>IF(B26="", "",'Clothes Dryer'!D18)</f>
        <v/>
      </c>
      <c r="E26" t="str">
        <f t="shared" si="0"/>
        <v/>
      </c>
      <c r="F26" t="str">
        <f>IF(B26="", "",'Clothes Dryer'!E18)</f>
        <v/>
      </c>
      <c r="G26" t="str">
        <f>IF(B26="", "",'Clothes Dryer'!F18)</f>
        <v/>
      </c>
      <c r="O26" t="str">
        <f>(IF(B26="","",IF('Clothes Dryer'!J18='Lookup Tables'!$C$78,"Electric",IF('Clothes Dryer'!J18='Lookup Tables'!$C$79,"Electric",IF('Clothes Dryer'!J18='Lookup Tables'!$C$80,"Electric",IF('Clothes Dryer'!J18='Lookup Tables'!$C$81,"Electric",IF('Clothes Dryer'!J18='Lookup Tables'!$C$82,"Gas",IF('Clothes Dryer'!J18='Lookup Tables'!$C$83,""))))))))</f>
        <v/>
      </c>
      <c r="P26" t="str">
        <f>IF(B26="","",'Clothes Dryer'!G18)</f>
        <v/>
      </c>
      <c r="R26" t="str">
        <f>IF(B26="","",IF('Clothes Dryer'!J18='Lookup Tables'!$C$78,3.11,IF('Clothes Dryer'!J18='Lookup Tables'!$C$79,3.01,IF('Clothes Dryer'!J18='Lookup Tables'!$C$80,2.73,IF('Clothes Dryer'!J18='Lookup Tables'!$C$81,2.13,IF('Clothes Dryer'!J18='Lookup Tables'!$C$82,2.84,IF('Clothes Dryer'!J18='Lookup Tables'!$C$83,3.11,"")))))))</f>
        <v/>
      </c>
      <c r="U26" t="str">
        <f>IF(B26="","",IF('Clothes Dryer'!J18='Lookup Tables'!$C$78,3.93,IF('Clothes Dryer'!J18='Lookup Tables'!$C$79,3.8,IF('Clothes Dryer'!J18='Lookup Tables'!$C$80,3.45,IF('Clothes Dryer'!J18='Lookup Tables'!$C$81,2.68,IF('Clothes Dryer'!J18='Lookup Tables'!$C$82,3.48,IF('Clothes Dryer'!J18='Lookup Tables'!$C$83,3.93,"")))))))</f>
        <v/>
      </c>
      <c r="V26" s="127" t="str">
        <f>IF(B26="", "",'Clothes Dryer'!L18)</f>
        <v/>
      </c>
      <c r="Z26" t="str">
        <f>IF(B26="","",'Clothes Dryer'!B18)</f>
        <v/>
      </c>
      <c r="AB26" t="str">
        <f>IF(B26="","",IF('Clothes Dryer'!J18='Lookup Tables'!$C$78,8.45,IF('Clothes Dryer'!J18='Lookup Tables'!$C$79,3,IF('Clothes Dryer'!J18='Lookup Tables'!$C$80,3,IF('Clothes Dryer'!J18='Lookup Tables'!$C$81,3,IF('Clothes Dryer'!J18='Lookup Tables'!$C$82,8.45,IF('Clothes Dryer'!J18='Lookup Tables'!$C$83,8.45,"")))))))</f>
        <v/>
      </c>
      <c r="AF26" s="128" t="str">
        <f>IF(B26="", "",'Clothes Dryer'!C18)</f>
        <v/>
      </c>
      <c r="AH26" t="str">
        <f>IF(B26="","",'Clothes Dryer'!I18)</f>
        <v/>
      </c>
      <c r="AI26" t="str">
        <f>IF(B26="","",'Clothes Dryer'!H18)</f>
        <v/>
      </c>
      <c r="AK26" t="str">
        <f>IF(B26="", "",Summary!$C$9)</f>
        <v/>
      </c>
      <c r="AL26" t="str">
        <f t="shared" si="2"/>
        <v/>
      </c>
      <c r="AM26" t="str">
        <f>IF(B26="", "",'Clothes Dryer'!K18)</f>
        <v/>
      </c>
      <c r="AN26" t="str">
        <f t="shared" si="3"/>
        <v/>
      </c>
      <c r="AO26" t="str">
        <f>IF(B26="","",Summary!$E$7*'Data Export'!AP26/SUM('Data Export'!$AP$2:$AP$64))</f>
        <v/>
      </c>
      <c r="AP26" s="127" t="str">
        <f>IF(B26="", "",'Clothes Dryer'!M18)</f>
        <v/>
      </c>
    </row>
    <row r="27" spans="1:42">
      <c r="A27" t="str">
        <f>IF(B27="", "", 26)</f>
        <v/>
      </c>
      <c r="B27" t="str">
        <f>IF(OR('Clothes Dryer'!M19="",'Clothes Dryer'!D19&lt;0),"",Summary!$B$28)</f>
        <v/>
      </c>
      <c r="C27" t="str">
        <f t="shared" si="8"/>
        <v/>
      </c>
      <c r="D27" t="str">
        <f>IF(B27="", "",'Clothes Dryer'!D19)</f>
        <v/>
      </c>
      <c r="E27" t="str">
        <f t="shared" si="0"/>
        <v/>
      </c>
      <c r="F27" t="str">
        <f>IF(B27="", "",'Clothes Dryer'!E19)</f>
        <v/>
      </c>
      <c r="G27" t="str">
        <f>IF(B27="", "",'Clothes Dryer'!F19)</f>
        <v/>
      </c>
      <c r="O27" t="str">
        <f>(IF(B27="","",IF('Clothes Dryer'!J19='Lookup Tables'!$C$78,"Electric",IF('Clothes Dryer'!J19='Lookup Tables'!$C$79,"Electric",IF('Clothes Dryer'!J19='Lookup Tables'!$C$80,"Electric",IF('Clothes Dryer'!J19='Lookup Tables'!$C$81,"Electric",IF('Clothes Dryer'!J19='Lookup Tables'!$C$82,"Gas",IF('Clothes Dryer'!J19='Lookup Tables'!$C$83,""))))))))</f>
        <v/>
      </c>
      <c r="P27" t="str">
        <f>IF(B27="","",'Clothes Dryer'!G19)</f>
        <v/>
      </c>
      <c r="R27" t="str">
        <f>IF(B27="","",IF('Clothes Dryer'!J19='Lookup Tables'!$C$78,3.11,IF('Clothes Dryer'!J19='Lookup Tables'!$C$79,3.01,IF('Clothes Dryer'!J19='Lookup Tables'!$C$80,2.73,IF('Clothes Dryer'!J19='Lookup Tables'!$C$81,2.13,IF('Clothes Dryer'!J19='Lookup Tables'!$C$82,2.84,IF('Clothes Dryer'!J19='Lookup Tables'!$C$83,3.11,"")))))))</f>
        <v/>
      </c>
      <c r="U27" t="str">
        <f>IF(B27="","",IF('Clothes Dryer'!J19='Lookup Tables'!$C$78,3.93,IF('Clothes Dryer'!J19='Lookup Tables'!$C$79,3.8,IF('Clothes Dryer'!J19='Lookup Tables'!$C$80,3.45,IF('Clothes Dryer'!J19='Lookup Tables'!$C$81,2.68,IF('Clothes Dryer'!J19='Lookup Tables'!$C$82,3.48,IF('Clothes Dryer'!J19='Lookup Tables'!$C$83,3.93,"")))))))</f>
        <v/>
      </c>
      <c r="V27" s="127" t="str">
        <f>IF(B27="", "",'Clothes Dryer'!L19)</f>
        <v/>
      </c>
      <c r="Z27" t="str">
        <f>IF(B27="","",'Clothes Dryer'!B19)</f>
        <v/>
      </c>
      <c r="AB27" t="str">
        <f>IF(B27="","",IF('Clothes Dryer'!J19='Lookup Tables'!$C$78,8.45,IF('Clothes Dryer'!J19='Lookup Tables'!$C$79,3,IF('Clothes Dryer'!J19='Lookup Tables'!$C$80,3,IF('Clothes Dryer'!J19='Lookup Tables'!$C$81,3,IF('Clothes Dryer'!J19='Lookup Tables'!$C$82,8.45,IF('Clothes Dryer'!J19='Lookup Tables'!$C$83,8.45,"")))))))</f>
        <v/>
      </c>
      <c r="AF27" s="128" t="str">
        <f>IF(B27="", "",'Clothes Dryer'!C19)</f>
        <v/>
      </c>
      <c r="AH27" t="str">
        <f>IF(B27="","",'Clothes Dryer'!I19)</f>
        <v/>
      </c>
      <c r="AI27" t="str">
        <f>IF(B27="","",'Clothes Dryer'!H19)</f>
        <v/>
      </c>
      <c r="AK27" t="str">
        <f>IF(B27="", "",Summary!$C$9)</f>
        <v/>
      </c>
      <c r="AL27" t="str">
        <f t="shared" si="2"/>
        <v/>
      </c>
      <c r="AM27" t="str">
        <f>IF(B27="", "",'Clothes Dryer'!K19)</f>
        <v/>
      </c>
      <c r="AN27" t="str">
        <f t="shared" si="3"/>
        <v/>
      </c>
      <c r="AO27" t="str">
        <f>IF(B27="","",Summary!$E$7*'Data Export'!AP27/SUM('Data Export'!$AP$2:$AP$64))</f>
        <v/>
      </c>
      <c r="AP27" s="127" t="str">
        <f>IF(B27="", "",'Clothes Dryer'!M19)</f>
        <v/>
      </c>
    </row>
    <row r="28" spans="1:42">
      <c r="A28" t="str">
        <f>IF(B28="", "", 27)</f>
        <v/>
      </c>
      <c r="B28" t="str">
        <f>IF(OR('Clothes Dryer'!M20="",'Clothes Dryer'!D20&lt;0),"",Summary!$B$28)</f>
        <v/>
      </c>
      <c r="C28" t="str">
        <f t="shared" si="8"/>
        <v/>
      </c>
      <c r="D28" t="str">
        <f>IF(B28="", "",'Clothes Dryer'!D20)</f>
        <v/>
      </c>
      <c r="E28" t="str">
        <f t="shared" si="0"/>
        <v/>
      </c>
      <c r="F28" t="str">
        <f>IF(B28="", "",'Clothes Dryer'!E20)</f>
        <v/>
      </c>
      <c r="G28" t="str">
        <f>IF(B28="", "",'Clothes Dryer'!F20)</f>
        <v/>
      </c>
      <c r="O28" t="str">
        <f>(IF(B28="","",IF('Clothes Dryer'!J20='Lookup Tables'!$C$78,"Electric",IF('Clothes Dryer'!J20='Lookup Tables'!$C$79,"Electric",IF('Clothes Dryer'!J20='Lookup Tables'!$C$80,"Electric",IF('Clothes Dryer'!J20='Lookup Tables'!$C$81,"Electric",IF('Clothes Dryer'!J20='Lookup Tables'!$C$82,"Gas",IF('Clothes Dryer'!J20='Lookup Tables'!$C$83,""))))))))</f>
        <v/>
      </c>
      <c r="P28" t="str">
        <f>IF(B28="","",'Clothes Dryer'!G20)</f>
        <v/>
      </c>
      <c r="R28" t="str">
        <f>IF(B28="","",IF('Clothes Dryer'!J20='Lookup Tables'!$C$78,3.11,IF('Clothes Dryer'!J20='Lookup Tables'!$C$79,3.01,IF('Clothes Dryer'!J20='Lookup Tables'!$C$80,2.73,IF('Clothes Dryer'!J20='Lookup Tables'!$C$81,2.13,IF('Clothes Dryer'!J20='Lookup Tables'!$C$82,2.84,IF('Clothes Dryer'!J20='Lookup Tables'!$C$83,3.11,"")))))))</f>
        <v/>
      </c>
      <c r="U28" t="str">
        <f>IF(B28="","",IF('Clothes Dryer'!J20='Lookup Tables'!$C$78,3.93,IF('Clothes Dryer'!J20='Lookup Tables'!$C$79,3.8,IF('Clothes Dryer'!J20='Lookup Tables'!$C$80,3.45,IF('Clothes Dryer'!J20='Lookup Tables'!$C$81,2.68,IF('Clothes Dryer'!J20='Lookup Tables'!$C$82,3.48,IF('Clothes Dryer'!J20='Lookup Tables'!$C$83,3.93,"")))))))</f>
        <v/>
      </c>
      <c r="V28" s="127" t="str">
        <f>IF(B28="", "",'Clothes Dryer'!L20)</f>
        <v/>
      </c>
      <c r="Z28" t="str">
        <f>IF(B28="","",'Clothes Dryer'!B20)</f>
        <v/>
      </c>
      <c r="AB28" t="str">
        <f>IF(B28="","",IF('Clothes Dryer'!J20='Lookup Tables'!$C$78,8.45,IF('Clothes Dryer'!J20='Lookup Tables'!$C$79,3,IF('Clothes Dryer'!J20='Lookup Tables'!$C$80,3,IF('Clothes Dryer'!J20='Lookup Tables'!$C$81,3,IF('Clothes Dryer'!J20='Lookup Tables'!$C$82,8.45,IF('Clothes Dryer'!J20='Lookup Tables'!$C$83,8.45,"")))))))</f>
        <v/>
      </c>
      <c r="AF28" s="128" t="str">
        <f>IF(B28="", "",'Clothes Dryer'!C20)</f>
        <v/>
      </c>
      <c r="AH28" t="str">
        <f>IF(B28="","",'Clothes Dryer'!I20)</f>
        <v/>
      </c>
      <c r="AI28" t="str">
        <f>IF(B28="","",'Clothes Dryer'!H20)</f>
        <v/>
      </c>
      <c r="AK28" t="str">
        <f>IF(B28="", "",Summary!$C$9)</f>
        <v/>
      </c>
      <c r="AL28" t="str">
        <f t="shared" si="2"/>
        <v/>
      </c>
      <c r="AM28" t="str">
        <f>IF(B28="", "",'Clothes Dryer'!K20)</f>
        <v/>
      </c>
      <c r="AN28" t="str">
        <f t="shared" si="3"/>
        <v/>
      </c>
      <c r="AO28" t="str">
        <f>IF(B28="","",Summary!$E$7*'Data Export'!AP28/SUM('Data Export'!$AP$2:$AP$64))</f>
        <v/>
      </c>
      <c r="AP28" s="127" t="str">
        <f>IF(B28="", "",'Clothes Dryer'!M20)</f>
        <v/>
      </c>
    </row>
    <row r="29" spans="1:42">
      <c r="A29" t="str">
        <f>IF(B29="", "", 28)</f>
        <v/>
      </c>
      <c r="B29" t="str">
        <f>IF(OR('Clothes Dryer'!M21="",'Clothes Dryer'!D21&lt;0),"",Summary!$B$28)</f>
        <v/>
      </c>
      <c r="C29" t="str">
        <f t="shared" si="8"/>
        <v/>
      </c>
      <c r="D29" t="str">
        <f>IF(B29="", "",'Clothes Dryer'!D21)</f>
        <v/>
      </c>
      <c r="E29" t="str">
        <f t="shared" si="0"/>
        <v/>
      </c>
      <c r="F29" t="str">
        <f>IF(B29="", "",'Clothes Dryer'!E21)</f>
        <v/>
      </c>
      <c r="G29" t="str">
        <f>IF(B29="", "",'Clothes Dryer'!F21)</f>
        <v/>
      </c>
      <c r="O29" t="str">
        <f>(IF(B29="","",IF('Clothes Dryer'!J21='Lookup Tables'!$C$78,"Electric",IF('Clothes Dryer'!J21='Lookup Tables'!$C$79,"Electric",IF('Clothes Dryer'!J21='Lookup Tables'!$C$80,"Electric",IF('Clothes Dryer'!J21='Lookup Tables'!$C$81,"Electric",IF('Clothes Dryer'!J21='Lookup Tables'!$C$82,"Gas",IF('Clothes Dryer'!J21='Lookup Tables'!$C$83,""))))))))</f>
        <v/>
      </c>
      <c r="P29" t="str">
        <f>IF(B29="","",'Clothes Dryer'!G21)</f>
        <v/>
      </c>
      <c r="R29" t="str">
        <f>IF(B29="","",IF('Clothes Dryer'!J21='Lookup Tables'!$C$78,3.11,IF('Clothes Dryer'!J21='Lookup Tables'!$C$79,3.01,IF('Clothes Dryer'!J21='Lookup Tables'!$C$80,2.73,IF('Clothes Dryer'!J21='Lookup Tables'!$C$81,2.13,IF('Clothes Dryer'!J21='Lookup Tables'!$C$82,2.84,IF('Clothes Dryer'!J21='Lookup Tables'!$C$83,3.11,"")))))))</f>
        <v/>
      </c>
      <c r="U29" t="str">
        <f>IF(B29="","",IF('Clothes Dryer'!J21='Lookup Tables'!$C$78,3.93,IF('Clothes Dryer'!J21='Lookup Tables'!$C$79,3.8,IF('Clothes Dryer'!J21='Lookup Tables'!$C$80,3.45,IF('Clothes Dryer'!J21='Lookup Tables'!$C$81,2.68,IF('Clothes Dryer'!J21='Lookup Tables'!$C$82,3.48,IF('Clothes Dryer'!J21='Lookup Tables'!$C$83,3.93,"")))))))</f>
        <v/>
      </c>
      <c r="V29" s="127" t="str">
        <f>IF(B29="", "",'Clothes Dryer'!L21)</f>
        <v/>
      </c>
      <c r="Z29" t="str">
        <f>IF(B29="","",'Clothes Dryer'!B21)</f>
        <v/>
      </c>
      <c r="AB29" t="str">
        <f>IF(B29="","",IF('Clothes Dryer'!J21='Lookup Tables'!$C$78,8.45,IF('Clothes Dryer'!J21='Lookup Tables'!$C$79,3,IF('Clothes Dryer'!J21='Lookup Tables'!$C$80,3,IF('Clothes Dryer'!J21='Lookup Tables'!$C$81,3,IF('Clothes Dryer'!J21='Lookup Tables'!$C$82,8.45,IF('Clothes Dryer'!J21='Lookup Tables'!$C$83,8.45,"")))))))</f>
        <v/>
      </c>
      <c r="AF29" s="128" t="str">
        <f>IF(B29="", "",'Clothes Dryer'!C21)</f>
        <v/>
      </c>
      <c r="AH29" t="str">
        <f>IF(B29="","",'Clothes Dryer'!I21)</f>
        <v/>
      </c>
      <c r="AI29" t="str">
        <f>IF(B29="","",'Clothes Dryer'!H21)</f>
        <v/>
      </c>
      <c r="AK29" t="str">
        <f>IF(B29="", "",Summary!$C$9)</f>
        <v/>
      </c>
      <c r="AL29" t="str">
        <f t="shared" si="2"/>
        <v/>
      </c>
      <c r="AM29" t="str">
        <f>IF(B29="", "",'Clothes Dryer'!K21)</f>
        <v/>
      </c>
      <c r="AN29" t="str">
        <f t="shared" si="3"/>
        <v/>
      </c>
      <c r="AO29" t="str">
        <f>IF(B29="","",Summary!$E$7*'Data Export'!AP29/SUM('Data Export'!$AP$2:$AP$64))</f>
        <v/>
      </c>
      <c r="AP29" s="127" t="str">
        <f>IF(B29="", "",'Clothes Dryer'!M21)</f>
        <v/>
      </c>
    </row>
    <row r="30" spans="1:42">
      <c r="A30" t="str">
        <f>IF(B30="", "", 29)</f>
        <v/>
      </c>
      <c r="B30" t="str">
        <f>IF(OR('Clothes Dryer'!M22="",'Clothes Dryer'!D22&lt;0),"",Summary!$B$28)</f>
        <v/>
      </c>
      <c r="C30" t="str">
        <f t="shared" si="8"/>
        <v/>
      </c>
      <c r="D30" t="str">
        <f>IF(B30="", "",'Clothes Dryer'!D22)</f>
        <v/>
      </c>
      <c r="E30" t="str">
        <f t="shared" si="0"/>
        <v/>
      </c>
      <c r="F30" t="str">
        <f>IF(B30="", "",'Clothes Dryer'!E22)</f>
        <v/>
      </c>
      <c r="G30" t="str">
        <f>IF(B30="", "",'Clothes Dryer'!F22)</f>
        <v/>
      </c>
      <c r="O30" t="str">
        <f>(IF(B30="","",IF('Clothes Dryer'!J22='Lookup Tables'!$C$78,"Electric",IF('Clothes Dryer'!J22='Lookup Tables'!$C$79,"Electric",IF('Clothes Dryer'!J22='Lookup Tables'!$C$80,"Electric",IF('Clothes Dryer'!J22='Lookup Tables'!$C$81,"Electric",IF('Clothes Dryer'!J22='Lookup Tables'!$C$82,"Gas",IF('Clothes Dryer'!J22='Lookup Tables'!$C$83,""))))))))</f>
        <v/>
      </c>
      <c r="P30" t="str">
        <f>IF(B30="","",'Clothes Dryer'!G22)</f>
        <v/>
      </c>
      <c r="R30" t="str">
        <f>IF(B30="","",IF('Clothes Dryer'!J22='Lookup Tables'!$C$78,3.11,IF('Clothes Dryer'!J22='Lookup Tables'!$C$79,3.01,IF('Clothes Dryer'!J22='Lookup Tables'!$C$80,2.73,IF('Clothes Dryer'!J22='Lookup Tables'!$C$81,2.13,IF('Clothes Dryer'!J22='Lookup Tables'!$C$82,2.84,IF('Clothes Dryer'!J22='Lookup Tables'!$C$83,3.11,"")))))))</f>
        <v/>
      </c>
      <c r="U30" t="str">
        <f>IF(B30="","",IF('Clothes Dryer'!J22='Lookup Tables'!$C$78,3.93,IF('Clothes Dryer'!J22='Lookup Tables'!$C$79,3.8,IF('Clothes Dryer'!J22='Lookup Tables'!$C$80,3.45,IF('Clothes Dryer'!J22='Lookup Tables'!$C$81,2.68,IF('Clothes Dryer'!J22='Lookup Tables'!$C$82,3.48,IF('Clothes Dryer'!J22='Lookup Tables'!$C$83,3.93,"")))))))</f>
        <v/>
      </c>
      <c r="V30" s="127" t="str">
        <f>IF(B30="", "",'Clothes Dryer'!L22)</f>
        <v/>
      </c>
      <c r="Z30" t="str">
        <f>IF(B30="","",'Clothes Dryer'!B22)</f>
        <v/>
      </c>
      <c r="AB30" t="str">
        <f>IF(B30="","",IF('Clothes Dryer'!J22='Lookup Tables'!$C$78,8.45,IF('Clothes Dryer'!J22='Lookup Tables'!$C$79,3,IF('Clothes Dryer'!J22='Lookup Tables'!$C$80,3,IF('Clothes Dryer'!J22='Lookup Tables'!$C$81,3,IF('Clothes Dryer'!J22='Lookup Tables'!$C$82,8.45,IF('Clothes Dryer'!J22='Lookup Tables'!$C$83,8.45,"")))))))</f>
        <v/>
      </c>
      <c r="AF30" s="128" t="str">
        <f>IF(B30="", "",'Clothes Dryer'!C22)</f>
        <v/>
      </c>
      <c r="AH30" t="str">
        <f>IF(B30="","",'Clothes Dryer'!I22)</f>
        <v/>
      </c>
      <c r="AI30" t="str">
        <f>IF(B30="","",'Clothes Dryer'!H22)</f>
        <v/>
      </c>
      <c r="AK30" t="str">
        <f>IF(B30="", "",Summary!$C$9)</f>
        <v/>
      </c>
      <c r="AL30" t="str">
        <f t="shared" si="2"/>
        <v/>
      </c>
      <c r="AM30" t="str">
        <f>IF(B30="", "",'Clothes Dryer'!K22)</f>
        <v/>
      </c>
      <c r="AN30" t="str">
        <f t="shared" si="3"/>
        <v/>
      </c>
      <c r="AO30" t="str">
        <f>IF(B30="","",Summary!$E$7*'Data Export'!AP30/SUM('Data Export'!$AP$2:$AP$64))</f>
        <v/>
      </c>
      <c r="AP30" s="127" t="str">
        <f>IF(B30="", "",'Clothes Dryer'!M22)</f>
        <v/>
      </c>
    </row>
    <row r="31" spans="1:42">
      <c r="A31" t="str">
        <f>IF(B31="", "", 30)</f>
        <v/>
      </c>
      <c r="B31" t="str">
        <f>IF(OR('Clothes Dryer'!M23="",'Clothes Dryer'!D23&lt;0),"",Summary!$B$28)</f>
        <v/>
      </c>
      <c r="C31" t="str">
        <f t="shared" si="8"/>
        <v/>
      </c>
      <c r="D31" t="str">
        <f>IF(B31="", "",'Clothes Dryer'!D23)</f>
        <v/>
      </c>
      <c r="E31" t="str">
        <f t="shared" si="0"/>
        <v/>
      </c>
      <c r="F31" t="str">
        <f>IF(B31="", "",'Clothes Dryer'!E23)</f>
        <v/>
      </c>
      <c r="G31" t="str">
        <f>IF(B31="", "",'Clothes Dryer'!F23)</f>
        <v/>
      </c>
      <c r="O31" t="str">
        <f>(IF(B31="","",IF('Clothes Dryer'!J23='Lookup Tables'!$C$78,"Electric",IF('Clothes Dryer'!J23='Lookup Tables'!$C$79,"Electric",IF('Clothes Dryer'!J23='Lookup Tables'!$C$80,"Electric",IF('Clothes Dryer'!J23='Lookup Tables'!$C$81,"Electric",IF('Clothes Dryer'!J23='Lookup Tables'!$C$82,"Gas",IF('Clothes Dryer'!J23='Lookup Tables'!$C$83,""))))))))</f>
        <v/>
      </c>
      <c r="P31" t="str">
        <f>IF(B31="","",'Clothes Dryer'!G23)</f>
        <v/>
      </c>
      <c r="R31" t="str">
        <f>IF(B31="","",IF('Clothes Dryer'!J23='Lookup Tables'!$C$78,3.11,IF('Clothes Dryer'!J23='Lookup Tables'!$C$79,3.01,IF('Clothes Dryer'!J23='Lookup Tables'!$C$80,2.73,IF('Clothes Dryer'!J23='Lookup Tables'!$C$81,2.13,IF('Clothes Dryer'!J23='Lookup Tables'!$C$82,2.84,IF('Clothes Dryer'!J23='Lookup Tables'!$C$83,3.11,"")))))))</f>
        <v/>
      </c>
      <c r="U31" t="str">
        <f>IF(B31="","",IF('Clothes Dryer'!J23='Lookup Tables'!$C$78,3.93,IF('Clothes Dryer'!J23='Lookup Tables'!$C$79,3.8,IF('Clothes Dryer'!J23='Lookup Tables'!$C$80,3.45,IF('Clothes Dryer'!J23='Lookup Tables'!$C$81,2.68,IF('Clothes Dryer'!J23='Lookup Tables'!$C$82,3.48,IF('Clothes Dryer'!J23='Lookup Tables'!$C$83,3.93,"")))))))</f>
        <v/>
      </c>
      <c r="V31" s="127" t="str">
        <f>IF(B31="", "",'Clothes Dryer'!L23)</f>
        <v/>
      </c>
      <c r="Z31" t="str">
        <f>IF(B31="","",'Clothes Dryer'!B23)</f>
        <v/>
      </c>
      <c r="AB31" t="str">
        <f>IF(B31="","",IF('Clothes Dryer'!J23='Lookup Tables'!$C$78,8.45,IF('Clothes Dryer'!J23='Lookup Tables'!$C$79,3,IF('Clothes Dryer'!J23='Lookup Tables'!$C$80,3,IF('Clothes Dryer'!J23='Lookup Tables'!$C$81,3,IF('Clothes Dryer'!J23='Lookup Tables'!$C$82,8.45,IF('Clothes Dryer'!J23='Lookup Tables'!$C$83,8.45,"")))))))</f>
        <v/>
      </c>
      <c r="AF31" s="128" t="str">
        <f>IF(B31="", "",'Clothes Dryer'!C23)</f>
        <v/>
      </c>
      <c r="AH31" t="str">
        <f>IF(B31="","",'Clothes Dryer'!I23)</f>
        <v/>
      </c>
      <c r="AI31" t="str">
        <f>IF(B31="","",'Clothes Dryer'!H23)</f>
        <v/>
      </c>
      <c r="AK31" t="str">
        <f>IF(B31="", "",Summary!$C$9)</f>
        <v/>
      </c>
      <c r="AL31" t="str">
        <f t="shared" si="2"/>
        <v/>
      </c>
      <c r="AM31" t="str">
        <f>IF(B31="", "",'Clothes Dryer'!K23)</f>
        <v/>
      </c>
      <c r="AN31" t="str">
        <f t="shared" si="3"/>
        <v/>
      </c>
      <c r="AO31" t="str">
        <f>IF(B31="","",Summary!$E$7*'Data Export'!AP31/SUM('Data Export'!$AP$2:$AP$64))</f>
        <v/>
      </c>
      <c r="AP31" s="127" t="str">
        <f>IF(B31="", "",'Clothes Dryer'!M23)</f>
        <v/>
      </c>
    </row>
    <row r="32" spans="1:42">
      <c r="A32" t="str">
        <f>IF(B32="", "", 31)</f>
        <v/>
      </c>
      <c r="B32" t="str">
        <f>IF(OR('Clothes Dryer'!M24="",'Clothes Dryer'!D24&lt;0),"",Summary!$B$28)</f>
        <v/>
      </c>
      <c r="C32" t="str">
        <f t="shared" si="8"/>
        <v/>
      </c>
      <c r="D32" t="str">
        <f>IF(B32="", "",'Clothes Dryer'!D24)</f>
        <v/>
      </c>
      <c r="E32" t="str">
        <f t="shared" si="0"/>
        <v/>
      </c>
      <c r="F32" t="str">
        <f>IF(B32="", "",'Clothes Dryer'!E24)</f>
        <v/>
      </c>
      <c r="G32" t="str">
        <f>IF(B32="", "",'Clothes Dryer'!F24)</f>
        <v/>
      </c>
      <c r="O32" t="str">
        <f>(IF(B32="","",IF('Clothes Dryer'!J24='Lookup Tables'!$C$78,"Electric",IF('Clothes Dryer'!J24='Lookup Tables'!$C$79,"Electric",IF('Clothes Dryer'!J24='Lookup Tables'!$C$80,"Electric",IF('Clothes Dryer'!J24='Lookup Tables'!$C$81,"Electric",IF('Clothes Dryer'!J24='Lookup Tables'!$C$82,"Gas",IF('Clothes Dryer'!J24='Lookup Tables'!$C$83,""))))))))</f>
        <v/>
      </c>
      <c r="P32" t="str">
        <f>IF(B32="","",'Clothes Dryer'!G24)</f>
        <v/>
      </c>
      <c r="R32" t="str">
        <f>IF(B32="","",IF('Clothes Dryer'!J24='Lookup Tables'!$C$78,3.11,IF('Clothes Dryer'!J24='Lookup Tables'!$C$79,3.01,IF('Clothes Dryer'!J24='Lookup Tables'!$C$80,2.73,IF('Clothes Dryer'!J24='Lookup Tables'!$C$81,2.13,IF('Clothes Dryer'!J24='Lookup Tables'!$C$82,2.84,IF('Clothes Dryer'!J24='Lookup Tables'!$C$83,3.11,"")))))))</f>
        <v/>
      </c>
      <c r="U32" t="str">
        <f>IF(B32="","",IF('Clothes Dryer'!J24='Lookup Tables'!$C$78,3.93,IF('Clothes Dryer'!J24='Lookup Tables'!$C$79,3.8,IF('Clothes Dryer'!J24='Lookup Tables'!$C$80,3.45,IF('Clothes Dryer'!J24='Lookup Tables'!$C$81,2.68,IF('Clothes Dryer'!J24='Lookup Tables'!$C$82,3.48,IF('Clothes Dryer'!J24='Lookup Tables'!$C$83,3.93,"")))))))</f>
        <v/>
      </c>
      <c r="V32" s="127" t="str">
        <f>IF(B32="", "",'Clothes Dryer'!L24)</f>
        <v/>
      </c>
      <c r="Z32" t="str">
        <f>IF(B32="","",'Clothes Dryer'!B24)</f>
        <v/>
      </c>
      <c r="AB32" t="str">
        <f>IF(B32="","",IF('Clothes Dryer'!J24='Lookup Tables'!$C$78,8.45,IF('Clothes Dryer'!J24='Lookup Tables'!$C$79,3,IF('Clothes Dryer'!J24='Lookup Tables'!$C$80,3,IF('Clothes Dryer'!J24='Lookup Tables'!$C$81,3,IF('Clothes Dryer'!J24='Lookup Tables'!$C$82,8.45,IF('Clothes Dryer'!J24='Lookup Tables'!$C$83,8.45,"")))))))</f>
        <v/>
      </c>
      <c r="AF32" s="128" t="str">
        <f>IF(B32="", "",'Clothes Dryer'!C24)</f>
        <v/>
      </c>
      <c r="AH32" t="str">
        <f>IF(B32="","",'Clothes Dryer'!I24)</f>
        <v/>
      </c>
      <c r="AI32" t="str">
        <f>IF(B32="","",'Clothes Dryer'!H24)</f>
        <v/>
      </c>
      <c r="AK32" t="str">
        <f>IF(B32="", "",Summary!$C$9)</f>
        <v/>
      </c>
      <c r="AL32" t="str">
        <f t="shared" si="2"/>
        <v/>
      </c>
      <c r="AM32" t="str">
        <f>IF(B32="", "",'Clothes Dryer'!K24)</f>
        <v/>
      </c>
      <c r="AN32" t="str">
        <f t="shared" si="3"/>
        <v/>
      </c>
      <c r="AO32" t="str">
        <f>IF(B32="","",Summary!$E$7*'Data Export'!AP32/SUM('Data Export'!$AP$2:$AP$64))</f>
        <v/>
      </c>
      <c r="AP32" s="127" t="str">
        <f>IF(B32="", "",'Clothes Dryer'!M24)</f>
        <v/>
      </c>
    </row>
    <row r="33" spans="1:55">
      <c r="A33" t="str">
        <f>IF(B33="", "", 32)</f>
        <v/>
      </c>
      <c r="B33" t="str">
        <f>IF(OR(Refrigerator!N15="",Refrigerator!D15&lt;0),"",Summary!$B$29)</f>
        <v/>
      </c>
      <c r="C33" t="str">
        <f>IF(AND(B33&lt;&gt;"",OR(Refrigerator!H15="EnergyStar",Refrigerator!H15="CEE Tier 2")),50742,IF(AND(B33&lt;&gt;"",Refrigerator!H15="CEE Tier 3"),50743,""))</f>
        <v/>
      </c>
      <c r="D33" t="str">
        <f>IF(B33="", "",Refrigerator!D15)</f>
        <v/>
      </c>
      <c r="E33" t="str">
        <f t="shared" si="0"/>
        <v/>
      </c>
      <c r="F33" t="str">
        <f>IF(B33="", "",Refrigerator!E15)</f>
        <v/>
      </c>
      <c r="G33" t="str">
        <f>IF(B33="", "",Refrigerator!F15)</f>
        <v/>
      </c>
      <c r="M33" t="str">
        <f>IF(B33="", "",Refrigerator!H15)</f>
        <v/>
      </c>
      <c r="N33" t="str">
        <f t="shared" ref="N33:N42" si="9">IF(B33="","",IF(M33="EnergyStar", "Yes","No"))</f>
        <v/>
      </c>
      <c r="Q33" t="str">
        <f>IF(B33="","",Refrigerator!K15)</f>
        <v/>
      </c>
      <c r="S33" t="str">
        <f>IF(B33="","",INDEX('Lookup Tables'!$J$94:$L$101,MATCH(Refrigerator!G15,'Lookup Tables'!$C$94:$C$101,0),MATCH(Refrigerator!H15,'Lookup Tables'!$J$93:$L$93,0)))</f>
        <v/>
      </c>
      <c r="V33" s="127" t="str">
        <f>IF(B33="", "",Refrigerator!M15)</f>
        <v/>
      </c>
      <c r="AD33" t="str">
        <f>IF(B33="","",INDEX('Lookup Tables'!$M$94:$O$101,MATCH(Refrigerator!G15,'Lookup Tables'!$C$94:$C$101,0),MATCH(Refrigerator!H15,'Lookup Tables'!$M$93:$O$93,0)))</f>
        <v/>
      </c>
      <c r="AE33" t="str">
        <f>IF(B33="","",Refrigerator!I15)</f>
        <v/>
      </c>
      <c r="AF33" s="128" t="str">
        <f>IF(B33="", "",Refrigerator!C15)</f>
        <v/>
      </c>
      <c r="AG33" t="str">
        <f>IF(B33="","",Refrigerator!J15)</f>
        <v/>
      </c>
      <c r="AK33" t="str">
        <f>IF(B33="", "",Summary!$C$9)</f>
        <v/>
      </c>
      <c r="AL33" t="str">
        <f t="shared" si="2"/>
        <v/>
      </c>
      <c r="AM33" t="str">
        <f>IF(B33="", "",Refrigerator!L15)</f>
        <v/>
      </c>
      <c r="AN33" t="str">
        <f t="shared" si="3"/>
        <v/>
      </c>
      <c r="AO33" t="str">
        <f>IF(B33="","",Summary!$E$7*'Data Export'!AP33/SUM('Data Export'!$AP$2:$AP$64))</f>
        <v/>
      </c>
      <c r="AP33" s="127" t="str">
        <f>IF(B33="", "",Refrigerator!N15)</f>
        <v/>
      </c>
    </row>
    <row r="34" spans="1:55">
      <c r="A34" t="str">
        <f>IF(B34="", "", 33)</f>
        <v/>
      </c>
      <c r="B34" t="str">
        <f>IF(OR(Refrigerator!N16="",Refrigerator!D16&lt;0),"",Summary!$B$29)</f>
        <v/>
      </c>
      <c r="C34" t="str">
        <f>IF(AND(B34&lt;&gt;"",OR(Refrigerator!H16="EnergyStar",Refrigerator!H16="CEE Tier 2")),50742,IF(AND(B34&lt;&gt;"",Refrigerator!H16="CEE Tier 3"),50743,""))</f>
        <v/>
      </c>
      <c r="D34" t="str">
        <f>IF(B34="", "",Refrigerator!D16)</f>
        <v/>
      </c>
      <c r="E34" t="str">
        <f t="shared" si="0"/>
        <v/>
      </c>
      <c r="F34" t="str">
        <f>IF(B34="", "",Refrigerator!E16)</f>
        <v/>
      </c>
      <c r="G34" t="str">
        <f>IF(B34="", "",Refrigerator!F16)</f>
        <v/>
      </c>
      <c r="M34" t="str">
        <f>IF(B34="", "",Refrigerator!H16)</f>
        <v/>
      </c>
      <c r="N34" t="str">
        <f t="shared" si="9"/>
        <v/>
      </c>
      <c r="Q34" t="str">
        <f>IF(B34="","",Refrigerator!K16)</f>
        <v/>
      </c>
      <c r="S34" t="str">
        <f>IF(B34="","",INDEX('Lookup Tables'!$J$94:$L$101,MATCH(Refrigerator!G16,'Lookup Tables'!$C$94:$C$101,0),MATCH(Refrigerator!H16,'Lookup Tables'!$J$93:$L$93,0)))</f>
        <v/>
      </c>
      <c r="V34" s="127" t="str">
        <f>IF(B34="", "",Refrigerator!M16)</f>
        <v/>
      </c>
      <c r="AD34" t="str">
        <f>IF(B34="","",INDEX('Lookup Tables'!$M$94:$O$101,MATCH(Refrigerator!G16,'Lookup Tables'!$C$94:$C$101,0),MATCH(Refrigerator!H16,'Lookup Tables'!$M$93:$O$93,0)))</f>
        <v/>
      </c>
      <c r="AE34" t="str">
        <f>IF(B34="","",Refrigerator!I16)</f>
        <v/>
      </c>
      <c r="AF34" s="128" t="str">
        <f>IF(B34="", "",Refrigerator!C16)</f>
        <v/>
      </c>
      <c r="AG34" t="str">
        <f>IF(B34="","",Refrigerator!J16)</f>
        <v/>
      </c>
      <c r="AK34" t="str">
        <f>IF(B34="", "",Summary!$C$9)</f>
        <v/>
      </c>
      <c r="AL34" t="str">
        <f t="shared" si="2"/>
        <v/>
      </c>
      <c r="AM34" t="str">
        <f>IF(B34="", "",Refrigerator!L16)</f>
        <v/>
      </c>
      <c r="AN34" t="str">
        <f t="shared" si="3"/>
        <v/>
      </c>
      <c r="AO34" t="str">
        <f>IF(B34="","",Summary!$E$7*'Data Export'!AP34/SUM('Data Export'!$AP$2:$AP$64))</f>
        <v/>
      </c>
      <c r="AP34" s="127" t="str">
        <f>IF(B34="", "",Refrigerator!N16)</f>
        <v/>
      </c>
    </row>
    <row r="35" spans="1:55">
      <c r="A35" t="str">
        <f>IF(B35="", "", 34)</f>
        <v/>
      </c>
      <c r="B35" t="str">
        <f>IF(OR(Refrigerator!N17="",Refrigerator!D17&lt;0),"",Summary!$B$29)</f>
        <v/>
      </c>
      <c r="C35" t="str">
        <f>IF(AND(B35&lt;&gt;"",OR(Refrigerator!H17="EnergyStar",Refrigerator!H17="CEE Tier 2")),50742,IF(AND(B35&lt;&gt;"",Refrigerator!H17="CEE Tier 3"),50743,""))</f>
        <v/>
      </c>
      <c r="D35" t="str">
        <f>IF(B35="", "",Refrigerator!D17)</f>
        <v/>
      </c>
      <c r="E35" t="str">
        <f t="shared" si="0"/>
        <v/>
      </c>
      <c r="F35" t="str">
        <f>IF(B35="", "",Refrigerator!E17)</f>
        <v/>
      </c>
      <c r="G35" t="str">
        <f>IF(B35="", "",Refrigerator!F17)</f>
        <v/>
      </c>
      <c r="M35" t="str">
        <f>IF(B35="", "",Refrigerator!H17)</f>
        <v/>
      </c>
      <c r="N35" t="str">
        <f t="shared" si="9"/>
        <v/>
      </c>
      <c r="Q35" t="str">
        <f>IF(B35="","",Refrigerator!K17)</f>
        <v/>
      </c>
      <c r="S35" t="str">
        <f>IF(B35="","",INDEX('Lookup Tables'!$J$94:$L$101,MATCH(Refrigerator!G17,'Lookup Tables'!$C$94:$C$101,0),MATCH(Refrigerator!H17,'Lookup Tables'!$J$93:$L$93,0)))</f>
        <v/>
      </c>
      <c r="V35" s="127" t="str">
        <f>IF(B35="", "",Refrigerator!M17)</f>
        <v/>
      </c>
      <c r="AD35" t="str">
        <f>IF(B35="","",INDEX('Lookup Tables'!$M$94:$O$101,MATCH(Refrigerator!G17,'Lookup Tables'!$C$94:$C$101,0),MATCH(Refrigerator!H17,'Lookup Tables'!$M$93:$O$93,0)))</f>
        <v/>
      </c>
      <c r="AE35" t="str">
        <f>IF(B35="","",Refrigerator!I17)</f>
        <v/>
      </c>
      <c r="AF35" s="128" t="str">
        <f>IF(B35="", "",Refrigerator!C17)</f>
        <v/>
      </c>
      <c r="AG35" t="str">
        <f>IF(B35="","",Refrigerator!J17)</f>
        <v/>
      </c>
      <c r="AK35" t="str">
        <f>IF(B35="", "",Summary!$C$9)</f>
        <v/>
      </c>
      <c r="AL35" t="str">
        <f t="shared" si="2"/>
        <v/>
      </c>
      <c r="AM35" t="str">
        <f>IF(B35="", "",Refrigerator!L17)</f>
        <v/>
      </c>
      <c r="AN35" t="str">
        <f t="shared" si="3"/>
        <v/>
      </c>
      <c r="AO35" t="str">
        <f>IF(B35="","",Summary!$E$7*'Data Export'!AP35/SUM('Data Export'!$AP$2:$AP$64))</f>
        <v/>
      </c>
      <c r="AP35" s="127" t="str">
        <f>IF(B35="", "",Refrigerator!N17)</f>
        <v/>
      </c>
    </row>
    <row r="36" spans="1:55">
      <c r="A36" t="str">
        <f>IF(B36="", "", 35)</f>
        <v/>
      </c>
      <c r="B36" t="str">
        <f>IF(OR(Refrigerator!N18="",Refrigerator!D18&lt;0),"",Summary!$B$29)</f>
        <v/>
      </c>
      <c r="C36" t="str">
        <f>IF(AND(B36&lt;&gt;"",OR(Refrigerator!H18="EnergyStar",Refrigerator!H18="CEE Tier 2")),50742,IF(AND(B36&lt;&gt;"",Refrigerator!H18="CEE Tier 3"),50743,""))</f>
        <v/>
      </c>
      <c r="D36" t="str">
        <f>IF(B36="", "",Refrigerator!D18)</f>
        <v/>
      </c>
      <c r="E36" t="str">
        <f t="shared" si="0"/>
        <v/>
      </c>
      <c r="F36" t="str">
        <f>IF(B36="", "",Refrigerator!E18)</f>
        <v/>
      </c>
      <c r="G36" t="str">
        <f>IF(B36="", "",Refrigerator!F18)</f>
        <v/>
      </c>
      <c r="M36" t="str">
        <f>IF(B36="", "",Refrigerator!H18)</f>
        <v/>
      </c>
      <c r="N36" t="str">
        <f t="shared" si="9"/>
        <v/>
      </c>
      <c r="Q36" t="str">
        <f>IF(B36="","",Refrigerator!K18)</f>
        <v/>
      </c>
      <c r="S36" t="str">
        <f>IF(B36="","",INDEX('Lookup Tables'!$J$94:$L$101,MATCH(Refrigerator!G18,'Lookup Tables'!$C$94:$C$101,0),MATCH(Refrigerator!H18,'Lookup Tables'!$J$93:$L$93,0)))</f>
        <v/>
      </c>
      <c r="V36" s="127" t="str">
        <f>IF(B36="", "",Refrigerator!M18)</f>
        <v/>
      </c>
      <c r="AD36" t="str">
        <f>IF(B36="","",INDEX('Lookup Tables'!$M$94:$O$101,MATCH(Refrigerator!G18,'Lookup Tables'!$C$94:$C$101,0),MATCH(Refrigerator!H18,'Lookup Tables'!$M$93:$O$93,0)))</f>
        <v/>
      </c>
      <c r="AE36" t="str">
        <f>IF(B36="","",Refrigerator!I18)</f>
        <v/>
      </c>
      <c r="AF36" s="128" t="str">
        <f>IF(B36="", "",Refrigerator!C18)</f>
        <v/>
      </c>
      <c r="AG36" t="str">
        <f>IF(B36="","",Refrigerator!J18)</f>
        <v/>
      </c>
      <c r="AK36" t="str">
        <f>IF(B36="", "",Summary!$C$9)</f>
        <v/>
      </c>
      <c r="AL36" t="str">
        <f t="shared" si="2"/>
        <v/>
      </c>
      <c r="AM36" t="str">
        <f>IF(B36="", "",Refrigerator!L18)</f>
        <v/>
      </c>
      <c r="AN36" t="str">
        <f t="shared" si="3"/>
        <v/>
      </c>
      <c r="AO36" t="str">
        <f>IF(B36="","",Summary!$E$7*'Data Export'!AP36/SUM('Data Export'!$AP$2:$AP$64))</f>
        <v/>
      </c>
      <c r="AP36" s="127" t="str">
        <f>IF(B36="", "",Refrigerator!N18)</f>
        <v/>
      </c>
    </row>
    <row r="37" spans="1:55">
      <c r="A37" t="str">
        <f>IF(B37="", "", 36)</f>
        <v/>
      </c>
      <c r="B37" t="str">
        <f>IF(OR(Refrigerator!N19="",Refrigerator!D19&lt;0),"",Summary!$B$29)</f>
        <v/>
      </c>
      <c r="C37" t="str">
        <f>IF(AND(B37&lt;&gt;"",OR(Refrigerator!H19="EnergyStar",Refrigerator!H19="CEE Tier 2")),50742,IF(AND(B37&lt;&gt;"",Refrigerator!H19="CEE Tier 3"),50743,""))</f>
        <v/>
      </c>
      <c r="D37" t="str">
        <f>IF(B37="", "",Refrigerator!D19)</f>
        <v/>
      </c>
      <c r="E37" t="str">
        <f t="shared" si="0"/>
        <v/>
      </c>
      <c r="F37" t="str">
        <f>IF(B37="", "",Refrigerator!E19)</f>
        <v/>
      </c>
      <c r="G37" t="str">
        <f>IF(B37="", "",Refrigerator!F19)</f>
        <v/>
      </c>
      <c r="M37" t="str">
        <f>IF(B37="", "",Refrigerator!H19)</f>
        <v/>
      </c>
      <c r="N37" t="str">
        <f t="shared" si="9"/>
        <v/>
      </c>
      <c r="Q37" t="str">
        <f>IF(B37="","",Refrigerator!K19)</f>
        <v/>
      </c>
      <c r="S37" t="str">
        <f>IF(B37="","",INDEX('Lookup Tables'!$J$94:$L$101,MATCH(Refrigerator!G19,'Lookup Tables'!$C$94:$C$101,0),MATCH(Refrigerator!H19,'Lookup Tables'!$J$93:$L$93,0)))</f>
        <v/>
      </c>
      <c r="V37" s="127" t="str">
        <f>IF(B37="", "",Refrigerator!M19)</f>
        <v/>
      </c>
      <c r="AD37" t="str">
        <f>IF(B37="","",INDEX('Lookup Tables'!$M$94:$O$101,MATCH(Refrigerator!G19,'Lookup Tables'!$C$94:$C$101,0),MATCH(Refrigerator!H19,'Lookup Tables'!$M$93:$O$93,0)))</f>
        <v/>
      </c>
      <c r="AE37" t="str">
        <f>IF(B37="","",Refrigerator!I19)</f>
        <v/>
      </c>
      <c r="AF37" s="128" t="str">
        <f>IF(B37="", "",Refrigerator!C19)</f>
        <v/>
      </c>
      <c r="AG37" t="str">
        <f>IF(B37="","",Refrigerator!J19)</f>
        <v/>
      </c>
      <c r="AK37" t="str">
        <f>IF(B37="", "",Summary!$C$9)</f>
        <v/>
      </c>
      <c r="AL37" t="str">
        <f t="shared" si="2"/>
        <v/>
      </c>
      <c r="AM37" t="str">
        <f>IF(B37="", "",Refrigerator!L19)</f>
        <v/>
      </c>
      <c r="AN37" t="str">
        <f t="shared" si="3"/>
        <v/>
      </c>
      <c r="AO37" t="str">
        <f>IF(B37="","",Summary!$E$7*'Data Export'!AP37/SUM('Data Export'!$AP$2:$AP$64))</f>
        <v/>
      </c>
      <c r="AP37" s="127" t="str">
        <f>IF(B37="", "",Refrigerator!N19)</f>
        <v/>
      </c>
    </row>
    <row r="38" spans="1:55">
      <c r="A38" t="str">
        <f>IF(B38="", "", 37)</f>
        <v/>
      </c>
      <c r="B38" t="str">
        <f>IF(OR(Refrigerator!N20="",Refrigerator!D20&lt;0),"",Summary!$B$29)</f>
        <v/>
      </c>
      <c r="C38" t="str">
        <f>IF(AND(B38&lt;&gt;"",OR(Refrigerator!H20="EnergyStar",Refrigerator!H20="CEE Tier 2")),50742,IF(AND(B38&lt;&gt;"",Refrigerator!H20="CEE Tier 3"),50743,""))</f>
        <v/>
      </c>
      <c r="D38" t="str">
        <f>IF(B38="", "",Refrigerator!D20)</f>
        <v/>
      </c>
      <c r="E38" t="str">
        <f t="shared" si="0"/>
        <v/>
      </c>
      <c r="F38" t="str">
        <f>IF(B38="", "",Refrigerator!E20)</f>
        <v/>
      </c>
      <c r="G38" t="str">
        <f>IF(B38="", "",Refrigerator!F20)</f>
        <v/>
      </c>
      <c r="M38" t="str">
        <f>IF(B38="", "",Refrigerator!H20)</f>
        <v/>
      </c>
      <c r="N38" t="str">
        <f t="shared" si="9"/>
        <v/>
      </c>
      <c r="Q38" t="str">
        <f>IF(B38="","",Refrigerator!K20)</f>
        <v/>
      </c>
      <c r="S38" t="str">
        <f>IF(B38="","",INDEX('Lookup Tables'!$J$94:$L$101,MATCH(Refrigerator!G20,'Lookup Tables'!$C$94:$C$101,0),MATCH(Refrigerator!H20,'Lookup Tables'!$J$93:$L$93,0)))</f>
        <v/>
      </c>
      <c r="V38" s="127" t="str">
        <f>IF(B38="", "",Refrigerator!M20)</f>
        <v/>
      </c>
      <c r="AD38" t="str">
        <f>IF(B38="","",INDEX('Lookup Tables'!$M$94:$O$101,MATCH(Refrigerator!G20,'Lookup Tables'!$C$94:$C$101,0),MATCH(Refrigerator!H20,'Lookup Tables'!$M$93:$O$93,0)))</f>
        <v/>
      </c>
      <c r="AE38" t="str">
        <f>IF(B38="","",Refrigerator!I20)</f>
        <v/>
      </c>
      <c r="AF38" s="128" t="str">
        <f>IF(B38="", "",Refrigerator!C20)</f>
        <v/>
      </c>
      <c r="AG38" t="str">
        <f>IF(B38="","",Refrigerator!J20)</f>
        <v/>
      </c>
      <c r="AK38" t="str">
        <f>IF(B38="", "",Summary!$C$9)</f>
        <v/>
      </c>
      <c r="AL38" t="str">
        <f t="shared" si="2"/>
        <v/>
      </c>
      <c r="AM38" t="str">
        <f>IF(B38="", "",Refrigerator!L20)</f>
        <v/>
      </c>
      <c r="AN38" t="str">
        <f t="shared" si="3"/>
        <v/>
      </c>
      <c r="AO38" t="str">
        <f>IF(B38="","",Summary!$E$7*'Data Export'!AP38/SUM('Data Export'!$AP$2:$AP$64))</f>
        <v/>
      </c>
      <c r="AP38" s="127" t="str">
        <f>IF(B38="", "",Refrigerator!N20)</f>
        <v/>
      </c>
    </row>
    <row r="39" spans="1:55">
      <c r="A39" t="str">
        <f>IF(B39="", "", 38)</f>
        <v/>
      </c>
      <c r="B39" t="str">
        <f>IF(OR(Refrigerator!N21="",Refrigerator!D21&lt;0),"",Summary!$B$29)</f>
        <v/>
      </c>
      <c r="C39" t="str">
        <f>IF(AND(B39&lt;&gt;"",OR(Refrigerator!H21="EnergyStar",Refrigerator!H21="CEE Tier 2")),50742,IF(AND(B39&lt;&gt;"",Refrigerator!H21="CEE Tier 3"),50743,""))</f>
        <v/>
      </c>
      <c r="D39" t="str">
        <f>IF(B39="", "",Refrigerator!D21)</f>
        <v/>
      </c>
      <c r="E39" t="str">
        <f t="shared" si="0"/>
        <v/>
      </c>
      <c r="F39" t="str">
        <f>IF(B39="", "",Refrigerator!E21)</f>
        <v/>
      </c>
      <c r="G39" t="str">
        <f>IF(B39="", "",Refrigerator!F21)</f>
        <v/>
      </c>
      <c r="M39" t="str">
        <f>IF(B39="", "",Refrigerator!H21)</f>
        <v/>
      </c>
      <c r="N39" t="str">
        <f t="shared" si="9"/>
        <v/>
      </c>
      <c r="Q39" t="str">
        <f>IF(B39="","",Refrigerator!K21)</f>
        <v/>
      </c>
      <c r="S39" t="str">
        <f>IF(B39="","",INDEX('Lookup Tables'!$J$94:$L$101,MATCH(Refrigerator!G21,'Lookup Tables'!$C$94:$C$101,0),MATCH(Refrigerator!H21,'Lookup Tables'!$J$93:$L$93,0)))</f>
        <v/>
      </c>
      <c r="V39" s="127" t="str">
        <f>IF(B39="", "",Refrigerator!M21)</f>
        <v/>
      </c>
      <c r="AD39" t="str">
        <f>IF(B39="","",INDEX('Lookup Tables'!$M$94:$O$101,MATCH(Refrigerator!G21,'Lookup Tables'!$C$94:$C$101,0),MATCH(Refrigerator!H21,'Lookup Tables'!$M$93:$O$93,0)))</f>
        <v/>
      </c>
      <c r="AE39" t="str">
        <f>IF(B39="","",Refrigerator!I21)</f>
        <v/>
      </c>
      <c r="AF39" s="128" t="str">
        <f>IF(B39="", "",Refrigerator!C21)</f>
        <v/>
      </c>
      <c r="AG39" t="str">
        <f>IF(B39="","",Refrigerator!J21)</f>
        <v/>
      </c>
      <c r="AK39" t="str">
        <f>IF(B39="", "",Summary!$C$9)</f>
        <v/>
      </c>
      <c r="AL39" t="str">
        <f t="shared" si="2"/>
        <v/>
      </c>
      <c r="AM39" t="str">
        <f>IF(B39="", "",Refrigerator!L21)</f>
        <v/>
      </c>
      <c r="AN39" t="str">
        <f t="shared" si="3"/>
        <v/>
      </c>
      <c r="AO39" t="str">
        <f>IF(B39="","",Summary!$E$7*'Data Export'!AP39/SUM('Data Export'!$AP$2:$AP$64))</f>
        <v/>
      </c>
      <c r="AP39" s="127" t="str">
        <f>IF(B39="", "",Refrigerator!N21)</f>
        <v/>
      </c>
    </row>
    <row r="40" spans="1:55">
      <c r="A40" t="str">
        <f>IF(B40="", "", 39)</f>
        <v/>
      </c>
      <c r="B40" t="str">
        <f>IF(OR(Refrigerator!N22="",Refrigerator!D22&lt;0),"",Summary!$B$29)</f>
        <v/>
      </c>
      <c r="C40" t="str">
        <f>IF(AND(B40&lt;&gt;"",OR(Refrigerator!H22="EnergyStar",Refrigerator!H22="CEE Tier 2")),50742,IF(AND(B40&lt;&gt;"",Refrigerator!H22="CEE Tier 3"),50743,""))</f>
        <v/>
      </c>
      <c r="D40" t="str">
        <f>IF(B40="", "",Refrigerator!D22)</f>
        <v/>
      </c>
      <c r="E40" t="str">
        <f t="shared" si="0"/>
        <v/>
      </c>
      <c r="F40" t="str">
        <f>IF(B40="", "",Refrigerator!E22)</f>
        <v/>
      </c>
      <c r="G40" t="str">
        <f>IF(B40="", "",Refrigerator!F22)</f>
        <v/>
      </c>
      <c r="M40" t="str">
        <f>IF(B40="", "",Refrigerator!H22)</f>
        <v/>
      </c>
      <c r="N40" t="str">
        <f t="shared" si="9"/>
        <v/>
      </c>
      <c r="Q40" t="str">
        <f>IF(B40="","",Refrigerator!K22)</f>
        <v/>
      </c>
      <c r="S40" t="str">
        <f>IF(B40="","",INDEX('Lookup Tables'!$J$94:$L$101,MATCH(Refrigerator!G22,'Lookup Tables'!$C$94:$C$101,0),MATCH(Refrigerator!H22,'Lookup Tables'!$J$93:$L$93,0)))</f>
        <v/>
      </c>
      <c r="V40" s="127" t="str">
        <f>IF(B40="", "",Refrigerator!M22)</f>
        <v/>
      </c>
      <c r="AD40" t="str">
        <f>IF(B40="","",INDEX('Lookup Tables'!$M$94:$O$101,MATCH(Refrigerator!G22,'Lookup Tables'!$C$94:$C$101,0),MATCH(Refrigerator!H22,'Lookup Tables'!$M$93:$O$93,0)))</f>
        <v/>
      </c>
      <c r="AE40" t="str">
        <f>IF(B40="","",Refrigerator!I22)</f>
        <v/>
      </c>
      <c r="AF40" s="128" t="str">
        <f>IF(B40="", "",Refrigerator!C22)</f>
        <v/>
      </c>
      <c r="AG40" t="str">
        <f>IF(B40="","",Refrigerator!J22)</f>
        <v/>
      </c>
      <c r="AK40" t="str">
        <f>IF(B40="", "",Summary!$C$9)</f>
        <v/>
      </c>
      <c r="AL40" t="str">
        <f t="shared" si="2"/>
        <v/>
      </c>
      <c r="AM40" t="str">
        <f>IF(B40="", "",Refrigerator!L22)</f>
        <v/>
      </c>
      <c r="AN40" t="str">
        <f t="shared" si="3"/>
        <v/>
      </c>
      <c r="AO40" t="str">
        <f>IF(B40="","",Summary!$E$7*'Data Export'!AP40/SUM('Data Export'!$AP$2:$AP$64))</f>
        <v/>
      </c>
      <c r="AP40" s="127" t="str">
        <f>IF(B40="", "",Refrigerator!N22)</f>
        <v/>
      </c>
    </row>
    <row r="41" spans="1:55">
      <c r="A41" t="str">
        <f>IF(B41="", "", 40)</f>
        <v/>
      </c>
      <c r="B41" t="str">
        <f>IF(OR(Refrigerator!N23="",Refrigerator!D23&lt;0),"",Summary!$B$29)</f>
        <v/>
      </c>
      <c r="C41" t="str">
        <f>IF(AND(B41&lt;&gt;"",OR(Refrigerator!H23="EnergyStar",Refrigerator!H23="CEE Tier 2")),50742,IF(AND(B41&lt;&gt;"",Refrigerator!H23="CEE Tier 3"),50743,""))</f>
        <v/>
      </c>
      <c r="D41" t="str">
        <f>IF(B41="", "",Refrigerator!D23)</f>
        <v/>
      </c>
      <c r="E41" t="str">
        <f t="shared" si="0"/>
        <v/>
      </c>
      <c r="F41" t="str">
        <f>IF(B41="", "",Refrigerator!E23)</f>
        <v/>
      </c>
      <c r="G41" t="str">
        <f>IF(B41="", "",Refrigerator!F23)</f>
        <v/>
      </c>
      <c r="M41" t="str">
        <f>IF(B41="", "",Refrigerator!H23)</f>
        <v/>
      </c>
      <c r="N41" t="str">
        <f t="shared" si="9"/>
        <v/>
      </c>
      <c r="Q41" t="str">
        <f>IF(B41="","",Refrigerator!K23)</f>
        <v/>
      </c>
      <c r="S41" t="str">
        <f>IF(B41="","",INDEX('Lookup Tables'!$J$94:$L$101,MATCH(Refrigerator!G23,'Lookup Tables'!$C$94:$C$101,0),MATCH(Refrigerator!H23,'Lookup Tables'!$J$93:$L$93,0)))</f>
        <v/>
      </c>
      <c r="V41" s="127" t="str">
        <f>IF(B41="", "",Refrigerator!M23)</f>
        <v/>
      </c>
      <c r="AD41" t="str">
        <f>IF(B41="","",INDEX('Lookup Tables'!$M$94:$O$101,MATCH(Refrigerator!G23,'Lookup Tables'!$C$94:$C$101,0),MATCH(Refrigerator!H23,'Lookup Tables'!$M$93:$O$93,0)))</f>
        <v/>
      </c>
      <c r="AE41" t="str">
        <f>IF(B41="","",Refrigerator!I23)</f>
        <v/>
      </c>
      <c r="AF41" s="128" t="str">
        <f>IF(B41="", "",Refrigerator!C23)</f>
        <v/>
      </c>
      <c r="AG41" t="str">
        <f>IF(B41="","",Refrigerator!J23)</f>
        <v/>
      </c>
      <c r="AK41" t="str">
        <f>IF(B41="", "",Summary!$C$9)</f>
        <v/>
      </c>
      <c r="AL41" t="str">
        <f t="shared" si="2"/>
        <v/>
      </c>
      <c r="AM41" t="str">
        <f>IF(B41="", "",Refrigerator!L23)</f>
        <v/>
      </c>
      <c r="AN41" t="str">
        <f t="shared" si="3"/>
        <v/>
      </c>
      <c r="AO41" t="str">
        <f>IF(B41="","",Summary!$E$7*'Data Export'!AP41/SUM('Data Export'!$AP$2:$AP$64))</f>
        <v/>
      </c>
      <c r="AP41" s="127" t="str">
        <f>IF(B41="", "",Refrigerator!N23)</f>
        <v/>
      </c>
    </row>
    <row r="42" spans="1:55">
      <c r="A42" t="str">
        <f>IF(B42="", "", 41)</f>
        <v/>
      </c>
      <c r="B42" t="str">
        <f>IF(OR(Refrigerator!N24="",Refrigerator!D24&lt;0),"",Summary!$B$29)</f>
        <v/>
      </c>
      <c r="C42" t="str">
        <f>IF(AND(B42&lt;&gt;"",OR(Refrigerator!H24="EnergyStar",Refrigerator!H24="CEE Tier 2")),50742,IF(AND(B42&lt;&gt;"",Refrigerator!H24="CEE Tier 3"),50743,""))</f>
        <v/>
      </c>
      <c r="D42" t="str">
        <f>IF(B42="", "",Refrigerator!D24)</f>
        <v/>
      </c>
      <c r="E42" t="str">
        <f t="shared" si="0"/>
        <v/>
      </c>
      <c r="F42" t="str">
        <f>IF(B42="", "",Refrigerator!E24)</f>
        <v/>
      </c>
      <c r="G42" t="str">
        <f>IF(B42="", "",Refrigerator!F24)</f>
        <v/>
      </c>
      <c r="M42" t="str">
        <f>IF(B42="", "",Refrigerator!H24)</f>
        <v/>
      </c>
      <c r="N42" t="str">
        <f t="shared" si="9"/>
        <v/>
      </c>
      <c r="Q42" t="str">
        <f>IF(B42="","",Refrigerator!K24)</f>
        <v/>
      </c>
      <c r="S42" t="str">
        <f>IF(B42="","",INDEX('Lookup Tables'!$J$94:$L$101,MATCH(Refrigerator!G24,'Lookup Tables'!$C$94:$C$101,0),MATCH(Refrigerator!H24,'Lookup Tables'!$J$93:$L$93,0)))</f>
        <v/>
      </c>
      <c r="V42" s="127" t="str">
        <f>IF(B42="", "",Refrigerator!M24)</f>
        <v/>
      </c>
      <c r="AD42" t="str">
        <f>IF(B42="","",INDEX('Lookup Tables'!$M$94:$O$101,MATCH(Refrigerator!G24,'Lookup Tables'!$C$94:$C$101,0),MATCH(Refrigerator!H24,'Lookup Tables'!$M$93:$O$93,0)))</f>
        <v/>
      </c>
      <c r="AE42" t="str">
        <f>IF(B42="","",Refrigerator!I24)</f>
        <v/>
      </c>
      <c r="AF42" s="128" t="str">
        <f>IF(B42="", "",Refrigerator!C24)</f>
        <v/>
      </c>
      <c r="AG42" t="str">
        <f>IF(B42="","",Refrigerator!J24)</f>
        <v/>
      </c>
      <c r="AK42" t="str">
        <f>IF(B42="", "",Summary!$C$9)</f>
        <v/>
      </c>
      <c r="AL42" t="str">
        <f t="shared" si="2"/>
        <v/>
      </c>
      <c r="AM42" t="str">
        <f>IF(B42="", "",Refrigerator!L24)</f>
        <v/>
      </c>
      <c r="AN42" t="str">
        <f t="shared" si="3"/>
        <v/>
      </c>
      <c r="AO42" t="str">
        <f>IF(B42="","",Summary!$E$7*'Data Export'!AP42/SUM('Data Export'!$AP$2:$AP$64))</f>
        <v/>
      </c>
      <c r="AP42" s="127" t="str">
        <f>IF(B42="", "",Refrigerator!N24)</f>
        <v/>
      </c>
    </row>
    <row r="43" spans="1:55">
      <c r="A43" t="str">
        <f>IF(B43="", "", 42)</f>
        <v/>
      </c>
      <c r="B43" t="str">
        <f>IF(OR(Freezer!K15="",Freezer!D15&lt;0),"",Summary!$B$30)</f>
        <v/>
      </c>
      <c r="C43" t="str">
        <f>IF(B43="","",64946)</f>
        <v/>
      </c>
      <c r="D43" t="str">
        <f>IF(B43="", "",Freezer!D15)</f>
        <v/>
      </c>
      <c r="E43" t="str">
        <f t="shared" si="0"/>
        <v/>
      </c>
      <c r="F43" t="str">
        <f>IF(B43="", "",Freezer!E15)</f>
        <v/>
      </c>
      <c r="G43" t="str">
        <f>IF(B43="", "",Freezer!F15)</f>
        <v/>
      </c>
      <c r="K43" t="str">
        <f>IF(B43="", "",Freezer!G15)</f>
        <v/>
      </c>
      <c r="S43" t="str">
        <f>IF(B43="","",Freezer!M15)</f>
        <v/>
      </c>
      <c r="V43" s="127"/>
      <c r="AF43" s="128" t="str">
        <f>IF(B43="", "",Freezer!C15)</f>
        <v/>
      </c>
      <c r="AK43" t="str">
        <f>IF(B43="", "",Summary!$C$9)</f>
        <v/>
      </c>
      <c r="AL43" t="str">
        <f t="shared" si="2"/>
        <v/>
      </c>
      <c r="AM43" t="str">
        <f>IF(B43="", "",Freezer!I15)</f>
        <v/>
      </c>
      <c r="AN43" t="str">
        <f t="shared" si="3"/>
        <v/>
      </c>
      <c r="AO43" t="str">
        <f>IF(B43="","",Summary!$E$7*'Data Export'!AP43/SUM('Data Export'!$AP$2:$AP$64))</f>
        <v/>
      </c>
      <c r="AP43" s="127" t="str">
        <f>IF(B43="", "",Freezer!K15)</f>
        <v/>
      </c>
      <c r="BB43" t="str">
        <f>IF(B43="","",1.23)</f>
        <v/>
      </c>
      <c r="BC43" t="str">
        <f>IF(B43="","",1.15)</f>
        <v/>
      </c>
    </row>
    <row r="44" spans="1:55">
      <c r="A44" t="str">
        <f>IF(B44="", "", 43)</f>
        <v/>
      </c>
      <c r="B44" t="str">
        <f>IF(OR(Freezer!K16="",Freezer!D16&lt;0),"",Summary!$B$30)</f>
        <v/>
      </c>
      <c r="C44" t="str">
        <f t="shared" ref="C44:C52" si="10">IF(B44="","",64946)</f>
        <v/>
      </c>
      <c r="D44" t="str">
        <f>IF(B44="", "",Freezer!D16)</f>
        <v/>
      </c>
      <c r="E44" t="str">
        <f t="shared" si="0"/>
        <v/>
      </c>
      <c r="F44" t="str">
        <f>IF(B44="", "",Freezer!E16)</f>
        <v/>
      </c>
      <c r="G44" t="str">
        <f>IF(B44="", "",Freezer!F16)</f>
        <v/>
      </c>
      <c r="K44" t="str">
        <f>IF(B44="", "",Freezer!G16)</f>
        <v/>
      </c>
      <c r="S44" t="str">
        <f>IF(B44="","",Freezer!M16)</f>
        <v/>
      </c>
      <c r="V44" s="127"/>
      <c r="AF44" s="128" t="str">
        <f>IF(B44="", "",Freezer!C16)</f>
        <v/>
      </c>
      <c r="AK44" t="str">
        <f>IF(B44="", "",Summary!$C$9)</f>
        <v/>
      </c>
      <c r="AL44" t="str">
        <f t="shared" si="2"/>
        <v/>
      </c>
      <c r="AM44" t="str">
        <f>IF(B44="", "",Freezer!I16)</f>
        <v/>
      </c>
      <c r="AN44" t="str">
        <f t="shared" si="3"/>
        <v/>
      </c>
      <c r="AO44" t="str">
        <f>IF(B44="","",Summary!$E$7*'Data Export'!AP44/SUM('Data Export'!$AP$2:$AP$64))</f>
        <v/>
      </c>
      <c r="AP44" s="127" t="str">
        <f>IF(B44="", "",Freezer!K16)</f>
        <v/>
      </c>
      <c r="BB44" t="str">
        <f t="shared" ref="BB44:BB52" si="11">IF(B44="","",1.23)</f>
        <v/>
      </c>
      <c r="BC44" t="str">
        <f t="shared" ref="BC44:BC52" si="12">IF(B44="","",1.15)</f>
        <v/>
      </c>
    </row>
    <row r="45" spans="1:55">
      <c r="A45" t="str">
        <f>IF(B45="", "", 44)</f>
        <v/>
      </c>
      <c r="B45" t="str">
        <f>IF(OR(Freezer!K17="",Freezer!D17&lt;0),"",Summary!$B$30)</f>
        <v/>
      </c>
      <c r="C45" t="str">
        <f t="shared" si="10"/>
        <v/>
      </c>
      <c r="D45" t="str">
        <f>IF(B45="", "",Freezer!D17)</f>
        <v/>
      </c>
      <c r="E45" t="str">
        <f t="shared" si="0"/>
        <v/>
      </c>
      <c r="F45" t="str">
        <f>IF(B45="", "",Freezer!E17)</f>
        <v/>
      </c>
      <c r="G45" t="str">
        <f>IF(B45="", "",Freezer!F17)</f>
        <v/>
      </c>
      <c r="K45" t="str">
        <f>IF(B45="", "",Freezer!G17)</f>
        <v/>
      </c>
      <c r="S45" t="str">
        <f>IF(B45="","",Freezer!M17)</f>
        <v/>
      </c>
      <c r="V45" s="127"/>
      <c r="AF45" s="128" t="str">
        <f>IF(B45="", "",Freezer!C17)</f>
        <v/>
      </c>
      <c r="AK45" t="str">
        <f>IF(B45="", "",Summary!$C$9)</f>
        <v/>
      </c>
      <c r="AL45" t="str">
        <f t="shared" si="2"/>
        <v/>
      </c>
      <c r="AM45" t="str">
        <f>IF(B45="", "",Freezer!I17)</f>
        <v/>
      </c>
      <c r="AN45" t="str">
        <f t="shared" si="3"/>
        <v/>
      </c>
      <c r="AO45" t="str">
        <f>IF(B45="","",Summary!$E$7*'Data Export'!AP45/SUM('Data Export'!$AP$2:$AP$64))</f>
        <v/>
      </c>
      <c r="AP45" s="127" t="str">
        <f>IF(B45="", "",Freezer!K17)</f>
        <v/>
      </c>
      <c r="BB45" t="str">
        <f t="shared" si="11"/>
        <v/>
      </c>
      <c r="BC45" t="str">
        <f t="shared" si="12"/>
        <v/>
      </c>
    </row>
    <row r="46" spans="1:55">
      <c r="A46" t="str">
        <f>IF(B46="", "", 45)</f>
        <v/>
      </c>
      <c r="B46" t="str">
        <f>IF(OR(Freezer!K18="",Freezer!D18&lt;0),"",Summary!$B$30)</f>
        <v/>
      </c>
      <c r="C46" t="str">
        <f t="shared" si="10"/>
        <v/>
      </c>
      <c r="D46" t="str">
        <f>IF(B46="", "",Freezer!D18)</f>
        <v/>
      </c>
      <c r="E46" t="str">
        <f t="shared" si="0"/>
        <v/>
      </c>
      <c r="F46" t="str">
        <f>IF(B46="", "",Freezer!E18)</f>
        <v/>
      </c>
      <c r="G46" t="str">
        <f>IF(B46="", "",Freezer!F18)</f>
        <v/>
      </c>
      <c r="K46" t="str">
        <f>IF(B46="", "",Freezer!G18)</f>
        <v/>
      </c>
      <c r="S46" t="str">
        <f>IF(B46="","",Freezer!M18)</f>
        <v/>
      </c>
      <c r="V46" s="127"/>
      <c r="AF46" s="128" t="str">
        <f>IF(B46="", "",Freezer!C18)</f>
        <v/>
      </c>
      <c r="AK46" t="str">
        <f>IF(B46="", "",Summary!$C$9)</f>
        <v/>
      </c>
      <c r="AL46" t="str">
        <f t="shared" si="2"/>
        <v/>
      </c>
      <c r="AM46" t="str">
        <f>IF(B46="", "",Freezer!I18)</f>
        <v/>
      </c>
      <c r="AN46" t="str">
        <f t="shared" si="3"/>
        <v/>
      </c>
      <c r="AO46" t="str">
        <f>IF(B46="","",Summary!$E$7*'Data Export'!AP46/SUM('Data Export'!$AP$2:$AP$64))</f>
        <v/>
      </c>
      <c r="AP46" s="127" t="str">
        <f>IF(B46="", "",Freezer!K18)</f>
        <v/>
      </c>
      <c r="BB46" t="str">
        <f t="shared" si="11"/>
        <v/>
      </c>
      <c r="BC46" t="str">
        <f t="shared" si="12"/>
        <v/>
      </c>
    </row>
    <row r="47" spans="1:55">
      <c r="A47" t="str">
        <f>IF(B47="", "", 46)</f>
        <v/>
      </c>
      <c r="B47" t="str">
        <f>IF(OR(Freezer!K19="",Freezer!D19&lt;0),"",Summary!$B$30)</f>
        <v/>
      </c>
      <c r="C47" t="str">
        <f t="shared" si="10"/>
        <v/>
      </c>
      <c r="D47" t="str">
        <f>IF(B47="", "",Freezer!D19)</f>
        <v/>
      </c>
      <c r="E47" t="str">
        <f t="shared" si="0"/>
        <v/>
      </c>
      <c r="F47" t="str">
        <f>IF(B47="", "",Freezer!E19)</f>
        <v/>
      </c>
      <c r="G47" t="str">
        <f>IF(B47="", "",Freezer!F19)</f>
        <v/>
      </c>
      <c r="K47" t="str">
        <f>IF(B47="", "",Freezer!G19)</f>
        <v/>
      </c>
      <c r="S47" t="str">
        <f>IF(B47="","",Freezer!M19)</f>
        <v/>
      </c>
      <c r="V47" s="127"/>
      <c r="AF47" s="128" t="str">
        <f>IF(B47="", "",Freezer!C19)</f>
        <v/>
      </c>
      <c r="AK47" t="str">
        <f>IF(B47="", "",Summary!$C$9)</f>
        <v/>
      </c>
      <c r="AL47" t="str">
        <f t="shared" si="2"/>
        <v/>
      </c>
      <c r="AM47" t="str">
        <f>IF(B47="", "",Freezer!I19)</f>
        <v/>
      </c>
      <c r="AN47" t="str">
        <f t="shared" si="3"/>
        <v/>
      </c>
      <c r="AO47" t="str">
        <f>IF(B47="","",Summary!$E$7*'Data Export'!AP47/SUM('Data Export'!$AP$2:$AP$64))</f>
        <v/>
      </c>
      <c r="AP47" s="127" t="str">
        <f>IF(B47="", "",Freezer!K19)</f>
        <v/>
      </c>
      <c r="BB47" t="str">
        <f t="shared" si="11"/>
        <v/>
      </c>
      <c r="BC47" t="str">
        <f t="shared" si="12"/>
        <v/>
      </c>
    </row>
    <row r="48" spans="1:55">
      <c r="A48" t="str">
        <f>IF(B48="", "", 47)</f>
        <v/>
      </c>
      <c r="B48" t="str">
        <f>IF(OR(Freezer!K20="",Freezer!D20&lt;0),"",Summary!$B$30)</f>
        <v/>
      </c>
      <c r="C48" t="str">
        <f t="shared" si="10"/>
        <v/>
      </c>
      <c r="D48" t="str">
        <f>IF(B48="", "",Freezer!D20)</f>
        <v/>
      </c>
      <c r="E48" t="str">
        <f t="shared" si="0"/>
        <v/>
      </c>
      <c r="F48" t="str">
        <f>IF(B48="", "",Freezer!E20)</f>
        <v/>
      </c>
      <c r="G48" t="str">
        <f>IF(B48="", "",Freezer!F20)</f>
        <v/>
      </c>
      <c r="K48" t="str">
        <f>IF(B48="", "",Freezer!G20)</f>
        <v/>
      </c>
      <c r="S48" t="str">
        <f>IF(B48="","",Freezer!M20)</f>
        <v/>
      </c>
      <c r="V48" s="127"/>
      <c r="AF48" s="128" t="str">
        <f>IF(B48="", "",Freezer!C20)</f>
        <v/>
      </c>
      <c r="AK48" t="str">
        <f>IF(B48="", "",Summary!$C$9)</f>
        <v/>
      </c>
      <c r="AL48" t="str">
        <f t="shared" si="2"/>
        <v/>
      </c>
      <c r="AM48" t="str">
        <f>IF(B48="", "",Freezer!I20)</f>
        <v/>
      </c>
      <c r="AN48" t="str">
        <f t="shared" si="3"/>
        <v/>
      </c>
      <c r="AO48" t="str">
        <f>IF(B48="","",Summary!$E$7*'Data Export'!AP48/SUM('Data Export'!$AP$2:$AP$64))</f>
        <v/>
      </c>
      <c r="AP48" s="127" t="str">
        <f>IF(B48="", "",Freezer!K20)</f>
        <v/>
      </c>
      <c r="BB48" t="str">
        <f t="shared" si="11"/>
        <v/>
      </c>
      <c r="BC48" t="str">
        <f t="shared" si="12"/>
        <v/>
      </c>
    </row>
    <row r="49" spans="1:55">
      <c r="A49" t="str">
        <f>IF(B49="", "", 48)</f>
        <v/>
      </c>
      <c r="B49" t="str">
        <f>IF(OR(Freezer!K21="",Freezer!D21&lt;0),"",Summary!$B$30)</f>
        <v/>
      </c>
      <c r="C49" t="str">
        <f t="shared" si="10"/>
        <v/>
      </c>
      <c r="D49" t="str">
        <f>IF(B49="", "",Freezer!D21)</f>
        <v/>
      </c>
      <c r="E49" t="str">
        <f t="shared" si="0"/>
        <v/>
      </c>
      <c r="F49" t="str">
        <f>IF(B49="", "",Freezer!E21)</f>
        <v/>
      </c>
      <c r="G49" t="str">
        <f>IF(B49="", "",Freezer!F21)</f>
        <v/>
      </c>
      <c r="K49" t="str">
        <f>IF(B49="", "",Freezer!G21)</f>
        <v/>
      </c>
      <c r="S49" t="str">
        <f>IF(B49="","",Freezer!M21)</f>
        <v/>
      </c>
      <c r="V49" s="127"/>
      <c r="AF49" s="128" t="str">
        <f>IF(B49="", "",Freezer!C21)</f>
        <v/>
      </c>
      <c r="AK49" t="str">
        <f>IF(B49="", "",Summary!$C$9)</f>
        <v/>
      </c>
      <c r="AL49" t="str">
        <f t="shared" si="2"/>
        <v/>
      </c>
      <c r="AM49" t="str">
        <f>IF(B49="", "",Freezer!I21)</f>
        <v/>
      </c>
      <c r="AN49" t="str">
        <f t="shared" si="3"/>
        <v/>
      </c>
      <c r="AO49" t="str">
        <f>IF(B49="","",Summary!$E$7*'Data Export'!AP49/SUM('Data Export'!$AP$2:$AP$64))</f>
        <v/>
      </c>
      <c r="AP49" s="127" t="str">
        <f>IF(B49="", "",Freezer!K21)</f>
        <v/>
      </c>
      <c r="BB49" t="str">
        <f t="shared" si="11"/>
        <v/>
      </c>
      <c r="BC49" t="str">
        <f t="shared" si="12"/>
        <v/>
      </c>
    </row>
    <row r="50" spans="1:55">
      <c r="A50" t="str">
        <f>IF(B50="", "", 49)</f>
        <v/>
      </c>
      <c r="B50" t="str">
        <f>IF(OR(Freezer!K22="",Freezer!D22&lt;0),"",Summary!$B$30)</f>
        <v/>
      </c>
      <c r="C50" t="str">
        <f t="shared" si="10"/>
        <v/>
      </c>
      <c r="D50" t="str">
        <f>IF(B50="", "",Freezer!D22)</f>
        <v/>
      </c>
      <c r="E50" t="str">
        <f t="shared" si="0"/>
        <v/>
      </c>
      <c r="F50" t="str">
        <f>IF(B50="", "",Freezer!E22)</f>
        <v/>
      </c>
      <c r="G50" t="str">
        <f>IF(B50="", "",Freezer!F22)</f>
        <v/>
      </c>
      <c r="K50" t="str">
        <f>IF(B50="", "",Freezer!G22)</f>
        <v/>
      </c>
      <c r="S50" t="str">
        <f>IF(B50="","",Freezer!M22)</f>
        <v/>
      </c>
      <c r="V50" s="127"/>
      <c r="AF50" s="128" t="str">
        <f>IF(B50="", "",Freezer!C22)</f>
        <v/>
      </c>
      <c r="AK50" t="str">
        <f>IF(B50="", "",Summary!$C$9)</f>
        <v/>
      </c>
      <c r="AL50" t="str">
        <f t="shared" si="2"/>
        <v/>
      </c>
      <c r="AM50" t="str">
        <f>IF(B50="", "",Freezer!I22)</f>
        <v/>
      </c>
      <c r="AN50" t="str">
        <f t="shared" si="3"/>
        <v/>
      </c>
      <c r="AO50" t="str">
        <f>IF(B50="","",Summary!$E$7*'Data Export'!AP50/SUM('Data Export'!$AP$2:$AP$64))</f>
        <v/>
      </c>
      <c r="AP50" s="127" t="str">
        <f>IF(B50="", "",Freezer!K22)</f>
        <v/>
      </c>
      <c r="BB50" t="str">
        <f t="shared" si="11"/>
        <v/>
      </c>
      <c r="BC50" t="str">
        <f t="shared" si="12"/>
        <v/>
      </c>
    </row>
    <row r="51" spans="1:55">
      <c r="A51" t="str">
        <f>IF(B51="", "", 50)</f>
        <v/>
      </c>
      <c r="B51" t="str">
        <f>IF(OR(Freezer!K23="",Freezer!D23&lt;0),"",Summary!$B$30)</f>
        <v/>
      </c>
      <c r="C51" t="str">
        <f t="shared" si="10"/>
        <v/>
      </c>
      <c r="D51" t="str">
        <f>IF(B51="", "",Freezer!D23)</f>
        <v/>
      </c>
      <c r="E51" t="str">
        <f t="shared" si="0"/>
        <v/>
      </c>
      <c r="F51" t="str">
        <f>IF(B51="", "",Freezer!E23)</f>
        <v/>
      </c>
      <c r="G51" t="str">
        <f>IF(B51="", "",Freezer!F23)</f>
        <v/>
      </c>
      <c r="K51" t="str">
        <f>IF(B51="", "",Freezer!G23)</f>
        <v/>
      </c>
      <c r="S51" t="str">
        <f>IF(B51="","",Freezer!M23)</f>
        <v/>
      </c>
      <c r="V51" s="127"/>
      <c r="AF51" s="128" t="str">
        <f>IF(B51="", "",Freezer!C23)</f>
        <v/>
      </c>
      <c r="AK51" t="str">
        <f>IF(B51="", "",Summary!$C$9)</f>
        <v/>
      </c>
      <c r="AL51" t="str">
        <f t="shared" si="2"/>
        <v/>
      </c>
      <c r="AM51" t="str">
        <f>IF(B51="", "",Freezer!I23)</f>
        <v/>
      </c>
      <c r="AN51" t="str">
        <f t="shared" si="3"/>
        <v/>
      </c>
      <c r="AO51" t="str">
        <f>IF(B51="","",Summary!$E$7*'Data Export'!AP51/SUM('Data Export'!$AP$2:$AP$64))</f>
        <v/>
      </c>
      <c r="AP51" s="127" t="str">
        <f>IF(B51="", "",Freezer!K23)</f>
        <v/>
      </c>
      <c r="BB51" t="str">
        <f t="shared" si="11"/>
        <v/>
      </c>
      <c r="BC51" t="str">
        <f t="shared" si="12"/>
        <v/>
      </c>
    </row>
    <row r="52" spans="1:55">
      <c r="A52" t="str">
        <f>IF(B52="", "", 51)</f>
        <v/>
      </c>
      <c r="B52" t="str">
        <f>IF(OR(Freezer!K24="",Freezer!D24&lt;0),"",Summary!$B$30)</f>
        <v/>
      </c>
      <c r="C52" t="str">
        <f t="shared" si="10"/>
        <v/>
      </c>
      <c r="D52" t="str">
        <f>IF(B52="", "",Freezer!D24)</f>
        <v/>
      </c>
      <c r="E52" t="str">
        <f t="shared" si="0"/>
        <v/>
      </c>
      <c r="F52" t="str">
        <f>IF(B52="", "",Freezer!E24)</f>
        <v/>
      </c>
      <c r="G52" t="str">
        <f>IF(B52="", "",Freezer!F24)</f>
        <v/>
      </c>
      <c r="K52" t="str">
        <f>IF(B52="", "",Freezer!G24)</f>
        <v/>
      </c>
      <c r="S52" t="str">
        <f>IF(B52="","",Freezer!M24)</f>
        <v/>
      </c>
      <c r="V52" s="127"/>
      <c r="AF52" s="128" t="str">
        <f>IF(B52="", "",Freezer!C24)</f>
        <v/>
      </c>
      <c r="AK52" t="str">
        <f>IF(B52="", "",Summary!$C$9)</f>
        <v/>
      </c>
      <c r="AL52" t="str">
        <f t="shared" si="2"/>
        <v/>
      </c>
      <c r="AM52" t="str">
        <f>IF(B52="", "",Freezer!I24)</f>
        <v/>
      </c>
      <c r="AN52" t="str">
        <f t="shared" si="3"/>
        <v/>
      </c>
      <c r="AO52" t="str">
        <f>IF(B52="","",Summary!$E$7*'Data Export'!AP52/SUM('Data Export'!$AP$2:$AP$64))</f>
        <v/>
      </c>
      <c r="AP52" s="127" t="str">
        <f>IF(B52="", "",Freezer!K24)</f>
        <v/>
      </c>
      <c r="BB52" t="str">
        <f t="shared" si="11"/>
        <v/>
      </c>
      <c r="BC52" t="str">
        <f t="shared" si="12"/>
        <v/>
      </c>
    </row>
    <row r="53" spans="1:55">
      <c r="A53" t="e">
        <f>IF(B53="", "", 52)</f>
        <v>#REF!</v>
      </c>
      <c r="B53" t="e" cm="1">
        <f t="array" ref="B53">IF(OR('Heat Pump Water Heater'!#REF!="",'Heat Pump Water Heater'!#REF!&lt;0),"",Summary!B31)</f>
        <v>#REF!</v>
      </c>
      <c r="C53" t="e">
        <f>IF(B53="","",50747)</f>
        <v>#REF!</v>
      </c>
      <c r="D53" t="e">
        <f>IF(B53="", "",'Heat Pump Water Heater'!#REF!)</f>
        <v>#REF!</v>
      </c>
      <c r="E53" t="e">
        <f t="shared" si="0"/>
        <v>#REF!</v>
      </c>
      <c r="F53" t="e">
        <f>IF(B53="", "",'Heat Pump Water Heater'!#REF!)</f>
        <v>#REF!</v>
      </c>
      <c r="G53" t="e">
        <f>IF(B53="", "",'Heat Pump Water Heater'!#REF!)</f>
        <v>#REF!</v>
      </c>
      <c r="V53" s="127" t="e">
        <f>IF(B53="", "",'Heat Pump Water Heater'!#REF!)</f>
        <v>#REF!</v>
      </c>
      <c r="W53" t="e">
        <f>IF(B53="","","2.0")</f>
        <v>#REF!</v>
      </c>
      <c r="AF53" s="128" t="e">
        <f>IF(B53="", "",'Heat Pump Water Heater'!#REF!)</f>
        <v>#REF!</v>
      </c>
      <c r="AK53" t="e">
        <f>IF(B53="", "",Summary!$C$9)</f>
        <v>#REF!</v>
      </c>
      <c r="AL53" t="e">
        <f t="shared" si="2"/>
        <v>#REF!</v>
      </c>
      <c r="AM53" t="e">
        <f>IF(B53="", "",'Heat Pump Water Heater'!#REF!)</f>
        <v>#REF!</v>
      </c>
      <c r="AN53" t="e">
        <f t="shared" si="3"/>
        <v>#REF!</v>
      </c>
      <c r="AO53" t="e">
        <f>IF(B53="","",Summary!$E$7*'Data Export'!AP53/SUM('Data Export'!$AP$2:$AP$64))</f>
        <v>#REF!</v>
      </c>
      <c r="AP53" s="127" t="e">
        <f>IF(B53="", "",'Heat Pump Water Heater'!#REF!)</f>
        <v>#REF!</v>
      </c>
    </row>
    <row r="54" spans="1:55">
      <c r="A54" t="e">
        <f>IF(B54="", "", 53)</f>
        <v>#REF!</v>
      </c>
      <c r="B54" t="e">
        <f>IF(OR('Water Cooler'!#REF!="",'Water Cooler'!#REF!&lt;0),"",Summary!B32)</f>
        <v>#REF!</v>
      </c>
      <c r="C54" t="e">
        <f>IF(B54="","",64892)</f>
        <v>#REF!</v>
      </c>
      <c r="D54" t="e">
        <f>IF(B54="", "",'Water Cooler'!#REF!)</f>
        <v>#REF!</v>
      </c>
      <c r="E54" t="e">
        <f t="shared" si="0"/>
        <v>#REF!</v>
      </c>
      <c r="F54" t="e">
        <f>IF(B54="", "",'Water Cooler'!#REF!)</f>
        <v>#REF!</v>
      </c>
      <c r="G54" t="e">
        <f>IF(B54="", "",'Water Cooler'!#REF!)</f>
        <v>#REF!</v>
      </c>
      <c r="S54" t="e">
        <f>IF(B54="","",IF('Water Cooler'!#REF!='Lookup Tables'!$C$138,0.29*365,IF('Water Cooler'!#REF!='Lookup Tables'!$C$140,2.19*365,IF('Water Cooler'!#REF!='Lookup Tables'!$C$141,2.19*365))))</f>
        <v>#REF!</v>
      </c>
      <c r="X54" t="e">
        <f>IF(B54="","",IF('Water Cooler'!#REF!='Lookup Tables'!$C$138,0.16*365,IF('Water Cooler'!#REF!='Lookup Tables'!$C$140,0.87*365,IF('Water Cooler'!#REF!='Lookup Tables'!$C$141,0.18*365))))</f>
        <v>#REF!</v>
      </c>
      <c r="AF54" s="128" t="e">
        <f>IF(B54="", "",'Water Cooler'!#REF!)</f>
        <v>#REF!</v>
      </c>
      <c r="AK54" t="e">
        <f>IF(B54="", "",Summary!$C$9)</f>
        <v>#REF!</v>
      </c>
      <c r="AL54" t="e">
        <f t="shared" si="2"/>
        <v>#REF!</v>
      </c>
      <c r="AM54" t="e">
        <f>IF(B54="", "",'Water Cooler'!#REF!)</f>
        <v>#REF!</v>
      </c>
      <c r="AN54" t="e">
        <f t="shared" si="3"/>
        <v>#REF!</v>
      </c>
      <c r="AO54" t="e">
        <f>IF(B54="","",Summary!$E$7*'Data Export'!AP54/SUM('Data Export'!$AP$2:$AP$64))</f>
        <v>#REF!</v>
      </c>
      <c r="AP54" s="127" t="e">
        <f>IF(B54="", "",'Water Cooler'!#REF!)</f>
        <v>#REF!</v>
      </c>
      <c r="AZ54" t="e">
        <f>IF(B54="","",365)</f>
        <v>#REF!</v>
      </c>
      <c r="BA54" t="e">
        <f>IF(B54="","",0.0001119)</f>
        <v>#REF!</v>
      </c>
    </row>
    <row r="55" spans="1:55">
      <c r="A55" t="str">
        <f>IF(B55="", "", 54)</f>
        <v/>
      </c>
      <c r="B55" t="str">
        <f>IF(OR('Dehumidifier '!N15="",'Dehumidifier '!D15&lt;0),"",Summary!$B$33)</f>
        <v/>
      </c>
      <c r="C55" t="str">
        <f>IF(B55="","",64894)</f>
        <v/>
      </c>
      <c r="D55" t="str">
        <f>IF(B55="", "",'Dehumidifier '!D15)</f>
        <v/>
      </c>
      <c r="E55" t="str">
        <f t="shared" si="0"/>
        <v/>
      </c>
      <c r="F55" t="str">
        <f>IF(B55="", "",'Dehumidifier '!E15)</f>
        <v/>
      </c>
      <c r="G55" t="str">
        <f>IF(B55="", "",'Dehumidifier '!F15)</f>
        <v/>
      </c>
      <c r="H55" t="str">
        <f>IF(B55="","",0.37)</f>
        <v/>
      </c>
      <c r="I55" t="str">
        <f>IF(B55="", "",'Dehumidifier '!K15)</f>
        <v/>
      </c>
      <c r="L55" t="str">
        <f>IF(B55="", "",'Dehumidifier '!H15)</f>
        <v/>
      </c>
      <c r="AF55" s="128" t="str">
        <f>IF(B55="", "",'Dehumidifier '!C15)</f>
        <v/>
      </c>
      <c r="AK55" t="str">
        <f>IF(B55="", "",Summary!$C$9)</f>
        <v/>
      </c>
      <c r="AL55" t="str">
        <f t="shared" si="2"/>
        <v/>
      </c>
      <c r="AM55" t="str">
        <f>IF(B55="", "",'Dehumidifier '!L15)</f>
        <v/>
      </c>
      <c r="AN55" t="str">
        <f t="shared" si="3"/>
        <v/>
      </c>
      <c r="AO55" t="str">
        <f>IF(B55="","",Summary!$E$7*'Data Export'!AP55/SUM('Data Export'!$AP$2:$AP$64))</f>
        <v/>
      </c>
      <c r="AP55" s="127" t="str">
        <f>IF(B55="", "",'Dehumidifier '!N15)</f>
        <v/>
      </c>
      <c r="AX55" t="str">
        <f>IF(B55="","",VLOOKUP('Dehumidifier '!J15,'Lookup Tables'!$B$123:$D$127,3,FALSE))</f>
        <v/>
      </c>
      <c r="AY55" t="str">
        <f>IF(B55="","",VLOOKUP('Dehumidifier '!J15,'Lookup Tables'!$B$123:$E$127,4,FALSE))</f>
        <v/>
      </c>
    </row>
    <row r="56" spans="1:55">
      <c r="A56" t="str">
        <f>IF(B56="", "", 55)</f>
        <v/>
      </c>
      <c r="B56" t="str">
        <f>IF(OR('Dehumidifier '!N16="",'Dehumidifier '!D16&lt;0),"",Summary!$B$33)</f>
        <v/>
      </c>
      <c r="C56" t="str">
        <f t="shared" ref="C56:C64" si="13">IF(B56="","",64894)</f>
        <v/>
      </c>
      <c r="D56" t="str">
        <f>IF(B56="", "",'Dehumidifier '!D16)</f>
        <v/>
      </c>
      <c r="E56" t="str">
        <f t="shared" si="0"/>
        <v/>
      </c>
      <c r="F56" t="str">
        <f>IF(B56="", "",'Dehumidifier '!E16)</f>
        <v/>
      </c>
      <c r="G56" t="str">
        <f>IF(B56="", "",'Dehumidifier '!F16)</f>
        <v/>
      </c>
      <c r="H56" t="str">
        <f t="shared" ref="H56:H64" si="14">IF(B56="","",0.37)</f>
        <v/>
      </c>
      <c r="I56" t="str">
        <f>IF(B56="", "",'Dehumidifier '!K16)</f>
        <v/>
      </c>
      <c r="L56" t="str">
        <f>IF(B56="", "",'Dehumidifier '!H16)</f>
        <v/>
      </c>
      <c r="AF56" s="128" t="str">
        <f>IF(B56="", "",'Dehumidifier '!C16)</f>
        <v/>
      </c>
      <c r="AK56" t="str">
        <f>IF(B56="", "",Summary!$C$9)</f>
        <v/>
      </c>
      <c r="AL56" t="str">
        <f t="shared" si="2"/>
        <v/>
      </c>
      <c r="AM56" t="str">
        <f>IF(B56="", "",'Dehumidifier '!L16)</f>
        <v/>
      </c>
      <c r="AN56" t="str">
        <f t="shared" si="3"/>
        <v/>
      </c>
      <c r="AO56" t="str">
        <f>IF(B56="","",Summary!$E$7*'Data Export'!AP56/SUM('Data Export'!$AP$2:$AP$64))</f>
        <v/>
      </c>
      <c r="AP56" s="127" t="str">
        <f>IF(B56="", "",'Dehumidifier '!N16)</f>
        <v/>
      </c>
      <c r="AX56" t="str">
        <f>IF(B56="","",VLOOKUP('Dehumidifier '!J16,'Lookup Tables'!$B$123:$D$127,3,FALSE))</f>
        <v/>
      </c>
      <c r="AY56" t="str">
        <f>IF(B56="","",VLOOKUP('Dehumidifier '!J16,'Lookup Tables'!$B$123:$E$127,4,FALSE))</f>
        <v/>
      </c>
    </row>
    <row r="57" spans="1:55">
      <c r="A57" t="str">
        <f>IF(B57="", "", 56)</f>
        <v/>
      </c>
      <c r="B57" t="str">
        <f>IF(OR('Dehumidifier '!N17="",'Dehumidifier '!D17&lt;0),"",Summary!$B$33)</f>
        <v/>
      </c>
      <c r="C57" t="str">
        <f t="shared" si="13"/>
        <v/>
      </c>
      <c r="D57" t="str">
        <f>IF(B57="", "",'Dehumidifier '!D17)</f>
        <v/>
      </c>
      <c r="E57" t="str">
        <f t="shared" si="0"/>
        <v/>
      </c>
      <c r="F57" t="str">
        <f>IF(B57="", "",'Dehumidifier '!E17)</f>
        <v/>
      </c>
      <c r="G57" t="str">
        <f>IF(B57="", "",'Dehumidifier '!F17)</f>
        <v/>
      </c>
      <c r="H57" t="str">
        <f t="shared" si="14"/>
        <v/>
      </c>
      <c r="I57" t="str">
        <f>IF(B57="", "",'Dehumidifier '!K17)</f>
        <v/>
      </c>
      <c r="L57" t="str">
        <f>IF(B57="", "",'Dehumidifier '!H17)</f>
        <v/>
      </c>
      <c r="AF57" s="128" t="str">
        <f>IF(B57="", "",'Dehumidifier '!C17)</f>
        <v/>
      </c>
      <c r="AK57" t="str">
        <f>IF(B57="", "",Summary!$C$9)</f>
        <v/>
      </c>
      <c r="AL57" t="str">
        <f t="shared" si="2"/>
        <v/>
      </c>
      <c r="AM57" t="str">
        <f>IF(B57="", "",'Dehumidifier '!L17)</f>
        <v/>
      </c>
      <c r="AN57" t="str">
        <f t="shared" si="3"/>
        <v/>
      </c>
      <c r="AO57" t="str">
        <f>IF(B57="","",Summary!$E$7*'Data Export'!AP57/SUM('Data Export'!$AP$2:$AP$64))</f>
        <v/>
      </c>
      <c r="AP57" s="127" t="str">
        <f>IF(B57="", "",'Dehumidifier '!N17)</f>
        <v/>
      </c>
      <c r="AX57" t="str">
        <f>IF(B57="","",VLOOKUP('Dehumidifier '!J17,'Lookup Tables'!$B$123:$D$127,3,FALSE))</f>
        <v/>
      </c>
      <c r="AY57" t="str">
        <f>IF(B57="","",VLOOKUP('Dehumidifier '!J17,'Lookup Tables'!$B$123:$E$127,4,FALSE))</f>
        <v/>
      </c>
    </row>
    <row r="58" spans="1:55">
      <c r="A58" t="str">
        <f>IF(B58="", "", 57)</f>
        <v/>
      </c>
      <c r="B58" t="str">
        <f>IF(OR('Dehumidifier '!N18="",'Dehumidifier '!D18&lt;0),"",Summary!$B$33)</f>
        <v/>
      </c>
      <c r="C58" t="str">
        <f t="shared" si="13"/>
        <v/>
      </c>
      <c r="D58" t="str">
        <f>IF(B58="", "",'Dehumidifier '!D18)</f>
        <v/>
      </c>
      <c r="E58" t="str">
        <f t="shared" si="0"/>
        <v/>
      </c>
      <c r="F58" t="str">
        <f>IF(B58="", "",'Dehumidifier '!E18)</f>
        <v/>
      </c>
      <c r="G58" t="str">
        <f>IF(B58="", "",'Dehumidifier '!F18)</f>
        <v/>
      </c>
      <c r="H58" t="str">
        <f t="shared" si="14"/>
        <v/>
      </c>
      <c r="I58" t="str">
        <f>IF(B58="", "",'Dehumidifier '!K18)</f>
        <v/>
      </c>
      <c r="L58" t="str">
        <f>IF(B58="", "",'Dehumidifier '!H18)</f>
        <v/>
      </c>
      <c r="AF58" s="128" t="str">
        <f>IF(B58="", "",'Dehumidifier '!C18)</f>
        <v/>
      </c>
      <c r="AK58" t="str">
        <f>IF(B58="", "",Summary!$C$9)</f>
        <v/>
      </c>
      <c r="AL58" t="str">
        <f t="shared" si="2"/>
        <v/>
      </c>
      <c r="AM58" t="str">
        <f>IF(B58="", "",'Dehumidifier '!L18)</f>
        <v/>
      </c>
      <c r="AN58" t="str">
        <f t="shared" si="3"/>
        <v/>
      </c>
      <c r="AO58" t="str">
        <f>IF(B58="","",Summary!$E$7*'Data Export'!AP58/SUM('Data Export'!$AP$2:$AP$64))</f>
        <v/>
      </c>
      <c r="AP58" s="127" t="str">
        <f>IF(B58="", "",'Dehumidifier '!N18)</f>
        <v/>
      </c>
      <c r="AX58" t="str">
        <f>IF(B58="","",VLOOKUP('Dehumidifier '!J18,'Lookup Tables'!$B$123:$D$127,3,FALSE))</f>
        <v/>
      </c>
      <c r="AY58" t="str">
        <f>IF(B58="","",VLOOKUP('Dehumidifier '!J18,'Lookup Tables'!$B$123:$E$127,4,FALSE))</f>
        <v/>
      </c>
    </row>
    <row r="59" spans="1:55">
      <c r="A59" t="str">
        <f>IF(B59="", "", 58)</f>
        <v/>
      </c>
      <c r="B59" t="str">
        <f>IF(OR('Dehumidifier '!N19="",'Dehumidifier '!D19&lt;0),"",Summary!$B$33)</f>
        <v/>
      </c>
      <c r="C59" t="str">
        <f t="shared" si="13"/>
        <v/>
      </c>
      <c r="D59" t="str">
        <f>IF(B59="", "",'Dehumidifier '!D19)</f>
        <v/>
      </c>
      <c r="E59" t="str">
        <f t="shared" si="0"/>
        <v/>
      </c>
      <c r="F59" t="str">
        <f>IF(B59="", "",'Dehumidifier '!E19)</f>
        <v/>
      </c>
      <c r="G59" t="str">
        <f>IF(B59="", "",'Dehumidifier '!F19)</f>
        <v/>
      </c>
      <c r="H59" t="str">
        <f t="shared" si="14"/>
        <v/>
      </c>
      <c r="I59" t="str">
        <f>IF(B59="", "",'Dehumidifier '!K19)</f>
        <v/>
      </c>
      <c r="L59" t="str">
        <f>IF(B59="", "",'Dehumidifier '!H19)</f>
        <v/>
      </c>
      <c r="AF59" s="128" t="str">
        <f>IF(B59="", "",'Dehumidifier '!C19)</f>
        <v/>
      </c>
      <c r="AK59" t="str">
        <f>IF(B59="", "",Summary!$C$9)</f>
        <v/>
      </c>
      <c r="AL59" t="str">
        <f t="shared" si="2"/>
        <v/>
      </c>
      <c r="AM59" t="str">
        <f>IF(B59="", "",'Dehumidifier '!L19)</f>
        <v/>
      </c>
      <c r="AN59" t="str">
        <f t="shared" si="3"/>
        <v/>
      </c>
      <c r="AO59" t="str">
        <f>IF(B59="","",Summary!$E$7*'Data Export'!AP59/SUM('Data Export'!$AP$2:$AP$64))</f>
        <v/>
      </c>
      <c r="AP59" s="127" t="str">
        <f>IF(B59="", "",'Dehumidifier '!N19)</f>
        <v/>
      </c>
      <c r="AX59" t="str">
        <f>IF(B59="","",VLOOKUP('Dehumidifier '!J19,'Lookup Tables'!$B$123:$D$127,3,FALSE))</f>
        <v/>
      </c>
      <c r="AY59" t="str">
        <f>IF(B59="","",VLOOKUP('Dehumidifier '!J19,'Lookup Tables'!$B$123:$E$127,4,FALSE))</f>
        <v/>
      </c>
    </row>
    <row r="60" spans="1:55">
      <c r="A60" t="str">
        <f>IF(B60="", "", 59)</f>
        <v/>
      </c>
      <c r="B60" t="str">
        <f>IF(OR('Dehumidifier '!N20="",'Dehumidifier '!D20&lt;0),"",Summary!$B$33)</f>
        <v/>
      </c>
      <c r="C60" t="str">
        <f t="shared" si="13"/>
        <v/>
      </c>
      <c r="D60" t="str">
        <f>IF(B60="", "",'Dehumidifier '!D20)</f>
        <v/>
      </c>
      <c r="E60" t="str">
        <f t="shared" si="0"/>
        <v/>
      </c>
      <c r="F60" t="str">
        <f>IF(B60="", "",'Dehumidifier '!E20)</f>
        <v/>
      </c>
      <c r="G60" t="str">
        <f>IF(B60="", "",'Dehumidifier '!F20)</f>
        <v/>
      </c>
      <c r="H60" t="str">
        <f t="shared" si="14"/>
        <v/>
      </c>
      <c r="I60" t="str">
        <f>IF(B60="", "",'Dehumidifier '!K20)</f>
        <v/>
      </c>
      <c r="L60" t="str">
        <f>IF(B60="", "",'Dehumidifier '!H20)</f>
        <v/>
      </c>
      <c r="AF60" s="128" t="str">
        <f>IF(B60="", "",'Dehumidifier '!C20)</f>
        <v/>
      </c>
      <c r="AK60" t="str">
        <f>IF(B60="", "",Summary!$C$9)</f>
        <v/>
      </c>
      <c r="AL60" t="str">
        <f t="shared" si="2"/>
        <v/>
      </c>
      <c r="AM60" t="str">
        <f>IF(B60="", "",'Dehumidifier '!L20)</f>
        <v/>
      </c>
      <c r="AN60" t="str">
        <f t="shared" si="3"/>
        <v/>
      </c>
      <c r="AO60" t="str">
        <f>IF(B60="","",Summary!$E$7*'Data Export'!AP60/SUM('Data Export'!$AP$2:$AP$64))</f>
        <v/>
      </c>
      <c r="AP60" s="127" t="str">
        <f>IF(B60="", "",'Dehumidifier '!N20)</f>
        <v/>
      </c>
      <c r="AX60" t="str">
        <f>IF(B60="","",VLOOKUP('Dehumidifier '!J20,'Lookup Tables'!$B$123:$D$127,3,FALSE))</f>
        <v/>
      </c>
      <c r="AY60" t="str">
        <f>IF(B60="","",VLOOKUP('Dehumidifier '!J20,'Lookup Tables'!$B$123:$E$127,4,FALSE))</f>
        <v/>
      </c>
    </row>
    <row r="61" spans="1:55">
      <c r="A61" t="str">
        <f>IF(B61="", "", 60)</f>
        <v/>
      </c>
      <c r="B61" t="str">
        <f>IF(OR('Dehumidifier '!N21="",'Dehumidifier '!D21&lt;0),"",Summary!$B$33)</f>
        <v/>
      </c>
      <c r="C61" t="str">
        <f t="shared" si="13"/>
        <v/>
      </c>
      <c r="D61" t="str">
        <f>IF(B61="", "",'Dehumidifier '!D21)</f>
        <v/>
      </c>
      <c r="E61" t="str">
        <f t="shared" si="0"/>
        <v/>
      </c>
      <c r="F61" t="str">
        <f>IF(B61="", "",'Dehumidifier '!E21)</f>
        <v/>
      </c>
      <c r="G61" t="str">
        <f>IF(B61="", "",'Dehumidifier '!F21)</f>
        <v/>
      </c>
      <c r="H61" t="str">
        <f t="shared" si="14"/>
        <v/>
      </c>
      <c r="I61" t="str">
        <f>IF(B61="", "",'Dehumidifier '!K21)</f>
        <v/>
      </c>
      <c r="L61" t="str">
        <f>IF(B61="", "",'Dehumidifier '!H21)</f>
        <v/>
      </c>
      <c r="AF61" s="128" t="str">
        <f>IF(B61="", "",'Dehumidifier '!C21)</f>
        <v/>
      </c>
      <c r="AK61" t="str">
        <f>IF(B61="", "",Summary!$C$9)</f>
        <v/>
      </c>
      <c r="AL61" t="str">
        <f t="shared" si="2"/>
        <v/>
      </c>
      <c r="AM61" t="str">
        <f>IF(B61="", "",'Dehumidifier '!L21)</f>
        <v/>
      </c>
      <c r="AN61" t="str">
        <f t="shared" si="3"/>
        <v/>
      </c>
      <c r="AO61" t="str">
        <f>IF(B61="","",Summary!$E$7*'Data Export'!AP61/SUM('Data Export'!$AP$2:$AP$64))</f>
        <v/>
      </c>
      <c r="AP61" s="127" t="str">
        <f>IF(B61="", "",'Dehumidifier '!N21)</f>
        <v/>
      </c>
      <c r="AX61" t="str">
        <f>IF(B61="","",VLOOKUP('Dehumidifier '!J21,'Lookup Tables'!$B$123:$D$127,3,FALSE))</f>
        <v/>
      </c>
      <c r="AY61" t="str">
        <f>IF(B61="","",VLOOKUP('Dehumidifier '!J21,'Lookup Tables'!$B$123:$E$127,4,FALSE))</f>
        <v/>
      </c>
    </row>
    <row r="62" spans="1:55">
      <c r="A62" t="str">
        <f>IF(B62="", "", 61)</f>
        <v/>
      </c>
      <c r="B62" t="str">
        <f>IF(OR('Dehumidifier '!N22="",'Dehumidifier '!D22&lt;0),"",Summary!$B$33)</f>
        <v/>
      </c>
      <c r="C62" t="str">
        <f t="shared" si="13"/>
        <v/>
      </c>
      <c r="D62" t="str">
        <f>IF(B62="", "",'Dehumidifier '!D22)</f>
        <v/>
      </c>
      <c r="E62" t="str">
        <f t="shared" si="0"/>
        <v/>
      </c>
      <c r="F62" t="str">
        <f>IF(B62="", "",'Dehumidifier '!E22)</f>
        <v/>
      </c>
      <c r="G62" t="str">
        <f>IF(B62="", "",'Dehumidifier '!F22)</f>
        <v/>
      </c>
      <c r="H62" t="str">
        <f t="shared" si="14"/>
        <v/>
      </c>
      <c r="I62" t="str">
        <f>IF(B62="", "",'Dehumidifier '!K22)</f>
        <v/>
      </c>
      <c r="L62" t="str">
        <f>IF(B62="", "",'Dehumidifier '!H22)</f>
        <v/>
      </c>
      <c r="AF62" s="128" t="str">
        <f>IF(B62="", "",'Dehumidifier '!C22)</f>
        <v/>
      </c>
      <c r="AK62" t="str">
        <f>IF(B62="", "",Summary!$C$9)</f>
        <v/>
      </c>
      <c r="AL62" t="str">
        <f t="shared" si="2"/>
        <v/>
      </c>
      <c r="AM62" t="str">
        <f>IF(B62="", "",'Dehumidifier '!L22)</f>
        <v/>
      </c>
      <c r="AN62" t="str">
        <f t="shared" si="3"/>
        <v/>
      </c>
      <c r="AO62" t="str">
        <f>IF(B62="","",Summary!$E$7*'Data Export'!AP62/SUM('Data Export'!$AP$2:$AP$64))</f>
        <v/>
      </c>
      <c r="AP62" s="127" t="str">
        <f>IF(B62="", "",'Dehumidifier '!N22)</f>
        <v/>
      </c>
      <c r="AX62" t="str">
        <f>IF(B62="","",VLOOKUP('Dehumidifier '!J22,'Lookup Tables'!$B$123:$D$127,3,FALSE))</f>
        <v/>
      </c>
      <c r="AY62" t="str">
        <f>IF(B62="","",VLOOKUP('Dehumidifier '!J22,'Lookup Tables'!$B$123:$E$127,4,FALSE))</f>
        <v/>
      </c>
    </row>
    <row r="63" spans="1:55">
      <c r="A63" t="str">
        <f>IF(B63="", "", 62)</f>
        <v/>
      </c>
      <c r="B63" t="str">
        <f>IF(OR('Dehumidifier '!N23="",'Dehumidifier '!D23&lt;0),"",Summary!$B$33)</f>
        <v/>
      </c>
      <c r="C63" t="str">
        <f t="shared" si="13"/>
        <v/>
      </c>
      <c r="D63" t="str">
        <f>IF(B63="", "",'Dehumidifier '!D23)</f>
        <v/>
      </c>
      <c r="E63" t="str">
        <f t="shared" si="0"/>
        <v/>
      </c>
      <c r="F63" t="str">
        <f>IF(B63="", "",'Dehumidifier '!E23)</f>
        <v/>
      </c>
      <c r="G63" t="str">
        <f>IF(B63="", "",'Dehumidifier '!F23)</f>
        <v/>
      </c>
      <c r="H63" t="str">
        <f t="shared" si="14"/>
        <v/>
      </c>
      <c r="I63" t="str">
        <f>IF(B63="", "",'Dehumidifier '!K23)</f>
        <v/>
      </c>
      <c r="L63" t="str">
        <f>IF(B63="", "",'Dehumidifier '!H23)</f>
        <v/>
      </c>
      <c r="AF63" s="128" t="str">
        <f>IF(B63="", "",'Dehumidifier '!C23)</f>
        <v/>
      </c>
      <c r="AK63" t="str">
        <f>IF(B63="", "",Summary!$C$9)</f>
        <v/>
      </c>
      <c r="AL63" t="str">
        <f t="shared" si="2"/>
        <v/>
      </c>
      <c r="AM63" t="str">
        <f>IF(B63="", "",'Dehumidifier '!L23)</f>
        <v/>
      </c>
      <c r="AN63" t="str">
        <f t="shared" si="3"/>
        <v/>
      </c>
      <c r="AO63" t="str">
        <f>IF(B63="","",Summary!$E$7*'Data Export'!AP63/SUM('Data Export'!$AP$2:$AP$64))</f>
        <v/>
      </c>
      <c r="AP63" s="127" t="str">
        <f>IF(B63="", "",'Dehumidifier '!N23)</f>
        <v/>
      </c>
      <c r="AX63" t="str">
        <f>IF(B63="","",VLOOKUP('Dehumidifier '!J23,'Lookup Tables'!$B$123:$D$127,3,FALSE))</f>
        <v/>
      </c>
      <c r="AY63" t="str">
        <f>IF(B63="","",VLOOKUP('Dehumidifier '!J23,'Lookup Tables'!$B$123:$E$127,4,FALSE))</f>
        <v/>
      </c>
    </row>
    <row r="64" spans="1:55" s="123" customFormat="1">
      <c r="A64" s="123" t="str">
        <f>IF(B64="", "", 63)</f>
        <v/>
      </c>
      <c r="B64" s="123" t="str">
        <f>IF(OR('Dehumidifier '!N24="",'Dehumidifier '!D24&lt;0),"",Summary!$B$33)</f>
        <v/>
      </c>
      <c r="C64" t="str">
        <f t="shared" si="13"/>
        <v/>
      </c>
      <c r="D64" s="123" t="str">
        <f>IF(B64="", "",'Dehumidifier '!D24)</f>
        <v/>
      </c>
      <c r="E64" s="123" t="str">
        <f t="shared" si="0"/>
        <v/>
      </c>
      <c r="F64" s="123" t="str">
        <f>IF(B64="", "",'Dehumidifier '!E24)</f>
        <v/>
      </c>
      <c r="G64" s="123" t="str">
        <f>IF(B64="", "",'Dehumidifier '!F24)</f>
        <v/>
      </c>
      <c r="H64" s="123" t="str">
        <f t="shared" si="14"/>
        <v/>
      </c>
      <c r="I64" s="123" t="str">
        <f>IF(B64="", "",'Dehumidifier '!K24)</f>
        <v/>
      </c>
      <c r="L64" t="str">
        <f>IF(B64="", "",'Dehumidifier '!H24)</f>
        <v/>
      </c>
      <c r="V64" s="126"/>
      <c r="AF64" s="128" t="str">
        <f>IF(B64="", "",'Dehumidifier '!C24)</f>
        <v/>
      </c>
      <c r="AK64" t="str">
        <f>IF(B64="", "",Summary!$C$9)</f>
        <v/>
      </c>
      <c r="AL64" t="str">
        <f t="shared" si="2"/>
        <v/>
      </c>
      <c r="AM64" t="str">
        <f>IF(B64="", "",'Dehumidifier '!L24)</f>
        <v/>
      </c>
      <c r="AN64" t="str">
        <f t="shared" si="3"/>
        <v/>
      </c>
      <c r="AO64" s="123" t="str">
        <f>IF(B64="","",Summary!$E$7*'Data Export'!AP64/SUM('Data Export'!$AP$2:$AP$64))</f>
        <v/>
      </c>
      <c r="AP64" s="127" t="str">
        <f>IF(B64="", "",'Dehumidifier '!N24)</f>
        <v/>
      </c>
      <c r="AX64" s="123" t="str">
        <f>IF(B64="","",VLOOKUP('Dehumidifier '!J24,'Lookup Tables'!$B$123:$D$127,3,FALSE))</f>
        <v/>
      </c>
      <c r="AY64" s="123" t="str">
        <f>IF(B64="","",VLOOKUP('Dehumidifier '!J24,'Lookup Tables'!$B$123:$E$127,4,FALSE))</f>
        <v/>
      </c>
    </row>
  </sheetData>
  <sheetProtection algorithmName="SHA-512" hashValue="Vs4hq2KMwsrWFTWAIUV2wZl74Dz399Cch7FmOc61+pv07gYLCOC6jJGotCsuDFV6yw+qUM2IBvGuBg6hJfX7VA==" saltValue="T8oi2uOzHjlCtSjACK0smA==" spinCount="100000" sheet="1" objects="1" scenarios="1"/>
  <conditionalFormatting sqref="A1:C1">
    <cfRule type="duplicateValues" dxfId="9" priority="7"/>
  </conditionalFormatting>
  <conditionalFormatting sqref="E1">
    <cfRule type="duplicateValues" dxfId="8" priority="11"/>
  </conditionalFormatting>
  <conditionalFormatting sqref="L1:N1 D1 V1:X1 Z1:AD1">
    <cfRule type="duplicateValues" dxfId="7" priority="14"/>
  </conditionalFormatting>
  <conditionalFormatting sqref="O1">
    <cfRule type="duplicateValues" dxfId="6" priority="6"/>
  </conditionalFormatting>
  <conditionalFormatting sqref="P1">
    <cfRule type="duplicateValues" dxfId="5" priority="5"/>
  </conditionalFormatting>
  <conditionalFormatting sqref="Q1">
    <cfRule type="duplicateValues" dxfId="4" priority="4"/>
  </conditionalFormatting>
  <conditionalFormatting sqref="R1">
    <cfRule type="duplicateValues" dxfId="3" priority="3"/>
  </conditionalFormatting>
  <conditionalFormatting sqref="T1">
    <cfRule type="duplicateValues" dxfId="2" priority="2"/>
  </conditionalFormatting>
  <conditionalFormatting sqref="U1">
    <cfRule type="duplicateValues" dxfId="1" priority="1"/>
  </conditionalFormatting>
  <conditionalFormatting sqref="AJ1">
    <cfRule type="duplicateValues" dxfId="0" priority="8"/>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167F-03BB-49B4-8683-067D7E4FE9A7}">
  <sheetPr codeName="Sheet14"/>
  <dimension ref="A1:AE253"/>
  <sheetViews>
    <sheetView topLeftCell="A206" workbookViewId="0">
      <selection activeCell="H212" sqref="H212"/>
    </sheetView>
  </sheetViews>
  <sheetFormatPr defaultColWidth="8.625" defaultRowHeight="14.25"/>
  <cols>
    <col min="1" max="1" width="8.625" style="10"/>
    <col min="2" max="2" width="11.125" style="10" bestFit="1" customWidth="1"/>
    <col min="3" max="3" width="39.5" style="10" customWidth="1"/>
    <col min="4" max="4" width="28.625" style="10" customWidth="1"/>
    <col min="5" max="5" width="30.125" style="10" customWidth="1"/>
    <col min="6" max="6" width="22.5" style="10" customWidth="1"/>
    <col min="7" max="7" width="22.75" style="10" customWidth="1"/>
    <col min="8" max="8" width="13.5" style="10" customWidth="1"/>
    <col min="9" max="9" width="24.125" style="10" customWidth="1"/>
    <col min="10" max="10" width="14" style="10" customWidth="1"/>
    <col min="11" max="11" width="15.25" style="10" customWidth="1"/>
    <col min="12" max="12" width="12.5" style="10" bestFit="1" customWidth="1"/>
    <col min="13" max="13" width="12.75" style="10" bestFit="1" customWidth="1"/>
    <col min="14" max="14" width="10" style="10" bestFit="1" customWidth="1"/>
    <col min="15" max="15" width="11.875" style="10" bestFit="1" customWidth="1"/>
    <col min="16" max="16" width="12.375" style="10" bestFit="1" customWidth="1"/>
    <col min="17" max="17" width="11.5" style="10" bestFit="1" customWidth="1"/>
    <col min="18" max="18" width="10.25" style="10" customWidth="1"/>
    <col min="19" max="19" width="10" style="10" bestFit="1" customWidth="1"/>
    <col min="20" max="22" width="8.625" style="10"/>
    <col min="23" max="23" width="12.5" style="10" bestFit="1" customWidth="1"/>
    <col min="24" max="27" width="8.625" style="10"/>
    <col min="28" max="28" width="11.25" style="10" bestFit="1" customWidth="1"/>
    <col min="29" max="16384" width="8.625" style="10"/>
  </cols>
  <sheetData>
    <row r="1" spans="1:17" ht="15" thickBot="1"/>
    <row r="2" spans="1:17" ht="65.099999999999994" customHeight="1">
      <c r="A2" s="13"/>
      <c r="B2" s="13"/>
      <c r="C2" s="461" t="s">
        <v>9</v>
      </c>
      <c r="D2" s="461"/>
      <c r="E2" s="13"/>
      <c r="F2" s="13"/>
      <c r="G2" s="13"/>
      <c r="H2" s="13"/>
      <c r="I2" s="13"/>
      <c r="J2" s="13"/>
      <c r="K2" s="13"/>
      <c r="L2" s="15" t="s">
        <v>141</v>
      </c>
      <c r="M2" s="46"/>
      <c r="N2" s="13"/>
      <c r="O2" s="13"/>
      <c r="P2" s="13"/>
    </row>
    <row r="3" spans="1:17" ht="15" thickBot="1">
      <c r="A3" s="13"/>
      <c r="B3" s="13"/>
      <c r="C3" s="13"/>
      <c r="D3" s="13"/>
      <c r="E3" s="13"/>
      <c r="F3" s="13"/>
      <c r="G3" s="13"/>
      <c r="H3" s="13"/>
      <c r="I3" s="13"/>
      <c r="J3" s="13"/>
      <c r="K3" s="13"/>
      <c r="L3" s="32" t="s">
        <v>142</v>
      </c>
      <c r="M3" s="33">
        <v>1.6</v>
      </c>
      <c r="N3" s="13"/>
      <c r="O3" s="13"/>
      <c r="P3" s="13"/>
    </row>
    <row r="4" spans="1:17" ht="36.75" thickBot="1">
      <c r="A4" s="13"/>
      <c r="B4" s="13"/>
      <c r="C4" s="15" t="e">
        <f>#REF!</f>
        <v>#REF!</v>
      </c>
      <c r="D4" s="16" t="e">
        <f>#REF!</f>
        <v>#REF!</v>
      </c>
      <c r="E4" s="17" t="e">
        <f>#REF!</f>
        <v>#REF!</v>
      </c>
      <c r="F4" s="17" t="e">
        <f>#REF!</f>
        <v>#REF!</v>
      </c>
      <c r="G4" s="17" t="e">
        <f>#REF!</f>
        <v>#REF!</v>
      </c>
      <c r="H4" s="44"/>
      <c r="I4" s="45"/>
      <c r="J4" s="17" t="s">
        <v>345</v>
      </c>
      <c r="K4" s="17" t="s">
        <v>474</v>
      </c>
      <c r="L4" s="34" t="s">
        <v>143</v>
      </c>
      <c r="M4" s="180" t="e">
        <f>VLOOKUP(#REF!,'Lookup Tables'!O8:P10,2,FALSE)</f>
        <v>#REF!</v>
      </c>
      <c r="N4" s="13"/>
      <c r="O4" s="13"/>
      <c r="P4" s="13"/>
      <c r="Q4" s="13"/>
    </row>
    <row r="5" spans="1:17">
      <c r="A5" s="13"/>
      <c r="B5" s="13"/>
      <c r="C5" s="18" t="s">
        <v>144</v>
      </c>
      <c r="D5" s="19" t="e">
        <f>(M3-M4)*60*K5*365</f>
        <v>#REF!</v>
      </c>
      <c r="E5" s="20" t="e">
        <f>IF(#REF!="Electric",D5*$M$8*8.33*$M$6*1/$M$7*1/3413*1,"")</f>
        <v>#REF!</v>
      </c>
      <c r="F5" s="48" t="e">
        <f>IF(#REF!="Other",D5*$M$8*8.33*$M$6*1/$M$5*10^-6,"")</f>
        <v>#REF!</v>
      </c>
      <c r="G5" s="361" t="e">
        <f>0.0001607*E5</f>
        <v>#REF!</v>
      </c>
      <c r="H5" s="15" t="s">
        <v>145</v>
      </c>
      <c r="I5" s="46">
        <v>5</v>
      </c>
      <c r="J5" s="361" t="e">
        <f>E5*0.0001575</f>
        <v>#REF!</v>
      </c>
      <c r="K5" s="33">
        <v>4</v>
      </c>
      <c r="L5" s="15" t="s">
        <v>146</v>
      </c>
      <c r="M5" s="39">
        <v>0.75</v>
      </c>
      <c r="N5" s="13"/>
      <c r="O5" s="13"/>
      <c r="P5" s="13"/>
      <c r="Q5" s="13"/>
    </row>
    <row r="6" spans="1:17" ht="24" customHeight="1">
      <c r="A6" s="13"/>
      <c r="B6" s="13"/>
      <c r="C6" s="18" t="s">
        <v>147</v>
      </c>
      <c r="D6" s="19" t="e">
        <f>(M3-M4)*60*K6*365</f>
        <v>#REF!</v>
      </c>
      <c r="E6" s="20" t="e">
        <f>IF(#REF!="Electric",D6*$M$8*8.33*$M$6*1/$M$7*1/3413*1,"")</f>
        <v>#REF!</v>
      </c>
      <c r="F6" s="48" t="e">
        <f>IF(#REF!="Other",D6*$M$8*8.33*$M$6*1/$M$5*10^-6,"")</f>
        <v>#REF!</v>
      </c>
      <c r="G6" s="361" t="e">
        <f>0.0001632*E6</f>
        <v>#REF!</v>
      </c>
      <c r="H6" s="32" t="s">
        <v>44</v>
      </c>
      <c r="I6" s="47">
        <v>50</v>
      </c>
      <c r="J6" s="361" t="e">
        <f>E6*0.0001754</f>
        <v>#REF!</v>
      </c>
      <c r="K6" s="33">
        <v>1</v>
      </c>
      <c r="L6" s="32" t="s">
        <v>148</v>
      </c>
      <c r="M6" s="33">
        <v>64.099999999999994</v>
      </c>
      <c r="N6" s="13"/>
      <c r="O6" s="465"/>
      <c r="P6" s="465"/>
      <c r="Q6" s="13"/>
    </row>
    <row r="7" spans="1:17" ht="15" thickBot="1">
      <c r="A7" s="13"/>
      <c r="B7" s="13"/>
      <c r="C7" s="21" t="s">
        <v>149</v>
      </c>
      <c r="D7" s="22" t="e">
        <f>(M3-M4)*60*K7*365</f>
        <v>#REF!</v>
      </c>
      <c r="E7" s="23" t="e">
        <f>IF(#REF!="Electric",D7*$M$8*8.33*$M$6*1/$M$7*1/3413*1,"")</f>
        <v>#REF!</v>
      </c>
      <c r="F7" s="49" t="e">
        <f>IF(#REF!="Other",D7*$M$8*8.33*$M$6*1/$M$5*10^-6,"")</f>
        <v>#REF!</v>
      </c>
      <c r="G7" s="361" t="e">
        <f>0.00014*E7</f>
        <v>#REF!</v>
      </c>
      <c r="H7" s="34" t="s">
        <v>150</v>
      </c>
      <c r="I7" s="35"/>
      <c r="J7" s="361" t="e">
        <f>E7*0.0001563</f>
        <v>#REF!</v>
      </c>
      <c r="K7" s="33">
        <v>2</v>
      </c>
      <c r="L7" s="34" t="s">
        <v>151</v>
      </c>
      <c r="M7" s="180">
        <v>0.8</v>
      </c>
      <c r="N7" s="13"/>
      <c r="O7" s="13"/>
      <c r="P7" s="13"/>
      <c r="Q7" s="13"/>
    </row>
    <row r="8" spans="1:17" ht="24">
      <c r="A8" s="13"/>
      <c r="B8" s="13"/>
      <c r="C8" s="13"/>
      <c r="D8" s="13"/>
      <c r="E8" s="13"/>
      <c r="F8" s="13"/>
      <c r="G8" s="13"/>
      <c r="H8" s="13"/>
      <c r="I8" s="13"/>
      <c r="J8" s="13"/>
      <c r="K8" s="13"/>
      <c r="L8" s="15" t="s">
        <v>152</v>
      </c>
      <c r="M8" s="181">
        <v>0.69</v>
      </c>
      <c r="N8" s="13"/>
      <c r="O8" s="15" t="s">
        <v>347</v>
      </c>
      <c r="P8" s="39">
        <v>1</v>
      </c>
    </row>
    <row r="9" spans="1:17" ht="36">
      <c r="A9" s="13"/>
      <c r="B9" s="13"/>
      <c r="C9" s="13"/>
      <c r="D9" s="13"/>
      <c r="E9" s="13"/>
      <c r="F9" s="13"/>
      <c r="G9" s="13"/>
      <c r="H9" s="13"/>
      <c r="I9" s="13"/>
      <c r="J9" s="13"/>
      <c r="K9" s="13"/>
      <c r="L9" s="13"/>
      <c r="M9" s="13"/>
      <c r="N9" s="13"/>
      <c r="O9" s="32" t="s">
        <v>346</v>
      </c>
      <c r="P9" s="33">
        <v>1.2</v>
      </c>
    </row>
    <row r="10" spans="1:17" ht="68.25" thickBot="1">
      <c r="A10" s="13"/>
      <c r="B10" s="13"/>
      <c r="C10" s="43" t="s">
        <v>11</v>
      </c>
      <c r="D10" s="13"/>
      <c r="E10" s="13"/>
      <c r="F10" s="13"/>
      <c r="G10" s="13"/>
      <c r="H10" s="13"/>
      <c r="I10" s="13"/>
      <c r="J10" s="13"/>
      <c r="K10" s="13"/>
      <c r="L10" s="13"/>
      <c r="M10" s="13"/>
      <c r="N10" s="13"/>
      <c r="O10" s="34" t="s">
        <v>348</v>
      </c>
      <c r="P10" s="180">
        <v>1.28</v>
      </c>
    </row>
    <row r="11" spans="1:17">
      <c r="A11" s="13"/>
      <c r="B11" s="13"/>
      <c r="C11" s="13"/>
      <c r="D11" s="13"/>
      <c r="E11" s="13"/>
      <c r="F11" s="13"/>
      <c r="G11" s="13"/>
      <c r="H11" s="13"/>
      <c r="I11" s="13"/>
      <c r="J11" s="13"/>
      <c r="K11" s="13"/>
      <c r="L11" s="13"/>
      <c r="M11" s="13"/>
      <c r="N11" s="13"/>
      <c r="O11" s="13"/>
      <c r="P11" s="13"/>
    </row>
    <row r="12" spans="1:17" ht="15" thickBot="1">
      <c r="A12" s="13"/>
      <c r="B12" s="14"/>
      <c r="C12" s="111" t="s">
        <v>71</v>
      </c>
      <c r="D12" s="30" t="s">
        <v>153</v>
      </c>
      <c r="E12" s="30" t="s">
        <v>154</v>
      </c>
      <c r="F12" s="14"/>
      <c r="G12" s="14"/>
      <c r="H12" s="14"/>
      <c r="I12" s="14"/>
      <c r="J12" s="14"/>
      <c r="K12" s="13"/>
      <c r="L12" s="13"/>
      <c r="M12" s="13"/>
      <c r="N12" s="13"/>
      <c r="O12" s="13"/>
      <c r="P12" s="13"/>
    </row>
    <row r="13" spans="1:17" ht="24">
      <c r="A13" s="13"/>
      <c r="B13" s="13"/>
      <c r="C13" s="111" t="s">
        <v>155</v>
      </c>
      <c r="D13" s="30">
        <v>2</v>
      </c>
      <c r="E13" s="30">
        <v>2.2000000000000002</v>
      </c>
      <c r="F13" s="13"/>
      <c r="G13" s="15" t="s">
        <v>156</v>
      </c>
      <c r="H13" s="15" t="s">
        <v>157</v>
      </c>
      <c r="I13" s="15" t="s">
        <v>133</v>
      </c>
      <c r="J13" s="94"/>
      <c r="K13" s="15" t="s">
        <v>39</v>
      </c>
      <c r="L13" s="15" t="s">
        <v>430</v>
      </c>
      <c r="M13" s="15" t="s">
        <v>432</v>
      </c>
      <c r="N13" s="15" t="s">
        <v>431</v>
      </c>
      <c r="O13" s="13"/>
      <c r="P13" s="13"/>
    </row>
    <row r="14" spans="1:17">
      <c r="A14" s="13"/>
      <c r="B14" s="13"/>
      <c r="C14" s="111" t="s">
        <v>158</v>
      </c>
      <c r="D14" s="30">
        <v>1.35</v>
      </c>
      <c r="E14" s="30">
        <v>2.2000000000000002</v>
      </c>
      <c r="F14" s="13"/>
      <c r="G14" s="29" t="s">
        <v>159</v>
      </c>
      <c r="H14" s="29">
        <v>1</v>
      </c>
      <c r="I14" s="29">
        <v>0</v>
      </c>
      <c r="J14" s="94"/>
      <c r="K14" s="29" t="s">
        <v>349</v>
      </c>
      <c r="L14" s="29" t="s">
        <v>350</v>
      </c>
      <c r="M14" s="29">
        <v>1.0254476588810436E-4</v>
      </c>
      <c r="N14" s="29">
        <v>1.3272511150717037E-4</v>
      </c>
      <c r="O14" s="13"/>
      <c r="P14" s="13"/>
    </row>
    <row r="15" spans="1:17">
      <c r="A15" s="13"/>
      <c r="B15" s="13"/>
      <c r="F15" s="13"/>
      <c r="G15" s="29" t="s">
        <v>160</v>
      </c>
      <c r="H15" s="29">
        <v>0</v>
      </c>
      <c r="I15" s="29">
        <v>1</v>
      </c>
      <c r="J15" s="13"/>
      <c r="K15" s="29" t="s">
        <v>429</v>
      </c>
      <c r="L15" s="29" t="s">
        <v>350</v>
      </c>
      <c r="M15" s="29">
        <v>8.6566868608665203E-5</v>
      </c>
      <c r="N15" s="29">
        <v>1.2236421353009063E-4</v>
      </c>
      <c r="O15" s="13"/>
      <c r="P15" s="13"/>
    </row>
    <row r="16" spans="1:17" ht="15" thickBot="1">
      <c r="A16" s="13"/>
      <c r="B16" s="13"/>
      <c r="C16" s="13"/>
      <c r="D16" s="13"/>
      <c r="E16" s="13"/>
      <c r="F16" s="13"/>
      <c r="G16" s="13"/>
      <c r="H16" s="13"/>
      <c r="I16" s="13"/>
      <c r="J16" s="13"/>
      <c r="K16" s="13"/>
      <c r="L16" s="13"/>
      <c r="M16" s="13"/>
      <c r="N16" s="13"/>
      <c r="O16" s="13"/>
      <c r="P16" s="13"/>
    </row>
    <row r="17" spans="1:19">
      <c r="A17" s="95"/>
      <c r="B17" s="95"/>
      <c r="C17" s="107" t="s">
        <v>161</v>
      </c>
      <c r="D17" s="95"/>
      <c r="E17" s="95"/>
      <c r="F17" s="95"/>
      <c r="G17" s="15" t="s">
        <v>65</v>
      </c>
      <c r="H17" s="15" t="s">
        <v>162</v>
      </c>
      <c r="I17" s="95"/>
      <c r="J17" s="95"/>
      <c r="K17" s="95"/>
      <c r="L17" s="95"/>
      <c r="M17" s="95"/>
      <c r="N17" s="95"/>
      <c r="O17" s="95"/>
      <c r="P17" s="13"/>
      <c r="Q17" s="13"/>
    </row>
    <row r="18" spans="1:19">
      <c r="A18" s="96"/>
      <c r="B18" s="97"/>
      <c r="C18" s="29" t="s">
        <v>163</v>
      </c>
      <c r="D18" s="29">
        <v>241</v>
      </c>
      <c r="E18" s="98"/>
      <c r="F18" s="98"/>
      <c r="G18" s="29" t="s">
        <v>164</v>
      </c>
      <c r="H18" s="29">
        <v>1241</v>
      </c>
      <c r="I18" s="99"/>
      <c r="J18" s="97"/>
      <c r="K18" s="97"/>
      <c r="L18" s="97"/>
      <c r="M18" s="100"/>
      <c r="N18" s="100"/>
      <c r="O18" s="100"/>
      <c r="P18" s="13"/>
      <c r="Q18" s="13"/>
    </row>
    <row r="19" spans="1:19">
      <c r="A19" s="96"/>
      <c r="B19" s="97"/>
      <c r="C19" s="29" t="s">
        <v>165</v>
      </c>
      <c r="D19" s="29">
        <v>97</v>
      </c>
      <c r="E19" s="97"/>
      <c r="F19" s="98"/>
      <c r="G19" s="29" t="s">
        <v>166</v>
      </c>
      <c r="H19" s="29">
        <v>2190</v>
      </c>
      <c r="I19" s="99"/>
      <c r="J19" s="97"/>
      <c r="K19" s="97"/>
      <c r="L19" s="97"/>
      <c r="M19" s="100"/>
      <c r="N19" s="100"/>
      <c r="O19" s="100"/>
      <c r="P19" s="13"/>
      <c r="Q19" s="13"/>
    </row>
    <row r="20" spans="1:19" ht="15" thickBot="1">
      <c r="A20" s="96"/>
      <c r="B20" s="97"/>
      <c r="C20" s="29" t="s">
        <v>167</v>
      </c>
      <c r="D20" s="29">
        <v>0.2</v>
      </c>
      <c r="E20" s="97"/>
      <c r="F20" s="98"/>
      <c r="G20" s="97"/>
      <c r="H20" s="97"/>
      <c r="I20" s="99"/>
      <c r="J20" s="97"/>
      <c r="K20" s="97"/>
      <c r="L20" s="97"/>
      <c r="M20" s="100"/>
      <c r="N20" s="100"/>
      <c r="O20" s="100"/>
      <c r="P20" s="13"/>
      <c r="Q20" s="13"/>
    </row>
    <row r="21" spans="1:19">
      <c r="A21" s="96"/>
      <c r="B21" s="97"/>
      <c r="C21" s="29" t="s">
        <v>168</v>
      </c>
      <c r="D21" s="29">
        <v>0.8</v>
      </c>
      <c r="E21" s="97"/>
      <c r="F21" s="98"/>
      <c r="G21" s="15" t="s">
        <v>169</v>
      </c>
      <c r="H21" s="15" t="s">
        <v>170</v>
      </c>
      <c r="I21" s="15" t="s">
        <v>134</v>
      </c>
      <c r="J21" s="97"/>
      <c r="K21" s="97"/>
      <c r="L21" s="97"/>
      <c r="M21" s="100"/>
      <c r="N21" s="100"/>
      <c r="O21" s="100"/>
      <c r="P21" s="13"/>
      <c r="Q21" s="13"/>
    </row>
    <row r="22" spans="1:19">
      <c r="A22" s="96"/>
      <c r="B22" s="97"/>
      <c r="C22" s="29" t="s">
        <v>171</v>
      </c>
      <c r="D22" s="29">
        <v>392</v>
      </c>
      <c r="E22" s="97"/>
      <c r="F22" s="98"/>
      <c r="G22" s="29" t="s">
        <v>159</v>
      </c>
      <c r="H22" s="29">
        <v>1</v>
      </c>
      <c r="I22" s="29">
        <v>0</v>
      </c>
      <c r="J22" s="97"/>
      <c r="K22" s="97"/>
      <c r="L22" s="97"/>
      <c r="M22" s="100"/>
      <c r="N22" s="100"/>
      <c r="O22" s="100"/>
      <c r="P22" s="13"/>
      <c r="Q22" s="13"/>
    </row>
    <row r="23" spans="1:19">
      <c r="A23" s="96"/>
      <c r="B23" s="97"/>
      <c r="C23" s="29" t="s">
        <v>172</v>
      </c>
      <c r="D23" s="29">
        <v>1</v>
      </c>
      <c r="E23" s="97"/>
      <c r="F23" s="98"/>
      <c r="G23" s="29" t="s">
        <v>160</v>
      </c>
      <c r="H23" s="29">
        <v>0</v>
      </c>
      <c r="I23" s="29">
        <v>1</v>
      </c>
      <c r="J23" s="97"/>
      <c r="K23" s="97"/>
      <c r="L23" s="97"/>
      <c r="M23" s="100"/>
      <c r="N23" s="100"/>
      <c r="O23" s="100"/>
      <c r="P23" s="13"/>
      <c r="Q23" s="13"/>
    </row>
    <row r="24" spans="1:19" ht="15" thickBot="1">
      <c r="A24" s="96"/>
      <c r="B24" s="97"/>
      <c r="C24" s="29" t="s">
        <v>173</v>
      </c>
      <c r="D24" s="29">
        <v>0.84</v>
      </c>
      <c r="E24" s="97"/>
      <c r="F24" s="98"/>
      <c r="G24" s="97"/>
      <c r="H24" s="97"/>
      <c r="I24" s="99"/>
      <c r="J24" s="97"/>
      <c r="K24" s="97"/>
      <c r="L24" s="97"/>
      <c r="M24" s="100"/>
      <c r="N24" s="100"/>
      <c r="O24" s="100"/>
      <c r="P24" s="13"/>
      <c r="Q24" s="13"/>
    </row>
    <row r="25" spans="1:19">
      <c r="A25" s="96"/>
      <c r="B25" s="97"/>
      <c r="C25" s="29" t="s">
        <v>174</v>
      </c>
      <c r="D25" s="29">
        <v>0.95</v>
      </c>
      <c r="E25" s="97"/>
      <c r="F25" s="98"/>
      <c r="G25" s="15" t="s">
        <v>44</v>
      </c>
      <c r="H25" s="15"/>
      <c r="I25" s="99"/>
      <c r="J25" s="97"/>
      <c r="K25" s="97"/>
      <c r="L25" s="97"/>
      <c r="M25" s="100"/>
      <c r="N25" s="100"/>
      <c r="O25" s="100"/>
      <c r="P25" s="13"/>
      <c r="Q25" s="13"/>
    </row>
    <row r="26" spans="1:19">
      <c r="A26" s="96"/>
      <c r="B26" s="97"/>
      <c r="C26" s="29" t="s">
        <v>175</v>
      </c>
      <c r="D26" s="29">
        <v>265</v>
      </c>
      <c r="E26" s="97"/>
      <c r="F26" s="98"/>
      <c r="G26" s="117">
        <v>200</v>
      </c>
      <c r="H26" s="29" t="s">
        <v>176</v>
      </c>
      <c r="I26" s="99"/>
      <c r="J26" s="97"/>
      <c r="K26" s="97"/>
      <c r="L26" s="97"/>
      <c r="M26" s="100"/>
      <c r="N26" s="100"/>
      <c r="O26" s="100"/>
      <c r="P26" s="13"/>
      <c r="Q26" s="13"/>
    </row>
    <row r="27" spans="1:19">
      <c r="A27" s="96"/>
      <c r="B27" s="97"/>
      <c r="C27" s="29" t="s">
        <v>177</v>
      </c>
      <c r="D27" s="29">
        <v>2.9000000000000001E-2</v>
      </c>
      <c r="E27" s="97"/>
      <c r="F27" s="98"/>
      <c r="G27" s="103"/>
      <c r="H27" s="97"/>
      <c r="I27" s="99"/>
      <c r="J27" s="97"/>
      <c r="K27" s="97"/>
      <c r="L27" s="97"/>
      <c r="M27" s="100"/>
      <c r="N27" s="100"/>
      <c r="O27" s="100"/>
      <c r="P27" s="13"/>
      <c r="Q27" s="13"/>
    </row>
    <row r="28" spans="1:19">
      <c r="A28" s="13"/>
      <c r="B28" s="13"/>
      <c r="C28" s="29" t="s">
        <v>178</v>
      </c>
      <c r="D28" s="29">
        <v>0.75</v>
      </c>
      <c r="E28" s="13"/>
      <c r="F28" s="13"/>
      <c r="G28" s="13"/>
      <c r="H28" s="13"/>
      <c r="I28" s="13"/>
      <c r="J28" s="13"/>
      <c r="K28" s="13"/>
      <c r="L28" s="13"/>
      <c r="M28" s="13"/>
      <c r="N28" s="13"/>
      <c r="O28" s="13"/>
      <c r="P28" s="13"/>
    </row>
    <row r="29" spans="1:19">
      <c r="A29" s="13"/>
      <c r="B29" s="13"/>
      <c r="C29" s="29" t="s">
        <v>179</v>
      </c>
      <c r="D29" s="29">
        <v>3.4129999999999998E-3</v>
      </c>
      <c r="E29" s="13"/>
      <c r="F29" s="13"/>
      <c r="G29" s="13"/>
      <c r="H29" s="13"/>
      <c r="I29" s="13"/>
      <c r="J29" s="13"/>
      <c r="K29" s="13"/>
      <c r="L29" s="13"/>
      <c r="M29" s="13"/>
      <c r="N29" s="13"/>
      <c r="O29" s="13"/>
      <c r="P29" s="13"/>
    </row>
    <row r="30" spans="1:19">
      <c r="A30" s="13"/>
      <c r="B30" s="13"/>
      <c r="C30" s="29" t="s">
        <v>180</v>
      </c>
      <c r="D30" s="29">
        <v>1.1200000000000001</v>
      </c>
      <c r="E30" s="13"/>
      <c r="F30" s="13"/>
      <c r="G30" s="13"/>
      <c r="H30" s="13"/>
      <c r="I30" s="13"/>
      <c r="J30" s="13"/>
      <c r="K30" s="13"/>
      <c r="L30" s="13"/>
      <c r="M30" s="13"/>
      <c r="N30" s="13"/>
      <c r="O30" s="13"/>
      <c r="P30" s="13"/>
    </row>
    <row r="31" spans="1:19" ht="27" customHeight="1">
      <c r="A31" s="13"/>
      <c r="B31" s="13"/>
      <c r="E31" s="106"/>
      <c r="F31" s="106"/>
      <c r="G31" s="106"/>
      <c r="H31" s="106"/>
      <c r="I31" s="106"/>
      <c r="J31" s="113"/>
      <c r="K31" s="106"/>
      <c r="L31" s="112"/>
      <c r="M31" s="106"/>
      <c r="N31" s="106"/>
      <c r="O31" s="106"/>
      <c r="P31" s="106"/>
      <c r="Q31" s="106"/>
      <c r="R31" s="13"/>
    </row>
    <row r="32" spans="1:19" ht="15.75" thickBot="1">
      <c r="A32" s="13"/>
      <c r="B32" s="13"/>
      <c r="C32" s="106"/>
      <c r="D32" s="106"/>
      <c r="E32" s="106"/>
      <c r="F32" s="106"/>
      <c r="G32" s="106"/>
      <c r="H32" s="101"/>
      <c r="I32" s="101"/>
      <c r="J32" s="101"/>
      <c r="K32" s="101"/>
      <c r="L32" s="101"/>
      <c r="M32" s="101"/>
      <c r="N32" s="101"/>
      <c r="O32" s="101"/>
      <c r="P32" s="101"/>
      <c r="Q32" s="101"/>
      <c r="R32" s="13"/>
      <c r="S32" s="102"/>
    </row>
    <row r="33" spans="1:23" ht="15" thickBot="1">
      <c r="A33" s="13"/>
      <c r="B33" s="13"/>
      <c r="C33" s="108" t="s">
        <v>61</v>
      </c>
      <c r="D33" s="109"/>
      <c r="E33" s="109"/>
      <c r="F33" s="109"/>
      <c r="G33" s="109"/>
      <c r="H33" s="109"/>
      <c r="I33" s="109"/>
      <c r="J33" s="109"/>
      <c r="K33" s="104"/>
      <c r="N33" s="105"/>
      <c r="O33" s="105"/>
      <c r="P33" s="105"/>
      <c r="Q33" s="105"/>
      <c r="R33" s="13"/>
      <c r="S33" s="11"/>
    </row>
    <row r="34" spans="1:23" ht="55.5" customHeight="1" thickBot="1">
      <c r="A34" s="13"/>
      <c r="B34" s="13"/>
      <c r="C34" s="7" t="s">
        <v>64</v>
      </c>
      <c r="D34" s="8" t="s">
        <v>65</v>
      </c>
      <c r="E34" s="8" t="s">
        <v>66</v>
      </c>
      <c r="F34" s="8" t="s">
        <v>67</v>
      </c>
      <c r="G34" s="8" t="s">
        <v>68</v>
      </c>
      <c r="H34" s="8" t="s">
        <v>181</v>
      </c>
      <c r="I34" s="8" t="s">
        <v>58</v>
      </c>
      <c r="J34" s="8" t="s">
        <v>182</v>
      </c>
      <c r="K34" s="8" t="s">
        <v>183</v>
      </c>
      <c r="L34" s="8" t="s">
        <v>184</v>
      </c>
      <c r="M34" s="8" t="s">
        <v>185</v>
      </c>
      <c r="N34" s="8" t="s">
        <v>186</v>
      </c>
      <c r="O34" s="8" t="s">
        <v>187</v>
      </c>
      <c r="P34" s="8" t="s">
        <v>188</v>
      </c>
      <c r="Q34" s="8" t="s">
        <v>57</v>
      </c>
      <c r="R34" s="9" t="s">
        <v>60</v>
      </c>
      <c r="S34" s="9" t="s">
        <v>189</v>
      </c>
      <c r="T34" s="9" t="s">
        <v>131</v>
      </c>
      <c r="U34" s="9" t="s">
        <v>190</v>
      </c>
      <c r="V34" s="9" t="s">
        <v>191</v>
      </c>
      <c r="W34" s="9" t="s">
        <v>345</v>
      </c>
    </row>
    <row r="35" spans="1:23">
      <c r="A35" s="13"/>
      <c r="B35" s="13"/>
      <c r="C35" s="29">
        <f>'Commercial Clothes Washer'!G12</f>
        <v>0</v>
      </c>
      <c r="D35" s="29">
        <f>'Commercial Clothes Washer'!H12</f>
        <v>0</v>
      </c>
      <c r="E35" s="29">
        <f>'Commercial Clothes Washer'!I12</f>
        <v>0</v>
      </c>
      <c r="F35" s="29">
        <f>'Commercial Clothes Washer'!J12</f>
        <v>0</v>
      </c>
      <c r="G35" s="29">
        <f>'Commercial Clothes Washer'!K12</f>
        <v>0</v>
      </c>
      <c r="H35" s="29">
        <f>'Commercial Clothes Washer'!L12</f>
        <v>0</v>
      </c>
      <c r="I35" s="114" t="e">
        <f>Q35*$M$15</f>
        <v>#N/A</v>
      </c>
      <c r="J35" s="115" t="e">
        <f>C35*$D$18*VLOOKUP(D35,$G$17:$H$19,2,FALSE)/$D$22</f>
        <v>#N/A</v>
      </c>
      <c r="K35" s="115" t="e">
        <f t="shared" ref="K35:K37" si="0">C35*$D$19*VLOOKUP(D35,$G$17:$H$19,2,FALSE)/$D$22</f>
        <v>#N/A</v>
      </c>
      <c r="L35" s="115" t="e">
        <f>C35*H35/INDEX($D$13:$D$14,MATCH(E35,$C$13:$C$14,0))*INDEX($H$18:$H$19,MATCH(D35,$G$18:$G$19,0))</f>
        <v>#N/A</v>
      </c>
      <c r="M35" s="115" t="e">
        <f>C35*H35/INDEX($E$13:$E$14,MATCH(E35,$C$13:$C$14,0))*INDEX($H$18:$H$19,MATCH(D35,$G$18:$G$19,0))</f>
        <v>#N/A</v>
      </c>
      <c r="N35" s="115" t="e">
        <f>(J35-K35)*$D$20</f>
        <v>#N/A</v>
      </c>
      <c r="O35" s="115" t="e">
        <f>(J35-K35)*$D$21*INDEX($H$14:$H$15,MATCH(F35,$G$14:$G$15))</f>
        <v>#N/A</v>
      </c>
      <c r="P35" s="115" t="e">
        <f>((L35-M35)-(J35-K35))*$D$23/$D$24*$D$25*INDEX($H$22:$H$23,MATCH(G35,$G$22:$G$23))</f>
        <v>#N/A</v>
      </c>
      <c r="Q35" s="115" t="e">
        <f>ROUND(SUM(N35:P35),2)</f>
        <v>#N/A</v>
      </c>
      <c r="R35" s="117" t="e">
        <f>IF(AND(ISNUMBER(Q35),Q35&gt;0),C35*$G$26,"")</f>
        <v>#N/A</v>
      </c>
      <c r="S35" s="116" t="e">
        <f>(J35-K35)*$D$21/$D$28*$D$29*INDEX($I$14:$I$15,MATCH(F35,$G$14:$G$15))</f>
        <v>#N/A</v>
      </c>
      <c r="T35" s="116" t="e">
        <f>((L35-M35)-(J35-K35))*$D$29*$D$23/$D$24*$D$25*$D$30*INDEX($I$22:$I$23,MATCH(G35,$G$22:$G$23))</f>
        <v>#N/A</v>
      </c>
      <c r="U35" s="116" t="e">
        <f>S35+T35</f>
        <v>#N/A</v>
      </c>
      <c r="V35" s="116" t="e">
        <f>U35*10</f>
        <v>#N/A</v>
      </c>
      <c r="W35" s="116" t="e">
        <f>Q35*$N$15</f>
        <v>#N/A</v>
      </c>
    </row>
    <row r="36" spans="1:23">
      <c r="A36" s="13"/>
      <c r="B36" s="13"/>
      <c r="C36" s="29">
        <f>'Commercial Clothes Washer'!G13</f>
        <v>0</v>
      </c>
      <c r="D36" s="29">
        <f>'Commercial Clothes Washer'!H13</f>
        <v>0</v>
      </c>
      <c r="E36" s="29">
        <f>'Commercial Clothes Washer'!I13</f>
        <v>0</v>
      </c>
      <c r="F36" s="29">
        <f>'Commercial Clothes Washer'!J13</f>
        <v>0</v>
      </c>
      <c r="G36" s="29">
        <f>'Commercial Clothes Washer'!K13</f>
        <v>0</v>
      </c>
      <c r="H36" s="29">
        <f>'Commercial Clothes Washer'!L13</f>
        <v>0</v>
      </c>
      <c r="I36" s="114" t="e">
        <f t="shared" ref="I36:I44" si="1">Q36*$M$15</f>
        <v>#N/A</v>
      </c>
      <c r="J36" s="115" t="e">
        <f t="shared" ref="J36:J37" si="2">C36*$D$18*VLOOKUP(D36,$G$17:$H$19,2,FALSE)/$D$22</f>
        <v>#N/A</v>
      </c>
      <c r="K36" s="115" t="e">
        <f t="shared" si="0"/>
        <v>#N/A</v>
      </c>
      <c r="L36" s="115" t="e">
        <f t="shared" ref="L36:L44" si="3">C36*H36/INDEX($D$13:$D$14,MATCH(E36,$C$13:$C$14,0))*INDEX($H$18:$H$19,MATCH(D36,$G$18:$G$19,0))</f>
        <v>#N/A</v>
      </c>
      <c r="M36" s="115" t="e">
        <f t="shared" ref="M36:M44" si="4">C36*H36/INDEX($E$13:$E$14,MATCH(E36,$C$13:$C$14,0))*INDEX($H$18:$H$19,MATCH(D36,$G$18:$G$19,0))</f>
        <v>#N/A</v>
      </c>
      <c r="N36" s="115" t="e">
        <f t="shared" ref="N36:N44" si="5">(J36-K36)*$D$20</f>
        <v>#N/A</v>
      </c>
      <c r="O36" s="115" t="e">
        <f t="shared" ref="O36:O44" si="6">(J36-K36)*$D$21*INDEX($H$14:$H$15,MATCH(F36,$G$14:$G$15))</f>
        <v>#N/A</v>
      </c>
      <c r="P36" s="115" t="e">
        <f t="shared" ref="P36:P44" si="7">((L36-M36)-(J36-K36))*$D$23/$D$24*$D$25*INDEX($H$22:$H$23,MATCH(G36,$G$22:$G$23))</f>
        <v>#N/A</v>
      </c>
      <c r="Q36" s="115" t="e">
        <f t="shared" ref="Q36:Q44" si="8">ROUND(SUM(N36:P36),2)</f>
        <v>#N/A</v>
      </c>
      <c r="R36" s="117" t="e">
        <f t="shared" ref="R36:R44" si="9">IF(AND(ISNUMBER(Q36),Q36&gt;0),C36*$G$26,"")</f>
        <v>#N/A</v>
      </c>
      <c r="S36" s="116" t="e">
        <f t="shared" ref="S36:S44" si="10">(J36-K36)*$D$21/$D$28*$D$29*INDEX($I$14:$I$15,MATCH(F36,$G$14:$G$15))</f>
        <v>#N/A</v>
      </c>
      <c r="T36" s="116" t="e">
        <f t="shared" ref="T36:T44" si="11">((L36-M36)-(J36-K36))*$D$29*$D$23/$D$24*$D$25*$D$30*INDEX($I$22:$I$23,MATCH(G36,$G$22:$G$23))</f>
        <v>#N/A</v>
      </c>
      <c r="U36" s="116" t="e">
        <f t="shared" ref="U36:U44" si="12">S36+T36</f>
        <v>#N/A</v>
      </c>
      <c r="V36" s="116" t="e">
        <f t="shared" ref="V36:V44" si="13">U36*10</f>
        <v>#N/A</v>
      </c>
      <c r="W36" s="116" t="e">
        <f t="shared" ref="W36:W44" si="14">Q36*$N$15</f>
        <v>#N/A</v>
      </c>
    </row>
    <row r="37" spans="1:23">
      <c r="A37" s="13"/>
      <c r="B37" s="13"/>
      <c r="C37" s="29">
        <f>'Commercial Clothes Washer'!G14</f>
        <v>0</v>
      </c>
      <c r="D37" s="29">
        <f>'Commercial Clothes Washer'!H14</f>
        <v>0</v>
      </c>
      <c r="E37" s="29">
        <f>'Commercial Clothes Washer'!I14</f>
        <v>0</v>
      </c>
      <c r="F37" s="29">
        <f>'Commercial Clothes Washer'!J14</f>
        <v>0</v>
      </c>
      <c r="G37" s="29">
        <f>'Commercial Clothes Washer'!K14</f>
        <v>0</v>
      </c>
      <c r="H37" s="29">
        <f>'Commercial Clothes Washer'!L14</f>
        <v>0</v>
      </c>
      <c r="I37" s="114" t="e">
        <f t="shared" si="1"/>
        <v>#N/A</v>
      </c>
      <c r="J37" s="115" t="e">
        <f t="shared" si="2"/>
        <v>#N/A</v>
      </c>
      <c r="K37" s="115" t="e">
        <f t="shared" si="0"/>
        <v>#N/A</v>
      </c>
      <c r="L37" s="115" t="e">
        <f t="shared" si="3"/>
        <v>#N/A</v>
      </c>
      <c r="M37" s="115" t="e">
        <f t="shared" si="4"/>
        <v>#N/A</v>
      </c>
      <c r="N37" s="115" t="e">
        <f t="shared" si="5"/>
        <v>#N/A</v>
      </c>
      <c r="O37" s="115" t="e">
        <f t="shared" si="6"/>
        <v>#N/A</v>
      </c>
      <c r="P37" s="115" t="e">
        <f t="shared" si="7"/>
        <v>#N/A</v>
      </c>
      <c r="Q37" s="115" t="e">
        <f>ROUND(SUM(N37:P37),2)</f>
        <v>#N/A</v>
      </c>
      <c r="R37" s="117" t="e">
        <f t="shared" si="9"/>
        <v>#N/A</v>
      </c>
      <c r="S37" s="116" t="e">
        <f t="shared" si="10"/>
        <v>#N/A</v>
      </c>
      <c r="T37" s="116" t="e">
        <f t="shared" si="11"/>
        <v>#N/A</v>
      </c>
      <c r="U37" s="116" t="e">
        <f t="shared" si="12"/>
        <v>#N/A</v>
      </c>
      <c r="V37" s="116" t="e">
        <f t="shared" si="13"/>
        <v>#N/A</v>
      </c>
      <c r="W37" s="116" t="e">
        <f t="shared" si="14"/>
        <v>#N/A</v>
      </c>
    </row>
    <row r="38" spans="1:23">
      <c r="A38" s="13"/>
      <c r="B38" s="13"/>
      <c r="C38" s="29">
        <f>'Commercial Clothes Washer'!G15</f>
        <v>0</v>
      </c>
      <c r="D38" s="29">
        <f>'Commercial Clothes Washer'!H15</f>
        <v>0</v>
      </c>
      <c r="E38" s="29">
        <f>'Commercial Clothes Washer'!I15</f>
        <v>0</v>
      </c>
      <c r="F38" s="29">
        <f>'Commercial Clothes Washer'!J15</f>
        <v>0</v>
      </c>
      <c r="G38" s="29">
        <f>'Commercial Clothes Washer'!K15</f>
        <v>0</v>
      </c>
      <c r="H38" s="29">
        <f>'Commercial Clothes Washer'!L15</f>
        <v>0</v>
      </c>
      <c r="I38" s="114" t="e">
        <f t="shared" si="1"/>
        <v>#N/A</v>
      </c>
      <c r="J38" s="115" t="e">
        <f>C38*$D$18*VLOOKUP(D38,$G$17:$H$19,2,FALSE)/$D$22</f>
        <v>#N/A</v>
      </c>
      <c r="K38" s="115" t="e">
        <f>C38*$D$19*VLOOKUP(D38,$G$17:$H$19,2,FALSE)/$D$22</f>
        <v>#N/A</v>
      </c>
      <c r="L38" s="115" t="e">
        <f t="shared" si="3"/>
        <v>#N/A</v>
      </c>
      <c r="M38" s="115" t="e">
        <f t="shared" si="4"/>
        <v>#N/A</v>
      </c>
      <c r="N38" s="115" t="e">
        <f>(J38-K38)*$D$20</f>
        <v>#N/A</v>
      </c>
      <c r="O38" s="115" t="e">
        <f t="shared" si="6"/>
        <v>#N/A</v>
      </c>
      <c r="P38" s="115" t="e">
        <f t="shared" si="7"/>
        <v>#N/A</v>
      </c>
      <c r="Q38" s="115" t="e">
        <f t="shared" si="8"/>
        <v>#N/A</v>
      </c>
      <c r="R38" s="117" t="e">
        <f t="shared" si="9"/>
        <v>#N/A</v>
      </c>
      <c r="S38" s="116" t="e">
        <f t="shared" si="10"/>
        <v>#N/A</v>
      </c>
      <c r="T38" s="116" t="e">
        <f t="shared" si="11"/>
        <v>#N/A</v>
      </c>
      <c r="U38" s="116" t="e">
        <f t="shared" si="12"/>
        <v>#N/A</v>
      </c>
      <c r="V38" s="116" t="e">
        <f t="shared" si="13"/>
        <v>#N/A</v>
      </c>
      <c r="W38" s="116" t="e">
        <f t="shared" si="14"/>
        <v>#N/A</v>
      </c>
    </row>
    <row r="39" spans="1:23">
      <c r="A39" s="13"/>
      <c r="B39" s="13"/>
      <c r="C39" s="29">
        <f>'Commercial Clothes Washer'!G16</f>
        <v>0</v>
      </c>
      <c r="D39" s="29">
        <f>'Commercial Clothes Washer'!H16</f>
        <v>0</v>
      </c>
      <c r="E39" s="29">
        <f>'Commercial Clothes Washer'!I16</f>
        <v>0</v>
      </c>
      <c r="F39" s="29">
        <f>'Commercial Clothes Washer'!J16</f>
        <v>0</v>
      </c>
      <c r="G39" s="29">
        <f>'Commercial Clothes Washer'!K16</f>
        <v>0</v>
      </c>
      <c r="H39" s="29">
        <f>'Commercial Clothes Washer'!L16</f>
        <v>0</v>
      </c>
      <c r="I39" s="114" t="e">
        <f t="shared" si="1"/>
        <v>#N/A</v>
      </c>
      <c r="J39" s="115" t="e">
        <f t="shared" ref="J39:J41" si="15">C39*$D$18*VLOOKUP(D39,$G$17:$H$19,2,FALSE)/$D$22</f>
        <v>#N/A</v>
      </c>
      <c r="K39" s="115" t="e">
        <f t="shared" ref="K39:K44" si="16">C39*$D$19*VLOOKUP(D39,$G$17:$H$19,2,FALSE)/$D$22</f>
        <v>#N/A</v>
      </c>
      <c r="L39" s="115" t="e">
        <f t="shared" si="3"/>
        <v>#N/A</v>
      </c>
      <c r="M39" s="115" t="e">
        <f t="shared" si="4"/>
        <v>#N/A</v>
      </c>
      <c r="N39" s="115" t="e">
        <f t="shared" si="5"/>
        <v>#N/A</v>
      </c>
      <c r="O39" s="115" t="e">
        <f t="shared" si="6"/>
        <v>#N/A</v>
      </c>
      <c r="P39" s="115" t="e">
        <f t="shared" si="7"/>
        <v>#N/A</v>
      </c>
      <c r="Q39" s="115" t="e">
        <f t="shared" si="8"/>
        <v>#N/A</v>
      </c>
      <c r="R39" s="117" t="e">
        <f t="shared" si="9"/>
        <v>#N/A</v>
      </c>
      <c r="S39" s="116" t="e">
        <f t="shared" si="10"/>
        <v>#N/A</v>
      </c>
      <c r="T39" s="116" t="e">
        <f t="shared" si="11"/>
        <v>#N/A</v>
      </c>
      <c r="U39" s="116" t="e">
        <f t="shared" si="12"/>
        <v>#N/A</v>
      </c>
      <c r="V39" s="116" t="e">
        <f t="shared" si="13"/>
        <v>#N/A</v>
      </c>
      <c r="W39" s="116" t="e">
        <f t="shared" si="14"/>
        <v>#N/A</v>
      </c>
    </row>
    <row r="40" spans="1:23">
      <c r="A40" s="13"/>
      <c r="B40" s="13"/>
      <c r="C40" s="29">
        <f>'Commercial Clothes Washer'!G17</f>
        <v>0</v>
      </c>
      <c r="D40" s="29">
        <f>'Commercial Clothes Washer'!H17</f>
        <v>0</v>
      </c>
      <c r="E40" s="29">
        <f>'Commercial Clothes Washer'!I17</f>
        <v>0</v>
      </c>
      <c r="F40" s="29">
        <f>'Commercial Clothes Washer'!J17</f>
        <v>0</v>
      </c>
      <c r="G40" s="29">
        <f>'Commercial Clothes Washer'!K17</f>
        <v>0</v>
      </c>
      <c r="H40" s="29">
        <f>'Commercial Clothes Washer'!L17</f>
        <v>0</v>
      </c>
      <c r="I40" s="114" t="e">
        <f t="shared" si="1"/>
        <v>#N/A</v>
      </c>
      <c r="J40" s="115" t="e">
        <f t="shared" si="15"/>
        <v>#N/A</v>
      </c>
      <c r="K40" s="115" t="e">
        <f t="shared" si="16"/>
        <v>#N/A</v>
      </c>
      <c r="L40" s="115" t="e">
        <f t="shared" si="3"/>
        <v>#N/A</v>
      </c>
      <c r="M40" s="115" t="e">
        <f t="shared" si="4"/>
        <v>#N/A</v>
      </c>
      <c r="N40" s="115" t="e">
        <f t="shared" si="5"/>
        <v>#N/A</v>
      </c>
      <c r="O40" s="115" t="e">
        <f t="shared" si="6"/>
        <v>#N/A</v>
      </c>
      <c r="P40" s="115" t="e">
        <f t="shared" si="7"/>
        <v>#N/A</v>
      </c>
      <c r="Q40" s="115" t="e">
        <f t="shared" si="8"/>
        <v>#N/A</v>
      </c>
      <c r="R40" s="117" t="e">
        <f t="shared" si="9"/>
        <v>#N/A</v>
      </c>
      <c r="S40" s="116" t="e">
        <f t="shared" si="10"/>
        <v>#N/A</v>
      </c>
      <c r="T40" s="116" t="e">
        <f t="shared" si="11"/>
        <v>#N/A</v>
      </c>
      <c r="U40" s="116" t="e">
        <f t="shared" si="12"/>
        <v>#N/A</v>
      </c>
      <c r="V40" s="116" t="e">
        <f t="shared" si="13"/>
        <v>#N/A</v>
      </c>
      <c r="W40" s="116" t="e">
        <f t="shared" si="14"/>
        <v>#N/A</v>
      </c>
    </row>
    <row r="41" spans="1:23">
      <c r="A41" s="13"/>
      <c r="B41" s="13"/>
      <c r="C41" s="29">
        <f>'Commercial Clothes Washer'!G18</f>
        <v>0</v>
      </c>
      <c r="D41" s="29">
        <f>'Commercial Clothes Washer'!H18</f>
        <v>0</v>
      </c>
      <c r="E41" s="29">
        <f>'Commercial Clothes Washer'!I18</f>
        <v>0</v>
      </c>
      <c r="F41" s="29">
        <f>'Commercial Clothes Washer'!J18</f>
        <v>0</v>
      </c>
      <c r="G41" s="29">
        <f>'Commercial Clothes Washer'!K18</f>
        <v>0</v>
      </c>
      <c r="H41" s="29">
        <f>'Commercial Clothes Washer'!L18</f>
        <v>0</v>
      </c>
      <c r="I41" s="114" t="e">
        <f t="shared" si="1"/>
        <v>#N/A</v>
      </c>
      <c r="J41" s="115" t="e">
        <f t="shared" si="15"/>
        <v>#N/A</v>
      </c>
      <c r="K41" s="115" t="e">
        <f t="shared" si="16"/>
        <v>#N/A</v>
      </c>
      <c r="L41" s="115" t="e">
        <f t="shared" si="3"/>
        <v>#N/A</v>
      </c>
      <c r="M41" s="115" t="e">
        <f t="shared" si="4"/>
        <v>#N/A</v>
      </c>
      <c r="N41" s="115" t="e">
        <f t="shared" si="5"/>
        <v>#N/A</v>
      </c>
      <c r="O41" s="115" t="e">
        <f t="shared" si="6"/>
        <v>#N/A</v>
      </c>
      <c r="P41" s="115" t="e">
        <f t="shared" si="7"/>
        <v>#N/A</v>
      </c>
      <c r="Q41" s="115" t="e">
        <f t="shared" si="8"/>
        <v>#N/A</v>
      </c>
      <c r="R41" s="117" t="e">
        <f t="shared" si="9"/>
        <v>#N/A</v>
      </c>
      <c r="S41" s="116" t="e">
        <f t="shared" si="10"/>
        <v>#N/A</v>
      </c>
      <c r="T41" s="116" t="e">
        <f t="shared" si="11"/>
        <v>#N/A</v>
      </c>
      <c r="U41" s="116" t="e">
        <f t="shared" si="12"/>
        <v>#N/A</v>
      </c>
      <c r="V41" s="116" t="e">
        <f t="shared" si="13"/>
        <v>#N/A</v>
      </c>
      <c r="W41" s="116" t="e">
        <f t="shared" si="14"/>
        <v>#N/A</v>
      </c>
    </row>
    <row r="42" spans="1:23">
      <c r="A42" s="13"/>
      <c r="B42" s="13"/>
      <c r="C42" s="29">
        <f>'Commercial Clothes Washer'!G19</f>
        <v>0</v>
      </c>
      <c r="D42" s="29">
        <f>'Commercial Clothes Washer'!H19</f>
        <v>0</v>
      </c>
      <c r="E42" s="29">
        <f>'Commercial Clothes Washer'!I19</f>
        <v>0</v>
      </c>
      <c r="F42" s="29">
        <f>'Commercial Clothes Washer'!J19</f>
        <v>0</v>
      </c>
      <c r="G42" s="29">
        <f>'Commercial Clothes Washer'!K19</f>
        <v>0</v>
      </c>
      <c r="H42" s="29">
        <f>'Commercial Clothes Washer'!L19</f>
        <v>0</v>
      </c>
      <c r="I42" s="114" t="e">
        <f t="shared" si="1"/>
        <v>#N/A</v>
      </c>
      <c r="J42" s="115" t="e">
        <f>C42*$D$18*VLOOKUP(D42,$G$17:$H$19,2,FALSE)/$D$22</f>
        <v>#N/A</v>
      </c>
      <c r="K42" s="115" t="e">
        <f t="shared" si="16"/>
        <v>#N/A</v>
      </c>
      <c r="L42" s="115" t="e">
        <f t="shared" si="3"/>
        <v>#N/A</v>
      </c>
      <c r="M42" s="115" t="e">
        <f t="shared" si="4"/>
        <v>#N/A</v>
      </c>
      <c r="N42" s="115" t="e">
        <f t="shared" si="5"/>
        <v>#N/A</v>
      </c>
      <c r="O42" s="115" t="e">
        <f t="shared" si="6"/>
        <v>#N/A</v>
      </c>
      <c r="P42" s="115" t="e">
        <f t="shared" si="7"/>
        <v>#N/A</v>
      </c>
      <c r="Q42" s="115" t="e">
        <f t="shared" si="8"/>
        <v>#N/A</v>
      </c>
      <c r="R42" s="117" t="e">
        <f t="shared" si="9"/>
        <v>#N/A</v>
      </c>
      <c r="S42" s="116" t="e">
        <f t="shared" si="10"/>
        <v>#N/A</v>
      </c>
      <c r="T42" s="116" t="e">
        <f t="shared" si="11"/>
        <v>#N/A</v>
      </c>
      <c r="U42" s="116" t="e">
        <f t="shared" si="12"/>
        <v>#N/A</v>
      </c>
      <c r="V42" s="116" t="e">
        <f t="shared" si="13"/>
        <v>#N/A</v>
      </c>
      <c r="W42" s="116" t="e">
        <f t="shared" si="14"/>
        <v>#N/A</v>
      </c>
    </row>
    <row r="43" spans="1:23">
      <c r="A43" s="13"/>
      <c r="B43" s="13"/>
      <c r="C43" s="29">
        <f>'Commercial Clothes Washer'!G20</f>
        <v>0</v>
      </c>
      <c r="D43" s="29">
        <f>'Commercial Clothes Washer'!H20</f>
        <v>0</v>
      </c>
      <c r="E43" s="29">
        <f>'Commercial Clothes Washer'!I20</f>
        <v>0</v>
      </c>
      <c r="F43" s="29">
        <f>'Commercial Clothes Washer'!J20</f>
        <v>0</v>
      </c>
      <c r="G43" s="29">
        <f>'Commercial Clothes Washer'!K20</f>
        <v>0</v>
      </c>
      <c r="H43" s="29">
        <f>'Commercial Clothes Washer'!L20</f>
        <v>0</v>
      </c>
      <c r="I43" s="114" t="e">
        <f t="shared" si="1"/>
        <v>#N/A</v>
      </c>
      <c r="J43" s="115" t="e">
        <f t="shared" ref="J43:J44" si="17">C43*$D$18*VLOOKUP(D43,$G$17:$H$19,2,FALSE)/$D$22</f>
        <v>#N/A</v>
      </c>
      <c r="K43" s="115" t="e">
        <f t="shared" si="16"/>
        <v>#N/A</v>
      </c>
      <c r="L43" s="115" t="e">
        <f t="shared" si="3"/>
        <v>#N/A</v>
      </c>
      <c r="M43" s="115" t="e">
        <f t="shared" si="4"/>
        <v>#N/A</v>
      </c>
      <c r="N43" s="115" t="e">
        <f t="shared" si="5"/>
        <v>#N/A</v>
      </c>
      <c r="O43" s="115" t="e">
        <f t="shared" si="6"/>
        <v>#N/A</v>
      </c>
      <c r="P43" s="115" t="e">
        <f t="shared" si="7"/>
        <v>#N/A</v>
      </c>
      <c r="Q43" s="115" t="e">
        <f t="shared" si="8"/>
        <v>#N/A</v>
      </c>
      <c r="R43" s="117" t="e">
        <f t="shared" si="9"/>
        <v>#N/A</v>
      </c>
      <c r="S43" s="116" t="e">
        <f t="shared" si="10"/>
        <v>#N/A</v>
      </c>
      <c r="T43" s="116" t="e">
        <f t="shared" si="11"/>
        <v>#N/A</v>
      </c>
      <c r="U43" s="116" t="e">
        <f t="shared" si="12"/>
        <v>#N/A</v>
      </c>
      <c r="V43" s="116" t="e">
        <f t="shared" si="13"/>
        <v>#N/A</v>
      </c>
      <c r="W43" s="116" t="e">
        <f t="shared" si="14"/>
        <v>#N/A</v>
      </c>
    </row>
    <row r="44" spans="1:23">
      <c r="A44" s="13"/>
      <c r="B44" s="13"/>
      <c r="C44" s="29">
        <f>'Commercial Clothes Washer'!G21</f>
        <v>0</v>
      </c>
      <c r="D44" s="29">
        <f>'Commercial Clothes Washer'!H21</f>
        <v>0</v>
      </c>
      <c r="E44" s="29">
        <f>'Commercial Clothes Washer'!I21</f>
        <v>0</v>
      </c>
      <c r="F44" s="29">
        <f>'Commercial Clothes Washer'!J21</f>
        <v>0</v>
      </c>
      <c r="G44" s="29">
        <f>'Commercial Clothes Washer'!K21</f>
        <v>0</v>
      </c>
      <c r="H44" s="29">
        <f>'Commercial Clothes Washer'!L21</f>
        <v>0</v>
      </c>
      <c r="I44" s="114" t="e">
        <f t="shared" si="1"/>
        <v>#N/A</v>
      </c>
      <c r="J44" s="115" t="e">
        <f t="shared" si="17"/>
        <v>#N/A</v>
      </c>
      <c r="K44" s="115" t="e">
        <f t="shared" si="16"/>
        <v>#N/A</v>
      </c>
      <c r="L44" s="115" t="e">
        <f t="shared" si="3"/>
        <v>#N/A</v>
      </c>
      <c r="M44" s="115" t="e">
        <f t="shared" si="4"/>
        <v>#N/A</v>
      </c>
      <c r="N44" s="115" t="e">
        <f t="shared" si="5"/>
        <v>#N/A</v>
      </c>
      <c r="O44" s="115" t="e">
        <f t="shared" si="6"/>
        <v>#N/A</v>
      </c>
      <c r="P44" s="115" t="e">
        <f t="shared" si="7"/>
        <v>#N/A</v>
      </c>
      <c r="Q44" s="115" t="e">
        <f t="shared" si="8"/>
        <v>#N/A</v>
      </c>
      <c r="R44" s="117" t="e">
        <f t="shared" si="9"/>
        <v>#N/A</v>
      </c>
      <c r="S44" s="116" t="e">
        <f t="shared" si="10"/>
        <v>#N/A</v>
      </c>
      <c r="T44" s="116" t="e">
        <f t="shared" si="11"/>
        <v>#N/A</v>
      </c>
      <c r="U44" s="116" t="e">
        <f t="shared" si="12"/>
        <v>#N/A</v>
      </c>
      <c r="V44" s="116" t="e">
        <f t="shared" si="13"/>
        <v>#N/A</v>
      </c>
      <c r="W44" s="116" t="e">
        <f t="shared" si="14"/>
        <v>#N/A</v>
      </c>
    </row>
    <row r="45" spans="1:23">
      <c r="A45" s="13"/>
      <c r="B45" s="13"/>
      <c r="C45" s="13"/>
      <c r="D45" s="13"/>
      <c r="E45" s="13"/>
      <c r="F45" s="110"/>
      <c r="G45" s="13"/>
      <c r="H45" s="13"/>
      <c r="I45" s="13"/>
      <c r="J45" s="13"/>
      <c r="K45" s="13"/>
      <c r="L45" s="13"/>
      <c r="M45" s="13"/>
      <c r="N45" s="13"/>
      <c r="O45" s="13"/>
      <c r="P45" s="13"/>
    </row>
    <row r="46" spans="1:23">
      <c r="A46" s="13"/>
      <c r="B46" s="13"/>
      <c r="C46" s="13"/>
      <c r="D46" s="13"/>
      <c r="E46" s="13"/>
      <c r="F46" s="13"/>
      <c r="G46" s="13"/>
      <c r="H46" s="13"/>
      <c r="I46" s="13"/>
      <c r="J46" s="13"/>
      <c r="K46" s="13"/>
      <c r="L46" s="13"/>
      <c r="M46" s="13"/>
      <c r="N46" s="13"/>
      <c r="O46" s="13"/>
      <c r="P46" s="13"/>
    </row>
    <row r="47" spans="1:23" ht="68.25" thickBot="1">
      <c r="A47" s="13"/>
      <c r="B47" s="13"/>
      <c r="C47" s="43" t="s">
        <v>192</v>
      </c>
      <c r="D47" s="13"/>
      <c r="E47" s="13"/>
      <c r="F47" s="13"/>
      <c r="G47" s="13"/>
      <c r="H47" s="13"/>
      <c r="I47" s="13"/>
      <c r="J47" s="13"/>
      <c r="K47" s="13"/>
      <c r="L47" s="13"/>
      <c r="M47" s="13"/>
      <c r="N47" s="13"/>
      <c r="O47" s="13"/>
      <c r="P47" s="13"/>
    </row>
    <row r="48" spans="1:23" ht="15" thickBot="1">
      <c r="A48" s="13"/>
      <c r="B48" s="13"/>
      <c r="C48" s="13"/>
      <c r="D48" s="13"/>
      <c r="E48" s="13"/>
      <c r="F48" s="13"/>
      <c r="G48" s="13"/>
      <c r="H48" s="13"/>
      <c r="I48" s="13"/>
      <c r="J48" s="13"/>
      <c r="K48" s="15"/>
      <c r="L48" s="15" t="s">
        <v>167</v>
      </c>
      <c r="M48" s="15" t="s">
        <v>193</v>
      </c>
      <c r="N48" s="15" t="s">
        <v>194</v>
      </c>
      <c r="O48" s="13"/>
      <c r="P48" s="13"/>
    </row>
    <row r="49" spans="1:20" ht="15" thickBot="1">
      <c r="A49" s="13"/>
      <c r="B49" s="13"/>
      <c r="C49" s="111"/>
      <c r="D49" s="30" t="s">
        <v>195</v>
      </c>
      <c r="E49" s="30" t="s">
        <v>196</v>
      </c>
      <c r="F49" s="13"/>
      <c r="G49" s="15" t="s">
        <v>156</v>
      </c>
      <c r="H49" s="15" t="s">
        <v>157</v>
      </c>
      <c r="I49" s="15" t="s">
        <v>133</v>
      </c>
      <c r="J49" s="13"/>
      <c r="K49" s="29" t="s">
        <v>197</v>
      </c>
      <c r="L49" s="118">
        <v>7.0000000000000007E-2</v>
      </c>
      <c r="M49" s="118">
        <v>0.65</v>
      </c>
      <c r="N49" s="118">
        <v>0.28000000000000003</v>
      </c>
      <c r="O49" s="13"/>
      <c r="P49" s="13"/>
    </row>
    <row r="50" spans="1:20" ht="21.75" customHeight="1" thickBot="1">
      <c r="A50" s="13"/>
      <c r="B50" s="13"/>
      <c r="C50" s="111" t="s">
        <v>155</v>
      </c>
      <c r="D50" s="30">
        <v>1.84</v>
      </c>
      <c r="E50" s="30">
        <v>4.7</v>
      </c>
      <c r="F50" s="13"/>
      <c r="G50" s="29" t="s">
        <v>159</v>
      </c>
      <c r="H50" s="118">
        <v>1</v>
      </c>
      <c r="I50" s="118">
        <v>0</v>
      </c>
      <c r="J50" s="13"/>
      <c r="K50" s="469" t="s">
        <v>198</v>
      </c>
      <c r="L50" s="470"/>
      <c r="M50" s="470"/>
      <c r="N50" s="471"/>
      <c r="O50" s="13"/>
      <c r="P50" s="13"/>
      <c r="Q50" s="457" t="s">
        <v>199</v>
      </c>
      <c r="R50" s="458"/>
      <c r="S50" s="457" t="s">
        <v>200</v>
      </c>
      <c r="T50" s="458"/>
    </row>
    <row r="51" spans="1:20" ht="24">
      <c r="A51" s="13"/>
      <c r="B51" s="13"/>
      <c r="C51" s="111" t="s">
        <v>158</v>
      </c>
      <c r="D51" s="30">
        <v>1.57</v>
      </c>
      <c r="E51" s="30">
        <v>6.5</v>
      </c>
      <c r="F51" s="13"/>
      <c r="G51" s="29" t="s">
        <v>201</v>
      </c>
      <c r="H51" s="118">
        <v>0</v>
      </c>
      <c r="I51" s="118">
        <v>1</v>
      </c>
      <c r="J51" s="13"/>
      <c r="K51" s="29" t="s">
        <v>202</v>
      </c>
      <c r="L51" s="118">
        <v>0.05</v>
      </c>
      <c r="M51" s="118">
        <v>0.63</v>
      </c>
      <c r="N51" s="118">
        <v>0.32</v>
      </c>
      <c r="O51" s="13"/>
      <c r="P51" s="13"/>
      <c r="Q51" s="15" t="s">
        <v>155</v>
      </c>
      <c r="R51" s="15" t="s">
        <v>158</v>
      </c>
      <c r="S51" s="15" t="s">
        <v>155</v>
      </c>
      <c r="T51" s="15" t="s">
        <v>158</v>
      </c>
    </row>
    <row r="52" spans="1:20" ht="14.25" customHeight="1" thickBot="1">
      <c r="A52" s="13"/>
      <c r="B52" s="13"/>
      <c r="C52" s="13"/>
      <c r="D52" s="13"/>
      <c r="E52" s="13"/>
      <c r="F52" s="13"/>
      <c r="G52" s="29" t="s">
        <v>203</v>
      </c>
      <c r="H52" s="29">
        <v>0.31</v>
      </c>
      <c r="I52" s="29">
        <v>0.69</v>
      </c>
      <c r="J52" s="13"/>
      <c r="K52" s="29" t="s">
        <v>204</v>
      </c>
      <c r="L52" s="118">
        <v>0.1</v>
      </c>
      <c r="M52" s="118">
        <v>0.87</v>
      </c>
      <c r="N52" s="118">
        <v>0.03</v>
      </c>
      <c r="O52" s="13"/>
      <c r="P52" s="459" t="s">
        <v>198</v>
      </c>
      <c r="Q52" s="460"/>
      <c r="R52" s="460"/>
      <c r="S52" s="460"/>
      <c r="T52" s="460"/>
    </row>
    <row r="53" spans="1:20" ht="15" thickBot="1">
      <c r="A53" s="13"/>
      <c r="B53" s="13"/>
      <c r="C53" s="107" t="s">
        <v>161</v>
      </c>
      <c r="D53" s="13"/>
      <c r="E53" s="15" t="s">
        <v>44</v>
      </c>
      <c r="F53" s="15"/>
      <c r="G53" s="13"/>
      <c r="H53" s="13"/>
      <c r="I53" s="13"/>
      <c r="J53" s="13"/>
      <c r="K53" s="29" t="s">
        <v>205</v>
      </c>
      <c r="L53" s="118">
        <v>0.1</v>
      </c>
      <c r="M53" s="118">
        <v>0.87</v>
      </c>
      <c r="N53" s="118">
        <v>0.03</v>
      </c>
      <c r="O53" s="13"/>
      <c r="P53" s="29" t="s">
        <v>202</v>
      </c>
      <c r="Q53" s="29">
        <v>2.76</v>
      </c>
      <c r="R53" s="29">
        <v>2.06</v>
      </c>
      <c r="S53" s="29">
        <v>3.2</v>
      </c>
      <c r="T53" s="29">
        <v>4.3</v>
      </c>
    </row>
    <row r="54" spans="1:20">
      <c r="A54" s="13"/>
      <c r="B54" s="13"/>
      <c r="C54" s="29" t="s">
        <v>162</v>
      </c>
      <c r="D54" s="29">
        <v>254</v>
      </c>
      <c r="E54" s="117">
        <v>100</v>
      </c>
      <c r="F54" s="29" t="s">
        <v>176</v>
      </c>
      <c r="G54" s="15" t="s">
        <v>169</v>
      </c>
      <c r="H54" s="15" t="s">
        <v>170</v>
      </c>
      <c r="I54" s="15" t="s">
        <v>134</v>
      </c>
      <c r="J54" s="13"/>
      <c r="K54" s="469" t="s">
        <v>206</v>
      </c>
      <c r="L54" s="470"/>
      <c r="M54" s="470"/>
      <c r="N54" s="471"/>
      <c r="O54" s="13"/>
      <c r="P54" s="29" t="s">
        <v>204</v>
      </c>
      <c r="Q54" s="29">
        <v>2.92</v>
      </c>
      <c r="R54" s="29">
        <v>2.92</v>
      </c>
      <c r="S54" s="29">
        <v>3.2</v>
      </c>
      <c r="T54" s="29">
        <v>3.2</v>
      </c>
    </row>
    <row r="55" spans="1:20" ht="14.25" customHeight="1">
      <c r="A55" s="13"/>
      <c r="B55" s="13"/>
      <c r="C55" s="29" t="s">
        <v>175</v>
      </c>
      <c r="D55" s="29">
        <v>265</v>
      </c>
      <c r="E55" s="13"/>
      <c r="F55" s="13"/>
      <c r="G55" s="29" t="s">
        <v>159</v>
      </c>
      <c r="H55" s="118">
        <v>1</v>
      </c>
      <c r="I55" s="118">
        <v>0</v>
      </c>
      <c r="J55" s="13"/>
      <c r="K55" s="29" t="s">
        <v>202</v>
      </c>
      <c r="L55" s="118">
        <v>0.08</v>
      </c>
      <c r="M55" s="118">
        <v>0.72</v>
      </c>
      <c r="N55" s="118">
        <v>0.2</v>
      </c>
      <c r="O55" s="13"/>
      <c r="P55" s="29" t="s">
        <v>205</v>
      </c>
      <c r="Q55" s="29">
        <v>3.1</v>
      </c>
      <c r="R55" s="29">
        <v>3.1</v>
      </c>
      <c r="S55" s="29">
        <v>3</v>
      </c>
      <c r="T55" s="29">
        <v>3</v>
      </c>
    </row>
    <row r="56" spans="1:20" ht="14.25" customHeight="1">
      <c r="A56" s="13"/>
      <c r="B56" s="13"/>
      <c r="C56" s="29" t="s">
        <v>177</v>
      </c>
      <c r="D56" s="29">
        <v>2.9000000000000001E-2</v>
      </c>
      <c r="E56" s="13"/>
      <c r="F56" s="13"/>
      <c r="G56" s="29" t="s">
        <v>201</v>
      </c>
      <c r="H56" s="118">
        <v>0</v>
      </c>
      <c r="I56" s="118">
        <v>1</v>
      </c>
      <c r="J56" s="13"/>
      <c r="K56" s="29" t="s">
        <v>204</v>
      </c>
      <c r="L56" s="118">
        <v>0.08</v>
      </c>
      <c r="M56" s="118">
        <v>0.72</v>
      </c>
      <c r="N56" s="118">
        <v>0.2</v>
      </c>
      <c r="O56" s="13"/>
      <c r="P56" s="459" t="s">
        <v>206</v>
      </c>
      <c r="Q56" s="460"/>
      <c r="R56" s="460"/>
      <c r="S56" s="460"/>
      <c r="T56" s="460"/>
    </row>
    <row r="57" spans="1:20">
      <c r="A57" s="13"/>
      <c r="B57" s="13"/>
      <c r="C57" s="29" t="s">
        <v>207</v>
      </c>
      <c r="D57" s="29">
        <v>1.26</v>
      </c>
      <c r="E57" s="13"/>
      <c r="F57" s="13"/>
      <c r="G57" s="29" t="s">
        <v>203</v>
      </c>
      <c r="H57" s="29">
        <v>0.68</v>
      </c>
      <c r="I57" s="29">
        <v>0.32</v>
      </c>
      <c r="J57" s="13"/>
      <c r="O57" s="13"/>
      <c r="P57" s="29" t="s">
        <v>202</v>
      </c>
      <c r="Q57" s="29">
        <v>2.0699999999999998</v>
      </c>
      <c r="R57" s="29">
        <v>2.0699999999999998</v>
      </c>
      <c r="S57" s="29">
        <v>4.2</v>
      </c>
      <c r="T57" s="29">
        <v>4.2</v>
      </c>
    </row>
    <row r="58" spans="1:20">
      <c r="A58" s="13"/>
      <c r="B58" s="13"/>
      <c r="C58" s="29" t="s">
        <v>208</v>
      </c>
      <c r="D58" s="29">
        <v>3.4129999999999998E-3</v>
      </c>
      <c r="E58" s="13"/>
      <c r="F58" s="13"/>
      <c r="G58" s="13"/>
      <c r="H58" s="13"/>
      <c r="I58" s="13"/>
      <c r="J58" s="13"/>
      <c r="M58" s="13"/>
      <c r="N58" s="13"/>
      <c r="O58" s="13"/>
      <c r="P58" s="29" t="s">
        <v>204</v>
      </c>
      <c r="Q58" s="29">
        <v>2.2000000000000002</v>
      </c>
      <c r="R58" s="29">
        <v>2.2000000000000002</v>
      </c>
      <c r="S58" s="29">
        <v>3.7</v>
      </c>
      <c r="T58" s="29">
        <v>3.7</v>
      </c>
    </row>
    <row r="59" spans="1:20">
      <c r="A59" s="13"/>
      <c r="B59" s="13"/>
      <c r="C59" s="13"/>
      <c r="D59" s="13"/>
      <c r="E59" s="13"/>
      <c r="F59" s="13"/>
      <c r="G59" s="13"/>
      <c r="H59" s="13"/>
      <c r="I59" s="13"/>
      <c r="J59" s="13"/>
      <c r="K59" s="13"/>
      <c r="L59" s="13"/>
      <c r="M59" s="13"/>
      <c r="N59" s="13"/>
      <c r="O59" s="13"/>
      <c r="P59" s="13"/>
    </row>
    <row r="60" spans="1:20" ht="15" thickBot="1">
      <c r="A60" s="13"/>
      <c r="B60" s="13"/>
      <c r="C60" s="13"/>
      <c r="D60" s="13"/>
      <c r="E60" s="13"/>
      <c r="F60" s="13"/>
      <c r="G60" s="13"/>
      <c r="H60" s="13"/>
      <c r="I60" s="13"/>
      <c r="J60" s="13"/>
      <c r="K60" s="13"/>
      <c r="L60" s="13"/>
      <c r="M60" s="13"/>
      <c r="N60" s="13"/>
      <c r="O60" s="13"/>
      <c r="P60" s="13"/>
    </row>
    <row r="61" spans="1:20" ht="52.5" customHeight="1" thickBot="1">
      <c r="A61" s="13"/>
      <c r="B61" s="13"/>
      <c r="C61" s="119" t="s">
        <v>64</v>
      </c>
      <c r="D61" s="8" t="s">
        <v>66</v>
      </c>
      <c r="E61" s="8" t="s">
        <v>67</v>
      </c>
      <c r="F61" s="8" t="s">
        <v>68</v>
      </c>
      <c r="G61" s="8" t="s">
        <v>69</v>
      </c>
      <c r="H61" s="8" t="str">
        <f>'Non Comm Clothes Washer'!L11</f>
        <v>Efficiency Level</v>
      </c>
      <c r="I61" s="8" t="s">
        <v>209</v>
      </c>
      <c r="J61" s="8" t="s">
        <v>210</v>
      </c>
      <c r="K61" s="8" t="s">
        <v>211</v>
      </c>
      <c r="L61" s="8" t="s">
        <v>212</v>
      </c>
      <c r="M61" s="8" t="s">
        <v>213</v>
      </c>
      <c r="N61" s="8" t="s">
        <v>214</v>
      </c>
      <c r="O61" s="8" t="s">
        <v>215</v>
      </c>
      <c r="P61" s="8" t="s">
        <v>191</v>
      </c>
      <c r="Q61" s="9" t="s">
        <v>60</v>
      </c>
      <c r="R61" s="8" t="s">
        <v>355</v>
      </c>
    </row>
    <row r="62" spans="1:20">
      <c r="A62" s="13"/>
      <c r="B62" s="13"/>
      <c r="C62" s="29">
        <f>'Non Comm Clothes Washer'!G12</f>
        <v>0</v>
      </c>
      <c r="D62" s="122">
        <f>'Non Comm Clothes Washer'!H12</f>
        <v>0</v>
      </c>
      <c r="E62" s="120">
        <f>'Non Comm Clothes Washer'!I12</f>
        <v>0</v>
      </c>
      <c r="F62" s="120">
        <f>'Non Comm Clothes Washer'!J12</f>
        <v>0</v>
      </c>
      <c r="G62" s="115">
        <f>'Non Comm Clothes Washer'!K12</f>
        <v>0</v>
      </c>
      <c r="H62" s="120">
        <f>'Non Comm Clothes Washer'!L12</f>
        <v>0</v>
      </c>
      <c r="I62" s="121" t="b">
        <f>IF(D62="Front Loading",IF(G62&gt;2.5,INDEX($Q$53:$Q$55,MATCH(H62,$P$53:$P$55,0)),IF(G62&lt;=2.5,INDEX($Q$57:$Q$58,MATCH(H62,$P$57:$P$58,0)),"")),IF(D62="Top Loading",IF(G62&gt;2.5,INDEX($R$53:$R$55,MATCH(H62,$P$53:$P$55,0)),IF(G62&lt;=2.5,INDEX($R$57:$R$58,MATCH(H62,$P$57:$P$58,0)),""))))</f>
        <v>0</v>
      </c>
      <c r="J62" s="118" t="e">
        <f t="shared" ref="J62:J71" si="18">IF(G62&gt;2.5,INDEX($L$51:$L$53,MATCH(H62,$K$51:$K$53,0)),IF(G62&lt;=2.5,INDEX($L$56:$L$56,MATCH(H62,$K$56:$K$56,0)),""))</f>
        <v>#N/A</v>
      </c>
      <c r="K62" s="118" t="e">
        <f t="shared" ref="K62:K71" si="19">IF(G62&gt;2.5,INDEX($M$51:$M$53,MATCH(H62,$K$51:$K$53,0)),IF(G62&lt;=2.5,INDEX($M$56:$M$56,MATCH(H62,$K$56:$K$56,0)),""))</f>
        <v>#N/A</v>
      </c>
      <c r="L62" s="118" t="e">
        <f t="shared" ref="L62:L71" si="20">IF(G62&gt;2.5,INDEX($N$51:$N$53,MATCH(H62,$K$51:$K$53,0)),IF(G62&lt;=2.5,INDEX($N$56:$N$56,MATCH(H62,$K$56:$K$56,0)),""))</f>
        <v>#N/A</v>
      </c>
      <c r="M62" s="115" t="e">
        <f>ROUND(C62*(((G62*1/INDEX($D$50:$D$51,MATCH(D62,$C$50:$C$51))*$D$54)*($L$49+($N$49*INDEX($H$50:$H$52,MATCH(E62,$G$50:$G$52)))+($M$49*INDEX($H$55:$H$57,MATCH(F62,$G$55:$G$57)))))-((G62*1/I62*$D$54)*(J62+(L62*INDEX($H$50:$H$52,MATCH(E62,$G$50:$G$52)))+(K62*INDEX($H$55:$H$57,MATCH(F62,$G$55:$G$57)))))),2)</f>
        <v>#N/A</v>
      </c>
      <c r="N62" s="114" t="e">
        <f>M62*$S$63</f>
        <v>#N/A</v>
      </c>
      <c r="O62" s="114" t="e">
        <f>C62*(((G62*1/INDEX($D$50:$D$51,MATCH(D62,$C$50:$C$51))*$D$54)*($N$49*INDEX($I$50:$I$52,MATCH(E62,$G$50:$G$52))*$D$57)+($M$49*INDEX($I$55:$I$57,MATCH(F62,$G$55:$G$57))))-((G62*1/I62*$D$54)*(L62*INDEX($I$50:$I$52,MATCH(E62,$G$50:$G$52)))+(K62*INDEX($I$55:$I$57,MATCH(F62,$G$55:$G$57)))))*$D$58</f>
        <v>#N/A</v>
      </c>
      <c r="P62" s="114" t="e">
        <f>O62*10</f>
        <v>#N/A</v>
      </c>
      <c r="Q62" s="117">
        <f>$E$54*C62</f>
        <v>0</v>
      </c>
      <c r="R62" s="114" t="e">
        <f>M62*$T$63</f>
        <v>#N/A</v>
      </c>
      <c r="S62" s="15" t="s">
        <v>475</v>
      </c>
      <c r="T62" s="15" t="s">
        <v>476</v>
      </c>
    </row>
    <row r="63" spans="1:20">
      <c r="A63" s="13"/>
      <c r="B63" s="13"/>
      <c r="C63" s="29">
        <f>'Non Comm Clothes Washer'!G13</f>
        <v>0</v>
      </c>
      <c r="D63" s="122">
        <f>'Non Comm Clothes Washer'!H13</f>
        <v>0</v>
      </c>
      <c r="E63" s="120">
        <f>'Non Comm Clothes Washer'!I13</f>
        <v>0</v>
      </c>
      <c r="F63" s="120">
        <f>'Non Comm Clothes Washer'!J13</f>
        <v>0</v>
      </c>
      <c r="G63" s="115">
        <f>'Non Comm Clothes Washer'!K13</f>
        <v>0</v>
      </c>
      <c r="H63" s="120">
        <f>'Non Comm Clothes Washer'!L13</f>
        <v>0</v>
      </c>
      <c r="I63" s="121" t="b">
        <f t="shared" ref="I63:I71" si="21">IF(D63="Front Loading",IF(G63&gt;2.5,INDEX($R$53:$R$55,MATCH(H63,$P$53:$P$55,0)),IF(G63&lt;=2.5,INDEX($R$57:$R$58,MATCH(H63,$P$57:$P$58,0)),"")),IF(D63="Top Loading",IF(G63&gt;2.5,INDEX($R$53:$R$55,MATCH(H63,$P$53:$P$55,0)),IF(G63&lt;=2.5,INDEX($R$57:$R$58,MATCH(H63,$P$57:$P$58,0)),""))))</f>
        <v>0</v>
      </c>
      <c r="J63" s="118" t="e">
        <f t="shared" si="18"/>
        <v>#N/A</v>
      </c>
      <c r="K63" s="118" t="e">
        <f t="shared" si="19"/>
        <v>#N/A</v>
      </c>
      <c r="L63" s="118" t="e">
        <f t="shared" si="20"/>
        <v>#N/A</v>
      </c>
      <c r="M63" s="115" t="e">
        <f t="shared" ref="M63:M71" si="22">ROUND(C63*(((G63*1/INDEX($D$50:$D$51,MATCH(D63,$C$50:$C$51))*$D$54)*($L$49+($N$49*INDEX($H$50:$H$52,MATCH(E63,$G$50:$G$52)))+($M$49*INDEX($H$55:$H$57,MATCH(F63,$G$55:$G$57)))))-((G63*1/I63*$D$54)*(J63+(L63*INDEX($H$50:$H$52,MATCH(E63,$G$50:$G$52)))+(K63*INDEX($H$55:$H$57,MATCH(F63,$G$55:$G$57)))))),2)</f>
        <v>#N/A</v>
      </c>
      <c r="N63" s="114" t="e">
        <f>M63*$S$63</f>
        <v>#N/A</v>
      </c>
      <c r="O63" s="114" t="e">
        <f t="shared" ref="O63:O71" si="23">C63*(((G63*1/INDEX($D$50:$D$51,MATCH(D63,$C$50:$C$51))*$D$54)*($N$49*INDEX($I$50:$I$52,MATCH(E63,$G$50:$G$52))*$D$57)+($M$49*INDEX($I$55:$I$57,MATCH(F63,$G$55:$G$57))))-((G63*1/I63*$D$54)*(L63*INDEX($I$50:$I$52,MATCH(E63,$G$50:$G$52)))+(K63*INDEX($I$55:$I$57,MATCH(F63,$G$55:$G$57)))))*$D$58</f>
        <v>#N/A</v>
      </c>
      <c r="P63" s="114" t="e">
        <f t="shared" ref="P63:P71" si="24">O63*10</f>
        <v>#N/A</v>
      </c>
      <c r="Q63" s="117">
        <f>$E$54*C63</f>
        <v>0</v>
      </c>
      <c r="R63" s="114" t="e">
        <f t="shared" ref="R63:R71" si="25">M63*$T$63</f>
        <v>#N/A</v>
      </c>
      <c r="S63" s="178">
        <v>1.4679999999999999E-4</v>
      </c>
      <c r="T63" s="178">
        <v>1.5139999999999999E-4</v>
      </c>
    </row>
    <row r="64" spans="1:20">
      <c r="A64" s="13"/>
      <c r="B64" s="13"/>
      <c r="C64" s="29">
        <f>'Non Comm Clothes Washer'!G14</f>
        <v>0</v>
      </c>
      <c r="D64" s="122">
        <f>'Non Comm Clothes Washer'!H14</f>
        <v>0</v>
      </c>
      <c r="E64" s="120">
        <f>'Non Comm Clothes Washer'!I14</f>
        <v>0</v>
      </c>
      <c r="F64" s="120">
        <f>'Non Comm Clothes Washer'!J14</f>
        <v>0</v>
      </c>
      <c r="G64" s="115">
        <f>'Non Comm Clothes Washer'!K14</f>
        <v>0</v>
      </c>
      <c r="H64" s="120">
        <f>'Non Comm Clothes Washer'!L14</f>
        <v>0</v>
      </c>
      <c r="I64" s="121" t="b">
        <f t="shared" si="21"/>
        <v>0</v>
      </c>
      <c r="J64" s="118" t="e">
        <f t="shared" si="18"/>
        <v>#N/A</v>
      </c>
      <c r="K64" s="118" t="e">
        <f t="shared" si="19"/>
        <v>#N/A</v>
      </c>
      <c r="L64" s="118" t="e">
        <f t="shared" si="20"/>
        <v>#N/A</v>
      </c>
      <c r="M64" s="115" t="e">
        <f t="shared" si="22"/>
        <v>#N/A</v>
      </c>
      <c r="N64" s="114" t="e">
        <f t="shared" ref="N64:N71" si="26">M64*$S$63</f>
        <v>#N/A</v>
      </c>
      <c r="O64" s="114" t="e">
        <f t="shared" si="23"/>
        <v>#N/A</v>
      </c>
      <c r="P64" s="114" t="e">
        <f t="shared" si="24"/>
        <v>#N/A</v>
      </c>
      <c r="Q64" s="117">
        <f t="shared" ref="Q64:Q71" si="27">$E$54*C64</f>
        <v>0</v>
      </c>
      <c r="R64" s="114" t="e">
        <f t="shared" si="25"/>
        <v>#N/A</v>
      </c>
    </row>
    <row r="65" spans="1:22">
      <c r="A65" s="13"/>
      <c r="B65" s="13"/>
      <c r="C65" s="29">
        <f>'Non Comm Clothes Washer'!G15</f>
        <v>0</v>
      </c>
      <c r="D65" s="122">
        <f>'Non Comm Clothes Washer'!H15</f>
        <v>0</v>
      </c>
      <c r="E65" s="120">
        <f>'Non Comm Clothes Washer'!I15</f>
        <v>0</v>
      </c>
      <c r="F65" s="120">
        <f>'Non Comm Clothes Washer'!J15</f>
        <v>0</v>
      </c>
      <c r="G65" s="115">
        <f>'Non Comm Clothes Washer'!K15</f>
        <v>0</v>
      </c>
      <c r="H65" s="120">
        <f>'Non Comm Clothes Washer'!L15</f>
        <v>0</v>
      </c>
      <c r="I65" s="121" t="b">
        <f t="shared" si="21"/>
        <v>0</v>
      </c>
      <c r="J65" s="118" t="e">
        <f t="shared" si="18"/>
        <v>#N/A</v>
      </c>
      <c r="K65" s="118" t="e">
        <f t="shared" si="19"/>
        <v>#N/A</v>
      </c>
      <c r="L65" s="118" t="e">
        <f t="shared" si="20"/>
        <v>#N/A</v>
      </c>
      <c r="M65" s="115" t="e">
        <f t="shared" si="22"/>
        <v>#N/A</v>
      </c>
      <c r="N65" s="114" t="e">
        <f t="shared" si="26"/>
        <v>#N/A</v>
      </c>
      <c r="O65" s="114" t="e">
        <f t="shared" si="23"/>
        <v>#N/A</v>
      </c>
      <c r="P65" s="114" t="e">
        <f t="shared" si="24"/>
        <v>#N/A</v>
      </c>
      <c r="Q65" s="117">
        <f t="shared" si="27"/>
        <v>0</v>
      </c>
      <c r="R65" s="114" t="e">
        <f t="shared" si="25"/>
        <v>#N/A</v>
      </c>
    </row>
    <row r="66" spans="1:22">
      <c r="A66" s="13"/>
      <c r="B66" s="13"/>
      <c r="C66" s="29">
        <f>'Non Comm Clothes Washer'!G16</f>
        <v>0</v>
      </c>
      <c r="D66" s="122">
        <f>'Non Comm Clothes Washer'!H16</f>
        <v>0</v>
      </c>
      <c r="E66" s="120">
        <f>'Non Comm Clothes Washer'!I16</f>
        <v>0</v>
      </c>
      <c r="F66" s="120">
        <f>'Non Comm Clothes Washer'!J16</f>
        <v>0</v>
      </c>
      <c r="G66" s="115">
        <f>'Non Comm Clothes Washer'!K16</f>
        <v>0</v>
      </c>
      <c r="H66" s="120">
        <f>'Non Comm Clothes Washer'!L16</f>
        <v>0</v>
      </c>
      <c r="I66" s="121" t="b">
        <f t="shared" si="21"/>
        <v>0</v>
      </c>
      <c r="J66" s="118" t="e">
        <f t="shared" si="18"/>
        <v>#N/A</v>
      </c>
      <c r="K66" s="118" t="e">
        <f t="shared" si="19"/>
        <v>#N/A</v>
      </c>
      <c r="L66" s="118" t="e">
        <f t="shared" si="20"/>
        <v>#N/A</v>
      </c>
      <c r="M66" s="115" t="e">
        <f t="shared" si="22"/>
        <v>#N/A</v>
      </c>
      <c r="N66" s="114" t="e">
        <f t="shared" si="26"/>
        <v>#N/A</v>
      </c>
      <c r="O66" s="114" t="e">
        <f t="shared" si="23"/>
        <v>#N/A</v>
      </c>
      <c r="P66" s="114" t="e">
        <f t="shared" si="24"/>
        <v>#N/A</v>
      </c>
      <c r="Q66" s="117">
        <f t="shared" si="27"/>
        <v>0</v>
      </c>
      <c r="R66" s="114" t="e">
        <f t="shared" si="25"/>
        <v>#N/A</v>
      </c>
    </row>
    <row r="67" spans="1:22">
      <c r="A67" s="13"/>
      <c r="B67" s="13"/>
      <c r="C67" s="29">
        <f>'Non Comm Clothes Washer'!G17</f>
        <v>0</v>
      </c>
      <c r="D67" s="122">
        <f>'Non Comm Clothes Washer'!H17</f>
        <v>0</v>
      </c>
      <c r="E67" s="120">
        <f>'Non Comm Clothes Washer'!I17</f>
        <v>0</v>
      </c>
      <c r="F67" s="120">
        <f>'Non Comm Clothes Washer'!J17</f>
        <v>0</v>
      </c>
      <c r="G67" s="115">
        <f>'Non Comm Clothes Washer'!K17</f>
        <v>0</v>
      </c>
      <c r="H67" s="120">
        <f>'Non Comm Clothes Washer'!L17</f>
        <v>0</v>
      </c>
      <c r="I67" s="121" t="b">
        <f t="shared" si="21"/>
        <v>0</v>
      </c>
      <c r="J67" s="118" t="e">
        <f t="shared" si="18"/>
        <v>#N/A</v>
      </c>
      <c r="K67" s="118" t="e">
        <f t="shared" si="19"/>
        <v>#N/A</v>
      </c>
      <c r="L67" s="118" t="e">
        <f t="shared" si="20"/>
        <v>#N/A</v>
      </c>
      <c r="M67" s="115" t="e">
        <f t="shared" si="22"/>
        <v>#N/A</v>
      </c>
      <c r="N67" s="114" t="e">
        <f t="shared" si="26"/>
        <v>#N/A</v>
      </c>
      <c r="O67" s="114" t="e">
        <f t="shared" si="23"/>
        <v>#N/A</v>
      </c>
      <c r="P67" s="114" t="e">
        <f t="shared" si="24"/>
        <v>#N/A</v>
      </c>
      <c r="Q67" s="117">
        <f t="shared" si="27"/>
        <v>0</v>
      </c>
      <c r="R67" s="114" t="e">
        <f t="shared" si="25"/>
        <v>#N/A</v>
      </c>
    </row>
    <row r="68" spans="1:22">
      <c r="A68" s="13"/>
      <c r="B68" s="13"/>
      <c r="C68" s="29">
        <f>'Non Comm Clothes Washer'!G18</f>
        <v>0</v>
      </c>
      <c r="D68" s="122">
        <f>'Non Comm Clothes Washer'!H18</f>
        <v>0</v>
      </c>
      <c r="E68" s="120">
        <f>'Non Comm Clothes Washer'!I18</f>
        <v>0</v>
      </c>
      <c r="F68" s="120">
        <f>'Non Comm Clothes Washer'!J18</f>
        <v>0</v>
      </c>
      <c r="G68" s="115">
        <f>'Non Comm Clothes Washer'!K18</f>
        <v>0</v>
      </c>
      <c r="H68" s="120">
        <f>'Non Comm Clothes Washer'!L18</f>
        <v>0</v>
      </c>
      <c r="I68" s="121" t="b">
        <f t="shared" si="21"/>
        <v>0</v>
      </c>
      <c r="J68" s="118" t="e">
        <f t="shared" si="18"/>
        <v>#N/A</v>
      </c>
      <c r="K68" s="118" t="e">
        <f t="shared" si="19"/>
        <v>#N/A</v>
      </c>
      <c r="L68" s="118" t="e">
        <f t="shared" si="20"/>
        <v>#N/A</v>
      </c>
      <c r="M68" s="115" t="e">
        <f t="shared" si="22"/>
        <v>#N/A</v>
      </c>
      <c r="N68" s="114" t="e">
        <f t="shared" si="26"/>
        <v>#N/A</v>
      </c>
      <c r="O68" s="114" t="e">
        <f t="shared" si="23"/>
        <v>#N/A</v>
      </c>
      <c r="P68" s="114" t="e">
        <f t="shared" si="24"/>
        <v>#N/A</v>
      </c>
      <c r="Q68" s="117">
        <f t="shared" si="27"/>
        <v>0</v>
      </c>
      <c r="R68" s="114" t="e">
        <f t="shared" si="25"/>
        <v>#N/A</v>
      </c>
    </row>
    <row r="69" spans="1:22">
      <c r="A69" s="13"/>
      <c r="B69" s="13"/>
      <c r="C69" s="29">
        <f>'Non Comm Clothes Washer'!G19</f>
        <v>0</v>
      </c>
      <c r="D69" s="122">
        <f>'Non Comm Clothes Washer'!H19</f>
        <v>0</v>
      </c>
      <c r="E69" s="120">
        <f>'Non Comm Clothes Washer'!I19</f>
        <v>0</v>
      </c>
      <c r="F69" s="120">
        <f>'Non Comm Clothes Washer'!J19</f>
        <v>0</v>
      </c>
      <c r="G69" s="115">
        <f>'Non Comm Clothes Washer'!K19</f>
        <v>0</v>
      </c>
      <c r="H69" s="120">
        <f>'Non Comm Clothes Washer'!L19</f>
        <v>0</v>
      </c>
      <c r="I69" s="121" t="b">
        <f t="shared" si="21"/>
        <v>0</v>
      </c>
      <c r="J69" s="118" t="e">
        <f t="shared" si="18"/>
        <v>#N/A</v>
      </c>
      <c r="K69" s="118" t="e">
        <f t="shared" si="19"/>
        <v>#N/A</v>
      </c>
      <c r="L69" s="118" t="e">
        <f t="shared" si="20"/>
        <v>#N/A</v>
      </c>
      <c r="M69" s="115" t="e">
        <f t="shared" si="22"/>
        <v>#N/A</v>
      </c>
      <c r="N69" s="114" t="e">
        <f t="shared" si="26"/>
        <v>#N/A</v>
      </c>
      <c r="O69" s="114" t="e">
        <f t="shared" si="23"/>
        <v>#N/A</v>
      </c>
      <c r="P69" s="114" t="e">
        <f t="shared" si="24"/>
        <v>#N/A</v>
      </c>
      <c r="Q69" s="117">
        <f t="shared" si="27"/>
        <v>0</v>
      </c>
      <c r="R69" s="114" t="e">
        <f t="shared" si="25"/>
        <v>#N/A</v>
      </c>
    </row>
    <row r="70" spans="1:22">
      <c r="A70" s="13"/>
      <c r="B70" s="13"/>
      <c r="C70" s="29">
        <f>'Non Comm Clothes Washer'!G20</f>
        <v>0</v>
      </c>
      <c r="D70" s="122">
        <f>'Non Comm Clothes Washer'!H20</f>
        <v>0</v>
      </c>
      <c r="E70" s="120">
        <f>'Non Comm Clothes Washer'!I20</f>
        <v>0</v>
      </c>
      <c r="F70" s="120">
        <f>'Non Comm Clothes Washer'!J20</f>
        <v>0</v>
      </c>
      <c r="G70" s="115">
        <f>'Non Comm Clothes Washer'!K20</f>
        <v>0</v>
      </c>
      <c r="H70" s="120">
        <f>'Non Comm Clothes Washer'!L20</f>
        <v>0</v>
      </c>
      <c r="I70" s="121" t="b">
        <f t="shared" si="21"/>
        <v>0</v>
      </c>
      <c r="J70" s="118" t="e">
        <f t="shared" si="18"/>
        <v>#N/A</v>
      </c>
      <c r="K70" s="118" t="e">
        <f t="shared" si="19"/>
        <v>#N/A</v>
      </c>
      <c r="L70" s="118" t="e">
        <f t="shared" si="20"/>
        <v>#N/A</v>
      </c>
      <c r="M70" s="115" t="e">
        <f t="shared" si="22"/>
        <v>#N/A</v>
      </c>
      <c r="N70" s="114" t="e">
        <f t="shared" si="26"/>
        <v>#N/A</v>
      </c>
      <c r="O70" s="114" t="e">
        <f t="shared" si="23"/>
        <v>#N/A</v>
      </c>
      <c r="P70" s="114" t="e">
        <f t="shared" si="24"/>
        <v>#N/A</v>
      </c>
      <c r="Q70" s="117">
        <f t="shared" si="27"/>
        <v>0</v>
      </c>
      <c r="R70" s="114" t="e">
        <f t="shared" si="25"/>
        <v>#N/A</v>
      </c>
    </row>
    <row r="71" spans="1:22">
      <c r="A71" s="13"/>
      <c r="B71" s="13"/>
      <c r="C71" s="29">
        <f>'Non Comm Clothes Washer'!G21</f>
        <v>0</v>
      </c>
      <c r="D71" s="122">
        <f>'Non Comm Clothes Washer'!H21</f>
        <v>0</v>
      </c>
      <c r="E71" s="120">
        <f>'Non Comm Clothes Washer'!I21</f>
        <v>0</v>
      </c>
      <c r="F71" s="120">
        <f>'Non Comm Clothes Washer'!J21</f>
        <v>0</v>
      </c>
      <c r="G71" s="115">
        <f>'Non Comm Clothes Washer'!K21</f>
        <v>0</v>
      </c>
      <c r="H71" s="120">
        <f>'Non Comm Clothes Washer'!L21</f>
        <v>0</v>
      </c>
      <c r="I71" s="121" t="b">
        <f t="shared" si="21"/>
        <v>0</v>
      </c>
      <c r="J71" s="118" t="e">
        <f t="shared" si="18"/>
        <v>#N/A</v>
      </c>
      <c r="K71" s="118" t="e">
        <f t="shared" si="19"/>
        <v>#N/A</v>
      </c>
      <c r="L71" s="118" t="e">
        <f t="shared" si="20"/>
        <v>#N/A</v>
      </c>
      <c r="M71" s="115" t="e">
        <f t="shared" si="22"/>
        <v>#N/A</v>
      </c>
      <c r="N71" s="114" t="e">
        <f t="shared" si="26"/>
        <v>#N/A</v>
      </c>
      <c r="O71" s="114" t="e">
        <f t="shared" si="23"/>
        <v>#N/A</v>
      </c>
      <c r="P71" s="114" t="e">
        <f t="shared" si="24"/>
        <v>#N/A</v>
      </c>
      <c r="Q71" s="117">
        <f t="shared" si="27"/>
        <v>0</v>
      </c>
      <c r="R71" s="114" t="e">
        <f t="shared" si="25"/>
        <v>#N/A</v>
      </c>
    </row>
    <row r="72" spans="1:22">
      <c r="A72" s="13"/>
      <c r="B72" s="13"/>
      <c r="C72" s="13"/>
      <c r="D72" s="13"/>
      <c r="E72" s="13"/>
      <c r="F72" s="13"/>
      <c r="G72" s="13"/>
      <c r="H72" s="13"/>
      <c r="I72" s="13"/>
      <c r="J72" s="13"/>
      <c r="K72" s="13"/>
      <c r="L72" s="13"/>
      <c r="M72" s="13"/>
      <c r="N72" s="13"/>
      <c r="O72" s="13"/>
      <c r="P72" s="13"/>
    </row>
    <row r="73" spans="1:22">
      <c r="A73" s="13"/>
      <c r="B73" s="13"/>
      <c r="C73" s="13"/>
      <c r="D73" s="13"/>
      <c r="E73" s="13"/>
      <c r="F73" s="13"/>
      <c r="G73" s="13"/>
      <c r="H73" s="13"/>
      <c r="I73" s="13"/>
      <c r="J73" s="13"/>
      <c r="K73" s="13"/>
      <c r="L73" s="13"/>
      <c r="M73" s="13"/>
      <c r="N73" s="13"/>
      <c r="O73" s="13"/>
      <c r="P73" s="13"/>
    </row>
    <row r="74" spans="1:22">
      <c r="A74" s="13"/>
      <c r="B74" s="13"/>
      <c r="C74" s="13"/>
      <c r="D74" s="13"/>
      <c r="E74" s="13"/>
      <c r="F74" s="13"/>
      <c r="G74" s="13"/>
      <c r="H74" s="13"/>
      <c r="I74" s="13"/>
      <c r="J74" s="13"/>
      <c r="K74" s="13"/>
      <c r="L74" s="13"/>
      <c r="M74" s="13"/>
      <c r="N74" s="13"/>
      <c r="O74" s="13"/>
      <c r="P74" s="13"/>
    </row>
    <row r="75" spans="1:22" ht="33.75">
      <c r="A75" s="13"/>
      <c r="B75" s="13"/>
      <c r="C75" s="43" t="s">
        <v>15</v>
      </c>
      <c r="D75" s="13"/>
      <c r="E75" s="13"/>
      <c r="F75" s="13"/>
      <c r="G75" s="13"/>
      <c r="H75" s="13"/>
      <c r="I75" s="13"/>
      <c r="J75" s="13"/>
      <c r="K75" s="13"/>
      <c r="L75" s="13"/>
      <c r="M75" s="13"/>
      <c r="N75" s="13"/>
      <c r="O75" s="13"/>
      <c r="P75" s="13"/>
    </row>
    <row r="76" spans="1:22" ht="15" thickBot="1">
      <c r="A76" s="13"/>
      <c r="B76" s="13"/>
      <c r="C76" s="13"/>
      <c r="D76" s="13"/>
      <c r="E76" s="13"/>
      <c r="F76" s="13"/>
      <c r="G76" s="13"/>
      <c r="H76" s="13"/>
      <c r="I76" s="13"/>
      <c r="J76" s="13"/>
      <c r="K76" s="13"/>
      <c r="L76" s="13"/>
      <c r="M76" s="13"/>
      <c r="N76" s="13"/>
      <c r="O76" s="13"/>
      <c r="P76" s="13"/>
    </row>
    <row r="77" spans="1:22" ht="24">
      <c r="A77" s="13"/>
      <c r="B77" s="13"/>
      <c r="C77" s="15" t="s">
        <v>81</v>
      </c>
      <c r="D77" s="26" t="s">
        <v>76</v>
      </c>
      <c r="E77" s="26" t="s">
        <v>58</v>
      </c>
      <c r="F77" s="27" t="s">
        <v>216</v>
      </c>
      <c r="G77" s="27" t="s">
        <v>490</v>
      </c>
      <c r="H77" s="15" t="s">
        <v>217</v>
      </c>
      <c r="I77" s="28">
        <v>75</v>
      </c>
      <c r="J77" s="13"/>
      <c r="K77" s="15" t="s">
        <v>81</v>
      </c>
      <c r="L77" s="26" t="s">
        <v>351</v>
      </c>
      <c r="M77" s="26" t="s">
        <v>352</v>
      </c>
      <c r="N77" s="26" t="s">
        <v>425</v>
      </c>
      <c r="O77" s="26" t="s">
        <v>426</v>
      </c>
      <c r="P77" s="26" t="s">
        <v>424</v>
      </c>
      <c r="Q77" s="26" t="s">
        <v>423</v>
      </c>
      <c r="R77" s="26" t="s">
        <v>427</v>
      </c>
      <c r="S77" s="26" t="s">
        <v>353</v>
      </c>
      <c r="T77" s="26" t="s">
        <v>354</v>
      </c>
      <c r="U77" s="26" t="s">
        <v>355</v>
      </c>
      <c r="V77" s="26" t="s">
        <v>160</v>
      </c>
    </row>
    <row r="78" spans="1:22" ht="36">
      <c r="A78" s="13"/>
      <c r="B78" s="13"/>
      <c r="C78" s="29" t="s">
        <v>218</v>
      </c>
      <c r="D78" s="133">
        <v>154.0193515132176</v>
      </c>
      <c r="E78" s="132">
        <v>2.0761808583981731E-2</v>
      </c>
      <c r="F78" s="50">
        <v>0</v>
      </c>
      <c r="G78" s="50">
        <v>2.1146856962764776E-2</v>
      </c>
      <c r="H78" s="32" t="s">
        <v>145</v>
      </c>
      <c r="I78" s="33">
        <v>14</v>
      </c>
      <c r="J78" s="13"/>
      <c r="K78" s="29" t="s">
        <v>218</v>
      </c>
      <c r="L78" s="30">
        <v>3.93</v>
      </c>
      <c r="M78" s="30">
        <v>3.11</v>
      </c>
      <c r="N78" s="30">
        <v>8.4499999999999993</v>
      </c>
      <c r="O78" s="30">
        <v>283</v>
      </c>
      <c r="P78" s="168">
        <v>1</v>
      </c>
      <c r="Q78" s="168">
        <v>0.84</v>
      </c>
      <c r="R78" s="168">
        <v>0.96</v>
      </c>
      <c r="S78" s="133">
        <f>((8.45/M78)-(8.45/L78))*283*0.96</f>
        <v>154.0193515132176</v>
      </c>
      <c r="T78" s="87">
        <f>0.0001348*S78</f>
        <v>2.0761808583981731E-2</v>
      </c>
      <c r="U78" s="87">
        <f>0.0001373*S78</f>
        <v>2.1146856962764776E-2</v>
      </c>
      <c r="V78" s="133">
        <v>0</v>
      </c>
    </row>
    <row r="79" spans="1:22" ht="36.75" thickBot="1">
      <c r="A79" s="13"/>
      <c r="B79" s="13"/>
      <c r="C79" s="29" t="s">
        <v>219</v>
      </c>
      <c r="D79" s="133">
        <v>56.293198111557984</v>
      </c>
      <c r="E79" s="132">
        <v>7.5883231054380161E-3</v>
      </c>
      <c r="F79" s="50">
        <v>0</v>
      </c>
      <c r="G79" s="50">
        <v>7.7290561007169111E-3</v>
      </c>
      <c r="H79" s="34" t="s">
        <v>220</v>
      </c>
      <c r="I79" s="35">
        <v>50</v>
      </c>
      <c r="J79" s="13"/>
      <c r="K79" s="29" t="s">
        <v>219</v>
      </c>
      <c r="L79" s="30">
        <v>3.8</v>
      </c>
      <c r="M79" s="30">
        <v>3.01</v>
      </c>
      <c r="N79" s="30">
        <v>3</v>
      </c>
      <c r="O79" s="30">
        <v>283</v>
      </c>
      <c r="P79" s="168">
        <v>1</v>
      </c>
      <c r="Q79" s="168">
        <v>0.84</v>
      </c>
      <c r="R79" s="168">
        <v>0.96</v>
      </c>
      <c r="S79" s="133">
        <f>((3/M79)-(3/L79))*283*0.96</f>
        <v>56.293198111557984</v>
      </c>
      <c r="T79" s="87">
        <f t="shared" ref="T79:T83" si="28">0.0001348*S79</f>
        <v>7.5883231054380161E-3</v>
      </c>
      <c r="U79" s="87">
        <f t="shared" ref="U79:U83" si="29">0.0001373*S79</f>
        <v>7.7290561007169111E-3</v>
      </c>
      <c r="V79" s="133">
        <v>0</v>
      </c>
    </row>
    <row r="80" spans="1:22" ht="36">
      <c r="A80" s="13"/>
      <c r="B80" s="13"/>
      <c r="C80" s="29" t="s">
        <v>221</v>
      </c>
      <c r="D80" s="133">
        <v>62.305972288581017</v>
      </c>
      <c r="E80" s="132">
        <v>8.398845064500721E-3</v>
      </c>
      <c r="F80" s="50">
        <v>0</v>
      </c>
      <c r="G80" s="50">
        <v>8.5546099952221732E-3</v>
      </c>
      <c r="H80" s="13"/>
      <c r="I80" s="13"/>
      <c r="J80" s="13"/>
      <c r="K80" s="29" t="s">
        <v>221</v>
      </c>
      <c r="L80" s="30">
        <v>3.45</v>
      </c>
      <c r="M80" s="30">
        <v>2.73</v>
      </c>
      <c r="N80" s="30">
        <v>3</v>
      </c>
      <c r="O80" s="30">
        <v>283</v>
      </c>
      <c r="P80" s="168">
        <v>1</v>
      </c>
      <c r="Q80" s="168">
        <v>0.84</v>
      </c>
      <c r="R80" s="168">
        <v>0.96</v>
      </c>
      <c r="S80" s="133">
        <f>((3/M80)-(3/L80))*283*0.96</f>
        <v>62.305972288581017</v>
      </c>
      <c r="T80" s="87">
        <f t="shared" si="28"/>
        <v>8.398845064500721E-3</v>
      </c>
      <c r="U80" s="87">
        <f t="shared" si="29"/>
        <v>8.5546099952221732E-3</v>
      </c>
      <c r="V80" s="133">
        <v>0</v>
      </c>
    </row>
    <row r="81" spans="1:22" ht="36">
      <c r="A81" s="13"/>
      <c r="B81" s="13"/>
      <c r="C81" s="29" t="s">
        <v>222</v>
      </c>
      <c r="D81" s="133">
        <v>78.528484338869092</v>
      </c>
      <c r="E81" s="132">
        <v>1.0585639688879553E-2</v>
      </c>
      <c r="F81" s="50">
        <v>0</v>
      </c>
      <c r="G81" s="50">
        <v>1.0781960899726727E-2</v>
      </c>
      <c r="H81" s="13"/>
      <c r="I81" s="13"/>
      <c r="J81" s="13"/>
      <c r="K81" s="29" t="s">
        <v>222</v>
      </c>
      <c r="L81" s="30">
        <v>2.68</v>
      </c>
      <c r="M81" s="30">
        <v>2.13</v>
      </c>
      <c r="N81" s="30">
        <v>3</v>
      </c>
      <c r="O81" s="30">
        <v>283</v>
      </c>
      <c r="P81" s="168">
        <v>1</v>
      </c>
      <c r="Q81" s="168">
        <v>0.84</v>
      </c>
      <c r="R81" s="168">
        <v>0.96</v>
      </c>
      <c r="S81" s="133">
        <f>((3/M81)-(3/L81))*283*0.96</f>
        <v>78.528484338869092</v>
      </c>
      <c r="T81" s="87">
        <f t="shared" si="28"/>
        <v>1.0585639688879553E-2</v>
      </c>
      <c r="U81" s="87">
        <f t="shared" si="29"/>
        <v>1.0781960899726727E-2</v>
      </c>
      <c r="V81" s="133">
        <v>0</v>
      </c>
    </row>
    <row r="82" spans="1:22">
      <c r="A82" s="13"/>
      <c r="B82" s="13"/>
      <c r="C82" s="29" t="s">
        <v>223</v>
      </c>
      <c r="D82" s="133">
        <v>23.785744536182602</v>
      </c>
      <c r="E82" s="132">
        <v>3.2063183634774145E-3</v>
      </c>
      <c r="F82" s="50">
        <v>0.42619891703545387</v>
      </c>
      <c r="G82" s="50">
        <v>3.2657827248178716E-3</v>
      </c>
      <c r="H82" s="13"/>
      <c r="I82" s="13"/>
      <c r="J82" s="13"/>
      <c r="K82" s="29" t="s">
        <v>223</v>
      </c>
      <c r="L82" s="30">
        <v>3.48</v>
      </c>
      <c r="M82" s="30">
        <v>2.84</v>
      </c>
      <c r="N82" s="30">
        <v>8.4499999999999993</v>
      </c>
      <c r="O82" s="30">
        <v>283</v>
      </c>
      <c r="P82" s="168">
        <v>1</v>
      </c>
      <c r="Q82" s="168">
        <v>0.84</v>
      </c>
      <c r="R82" s="168">
        <v>0.96</v>
      </c>
      <c r="S82" s="133">
        <f>((N82/M82)-(N82/L82))*O82*R82*(1-Q82)</f>
        <v>23.785744536182605</v>
      </c>
      <c r="T82" s="87">
        <f t="shared" si="28"/>
        <v>3.2063183634774149E-3</v>
      </c>
      <c r="U82" s="87">
        <f t="shared" si="29"/>
        <v>3.2657827248178716E-3</v>
      </c>
      <c r="V82" s="133">
        <f>((N82/M82)-(N82/L82))*O82*0.003413*Q82*R82</f>
        <v>0.42619891703545387</v>
      </c>
    </row>
    <row r="83" spans="1:22" ht="15" thickBot="1">
      <c r="A83" s="13"/>
      <c r="B83" s="13"/>
      <c r="C83" s="36" t="s">
        <v>203</v>
      </c>
      <c r="D83" s="136">
        <v>154.0193515132176</v>
      </c>
      <c r="E83" s="134">
        <v>2.0761808583981731E-2</v>
      </c>
      <c r="F83" s="51">
        <v>0</v>
      </c>
      <c r="G83" s="51">
        <v>2.1146856962764776E-2</v>
      </c>
      <c r="H83" s="13"/>
      <c r="I83" s="13"/>
      <c r="J83" s="13"/>
      <c r="K83" s="36" t="s">
        <v>203</v>
      </c>
      <c r="L83" s="37">
        <v>3.93</v>
      </c>
      <c r="M83" s="37">
        <v>3.11</v>
      </c>
      <c r="N83" s="89">
        <v>8.4499999999999993</v>
      </c>
      <c r="O83" s="30">
        <v>283</v>
      </c>
      <c r="P83" s="168">
        <v>1</v>
      </c>
      <c r="Q83" s="168">
        <v>0.84</v>
      </c>
      <c r="R83" s="168">
        <v>0.96</v>
      </c>
      <c r="S83" s="133">
        <f>((8.45/M83)-(8.45/L83))*283*0.96</f>
        <v>154.0193515132176</v>
      </c>
      <c r="T83" s="87">
        <f t="shared" si="28"/>
        <v>2.0761808583981731E-2</v>
      </c>
      <c r="U83" s="87">
        <f t="shared" si="29"/>
        <v>2.1146856962764776E-2</v>
      </c>
      <c r="V83" s="133">
        <v>0</v>
      </c>
    </row>
    <row r="84" spans="1:22">
      <c r="A84" s="13"/>
      <c r="B84" s="13"/>
      <c r="C84" s="13"/>
      <c r="D84" s="13"/>
      <c r="E84" s="13"/>
      <c r="F84" s="13"/>
      <c r="G84" s="13"/>
      <c r="H84" s="13"/>
      <c r="I84" s="13"/>
      <c r="J84" s="13"/>
      <c r="K84" s="13"/>
      <c r="L84" s="13"/>
      <c r="M84" s="13"/>
      <c r="N84" s="13"/>
      <c r="O84" s="13"/>
      <c r="P84" s="13"/>
    </row>
    <row r="85" spans="1:22">
      <c r="A85" s="13"/>
      <c r="B85" s="13"/>
      <c r="C85" s="13"/>
      <c r="D85" s="13"/>
      <c r="E85" s="13"/>
      <c r="F85" s="13"/>
      <c r="G85" s="13"/>
      <c r="H85" s="13"/>
      <c r="I85" s="13"/>
      <c r="J85" s="13"/>
      <c r="K85" s="13"/>
      <c r="L85" s="13"/>
      <c r="M85" s="13"/>
      <c r="N85" s="13"/>
      <c r="O85" s="13"/>
      <c r="P85" s="13"/>
    </row>
    <row r="86" spans="1:22">
      <c r="A86" s="13"/>
      <c r="B86" s="13"/>
      <c r="C86" s="13"/>
      <c r="D86" s="13"/>
      <c r="E86" s="13"/>
      <c r="F86" s="13"/>
      <c r="G86" s="13"/>
      <c r="H86" s="13"/>
      <c r="I86" s="13"/>
      <c r="J86" s="13"/>
      <c r="K86" s="13"/>
      <c r="L86" s="13"/>
      <c r="M86" s="13"/>
      <c r="N86" s="13"/>
      <c r="O86" s="13"/>
      <c r="P86" s="13"/>
    </row>
    <row r="87" spans="1:22" ht="65.099999999999994" customHeight="1">
      <c r="A87" s="13"/>
      <c r="B87" s="13"/>
      <c r="C87" s="461" t="s">
        <v>31</v>
      </c>
      <c r="D87" s="461"/>
      <c r="F87" s="13"/>
      <c r="G87" s="13"/>
      <c r="H87" s="13"/>
      <c r="I87" s="13"/>
      <c r="J87" s="13"/>
      <c r="K87" s="13"/>
      <c r="L87" s="13"/>
      <c r="M87" s="13"/>
      <c r="N87" s="13"/>
      <c r="O87" s="13"/>
      <c r="P87" s="13"/>
    </row>
    <row r="88" spans="1:22" ht="16.5" customHeight="1" thickBot="1">
      <c r="A88" s="13"/>
      <c r="B88" s="13"/>
      <c r="C88" s="43"/>
      <c r="D88" s="44"/>
      <c r="E88" s="13"/>
      <c r="F88" s="13"/>
      <c r="G88" s="13"/>
      <c r="H88" s="13"/>
      <c r="I88" s="13"/>
      <c r="J88" s="13"/>
      <c r="K88" s="13"/>
      <c r="L88" s="13"/>
      <c r="M88" s="13"/>
      <c r="N88" s="13"/>
      <c r="O88" s="13"/>
      <c r="P88" s="13"/>
    </row>
    <row r="89" spans="1:22" ht="16.5" customHeight="1">
      <c r="A89" s="13"/>
      <c r="B89" s="13"/>
      <c r="C89" s="15" t="s">
        <v>145</v>
      </c>
      <c r="D89" s="39">
        <v>12</v>
      </c>
      <c r="E89" s="12"/>
      <c r="F89" s="13"/>
      <c r="G89" s="13"/>
      <c r="H89" s="13"/>
      <c r="I89" s="13"/>
      <c r="J89" s="13"/>
      <c r="K89" s="13"/>
      <c r="L89" s="13"/>
      <c r="M89" s="13"/>
      <c r="N89" s="13"/>
      <c r="O89" s="13"/>
      <c r="P89" s="13"/>
    </row>
    <row r="90" spans="1:22" ht="15" thickBot="1">
      <c r="A90" s="13"/>
      <c r="B90" s="13"/>
      <c r="C90" s="34" t="s">
        <v>220</v>
      </c>
      <c r="D90" s="35">
        <v>100</v>
      </c>
      <c r="F90" s="13"/>
      <c r="G90" s="13"/>
      <c r="H90" s="13"/>
      <c r="I90" s="13"/>
      <c r="J90" s="13"/>
      <c r="K90" s="13"/>
      <c r="L90" s="13"/>
      <c r="M90" s="13"/>
      <c r="N90" s="13"/>
      <c r="O90" s="13"/>
      <c r="P90" s="13"/>
    </row>
    <row r="91" spans="1:22" ht="15" thickBot="1">
      <c r="A91" s="13"/>
      <c r="B91" s="13"/>
      <c r="C91" s="14"/>
      <c r="D91" s="13"/>
      <c r="E91" s="13"/>
      <c r="F91" s="13"/>
      <c r="G91" s="13"/>
      <c r="H91" s="13"/>
      <c r="I91" s="13"/>
      <c r="J91" s="13"/>
      <c r="K91" s="13"/>
      <c r="L91" s="13"/>
      <c r="M91" s="13"/>
      <c r="O91" s="13"/>
      <c r="P91" s="13"/>
    </row>
    <row r="92" spans="1:22">
      <c r="A92" s="13"/>
      <c r="B92" s="13"/>
      <c r="C92" s="449" t="s">
        <v>224</v>
      </c>
      <c r="D92" s="466" t="s">
        <v>46</v>
      </c>
      <c r="E92" s="467"/>
      <c r="F92" s="468"/>
      <c r="G92" s="466" t="s">
        <v>45</v>
      </c>
      <c r="H92" s="467"/>
      <c r="I92" s="468"/>
      <c r="J92" s="466" t="s">
        <v>225</v>
      </c>
      <c r="K92" s="467"/>
      <c r="L92" s="468"/>
      <c r="M92" s="466" t="s">
        <v>226</v>
      </c>
      <c r="N92" s="467"/>
      <c r="O92" s="468"/>
      <c r="P92" s="466" t="s">
        <v>355</v>
      </c>
      <c r="Q92" s="467"/>
      <c r="R92" s="468"/>
    </row>
    <row r="93" spans="1:22">
      <c r="A93" s="13"/>
      <c r="B93" s="13"/>
      <c r="C93" s="450"/>
      <c r="D93" s="40" t="s">
        <v>227</v>
      </c>
      <c r="E93" s="24" t="s">
        <v>204</v>
      </c>
      <c r="F93" s="25" t="s">
        <v>205</v>
      </c>
      <c r="G93" s="40" t="s">
        <v>227</v>
      </c>
      <c r="H93" s="24" t="s">
        <v>204</v>
      </c>
      <c r="I93" s="25" t="s">
        <v>205</v>
      </c>
      <c r="J93" s="40" t="s">
        <v>227</v>
      </c>
      <c r="K93" s="24" t="s">
        <v>204</v>
      </c>
      <c r="L93" s="25" t="s">
        <v>205</v>
      </c>
      <c r="M93" s="40" t="s">
        <v>227</v>
      </c>
      <c r="N93" s="24" t="s">
        <v>204</v>
      </c>
      <c r="O93" s="25" t="s">
        <v>205</v>
      </c>
      <c r="P93" s="40" t="s">
        <v>227</v>
      </c>
      <c r="Q93" s="24" t="s">
        <v>204</v>
      </c>
      <c r="R93" s="25" t="s">
        <v>205</v>
      </c>
    </row>
    <row r="94" spans="1:22" ht="24">
      <c r="A94" s="13"/>
      <c r="B94" s="13"/>
      <c r="C94" s="41" t="s">
        <v>228</v>
      </c>
      <c r="D94" s="29">
        <v>36.9</v>
      </c>
      <c r="E94" s="30">
        <v>55.3</v>
      </c>
      <c r="F94" s="31">
        <v>73.8</v>
      </c>
      <c r="G94" s="116">
        <f>0.0001371*D94</f>
        <v>5.0589899999999993E-3</v>
      </c>
      <c r="H94" s="116">
        <f>0.0001371*E94</f>
        <v>7.5816299999999998E-3</v>
      </c>
      <c r="I94" s="116">
        <f>0.0001371*F94</f>
        <v>1.0117979999999999E-2</v>
      </c>
      <c r="J94" s="29">
        <f>D94/0.1</f>
        <v>368.99999999999994</v>
      </c>
      <c r="K94" s="30">
        <f>E94/0.15</f>
        <v>368.66666666666669</v>
      </c>
      <c r="L94" s="31">
        <f>F94/0.2</f>
        <v>368.99999999999994</v>
      </c>
      <c r="M94" s="29">
        <v>10</v>
      </c>
      <c r="N94" s="30">
        <v>15</v>
      </c>
      <c r="O94" s="31">
        <v>20</v>
      </c>
      <c r="P94" s="116">
        <f>0.0001023*D94</f>
        <v>3.77487E-3</v>
      </c>
      <c r="Q94" s="116">
        <f t="shared" ref="Q94:Q101" si="30">0.0001023*E94</f>
        <v>5.6571900000000003E-3</v>
      </c>
      <c r="R94" s="116">
        <f>0.0001023*F94</f>
        <v>7.5497400000000001E-3</v>
      </c>
    </row>
    <row r="95" spans="1:22">
      <c r="A95" s="13"/>
      <c r="B95" s="13"/>
      <c r="C95" s="41" t="s">
        <v>229</v>
      </c>
      <c r="D95" s="29">
        <v>43.1</v>
      </c>
      <c r="E95" s="30">
        <v>64.7</v>
      </c>
      <c r="F95" s="31">
        <v>86.2</v>
      </c>
      <c r="G95" s="116">
        <f t="shared" ref="G95:G100" si="31">0.0001371*D95</f>
        <v>5.9090100000000001E-3</v>
      </c>
      <c r="H95" s="116">
        <f t="shared" ref="H95:H101" si="32">0.0001371*E95</f>
        <v>8.8703700000000007E-3</v>
      </c>
      <c r="I95" s="116">
        <f t="shared" ref="I95:I101" si="33">0.0001371*F95</f>
        <v>1.181802E-2</v>
      </c>
      <c r="J95" s="29">
        <f t="shared" ref="J95:J101" si="34">D95/0.1</f>
        <v>431</v>
      </c>
      <c r="K95" s="30">
        <f t="shared" ref="K95:K101" si="35">E95/0.15</f>
        <v>431.33333333333337</v>
      </c>
      <c r="L95" s="31">
        <f t="shared" ref="L95:L101" si="36">F95/0.2</f>
        <v>431</v>
      </c>
      <c r="M95" s="29">
        <v>10</v>
      </c>
      <c r="N95" s="30">
        <v>15</v>
      </c>
      <c r="O95" s="31">
        <v>20</v>
      </c>
      <c r="P95" s="116">
        <f t="shared" ref="P95:P101" si="37">0.0001023*D95</f>
        <v>4.4091300000000007E-3</v>
      </c>
      <c r="Q95" s="116">
        <f t="shared" si="30"/>
        <v>6.618810000000001E-3</v>
      </c>
      <c r="R95" s="116">
        <f t="shared" ref="R95:R101" si="38">0.0001023*F95</f>
        <v>8.8182600000000014E-3</v>
      </c>
    </row>
    <row r="96" spans="1:22" ht="46.5" customHeight="1">
      <c r="A96" s="13"/>
      <c r="B96" s="13"/>
      <c r="C96" s="41" t="s">
        <v>230</v>
      </c>
      <c r="D96" s="29">
        <v>44.2</v>
      </c>
      <c r="E96" s="30">
        <v>66.3</v>
      </c>
      <c r="F96" s="31">
        <v>88.4</v>
      </c>
      <c r="G96" s="116">
        <f t="shared" si="31"/>
        <v>6.0598200000000005E-3</v>
      </c>
      <c r="H96" s="116">
        <f t="shared" si="32"/>
        <v>9.089729999999999E-3</v>
      </c>
      <c r="I96" s="116">
        <f t="shared" si="33"/>
        <v>1.2119640000000001E-2</v>
      </c>
      <c r="J96" s="29">
        <f t="shared" si="34"/>
        <v>442</v>
      </c>
      <c r="K96" s="30">
        <f t="shared" si="35"/>
        <v>442</v>
      </c>
      <c r="L96" s="31">
        <f t="shared" si="36"/>
        <v>442</v>
      </c>
      <c r="M96" s="29">
        <v>10</v>
      </c>
      <c r="N96" s="30">
        <v>15</v>
      </c>
      <c r="O96" s="31">
        <v>20</v>
      </c>
      <c r="P96" s="116">
        <f t="shared" si="37"/>
        <v>4.5216600000000003E-3</v>
      </c>
      <c r="Q96" s="116">
        <f t="shared" si="30"/>
        <v>6.7824900000000004E-3</v>
      </c>
      <c r="R96" s="116">
        <f t="shared" si="38"/>
        <v>9.0433200000000005E-3</v>
      </c>
    </row>
    <row r="97" spans="1:18" ht="36.6" customHeight="1">
      <c r="A97" s="13"/>
      <c r="B97" s="13"/>
      <c r="C97" s="41" t="s">
        <v>231</v>
      </c>
      <c r="D97" s="29">
        <v>51.7</v>
      </c>
      <c r="E97" s="30">
        <v>77.599999999999994</v>
      </c>
      <c r="F97" s="31">
        <v>103.5</v>
      </c>
      <c r="G97" s="116">
        <f t="shared" si="31"/>
        <v>7.0880700000000001E-3</v>
      </c>
      <c r="H97" s="116">
        <f t="shared" si="32"/>
        <v>1.0638959999999999E-2</v>
      </c>
      <c r="I97" s="116">
        <f t="shared" si="33"/>
        <v>1.418985E-2</v>
      </c>
      <c r="J97" s="29">
        <f t="shared" si="34"/>
        <v>517</v>
      </c>
      <c r="K97" s="30">
        <f t="shared" si="35"/>
        <v>517.33333333333337</v>
      </c>
      <c r="L97" s="31">
        <f t="shared" si="36"/>
        <v>517.5</v>
      </c>
      <c r="M97" s="29">
        <v>10</v>
      </c>
      <c r="N97" s="30">
        <v>15</v>
      </c>
      <c r="O97" s="31">
        <v>20</v>
      </c>
      <c r="P97" s="116">
        <f t="shared" si="37"/>
        <v>5.2889100000000008E-3</v>
      </c>
      <c r="Q97" s="116">
        <f t="shared" si="30"/>
        <v>7.9384799999999995E-3</v>
      </c>
      <c r="R97" s="116">
        <f t="shared" si="38"/>
        <v>1.058805E-2</v>
      </c>
    </row>
    <row r="98" spans="1:18" ht="32.1" customHeight="1">
      <c r="A98" s="13"/>
      <c r="B98" s="13"/>
      <c r="C98" s="41" t="s">
        <v>232</v>
      </c>
      <c r="D98" s="29">
        <v>54.5</v>
      </c>
      <c r="E98" s="30">
        <v>81.8</v>
      </c>
      <c r="F98" s="31">
        <v>109.1</v>
      </c>
      <c r="G98" s="116">
        <f t="shared" si="31"/>
        <v>7.4719499999999998E-3</v>
      </c>
      <c r="H98" s="116">
        <f t="shared" si="32"/>
        <v>1.1214779999999999E-2</v>
      </c>
      <c r="I98" s="116">
        <f t="shared" si="33"/>
        <v>1.495761E-2</v>
      </c>
      <c r="J98" s="29">
        <f t="shared" si="34"/>
        <v>545</v>
      </c>
      <c r="K98" s="30">
        <f t="shared" si="35"/>
        <v>545.33333333333337</v>
      </c>
      <c r="L98" s="31">
        <f t="shared" si="36"/>
        <v>545.49999999999989</v>
      </c>
      <c r="M98" s="29">
        <v>10</v>
      </c>
      <c r="N98" s="30">
        <v>15</v>
      </c>
      <c r="O98" s="31">
        <v>20</v>
      </c>
      <c r="P98" s="116">
        <f t="shared" si="37"/>
        <v>5.5753500000000006E-3</v>
      </c>
      <c r="Q98" s="116">
        <f t="shared" si="30"/>
        <v>8.3681399999999996E-3</v>
      </c>
      <c r="R98" s="116">
        <f t="shared" si="38"/>
        <v>1.1160929999999999E-2</v>
      </c>
    </row>
    <row r="99" spans="1:18" ht="30.95" customHeight="1">
      <c r="A99" s="13"/>
      <c r="B99" s="13"/>
      <c r="C99" s="41" t="s">
        <v>233</v>
      </c>
      <c r="D99" s="29">
        <v>60.2</v>
      </c>
      <c r="E99" s="30">
        <v>90.3</v>
      </c>
      <c r="F99" s="31">
        <v>120.4</v>
      </c>
      <c r="G99" s="116">
        <f t="shared" si="31"/>
        <v>8.2534200000000009E-3</v>
      </c>
      <c r="H99" s="116">
        <f t="shared" si="32"/>
        <v>1.238013E-2</v>
      </c>
      <c r="I99" s="116">
        <f t="shared" si="33"/>
        <v>1.6506840000000002E-2</v>
      </c>
      <c r="J99" s="29">
        <f t="shared" si="34"/>
        <v>602</v>
      </c>
      <c r="K99" s="30">
        <f t="shared" si="35"/>
        <v>602</v>
      </c>
      <c r="L99" s="31">
        <f t="shared" si="36"/>
        <v>602</v>
      </c>
      <c r="M99" s="29">
        <v>10</v>
      </c>
      <c r="N99" s="30">
        <v>15</v>
      </c>
      <c r="O99" s="31">
        <v>20</v>
      </c>
      <c r="P99" s="116">
        <f t="shared" si="37"/>
        <v>6.158460000000001E-3</v>
      </c>
      <c r="Q99" s="116">
        <f t="shared" si="30"/>
        <v>9.2376899999999998E-3</v>
      </c>
      <c r="R99" s="116">
        <f t="shared" si="38"/>
        <v>1.2316920000000002E-2</v>
      </c>
    </row>
    <row r="100" spans="1:18" ht="36" customHeight="1">
      <c r="A100" s="13"/>
      <c r="B100" s="13"/>
      <c r="C100" s="41" t="s">
        <v>234</v>
      </c>
      <c r="D100" s="29">
        <v>65.3</v>
      </c>
      <c r="E100" s="30">
        <v>98</v>
      </c>
      <c r="F100" s="31">
        <v>130.6</v>
      </c>
      <c r="G100" s="116">
        <f t="shared" si="31"/>
        <v>8.9526299999999996E-3</v>
      </c>
      <c r="H100" s="116">
        <f t="shared" si="32"/>
        <v>1.3435799999999999E-2</v>
      </c>
      <c r="I100" s="116">
        <f t="shared" si="33"/>
        <v>1.7905259999999999E-2</v>
      </c>
      <c r="J100" s="29">
        <f t="shared" si="34"/>
        <v>652.99999999999989</v>
      </c>
      <c r="K100" s="30">
        <f t="shared" si="35"/>
        <v>653.33333333333337</v>
      </c>
      <c r="L100" s="31">
        <f t="shared" si="36"/>
        <v>652.99999999999989</v>
      </c>
      <c r="M100" s="29">
        <v>10</v>
      </c>
      <c r="N100" s="30">
        <v>15</v>
      </c>
      <c r="O100" s="31">
        <v>20</v>
      </c>
      <c r="P100" s="116">
        <f t="shared" si="37"/>
        <v>6.6801899999999999E-3</v>
      </c>
      <c r="Q100" s="116">
        <f t="shared" si="30"/>
        <v>1.00254E-2</v>
      </c>
      <c r="R100" s="116">
        <f t="shared" si="38"/>
        <v>1.336038E-2</v>
      </c>
    </row>
    <row r="101" spans="1:18" ht="15" thickBot="1">
      <c r="A101" s="13"/>
      <c r="B101" s="13"/>
      <c r="C101" s="42" t="s">
        <v>203</v>
      </c>
      <c r="D101" s="36">
        <v>51.1</v>
      </c>
      <c r="E101" s="37">
        <v>76.7</v>
      </c>
      <c r="F101" s="38">
        <v>102.2</v>
      </c>
      <c r="G101" s="179">
        <v>8.0000000000000002E-3</v>
      </c>
      <c r="H101" s="116">
        <f t="shared" si="32"/>
        <v>1.051557E-2</v>
      </c>
      <c r="I101" s="116">
        <f t="shared" si="33"/>
        <v>1.4011620000000001E-2</v>
      </c>
      <c r="J101" s="36">
        <f t="shared" si="34"/>
        <v>511</v>
      </c>
      <c r="K101" s="37">
        <f t="shared" si="35"/>
        <v>511.33333333333337</v>
      </c>
      <c r="L101" s="38">
        <f t="shared" si="36"/>
        <v>511</v>
      </c>
      <c r="M101" s="29">
        <v>10</v>
      </c>
      <c r="N101" s="30">
        <v>15</v>
      </c>
      <c r="O101" s="31">
        <v>20</v>
      </c>
      <c r="P101" s="116">
        <f t="shared" si="37"/>
        <v>5.2275300000000002E-3</v>
      </c>
      <c r="Q101" s="116">
        <f t="shared" si="30"/>
        <v>7.8464100000000016E-3</v>
      </c>
      <c r="R101" s="116">
        <f t="shared" si="38"/>
        <v>1.045506E-2</v>
      </c>
    </row>
    <row r="102" spans="1:18">
      <c r="A102" s="13"/>
      <c r="B102" s="13"/>
      <c r="C102" s="13"/>
      <c r="D102" s="13"/>
      <c r="E102" s="13"/>
      <c r="F102" s="13"/>
      <c r="G102" s="13"/>
      <c r="H102" s="13"/>
      <c r="I102" s="13"/>
      <c r="J102" s="13"/>
      <c r="K102" s="13"/>
      <c r="L102" s="13"/>
      <c r="M102" s="13"/>
      <c r="N102" s="13"/>
      <c r="O102" s="13"/>
      <c r="P102" s="13"/>
    </row>
    <row r="103" spans="1:18">
      <c r="A103" s="13"/>
      <c r="B103" s="13"/>
      <c r="C103" s="13"/>
      <c r="D103" s="13"/>
      <c r="E103" s="13"/>
      <c r="F103" s="13"/>
      <c r="G103" s="13"/>
      <c r="H103" s="13"/>
      <c r="I103" s="13"/>
      <c r="J103" s="13"/>
      <c r="K103" s="13"/>
      <c r="L103" s="13"/>
      <c r="M103" s="13"/>
      <c r="N103" s="13"/>
      <c r="O103" s="13"/>
      <c r="P103" s="13"/>
    </row>
    <row r="104" spans="1:18">
      <c r="A104" s="13"/>
      <c r="B104" s="13"/>
      <c r="C104" s="13"/>
      <c r="D104" s="13"/>
      <c r="E104" s="13"/>
      <c r="F104" s="13"/>
      <c r="G104" s="13"/>
      <c r="H104" s="13"/>
      <c r="I104" s="13"/>
      <c r="J104" s="13"/>
      <c r="K104" s="13"/>
      <c r="L104" s="13"/>
      <c r="M104" s="13"/>
      <c r="N104" s="13"/>
      <c r="O104" s="13"/>
      <c r="P104" s="13"/>
    </row>
    <row r="105" spans="1:18" ht="65.099999999999994" customHeight="1">
      <c r="A105" s="13"/>
      <c r="B105" s="13"/>
      <c r="C105" s="461" t="s">
        <v>235</v>
      </c>
      <c r="D105" s="461"/>
      <c r="F105" s="13"/>
      <c r="G105" s="13"/>
      <c r="H105" s="13"/>
      <c r="I105" s="13"/>
      <c r="J105" s="13"/>
      <c r="K105" s="13"/>
      <c r="L105" s="13"/>
      <c r="M105" s="13"/>
      <c r="N105" s="13"/>
      <c r="O105" s="13"/>
      <c r="P105" s="13"/>
    </row>
    <row r="106" spans="1:18" ht="18.95" customHeight="1" thickBot="1">
      <c r="A106" s="13"/>
      <c r="B106" s="13"/>
      <c r="C106" s="43"/>
      <c r="F106" s="13"/>
      <c r="G106" s="13"/>
      <c r="H106" s="13"/>
      <c r="I106" s="13"/>
      <c r="J106" s="13"/>
      <c r="K106" s="13"/>
      <c r="L106" s="13"/>
      <c r="M106" s="13"/>
      <c r="N106" s="13"/>
      <c r="O106" s="13"/>
      <c r="P106" s="13"/>
    </row>
    <row r="107" spans="1:18">
      <c r="A107" s="13"/>
      <c r="B107" s="13"/>
      <c r="C107" s="15" t="s">
        <v>145</v>
      </c>
      <c r="D107" s="46">
        <v>10</v>
      </c>
      <c r="F107" s="13"/>
      <c r="G107" s="13"/>
      <c r="H107" s="13"/>
      <c r="I107" s="13"/>
      <c r="J107" s="13"/>
      <c r="K107" s="13"/>
      <c r="L107" s="13"/>
      <c r="M107" s="13"/>
      <c r="N107" s="13"/>
      <c r="O107" s="13"/>
      <c r="P107" s="13"/>
    </row>
    <row r="108" spans="1:18" ht="15" thickBot="1">
      <c r="A108" s="13"/>
      <c r="B108" s="13"/>
      <c r="C108" s="34" t="s">
        <v>236</v>
      </c>
      <c r="D108" s="35">
        <v>1000</v>
      </c>
      <c r="F108" s="13"/>
      <c r="G108" s="13"/>
      <c r="H108" s="13"/>
      <c r="I108" s="13"/>
      <c r="J108" s="13"/>
      <c r="K108" s="13"/>
      <c r="L108" s="13"/>
      <c r="M108" s="13"/>
      <c r="N108" s="13"/>
      <c r="O108" s="13"/>
      <c r="P108" s="13"/>
    </row>
    <row r="109" spans="1:18" ht="8.25" customHeight="1" thickBot="1">
      <c r="A109" s="13"/>
      <c r="B109" s="13"/>
      <c r="C109" s="13"/>
      <c r="D109" s="13"/>
      <c r="E109" s="13"/>
      <c r="F109" s="13"/>
      <c r="G109" s="13"/>
      <c r="H109" s="13"/>
      <c r="I109" s="13"/>
      <c r="J109" s="13"/>
      <c r="K109" s="13"/>
      <c r="L109" s="13"/>
      <c r="M109" s="13"/>
      <c r="N109" s="13"/>
      <c r="O109" s="13"/>
      <c r="P109" s="13"/>
    </row>
    <row r="110" spans="1:18" ht="29.25" customHeight="1">
      <c r="A110" s="13"/>
      <c r="B110" s="13"/>
      <c r="C110" s="15" t="s">
        <v>65</v>
      </c>
      <c r="D110" s="16" t="s">
        <v>237</v>
      </c>
      <c r="E110" s="16" t="s">
        <v>238</v>
      </c>
      <c r="F110" s="16" t="s">
        <v>345</v>
      </c>
      <c r="G110" s="13"/>
      <c r="H110" s="13"/>
      <c r="I110" s="13"/>
      <c r="J110" s="13"/>
      <c r="K110" s="13"/>
      <c r="L110" s="13"/>
      <c r="M110" s="13"/>
      <c r="N110" s="13"/>
      <c r="O110" s="13"/>
    </row>
    <row r="111" spans="1:18">
      <c r="A111" s="13"/>
      <c r="B111" s="13"/>
      <c r="C111" s="18" t="s">
        <v>239</v>
      </c>
      <c r="D111" s="30">
        <v>1076.2</v>
      </c>
      <c r="E111" s="87">
        <f>D111*0.0001319</f>
        <v>0.14195078000000003</v>
      </c>
      <c r="F111" s="87">
        <f>D111*0.0001592</f>
        <v>0.17133103999999999</v>
      </c>
      <c r="G111" s="13"/>
      <c r="H111" s="13"/>
      <c r="I111" s="13"/>
      <c r="J111" s="13"/>
      <c r="K111" s="13"/>
      <c r="L111" s="13"/>
      <c r="M111" s="13"/>
      <c r="N111" s="13"/>
      <c r="O111" s="13"/>
    </row>
    <row r="112" spans="1:18" ht="15" thickBot="1">
      <c r="A112" s="13"/>
      <c r="B112" s="13"/>
      <c r="C112" s="21" t="s">
        <v>240</v>
      </c>
      <c r="D112" s="37">
        <v>3941.4</v>
      </c>
      <c r="E112" s="135">
        <f>D112*0.0000766</f>
        <v>0.30191124000000003</v>
      </c>
      <c r="F112" s="135">
        <f>D112*0.0002029</f>
        <v>0.79971006</v>
      </c>
      <c r="G112" s="13"/>
      <c r="H112" s="13"/>
      <c r="I112" s="13"/>
      <c r="J112" s="13"/>
      <c r="K112" s="13"/>
      <c r="L112" s="13"/>
      <c r="M112" s="13"/>
      <c r="N112" s="13"/>
      <c r="O112" s="13"/>
    </row>
    <row r="113" spans="1:17">
      <c r="A113" s="13"/>
      <c r="B113" s="13"/>
      <c r="C113" s="13"/>
      <c r="D113" s="13"/>
      <c r="E113" s="13"/>
      <c r="F113" s="13"/>
      <c r="G113" s="13"/>
      <c r="H113" s="13"/>
      <c r="I113" s="13"/>
      <c r="J113" s="13"/>
      <c r="K113" s="13"/>
      <c r="L113" s="13"/>
      <c r="M113" s="13"/>
      <c r="N113" s="13"/>
      <c r="O113" s="13"/>
      <c r="P113" s="13"/>
    </row>
    <row r="114" spans="1:17">
      <c r="A114" s="13"/>
      <c r="B114" s="13"/>
      <c r="C114" s="13"/>
      <c r="D114" s="13"/>
      <c r="E114" s="13"/>
      <c r="F114" s="13"/>
      <c r="G114" s="13"/>
      <c r="H114" s="13"/>
      <c r="I114" s="13"/>
      <c r="J114" s="13"/>
      <c r="K114" s="13"/>
      <c r="L114" s="13"/>
      <c r="M114" s="13"/>
      <c r="N114" s="13"/>
      <c r="O114" s="13"/>
      <c r="P114" s="13"/>
    </row>
    <row r="115" spans="1:17">
      <c r="A115" s="13"/>
      <c r="B115" s="13"/>
      <c r="C115" s="13"/>
      <c r="F115" s="13"/>
      <c r="G115" s="13"/>
      <c r="H115" s="13"/>
      <c r="I115" s="13"/>
      <c r="J115" s="13"/>
      <c r="K115" s="13"/>
      <c r="L115" s="13"/>
      <c r="M115" s="13"/>
      <c r="N115" s="13"/>
      <c r="O115" s="13"/>
      <c r="P115" s="13"/>
    </row>
    <row r="116" spans="1:17">
      <c r="A116" s="13"/>
      <c r="B116" s="13"/>
      <c r="C116" s="13"/>
      <c r="F116" s="13"/>
      <c r="G116" s="13"/>
      <c r="H116" s="13"/>
      <c r="I116" s="13"/>
      <c r="J116" s="13"/>
      <c r="K116" s="13"/>
      <c r="L116" s="13"/>
      <c r="M116" s="13"/>
      <c r="N116" s="13"/>
      <c r="O116" s="13"/>
      <c r="P116" s="13"/>
    </row>
    <row r="117" spans="1:17" ht="33.75">
      <c r="A117" s="13"/>
      <c r="B117" s="13"/>
      <c r="C117" s="43" t="s">
        <v>23</v>
      </c>
      <c r="D117" s="13"/>
      <c r="E117" s="13"/>
      <c r="F117" s="13"/>
      <c r="G117" s="13"/>
      <c r="H117" s="13"/>
      <c r="I117" s="13"/>
      <c r="J117" s="13"/>
      <c r="K117" s="13"/>
      <c r="L117" s="13"/>
      <c r="M117" s="13"/>
      <c r="N117" s="13"/>
      <c r="O117" s="13"/>
      <c r="P117" s="13"/>
    </row>
    <row r="118" spans="1:17" ht="15" thickBot="1">
      <c r="A118" s="13"/>
      <c r="B118" s="13"/>
      <c r="C118" s="13"/>
      <c r="D118" s="13"/>
      <c r="E118" s="13"/>
      <c r="F118" s="13"/>
      <c r="G118" s="13"/>
      <c r="H118" s="13"/>
      <c r="I118" s="13"/>
      <c r="J118" s="13"/>
      <c r="K118" s="13"/>
      <c r="L118" s="13"/>
      <c r="M118" s="13"/>
      <c r="N118" s="13"/>
      <c r="O118" s="13"/>
      <c r="P118" s="13"/>
    </row>
    <row r="119" spans="1:17">
      <c r="A119" s="13"/>
      <c r="B119" s="13"/>
      <c r="C119" s="15" t="s">
        <v>84</v>
      </c>
      <c r="D119" s="26" t="s">
        <v>76</v>
      </c>
      <c r="E119" s="26" t="s">
        <v>58</v>
      </c>
      <c r="F119" s="13"/>
      <c r="G119" s="32" t="s">
        <v>145</v>
      </c>
      <c r="H119" s="33">
        <v>12</v>
      </c>
      <c r="I119" s="13"/>
      <c r="J119" s="13"/>
      <c r="K119" s="13"/>
      <c r="L119" s="13"/>
      <c r="M119" s="13"/>
      <c r="N119" s="13"/>
      <c r="O119" s="13"/>
    </row>
    <row r="120" spans="1:17" ht="28.5" customHeight="1" thickBot="1">
      <c r="A120" s="13"/>
      <c r="B120" s="13"/>
      <c r="C120" s="29" t="s">
        <v>241</v>
      </c>
      <c r="D120" s="30" t="s">
        <v>242</v>
      </c>
      <c r="E120" s="30" t="s">
        <v>242</v>
      </c>
      <c r="F120" s="13"/>
      <c r="G120" s="34" t="s">
        <v>220</v>
      </c>
      <c r="H120" s="35">
        <v>25</v>
      </c>
      <c r="I120" s="13"/>
      <c r="J120" s="13"/>
      <c r="K120" s="13"/>
      <c r="L120" s="13"/>
      <c r="M120" s="13"/>
      <c r="N120" s="13"/>
      <c r="O120" s="13"/>
    </row>
    <row r="121" spans="1:17" ht="39" customHeight="1" thickBot="1">
      <c r="A121" s="13"/>
      <c r="B121" s="13"/>
      <c r="C121" s="29" t="s">
        <v>203</v>
      </c>
      <c r="D121" s="30">
        <v>129</v>
      </c>
      <c r="E121" s="87">
        <f>D121*0.0001149</f>
        <v>1.48221E-2</v>
      </c>
      <c r="H121" s="13"/>
      <c r="I121" s="13"/>
      <c r="J121" s="472" t="s">
        <v>444</v>
      </c>
      <c r="K121" s="472" t="s">
        <v>434</v>
      </c>
      <c r="L121" s="472" t="s">
        <v>445</v>
      </c>
      <c r="M121" s="472" t="s">
        <v>446</v>
      </c>
      <c r="N121" s="472" t="s">
        <v>471</v>
      </c>
      <c r="O121" s="475" t="s">
        <v>435</v>
      </c>
      <c r="P121" s="476"/>
    </row>
    <row r="122" spans="1:17" ht="30.75" customHeight="1" thickBot="1">
      <c r="A122" s="13"/>
      <c r="B122" s="13"/>
      <c r="D122" s="87">
        <f>K130*(0.473/24)*1632*((1/(AVERAGE(D124:D126)))-(1/(AVERAGE(E124:E126))))*1</f>
        <v>137.86384281543423</v>
      </c>
      <c r="E122" s="87">
        <f>K130*(0.473/24)*1632*((1/D127)-(1/E127))*1</f>
        <v>328.05996007984032</v>
      </c>
      <c r="G122" s="13"/>
      <c r="H122" s="13"/>
      <c r="I122" s="13"/>
      <c r="J122" s="473"/>
      <c r="K122" s="473"/>
      <c r="L122" s="473"/>
      <c r="M122" s="473"/>
      <c r="N122" s="473"/>
      <c r="O122" s="472" t="s">
        <v>436</v>
      </c>
      <c r="P122" s="472" t="s">
        <v>447</v>
      </c>
      <c r="Q122" s="13"/>
    </row>
    <row r="123" spans="1:17" ht="33" customHeight="1">
      <c r="B123" s="15" t="s">
        <v>243</v>
      </c>
      <c r="C123" s="15" t="s">
        <v>84</v>
      </c>
      <c r="D123" s="26" t="s">
        <v>244</v>
      </c>
      <c r="E123" s="26" t="s">
        <v>245</v>
      </c>
      <c r="F123" s="16" t="s">
        <v>433</v>
      </c>
      <c r="G123" s="13"/>
      <c r="H123" s="13"/>
      <c r="I123" s="13"/>
      <c r="J123" s="474"/>
      <c r="K123" s="474"/>
      <c r="L123" s="474"/>
      <c r="M123" s="474"/>
      <c r="N123" s="474"/>
      <c r="O123" s="473"/>
      <c r="P123" s="473"/>
    </row>
    <row r="124" spans="1:17">
      <c r="B124" s="86" t="s">
        <v>246</v>
      </c>
      <c r="C124" s="86" t="s">
        <v>247</v>
      </c>
      <c r="D124" s="30">
        <v>1.3</v>
      </c>
      <c r="E124" s="30">
        <v>1.57</v>
      </c>
      <c r="F124" s="87">
        <f>(1/(D124)-1/E124)</f>
        <v>0.13228809407153352</v>
      </c>
      <c r="G124" s="13"/>
      <c r="H124" s="13"/>
      <c r="I124" s="13"/>
      <c r="J124" s="30" t="s">
        <v>437</v>
      </c>
      <c r="K124" s="30">
        <v>20</v>
      </c>
      <c r="L124" s="30">
        <v>1</v>
      </c>
      <c r="M124" s="30">
        <v>1.35</v>
      </c>
      <c r="N124" s="30">
        <v>1.57</v>
      </c>
      <c r="O124" s="30">
        <v>521</v>
      </c>
      <c r="P124" s="30">
        <v>386</v>
      </c>
    </row>
    <row r="125" spans="1:17">
      <c r="B125" s="29" t="s">
        <v>248</v>
      </c>
      <c r="C125" s="29" t="s">
        <v>249</v>
      </c>
      <c r="D125" s="30">
        <v>1.6</v>
      </c>
      <c r="E125" s="30">
        <v>1.8</v>
      </c>
      <c r="F125" s="87">
        <f t="shared" ref="F125:F127" si="39">(1/(D125)-1/E125)</f>
        <v>6.944444444444442E-2</v>
      </c>
      <c r="G125" s="13"/>
      <c r="J125" s="30" t="s">
        <v>438</v>
      </c>
      <c r="K125" s="30">
        <v>30</v>
      </c>
      <c r="L125" s="30">
        <v>1.2</v>
      </c>
      <c r="M125" s="30">
        <v>1.35</v>
      </c>
      <c r="N125" s="30">
        <v>1.8</v>
      </c>
      <c r="O125" s="30">
        <v>651</v>
      </c>
      <c r="P125" s="30">
        <v>579</v>
      </c>
    </row>
    <row r="126" spans="1:17">
      <c r="B126" s="29" t="s">
        <v>250</v>
      </c>
      <c r="C126" s="29" t="s">
        <v>251</v>
      </c>
      <c r="D126" s="30">
        <v>2.8</v>
      </c>
      <c r="E126" s="30">
        <v>3.3</v>
      </c>
      <c r="F126" s="87">
        <f t="shared" si="39"/>
        <v>5.4112554112554112E-2</v>
      </c>
      <c r="J126" s="30" t="s">
        <v>439</v>
      </c>
      <c r="K126" s="30">
        <v>40</v>
      </c>
      <c r="L126" s="30">
        <v>1.3</v>
      </c>
      <c r="M126" s="30">
        <v>1.5</v>
      </c>
      <c r="N126" s="30">
        <v>1.8</v>
      </c>
      <c r="O126" s="30">
        <v>802</v>
      </c>
      <c r="P126" s="30">
        <v>695</v>
      </c>
    </row>
    <row r="127" spans="1:17">
      <c r="B127" s="29" t="s">
        <v>203</v>
      </c>
      <c r="C127" s="29">
        <v>56</v>
      </c>
      <c r="D127" s="30">
        <v>1.67</v>
      </c>
      <c r="E127" s="30">
        <v>2.4</v>
      </c>
      <c r="F127" s="87">
        <f t="shared" si="39"/>
        <v>0.18213572854291421</v>
      </c>
      <c r="J127" s="30" t="s">
        <v>440</v>
      </c>
      <c r="K127" s="30">
        <v>50</v>
      </c>
      <c r="L127" s="30">
        <v>1.3</v>
      </c>
      <c r="M127" s="30">
        <v>1.6</v>
      </c>
      <c r="N127" s="133">
        <f>(4*1.8+5*3.3)/9</f>
        <v>2.6333333333333333</v>
      </c>
      <c r="O127" s="30">
        <v>1002</v>
      </c>
      <c r="P127" s="30">
        <v>814</v>
      </c>
    </row>
    <row r="128" spans="1:17">
      <c r="J128" s="30" t="s">
        <v>441</v>
      </c>
      <c r="K128" s="30">
        <v>65</v>
      </c>
      <c r="L128" s="30">
        <v>1.5</v>
      </c>
      <c r="M128" s="30">
        <v>1.7</v>
      </c>
      <c r="N128" s="30">
        <v>3.3</v>
      </c>
      <c r="O128" s="30">
        <v>1129</v>
      </c>
      <c r="P128" s="30">
        <v>996</v>
      </c>
    </row>
    <row r="129" spans="3:16">
      <c r="J129" s="30" t="s">
        <v>442</v>
      </c>
      <c r="K129" s="30">
        <v>130</v>
      </c>
      <c r="L129" s="30">
        <v>2.25</v>
      </c>
      <c r="M129" s="30">
        <v>2.5</v>
      </c>
      <c r="N129" s="30">
        <v>3.3</v>
      </c>
      <c r="O129" s="30">
        <v>1505</v>
      </c>
      <c r="P129" s="30">
        <v>1355</v>
      </c>
    </row>
    <row r="130" spans="3:16">
      <c r="J130" s="30" t="s">
        <v>443</v>
      </c>
      <c r="K130" s="30">
        <v>56</v>
      </c>
      <c r="L130" s="30">
        <v>1.43</v>
      </c>
      <c r="M130" s="30">
        <v>1.67</v>
      </c>
      <c r="N130" s="176">
        <f>AVERAGE(N124:N129)</f>
        <v>2.4005555555555556</v>
      </c>
      <c r="O130" s="30">
        <v>1020</v>
      </c>
      <c r="P130" s="30">
        <v>874</v>
      </c>
    </row>
    <row r="131" spans="3:16">
      <c r="J131"/>
      <c r="K131"/>
      <c r="L131"/>
      <c r="M131"/>
      <c r="N131"/>
      <c r="O131"/>
    </row>
    <row r="132" spans="3:16" ht="33.75">
      <c r="C132" s="461" t="s">
        <v>25</v>
      </c>
      <c r="D132" s="461"/>
      <c r="J132"/>
      <c r="K132"/>
      <c r="L132"/>
      <c r="M132"/>
      <c r="N132"/>
      <c r="O132"/>
    </row>
    <row r="133" spans="3:16" ht="34.5" thickBot="1">
      <c r="C133" s="43"/>
      <c r="J133" s="169"/>
      <c r="K133"/>
      <c r="L133"/>
      <c r="M133"/>
      <c r="N133"/>
      <c r="O133"/>
    </row>
    <row r="134" spans="3:16">
      <c r="C134" s="15" t="s">
        <v>145</v>
      </c>
      <c r="D134" s="46">
        <v>10</v>
      </c>
      <c r="J134" s="169"/>
      <c r="K134"/>
      <c r="L134"/>
      <c r="M134"/>
      <c r="N134"/>
      <c r="O134"/>
    </row>
    <row r="135" spans="3:16" ht="15" thickBot="1">
      <c r="C135" s="34" t="s">
        <v>236</v>
      </c>
      <c r="D135" s="35">
        <v>50</v>
      </c>
    </row>
    <row r="136" spans="3:16" ht="15" thickBot="1">
      <c r="C136" s="13"/>
      <c r="D136" s="13"/>
      <c r="E136" s="13"/>
    </row>
    <row r="137" spans="3:16" ht="28.5" customHeight="1">
      <c r="C137" s="15" t="s">
        <v>224</v>
      </c>
      <c r="D137" s="162" t="s">
        <v>451</v>
      </c>
      <c r="E137" s="162" t="s">
        <v>452</v>
      </c>
      <c r="F137" s="16" t="s">
        <v>237</v>
      </c>
      <c r="G137" s="16" t="s">
        <v>453</v>
      </c>
      <c r="H137" s="16" t="s">
        <v>355</v>
      </c>
    </row>
    <row r="138" spans="3:16" ht="24" customHeight="1">
      <c r="C138" s="18" t="s">
        <v>252</v>
      </c>
      <c r="D138" s="170">
        <v>0.28999999999999998</v>
      </c>
      <c r="E138" s="170">
        <v>0.16</v>
      </c>
      <c r="F138" s="133">
        <f>365.25*(D138-E138)</f>
        <v>47.482499999999995</v>
      </c>
      <c r="G138" s="132" t="e">
        <f>F138*VLOOKUP('Water Cooler'!$F$7,'Lookup Tables'!$F$220:$I$234,3,FALSE)</f>
        <v>#N/A</v>
      </c>
      <c r="H138" s="132" t="e">
        <f>F138*VLOOKUP('Water Cooler'!$F$7,'Lookup Tables'!$F$220:$I$234,4,FALSE)</f>
        <v>#N/A</v>
      </c>
    </row>
    <row r="139" spans="3:16" ht="24" customHeight="1">
      <c r="C139" s="88" t="s">
        <v>448</v>
      </c>
      <c r="D139" s="171">
        <v>0.28999999999999998</v>
      </c>
      <c r="E139" s="171">
        <v>0.16</v>
      </c>
      <c r="F139" s="133">
        <f>365.25*(D139-E139)</f>
        <v>47.482499999999995</v>
      </c>
      <c r="G139" s="132" t="e">
        <f>F139*VLOOKUP('Water Cooler'!$F$7,'Lookup Tables'!$F$220:$I$234,3,FALSE)</f>
        <v>#N/A</v>
      </c>
      <c r="H139" s="132" t="e">
        <f>F139*VLOOKUP('Water Cooler'!$F$7,'Lookup Tables'!$F$220:$I$234,4,FALSE)</f>
        <v>#N/A</v>
      </c>
    </row>
    <row r="140" spans="3:16" ht="24">
      <c r="C140" s="88" t="s">
        <v>449</v>
      </c>
      <c r="D140" s="171">
        <v>1.2</v>
      </c>
      <c r="E140" s="171">
        <v>0.87</v>
      </c>
      <c r="F140" s="133">
        <f>365.25*(D140-E140)</f>
        <v>120.53249999999998</v>
      </c>
      <c r="G140" s="132" t="e">
        <f>F140*VLOOKUP('Water Cooler'!$F$7,'Lookup Tables'!$F$220:$I$234,3,FALSE)</f>
        <v>#N/A</v>
      </c>
      <c r="H140" s="132" t="e">
        <f>F140*VLOOKUP('Water Cooler'!$F$7,'Lookup Tables'!$F$220:$I$234,4,FALSE)</f>
        <v>#N/A</v>
      </c>
    </row>
    <row r="141" spans="3:16" ht="24.75" thickBot="1">
      <c r="C141" s="21" t="s">
        <v>450</v>
      </c>
      <c r="D141" s="172">
        <v>1.2</v>
      </c>
      <c r="E141" s="172">
        <v>0.18</v>
      </c>
      <c r="F141" s="133">
        <f t="shared" ref="F141" si="40">365.25*(D141-E141)</f>
        <v>372.55500000000001</v>
      </c>
      <c r="G141" s="132" t="e">
        <f>F141*VLOOKUP('Water Cooler'!$F$7,'Lookup Tables'!$F$220:$I$234,3,FALSE)</f>
        <v>#N/A</v>
      </c>
      <c r="H141" s="132" t="e">
        <f>F141*VLOOKUP('Water Cooler'!$F$7,'Lookup Tables'!$F$220:$I$234,4,FALSE)</f>
        <v>#N/A</v>
      </c>
    </row>
    <row r="143" spans="3:16" ht="36" customHeight="1"/>
    <row r="144" spans="3:16">
      <c r="F144" s="13"/>
      <c r="G144" s="13"/>
      <c r="H144" s="13"/>
      <c r="I144" s="13"/>
    </row>
    <row r="145" spans="3:9" ht="33.75">
      <c r="C145" s="462" t="s">
        <v>21</v>
      </c>
      <c r="D145" s="462"/>
      <c r="F145" s="13"/>
      <c r="G145" s="13"/>
      <c r="H145" s="13"/>
      <c r="I145" s="13"/>
    </row>
    <row r="146" spans="3:9" ht="34.5" thickBot="1">
      <c r="C146" s="43"/>
      <c r="D146" s="44"/>
      <c r="E146" s="13"/>
      <c r="F146" s="30" t="s">
        <v>253</v>
      </c>
      <c r="G146" s="13"/>
      <c r="H146" s="13"/>
      <c r="I146" s="13"/>
    </row>
    <row r="147" spans="3:9">
      <c r="C147" s="15" t="s">
        <v>145</v>
      </c>
      <c r="D147" s="39">
        <v>11</v>
      </c>
      <c r="E147" s="12"/>
      <c r="F147" s="13"/>
      <c r="G147" s="13"/>
      <c r="H147" s="13"/>
      <c r="I147" s="13"/>
    </row>
    <row r="148" spans="3:9" ht="15" thickBot="1">
      <c r="C148" s="34" t="s">
        <v>220</v>
      </c>
      <c r="D148" s="35">
        <v>50</v>
      </c>
      <c r="F148" s="13"/>
      <c r="G148" s="13"/>
      <c r="H148" s="13"/>
      <c r="I148" s="13"/>
    </row>
    <row r="149" spans="3:9" ht="15" thickBot="1">
      <c r="C149" s="14"/>
      <c r="D149" s="13"/>
      <c r="E149" s="13"/>
    </row>
    <row r="150" spans="3:9">
      <c r="C150" s="449" t="s">
        <v>224</v>
      </c>
      <c r="D150" s="463" t="s">
        <v>46</v>
      </c>
      <c r="E150" s="464"/>
    </row>
    <row r="151" spans="3:9">
      <c r="C151" s="450"/>
      <c r="D151" s="40" t="s">
        <v>254</v>
      </c>
      <c r="E151" s="24" t="s">
        <v>255</v>
      </c>
    </row>
    <row r="152" spans="3:9">
      <c r="C152" s="41" t="s">
        <v>256</v>
      </c>
      <c r="D152" s="29" t="s">
        <v>257</v>
      </c>
      <c r="E152" s="30" t="s">
        <v>258</v>
      </c>
    </row>
    <row r="153" spans="3:9" ht="24">
      <c r="C153" s="41" t="s">
        <v>259</v>
      </c>
      <c r="D153" s="29" t="s">
        <v>260</v>
      </c>
      <c r="E153" s="30" t="s">
        <v>261</v>
      </c>
    </row>
    <row r="154" spans="3:9" ht="24">
      <c r="C154" s="41" t="s">
        <v>262</v>
      </c>
      <c r="D154" s="29" t="s">
        <v>263</v>
      </c>
      <c r="E154" s="30" t="s">
        <v>264</v>
      </c>
    </row>
    <row r="155" spans="3:9" ht="24">
      <c r="C155" s="41" t="s">
        <v>265</v>
      </c>
      <c r="D155" s="29" t="s">
        <v>266</v>
      </c>
      <c r="E155" s="30" t="s">
        <v>267</v>
      </c>
    </row>
    <row r="156" spans="3:9" ht="37.5" customHeight="1">
      <c r="C156" s="41" t="s">
        <v>268</v>
      </c>
      <c r="D156" s="29" t="s">
        <v>269</v>
      </c>
      <c r="E156" s="30" t="s">
        <v>270</v>
      </c>
    </row>
    <row r="157" spans="3:9" ht="37.5" customHeight="1">
      <c r="C157" s="41" t="s">
        <v>271</v>
      </c>
      <c r="D157" s="29" t="s">
        <v>272</v>
      </c>
      <c r="E157" s="30" t="s">
        <v>273</v>
      </c>
    </row>
    <row r="158" spans="3:9" ht="37.5" customHeight="1">
      <c r="C158" s="41" t="s">
        <v>274</v>
      </c>
      <c r="D158" s="29" t="s">
        <v>275</v>
      </c>
      <c r="E158" s="30" t="s">
        <v>276</v>
      </c>
    </row>
    <row r="159" spans="3:9" ht="37.5" customHeight="1">
      <c r="C159" s="41" t="s">
        <v>277</v>
      </c>
      <c r="D159" s="29" t="s">
        <v>278</v>
      </c>
      <c r="E159" s="30" t="s">
        <v>279</v>
      </c>
    </row>
    <row r="160" spans="3:9" ht="48" customHeight="1">
      <c r="C160" s="90" t="s">
        <v>280</v>
      </c>
      <c r="D160" s="91" t="s">
        <v>281</v>
      </c>
      <c r="E160" s="89" t="s">
        <v>282</v>
      </c>
    </row>
    <row r="161" spans="3:31" ht="15" thickBot="1">
      <c r="C161" s="42" t="s">
        <v>283</v>
      </c>
      <c r="D161" s="36" t="s">
        <v>284</v>
      </c>
      <c r="E161" s="37" t="s">
        <v>285</v>
      </c>
    </row>
    <row r="162" spans="3:31" ht="15" thickBot="1">
      <c r="C162" s="42" t="s">
        <v>286</v>
      </c>
      <c r="D162" s="36">
        <v>439</v>
      </c>
      <c r="E162" s="37">
        <v>395</v>
      </c>
    </row>
    <row r="163" spans="3:31" ht="15" thickBot="1">
      <c r="C163" s="42" t="s">
        <v>287</v>
      </c>
      <c r="D163" s="36">
        <v>239</v>
      </c>
      <c r="E163" s="37">
        <v>215</v>
      </c>
    </row>
    <row r="165" spans="3:31" ht="15" thickBot="1"/>
    <row r="166" spans="3:31" ht="21.75" customHeight="1" thickBot="1">
      <c r="F166" s="455" t="s">
        <v>255</v>
      </c>
      <c r="G166" s="455" t="s">
        <v>288</v>
      </c>
      <c r="I166" s="449" t="s">
        <v>259</v>
      </c>
      <c r="J166" s="451" t="s">
        <v>73</v>
      </c>
      <c r="K166" s="453" t="s">
        <v>254</v>
      </c>
      <c r="L166" s="455" t="s">
        <v>255</v>
      </c>
      <c r="M166" s="455" t="s">
        <v>288</v>
      </c>
      <c r="O166" s="449" t="s">
        <v>262</v>
      </c>
      <c r="P166" s="451" t="s">
        <v>73</v>
      </c>
      <c r="Q166" s="453" t="s">
        <v>254</v>
      </c>
      <c r="R166" s="455" t="s">
        <v>255</v>
      </c>
      <c r="S166" s="455" t="s">
        <v>288</v>
      </c>
      <c r="U166" s="449" t="s">
        <v>265</v>
      </c>
      <c r="V166" s="451" t="s">
        <v>73</v>
      </c>
      <c r="W166" s="453" t="s">
        <v>254</v>
      </c>
      <c r="X166" s="455" t="s">
        <v>255</v>
      </c>
      <c r="Y166" s="455" t="s">
        <v>288</v>
      </c>
      <c r="AA166" s="449" t="s">
        <v>268</v>
      </c>
      <c r="AB166" s="451" t="s">
        <v>73</v>
      </c>
      <c r="AC166" s="453" t="s">
        <v>254</v>
      </c>
      <c r="AD166" s="455" t="s">
        <v>255</v>
      </c>
      <c r="AE166" s="455" t="s">
        <v>288</v>
      </c>
    </row>
    <row r="167" spans="3:31">
      <c r="C167" s="449" t="s">
        <v>256</v>
      </c>
      <c r="D167" s="451" t="s">
        <v>73</v>
      </c>
      <c r="E167" s="453" t="s">
        <v>254</v>
      </c>
      <c r="F167" s="456"/>
      <c r="G167" s="456"/>
      <c r="I167" s="450"/>
      <c r="J167" s="452"/>
      <c r="K167" s="454"/>
      <c r="L167" s="456"/>
      <c r="M167" s="456"/>
      <c r="O167" s="450"/>
      <c r="P167" s="452"/>
      <c r="Q167" s="454"/>
      <c r="R167" s="456"/>
      <c r="S167" s="456"/>
      <c r="U167" s="450"/>
      <c r="V167" s="452"/>
      <c r="W167" s="454"/>
      <c r="X167" s="456"/>
      <c r="Y167" s="456"/>
      <c r="AA167" s="450"/>
      <c r="AB167" s="452"/>
      <c r="AC167" s="454"/>
      <c r="AD167" s="456"/>
      <c r="AE167" s="456"/>
    </row>
    <row r="168" spans="3:31" ht="36" customHeight="1">
      <c r="C168" s="450"/>
      <c r="D168" s="452"/>
      <c r="E168" s="454"/>
      <c r="F168" s="31" t="str">
        <f t="shared" ref="F168:F177" si="41">IF(D169="","",D169*5.01+174.3)</f>
        <v/>
      </c>
      <c r="G168" s="31" t="str">
        <f>IF(D169="","",ROUND(Freezer!$I15*(E169-F168),2))</f>
        <v/>
      </c>
      <c r="I168" s="92">
        <v>1</v>
      </c>
      <c r="J168" s="93" t="str">
        <f>IF('Lookup Tables'!$C$153=Freezer!$G15,1.76*Freezer!$H15,"")</f>
        <v/>
      </c>
      <c r="K168" s="30" t="str">
        <f t="shared" ref="K168:K177" si="42">IF(J168="","",J168*8.62+228.3)</f>
        <v/>
      </c>
      <c r="L168" s="31" t="str">
        <f t="shared" ref="L168:L177" si="43">IF(J168="","",J168*7.76+205.5)</f>
        <v/>
      </c>
      <c r="M168" s="31" t="str">
        <f>IF(J168="","",ROUND(Freezer!$I15*(K168-L168),2))</f>
        <v/>
      </c>
      <c r="O168" s="92">
        <v>1</v>
      </c>
      <c r="P168" s="93" t="str">
        <f>IF('Lookup Tables'!$C$154=Freezer!$G15,1.76*Freezer!$H15,"")</f>
        <v/>
      </c>
      <c r="Q168" s="30" t="str">
        <f>IF(P168="","",P168*8.62+312.3)</f>
        <v/>
      </c>
      <c r="R168" s="31" t="str">
        <f>IF(P168="","",P168*7.76+289.5)</f>
        <v/>
      </c>
      <c r="S168" s="31" t="str">
        <f>IF(P168="","",ROUND(Freezer!$I15*(Q168-R168),2))</f>
        <v/>
      </c>
      <c r="U168" s="92">
        <v>1</v>
      </c>
      <c r="V168" s="93" t="str">
        <f>IF('Lookup Tables'!$C$155=Freezer!$G15,1.76*Freezer!$H15,"")</f>
        <v/>
      </c>
      <c r="W168" s="30" t="str">
        <f>IF(V168="","",V168*9.86+260.9)</f>
        <v/>
      </c>
      <c r="X168" s="31" t="str">
        <f t="shared" ref="X168:X170" si="44">IF(V168="","",V168*8.87+234.8)</f>
        <v/>
      </c>
      <c r="Y168" s="31" t="str">
        <f>IF(V168="","",ROUND(Freezer!$I15*(W168-X168),2))</f>
        <v/>
      </c>
      <c r="AA168" s="92">
        <v>1</v>
      </c>
      <c r="AB168" s="93" t="str">
        <f>IF('Lookup Tables'!$C$156=Freezer!$G15,1.76*Freezer!$H15,"")</f>
        <v/>
      </c>
      <c r="AC168" s="30" t="str">
        <f>IF(AB168="","",AB168*9.86+344.9)</f>
        <v/>
      </c>
      <c r="AD168" s="31" t="str">
        <f>IF(AB168="","",AB168*8.87+318.8)</f>
        <v/>
      </c>
      <c r="AE168" s="31" t="str">
        <f>IF(AB168="","",ROUND(Freezer!$I15*(AC168-AD168),2))</f>
        <v/>
      </c>
    </row>
    <row r="169" spans="3:31">
      <c r="C169" s="92">
        <v>1</v>
      </c>
      <c r="D169" s="93" t="str">
        <f>IF('Lookup Tables'!$C$152=Freezer!$G15,1.76*Freezer!$H15,"")</f>
        <v/>
      </c>
      <c r="E169" s="30" t="str">
        <f>IF(D169="","",D169*5.57+193.7)</f>
        <v/>
      </c>
      <c r="F169" s="31" t="str">
        <f t="shared" si="41"/>
        <v/>
      </c>
      <c r="G169" s="31" t="str">
        <f>IF(D170="","",ROUND(Freezer!$I16*(E170-F169),2))</f>
        <v/>
      </c>
      <c r="I169" s="41">
        <v>2</v>
      </c>
      <c r="J169" s="93" t="str">
        <f>IF('Lookup Tables'!$C$153=Freezer!$G16,1.76*Freezer!$H16,"")</f>
        <v/>
      </c>
      <c r="K169" s="30" t="str">
        <f t="shared" si="42"/>
        <v/>
      </c>
      <c r="L169" s="31" t="str">
        <f t="shared" si="43"/>
        <v/>
      </c>
      <c r="M169" s="31" t="str">
        <f>IF(J169="","",ROUND(Freezer!$I16*(K169-L169),2))</f>
        <v/>
      </c>
      <c r="O169" s="41">
        <v>2</v>
      </c>
      <c r="P169" s="93" t="str">
        <f>IF('Lookup Tables'!$C$154=Freezer!$G16,1.76*Freezer!$H16,"")</f>
        <v/>
      </c>
      <c r="Q169" s="30" t="str">
        <f t="shared" ref="Q169:Q177" si="45">IF(P169="","",P169*8.62+312.3)</f>
        <v/>
      </c>
      <c r="R169" s="31" t="str">
        <f t="shared" ref="R169:R177" si="46">IF(P169="","",P169*7.76+289.5)</f>
        <v/>
      </c>
      <c r="S169" s="31" t="str">
        <f>IF(P169="","",ROUND(Freezer!$I16*(Q169-R169),2))</f>
        <v/>
      </c>
      <c r="U169" s="41">
        <v>2</v>
      </c>
      <c r="V169" s="93" t="str">
        <f>IF('Lookup Tables'!$C$155=Freezer!$G16,1.76*Freezer!$H16,"")</f>
        <v/>
      </c>
      <c r="W169" s="30" t="str">
        <f t="shared" ref="W169:W177" si="47">IF(V169="","",V169*9.86+260.9)</f>
        <v/>
      </c>
      <c r="X169" s="31" t="str">
        <f t="shared" si="44"/>
        <v/>
      </c>
      <c r="Y169" s="31" t="str">
        <f>IF(V169="","",ROUND(Freezer!$I16*(W169-X169),2))</f>
        <v/>
      </c>
      <c r="AA169" s="41">
        <v>2</v>
      </c>
      <c r="AB169" s="93" t="str">
        <f>IF('Lookup Tables'!$C$156=Freezer!$G16,1.76*Freezer!$H16,"")</f>
        <v/>
      </c>
      <c r="AC169" s="30" t="str">
        <f t="shared" ref="AC169:AC177" si="48">IF(AB169="","",AB169*9.86+344.9)</f>
        <v/>
      </c>
      <c r="AD169" s="31" t="str">
        <f t="shared" ref="AD169:AD177" si="49">IF(AB169="","",AB169*8.87+318.8)</f>
        <v/>
      </c>
      <c r="AE169" s="31" t="str">
        <f>IF(AB169="","",ROUND(Freezer!$I16*(AC169-AD169),2))</f>
        <v/>
      </c>
    </row>
    <row r="170" spans="3:31">
      <c r="C170" s="41">
        <v>2</v>
      </c>
      <c r="D170" s="93" t="str">
        <f>IF('Lookup Tables'!$C$152=Freezer!$G16,1.76*Freezer!$H16,"")</f>
        <v/>
      </c>
      <c r="E170" s="30" t="str">
        <f t="shared" ref="E170:E178" si="50">IF(D170="","",D170*5.57+193.7)</f>
        <v/>
      </c>
      <c r="F170" s="31" t="str">
        <f t="shared" si="41"/>
        <v/>
      </c>
      <c r="G170" s="31" t="str">
        <f>IF(D171="","",ROUND(Freezer!$I17*(E171-F170),2))</f>
        <v/>
      </c>
      <c r="I170" s="41">
        <v>3</v>
      </c>
      <c r="J170" s="93" t="str">
        <f>IF('Lookup Tables'!$C$153=Freezer!$G17,1.76*Freezer!$H17,"")</f>
        <v/>
      </c>
      <c r="K170" s="30" t="str">
        <f t="shared" si="42"/>
        <v/>
      </c>
      <c r="L170" s="31" t="str">
        <f t="shared" si="43"/>
        <v/>
      </c>
      <c r="M170" s="31" t="str">
        <f>IF(J170="","",ROUND(Freezer!$I17*(K170-L170),2))</f>
        <v/>
      </c>
      <c r="O170" s="41">
        <v>3</v>
      </c>
      <c r="P170" s="93" t="str">
        <f>IF('Lookup Tables'!$C$154=Freezer!$G17,1.76*Freezer!$H17,"")</f>
        <v/>
      </c>
      <c r="Q170" s="30" t="str">
        <f t="shared" si="45"/>
        <v/>
      </c>
      <c r="R170" s="31" t="str">
        <f t="shared" si="46"/>
        <v/>
      </c>
      <c r="S170" s="31" t="str">
        <f>IF(P170="","",ROUND(Freezer!$I17*(Q170-R170),2))</f>
        <v/>
      </c>
      <c r="U170" s="41">
        <v>3</v>
      </c>
      <c r="V170" s="93" t="str">
        <f>IF('Lookup Tables'!$C$155=Freezer!$G17,1.76*Freezer!$H17,"")</f>
        <v/>
      </c>
      <c r="W170" s="30" t="str">
        <f t="shared" si="47"/>
        <v/>
      </c>
      <c r="X170" s="31" t="str">
        <f t="shared" si="44"/>
        <v/>
      </c>
      <c r="Y170" s="31" t="str">
        <f>IF(V170="","",ROUND(Freezer!$I17*(W170-X170),2))</f>
        <v/>
      </c>
      <c r="AA170" s="41">
        <v>3</v>
      </c>
      <c r="AB170" s="93" t="str">
        <f>IF('Lookup Tables'!$C$156=Freezer!$G17,1.76*Freezer!$H17,"")</f>
        <v/>
      </c>
      <c r="AC170" s="30" t="str">
        <f t="shared" si="48"/>
        <v/>
      </c>
      <c r="AD170" s="31" t="str">
        <f t="shared" si="49"/>
        <v/>
      </c>
      <c r="AE170" s="31" t="str">
        <f>IF(AB170="","",ROUND(Freezer!$I17*(AC170-AD170),2))</f>
        <v/>
      </c>
    </row>
    <row r="171" spans="3:31">
      <c r="C171" s="41">
        <v>3</v>
      </c>
      <c r="D171" s="93" t="str">
        <f>IF('Lookup Tables'!$C$152=Freezer!$G17,1.76*Freezer!$H17,"")</f>
        <v/>
      </c>
      <c r="E171" s="30" t="str">
        <f t="shared" si="50"/>
        <v/>
      </c>
      <c r="F171" s="31" t="str">
        <f t="shared" si="41"/>
        <v/>
      </c>
      <c r="G171" s="31" t="str">
        <f>IF(D172="","",ROUND(Freezer!$I18*(E172-F171),2))</f>
        <v/>
      </c>
      <c r="I171" s="41">
        <v>4</v>
      </c>
      <c r="J171" s="93" t="str">
        <f>IF('Lookup Tables'!$C$153=Freezer!$G18,1.76*Freezer!$H18,"")</f>
        <v/>
      </c>
      <c r="K171" s="30" t="str">
        <f t="shared" si="42"/>
        <v/>
      </c>
      <c r="L171" s="31" t="str">
        <f t="shared" si="43"/>
        <v/>
      </c>
      <c r="M171" s="31" t="str">
        <f>IF(J171="","",ROUND(Freezer!$I18*(K171-L171),2))</f>
        <v/>
      </c>
      <c r="O171" s="41">
        <v>4</v>
      </c>
      <c r="P171" s="93" t="str">
        <f>IF('Lookup Tables'!$C$154=Freezer!$G18,1.76*Freezer!$H18,"")</f>
        <v/>
      </c>
      <c r="Q171" s="30" t="str">
        <f t="shared" si="45"/>
        <v/>
      </c>
      <c r="R171" s="31" t="str">
        <f t="shared" si="46"/>
        <v/>
      </c>
      <c r="S171" s="31" t="str">
        <f>IF(P171="","",ROUND(Freezer!$I18*(Q171-R171),2))</f>
        <v/>
      </c>
      <c r="U171" s="41">
        <v>4</v>
      </c>
      <c r="V171" s="93" t="str">
        <f>IF('Lookup Tables'!$C$155=Freezer!$G18,1.76*Freezer!$H18,"")</f>
        <v/>
      </c>
      <c r="W171" s="30" t="str">
        <f t="shared" si="47"/>
        <v/>
      </c>
      <c r="X171" s="31" t="str">
        <f>IF(V171="","",V171*8.87+234.8)</f>
        <v/>
      </c>
      <c r="Y171" s="31" t="str">
        <f>IF(V171="","",ROUND(Freezer!$I18*(W171-X171),2))</f>
        <v/>
      </c>
      <c r="AA171" s="41">
        <v>4</v>
      </c>
      <c r="AB171" s="93" t="str">
        <f>IF('Lookup Tables'!$C$156=Freezer!$G18,1.76*Freezer!$H18,"")</f>
        <v/>
      </c>
      <c r="AC171" s="30" t="str">
        <f t="shared" si="48"/>
        <v/>
      </c>
      <c r="AD171" s="31" t="str">
        <f t="shared" si="49"/>
        <v/>
      </c>
      <c r="AE171" s="31" t="str">
        <f>IF(AB171="","",ROUND(Freezer!$I18*(AC171-AD171),2))</f>
        <v/>
      </c>
    </row>
    <row r="172" spans="3:31">
      <c r="C172" s="41">
        <v>4</v>
      </c>
      <c r="D172" s="93" t="str">
        <f>IF('Lookup Tables'!$C$152=Freezer!$G18,1.76*Freezer!$H18,"")</f>
        <v/>
      </c>
      <c r="E172" s="30" t="str">
        <f t="shared" si="50"/>
        <v/>
      </c>
      <c r="F172" s="31" t="str">
        <f t="shared" si="41"/>
        <v/>
      </c>
      <c r="G172" s="31" t="str">
        <f>IF(D173="","",ROUND(Freezer!$I19*(E173-F172),2))</f>
        <v/>
      </c>
      <c r="I172" s="41">
        <v>5</v>
      </c>
      <c r="J172" s="93" t="str">
        <f>IF('Lookup Tables'!$C$153=Freezer!$G19,1.76*Freezer!$H19,"")</f>
        <v/>
      </c>
      <c r="K172" s="30" t="str">
        <f t="shared" si="42"/>
        <v/>
      </c>
      <c r="L172" s="31" t="str">
        <f t="shared" si="43"/>
        <v/>
      </c>
      <c r="M172" s="31" t="str">
        <f>IF(J172="","",ROUND(Freezer!$I19*(K172-L172),2))</f>
        <v/>
      </c>
      <c r="O172" s="41">
        <v>5</v>
      </c>
      <c r="P172" s="93" t="str">
        <f>IF('Lookup Tables'!$C$154=Freezer!$G19,1.76*Freezer!$H19,"")</f>
        <v/>
      </c>
      <c r="Q172" s="30" t="str">
        <f t="shared" si="45"/>
        <v/>
      </c>
      <c r="R172" s="31" t="str">
        <f t="shared" si="46"/>
        <v/>
      </c>
      <c r="S172" s="31" t="str">
        <f>IF(P172="","",ROUND(Freezer!$I19*(Q172-R172),2))</f>
        <v/>
      </c>
      <c r="U172" s="41">
        <v>5</v>
      </c>
      <c r="V172" s="93" t="str">
        <f>IF('Lookup Tables'!$C$155=Freezer!$G19,1.76*Freezer!$H19,"")</f>
        <v/>
      </c>
      <c r="W172" s="30" t="str">
        <f t="shared" si="47"/>
        <v/>
      </c>
      <c r="X172" s="31" t="str">
        <f t="shared" ref="X172:X177" si="51">IF(V172="","",V172*8.87+234.8)</f>
        <v/>
      </c>
      <c r="Y172" s="31" t="str">
        <f>IF(V172="","",ROUND(Freezer!$I19*(W172-X172),2))</f>
        <v/>
      </c>
      <c r="AA172" s="41">
        <v>5</v>
      </c>
      <c r="AB172" s="93" t="str">
        <f>IF('Lookup Tables'!$C$156=Freezer!$G19,1.76*Freezer!$H19,"")</f>
        <v/>
      </c>
      <c r="AC172" s="30" t="str">
        <f t="shared" si="48"/>
        <v/>
      </c>
      <c r="AD172" s="31" t="str">
        <f t="shared" si="49"/>
        <v/>
      </c>
      <c r="AE172" s="31" t="str">
        <f>IF(AB172="","",ROUND(Freezer!$I19*(AC172-AD172),2))</f>
        <v/>
      </c>
    </row>
    <row r="173" spans="3:31">
      <c r="C173" s="41">
        <v>5</v>
      </c>
      <c r="D173" s="93" t="str">
        <f>IF('Lookup Tables'!$C$152=Freezer!$G19,1.76*Freezer!$H19,"")</f>
        <v/>
      </c>
      <c r="E173" s="30" t="str">
        <f t="shared" si="50"/>
        <v/>
      </c>
      <c r="F173" s="31" t="str">
        <f t="shared" si="41"/>
        <v/>
      </c>
      <c r="G173" s="31" t="str">
        <f>IF(D174="","",ROUND(Freezer!$I20*(E174-F173),2))</f>
        <v/>
      </c>
      <c r="I173" s="41">
        <v>6</v>
      </c>
      <c r="J173" s="93" t="str">
        <f>IF('Lookup Tables'!$C$153=Freezer!$G20,1.76*Freezer!$H20,"")</f>
        <v/>
      </c>
      <c r="K173" s="30" t="str">
        <f t="shared" si="42"/>
        <v/>
      </c>
      <c r="L173" s="31" t="str">
        <f t="shared" si="43"/>
        <v/>
      </c>
      <c r="M173" s="31" t="str">
        <f>IF(J173="","",ROUND(Freezer!$I20*(K173-L173),2))</f>
        <v/>
      </c>
      <c r="O173" s="41">
        <v>6</v>
      </c>
      <c r="P173" s="93" t="str">
        <f>IF('Lookup Tables'!$C$154=Freezer!$G20,1.76*Freezer!$H20,"")</f>
        <v/>
      </c>
      <c r="Q173" s="30" t="str">
        <f t="shared" si="45"/>
        <v/>
      </c>
      <c r="R173" s="31" t="str">
        <f t="shared" si="46"/>
        <v/>
      </c>
      <c r="S173" s="31" t="str">
        <f>IF(P173="","",ROUND(Freezer!$I20*(Q173-R173),2))</f>
        <v/>
      </c>
      <c r="U173" s="41">
        <v>6</v>
      </c>
      <c r="V173" s="93" t="str">
        <f>IF('Lookup Tables'!$C$155=Freezer!$G20,1.76*Freezer!$H20,"")</f>
        <v/>
      </c>
      <c r="W173" s="30" t="str">
        <f t="shared" si="47"/>
        <v/>
      </c>
      <c r="X173" s="31" t="str">
        <f t="shared" si="51"/>
        <v/>
      </c>
      <c r="Y173" s="31" t="str">
        <f>IF(V173="","",ROUND(Freezer!$I20*(W173-X173),2))</f>
        <v/>
      </c>
      <c r="AA173" s="41">
        <v>6</v>
      </c>
      <c r="AB173" s="93" t="str">
        <f>IF('Lookup Tables'!$C$156=Freezer!$G20,1.76*Freezer!$H20,"")</f>
        <v/>
      </c>
      <c r="AC173" s="30" t="str">
        <f t="shared" si="48"/>
        <v/>
      </c>
      <c r="AD173" s="31" t="str">
        <f t="shared" si="49"/>
        <v/>
      </c>
      <c r="AE173" s="31" t="str">
        <f>IF(AB173="","",ROUND(Freezer!$I20*(AC173-AD173),2))</f>
        <v/>
      </c>
    </row>
    <row r="174" spans="3:31">
      <c r="C174" s="41">
        <v>6</v>
      </c>
      <c r="D174" s="93" t="str">
        <f>IF('Lookup Tables'!$C$152=Freezer!$G20,1.76*Freezer!$H20,"")</f>
        <v/>
      </c>
      <c r="E174" s="30" t="str">
        <f t="shared" si="50"/>
        <v/>
      </c>
      <c r="F174" s="31" t="str">
        <f t="shared" si="41"/>
        <v/>
      </c>
      <c r="G174" s="31" t="str">
        <f>IF(D175="","",ROUND(Freezer!$I21*(E175-F174),2))</f>
        <v/>
      </c>
      <c r="I174" s="41">
        <v>7</v>
      </c>
      <c r="J174" s="93" t="str">
        <f>IF('Lookup Tables'!$C$153=Freezer!$G21,1.76*Freezer!$H21,"")</f>
        <v/>
      </c>
      <c r="K174" s="30" t="str">
        <f t="shared" si="42"/>
        <v/>
      </c>
      <c r="L174" s="31" t="str">
        <f t="shared" si="43"/>
        <v/>
      </c>
      <c r="M174" s="31" t="str">
        <f>IF(J174="","",ROUND(Freezer!$I21*(K174-L174),2))</f>
        <v/>
      </c>
      <c r="O174" s="41">
        <v>7</v>
      </c>
      <c r="P174" s="93" t="str">
        <f>IF('Lookup Tables'!$C$154=Freezer!$G21,1.76*Freezer!$H21,"")</f>
        <v/>
      </c>
      <c r="Q174" s="30" t="str">
        <f t="shared" si="45"/>
        <v/>
      </c>
      <c r="R174" s="31" t="str">
        <f t="shared" si="46"/>
        <v/>
      </c>
      <c r="S174" s="31" t="str">
        <f>IF(P174="","",ROUND(Freezer!$I21*(Q174-R174),2))</f>
        <v/>
      </c>
      <c r="U174" s="41">
        <v>7</v>
      </c>
      <c r="V174" s="93" t="str">
        <f>IF('Lookup Tables'!$C$155=Freezer!$G21,1.76*Freezer!$H21,"")</f>
        <v/>
      </c>
      <c r="W174" s="30" t="str">
        <f t="shared" si="47"/>
        <v/>
      </c>
      <c r="X174" s="31" t="str">
        <f t="shared" si="51"/>
        <v/>
      </c>
      <c r="Y174" s="31" t="str">
        <f>IF(V174="","",ROUND(Freezer!$I21*(W174-X174),2))</f>
        <v/>
      </c>
      <c r="AA174" s="41">
        <v>7</v>
      </c>
      <c r="AB174" s="93" t="str">
        <f>IF('Lookup Tables'!$C$156=Freezer!$G21,1.76*Freezer!$H21,"")</f>
        <v/>
      </c>
      <c r="AC174" s="30" t="str">
        <f t="shared" si="48"/>
        <v/>
      </c>
      <c r="AD174" s="31" t="str">
        <f t="shared" si="49"/>
        <v/>
      </c>
      <c r="AE174" s="31" t="str">
        <f>IF(AB174="","",ROUND(Freezer!$I21*(AC174-AD174),2))</f>
        <v/>
      </c>
    </row>
    <row r="175" spans="3:31">
      <c r="C175" s="41">
        <v>7</v>
      </c>
      <c r="D175" s="93" t="str">
        <f>IF('Lookup Tables'!$C$152=Freezer!$G21,1.76*Freezer!$H21,"")</f>
        <v/>
      </c>
      <c r="E175" s="30" t="str">
        <f t="shared" si="50"/>
        <v/>
      </c>
      <c r="F175" s="31" t="str">
        <f t="shared" si="41"/>
        <v/>
      </c>
      <c r="G175" s="31" t="str">
        <f>IF(D176="","",ROUND(Freezer!$I22*(E176-F175),2))</f>
        <v/>
      </c>
      <c r="I175" s="41">
        <v>8</v>
      </c>
      <c r="J175" s="93" t="str">
        <f>IF('Lookup Tables'!$C$153=Freezer!$G22,1.76*Freezer!$H22,"")</f>
        <v/>
      </c>
      <c r="K175" s="30" t="str">
        <f t="shared" si="42"/>
        <v/>
      </c>
      <c r="L175" s="31" t="str">
        <f t="shared" si="43"/>
        <v/>
      </c>
      <c r="M175" s="31" t="str">
        <f>IF(J175="","",ROUND(Freezer!$I22*(K175-L175),2))</f>
        <v/>
      </c>
      <c r="O175" s="41">
        <v>8</v>
      </c>
      <c r="P175" s="93" t="str">
        <f>IF('Lookup Tables'!$C$154=Freezer!$G22,1.76*Freezer!$H22,"")</f>
        <v/>
      </c>
      <c r="Q175" s="30" t="str">
        <f t="shared" si="45"/>
        <v/>
      </c>
      <c r="R175" s="31" t="str">
        <f t="shared" si="46"/>
        <v/>
      </c>
      <c r="S175" s="31" t="str">
        <f>IF(P175="","",ROUND(Freezer!$I22*(Q175-R175),2))</f>
        <v/>
      </c>
      <c r="U175" s="41">
        <v>8</v>
      </c>
      <c r="V175" s="93" t="str">
        <f>IF('Lookup Tables'!$C$155=Freezer!$G22,1.76*Freezer!$H22,"")</f>
        <v/>
      </c>
      <c r="W175" s="30" t="str">
        <f t="shared" si="47"/>
        <v/>
      </c>
      <c r="X175" s="31" t="str">
        <f t="shared" si="51"/>
        <v/>
      </c>
      <c r="Y175" s="31" t="str">
        <f>IF(V175="","",ROUND(Freezer!$I22*(W175-X175),2))</f>
        <v/>
      </c>
      <c r="AA175" s="41">
        <v>8</v>
      </c>
      <c r="AB175" s="93" t="str">
        <f>IF('Lookup Tables'!$C$156=Freezer!$G22,1.76*Freezer!$H22,"")</f>
        <v/>
      </c>
      <c r="AC175" s="30" t="str">
        <f t="shared" si="48"/>
        <v/>
      </c>
      <c r="AD175" s="31" t="str">
        <f t="shared" si="49"/>
        <v/>
      </c>
      <c r="AE175" s="31" t="str">
        <f>IF(AB175="","",ROUND(Freezer!$I22*(AC175-AD175),2))</f>
        <v/>
      </c>
    </row>
    <row r="176" spans="3:31">
      <c r="C176" s="41">
        <v>8</v>
      </c>
      <c r="D176" s="93" t="str">
        <f>IF('Lookup Tables'!$C$152=Freezer!$G22,1.76*Freezer!$H22,"")</f>
        <v/>
      </c>
      <c r="E176" s="30" t="str">
        <f t="shared" si="50"/>
        <v/>
      </c>
      <c r="F176" s="31" t="str">
        <f t="shared" si="41"/>
        <v/>
      </c>
      <c r="G176" s="31" t="str">
        <f>IF(D177="","",ROUND(Freezer!$I23*(E177-F176),2))</f>
        <v/>
      </c>
      <c r="I176" s="90">
        <v>9</v>
      </c>
      <c r="J176" s="93" t="str">
        <f>IF('Lookup Tables'!$C$153=Freezer!$G23,1.76*Freezer!$H23,"")</f>
        <v/>
      </c>
      <c r="K176" s="30" t="str">
        <f t="shared" si="42"/>
        <v/>
      </c>
      <c r="L176" s="31" t="str">
        <f t="shared" si="43"/>
        <v/>
      </c>
      <c r="M176" s="31" t="str">
        <f>IF(J176="","",ROUND(Freezer!$I23*(K176-L176),2))</f>
        <v/>
      </c>
      <c r="O176" s="90">
        <v>9</v>
      </c>
      <c r="P176" s="93" t="str">
        <f>IF('Lookup Tables'!$C$154=Freezer!$G23,1.76*Freezer!$H23,"")</f>
        <v/>
      </c>
      <c r="Q176" s="30" t="str">
        <f t="shared" si="45"/>
        <v/>
      </c>
      <c r="R176" s="31" t="str">
        <f t="shared" si="46"/>
        <v/>
      </c>
      <c r="S176" s="31" t="str">
        <f>IF(P176="","",ROUND(Freezer!$I23*(Q176-R176),2))</f>
        <v/>
      </c>
      <c r="U176" s="90">
        <v>9</v>
      </c>
      <c r="V176" s="93" t="str">
        <f>IF('Lookup Tables'!$C$155=Freezer!$G23,1.76*Freezer!$H23,"")</f>
        <v/>
      </c>
      <c r="W176" s="30" t="str">
        <f t="shared" si="47"/>
        <v/>
      </c>
      <c r="X176" s="31" t="str">
        <f t="shared" si="51"/>
        <v/>
      </c>
      <c r="Y176" s="31" t="str">
        <f>IF(V176="","",ROUND(Freezer!$I23*(W176-X176),2))</f>
        <v/>
      </c>
      <c r="AA176" s="90">
        <v>9</v>
      </c>
      <c r="AB176" s="93" t="str">
        <f>IF('Lookup Tables'!$C$156=Freezer!$G23,1.76*Freezer!$H23,"")</f>
        <v/>
      </c>
      <c r="AC176" s="30" t="str">
        <f t="shared" si="48"/>
        <v/>
      </c>
      <c r="AD176" s="31" t="str">
        <f t="shared" si="49"/>
        <v/>
      </c>
      <c r="AE176" s="31" t="str">
        <f>IF(AB176="","",ROUND(Freezer!$I23*(AC176-AD176),2))</f>
        <v/>
      </c>
    </row>
    <row r="177" spans="3:31" ht="15" thickBot="1">
      <c r="C177" s="90">
        <v>9</v>
      </c>
      <c r="D177" s="93" t="str">
        <f>IF('Lookup Tables'!$C$152=Freezer!$G23,1.76*Freezer!$H23,"")</f>
        <v/>
      </c>
      <c r="E177" s="30" t="str">
        <f t="shared" si="50"/>
        <v/>
      </c>
      <c r="F177" s="31" t="str">
        <f t="shared" si="41"/>
        <v/>
      </c>
      <c r="G177" s="31" t="str">
        <f>IF(D178="","",ROUND(Freezer!$I24*(E178-F177),2))</f>
        <v/>
      </c>
      <c r="I177" s="42">
        <v>10</v>
      </c>
      <c r="J177" s="93" t="str">
        <f>IF('Lookup Tables'!$C$153=Freezer!$G24,1.76*Freezer!$H24,"")</f>
        <v/>
      </c>
      <c r="K177" s="30" t="str">
        <f t="shared" si="42"/>
        <v/>
      </c>
      <c r="L177" s="31" t="str">
        <f t="shared" si="43"/>
        <v/>
      </c>
      <c r="M177" s="31" t="str">
        <f>IF(J177="","",ROUND(Freezer!$I24*(K177-L177),2))</f>
        <v/>
      </c>
      <c r="O177" s="42">
        <v>10</v>
      </c>
      <c r="P177" s="93" t="str">
        <f>IF('Lookup Tables'!$C$154=Freezer!$G24,1.76*Freezer!$H24,"")</f>
        <v/>
      </c>
      <c r="Q177" s="30" t="str">
        <f t="shared" si="45"/>
        <v/>
      </c>
      <c r="R177" s="31" t="str">
        <f t="shared" si="46"/>
        <v/>
      </c>
      <c r="S177" s="31" t="str">
        <f>IF(P177="","",ROUND(Freezer!$I24*(Q177-R177),2))</f>
        <v/>
      </c>
      <c r="U177" s="42">
        <v>10</v>
      </c>
      <c r="V177" s="93" t="str">
        <f>IF('Lookup Tables'!$C$155=Freezer!$G24,1.76*Freezer!$H24,"")</f>
        <v/>
      </c>
      <c r="W177" s="30" t="str">
        <f t="shared" si="47"/>
        <v/>
      </c>
      <c r="X177" s="31" t="str">
        <f t="shared" si="51"/>
        <v/>
      </c>
      <c r="Y177" s="31" t="str">
        <f>IF(V177="","",ROUND(Freezer!$I24*(W177-X177),2))</f>
        <v/>
      </c>
      <c r="AA177" s="42">
        <v>10</v>
      </c>
      <c r="AB177" s="93" t="str">
        <f>IF('Lookup Tables'!$C$156=Freezer!$G24,1.76*Freezer!$H24,"")</f>
        <v/>
      </c>
      <c r="AC177" s="30" t="str">
        <f t="shared" si="48"/>
        <v/>
      </c>
      <c r="AD177" s="31" t="str">
        <f t="shared" si="49"/>
        <v/>
      </c>
      <c r="AE177" s="31" t="str">
        <f>IF(AB177="","",ROUND(Freezer!$I24*(AC177-AD177),2))</f>
        <v/>
      </c>
    </row>
    <row r="178" spans="3:31" ht="15" thickBot="1">
      <c r="C178" s="42">
        <v>10</v>
      </c>
      <c r="D178" s="93" t="str">
        <f>IF('Lookup Tables'!$C$152=Freezer!$G24,1.76*Freezer!$H24,"")</f>
        <v/>
      </c>
      <c r="E178" s="30" t="str">
        <f t="shared" si="50"/>
        <v/>
      </c>
    </row>
    <row r="180" spans="3:31" ht="15" thickBot="1"/>
    <row r="181" spans="3:31" ht="15" thickBot="1">
      <c r="F181" s="455" t="s">
        <v>255</v>
      </c>
      <c r="G181" s="455" t="s">
        <v>288</v>
      </c>
      <c r="I181" s="449" t="s">
        <v>274</v>
      </c>
      <c r="J181" s="451" t="s">
        <v>73</v>
      </c>
      <c r="K181" s="453" t="s">
        <v>254</v>
      </c>
      <c r="L181" s="455" t="s">
        <v>255</v>
      </c>
      <c r="M181" s="455" t="s">
        <v>288</v>
      </c>
      <c r="O181" s="449" t="s">
        <v>277</v>
      </c>
      <c r="P181" s="451" t="s">
        <v>73</v>
      </c>
      <c r="Q181" s="453" t="s">
        <v>254</v>
      </c>
      <c r="R181" s="455" t="s">
        <v>255</v>
      </c>
      <c r="S181" s="455" t="s">
        <v>288</v>
      </c>
      <c r="U181" s="449" t="s">
        <v>280</v>
      </c>
      <c r="V181" s="451" t="s">
        <v>73</v>
      </c>
      <c r="W181" s="453" t="s">
        <v>254</v>
      </c>
      <c r="X181" s="455" t="s">
        <v>255</v>
      </c>
      <c r="Y181" s="455" t="s">
        <v>288</v>
      </c>
      <c r="AA181" s="449" t="s">
        <v>283</v>
      </c>
      <c r="AB181" s="451" t="s">
        <v>73</v>
      </c>
      <c r="AC181" s="453" t="s">
        <v>254</v>
      </c>
      <c r="AD181" s="455" t="s">
        <v>255</v>
      </c>
      <c r="AE181" s="455" t="s">
        <v>288</v>
      </c>
    </row>
    <row r="182" spans="3:31">
      <c r="C182" s="449" t="s">
        <v>271</v>
      </c>
      <c r="D182" s="451" t="s">
        <v>73</v>
      </c>
      <c r="E182" s="453" t="s">
        <v>254</v>
      </c>
      <c r="F182" s="456"/>
      <c r="G182" s="456"/>
      <c r="I182" s="450"/>
      <c r="J182" s="452"/>
      <c r="K182" s="454"/>
      <c r="L182" s="456"/>
      <c r="M182" s="456"/>
      <c r="O182" s="450"/>
      <c r="P182" s="452"/>
      <c r="Q182" s="454"/>
      <c r="R182" s="456"/>
      <c r="S182" s="456"/>
      <c r="U182" s="450"/>
      <c r="V182" s="452"/>
      <c r="W182" s="454"/>
      <c r="X182" s="456"/>
      <c r="Y182" s="456"/>
      <c r="AA182" s="450"/>
      <c r="AB182" s="452"/>
      <c r="AC182" s="454"/>
      <c r="AD182" s="456"/>
      <c r="AE182" s="456"/>
    </row>
    <row r="183" spans="3:31">
      <c r="C183" s="450"/>
      <c r="D183" s="452"/>
      <c r="E183" s="454"/>
      <c r="F183" s="31" t="str">
        <f t="shared" ref="F183:F192" si="52">IF(D184="","",D184*6.56+97)</f>
        <v/>
      </c>
      <c r="G183" s="31" t="str">
        <f>IF(D184="","",ROUND(Freezer!$I15*(E184-F183),2))</f>
        <v/>
      </c>
      <c r="I183" s="92">
        <v>1</v>
      </c>
      <c r="J183" s="93" t="str">
        <f>IF('Lookup Tables'!$C$158=Freezer!$G15,1.76*Freezer!$H15,"")</f>
        <v/>
      </c>
      <c r="K183" s="30" t="str">
        <f t="shared" ref="K183:K192" si="53">IF(J183="","",J183*10.24+148.1)</f>
        <v/>
      </c>
      <c r="L183" s="31" t="str">
        <f t="shared" ref="L183:L192" si="54">IF(J183="","",J183*9.22+133.3)</f>
        <v/>
      </c>
      <c r="M183" s="31" t="str">
        <f>IF(J183="","",ROUND(Freezer!$I15*(K183-L183),2))</f>
        <v/>
      </c>
      <c r="O183" s="92">
        <v>1</v>
      </c>
      <c r="P183" s="93" t="str">
        <f>IF('Lookup Tables'!$C$159=Freezer!$G15,1.76*Freezer!$H15,"")</f>
        <v/>
      </c>
      <c r="Q183" s="30" t="str">
        <f>IF(P183="","",P183*8.65+225.7)</f>
        <v/>
      </c>
      <c r="R183" s="31" t="str">
        <f>IF(P183="","",P183*7.79+203.1)</f>
        <v/>
      </c>
      <c r="S183" s="31" t="str">
        <f>IF(P183="","",ROUND(Freezer!$I15*(Q183-R183),2))</f>
        <v/>
      </c>
      <c r="U183" s="92">
        <v>1</v>
      </c>
      <c r="V183" s="93" t="str">
        <f>IF('Lookup Tables'!$C$160=Freezer!$G15,Freezer!$H15,"")</f>
        <v/>
      </c>
      <c r="W183" s="30" t="str">
        <f>IF(V183="","",V183*10.17+351.9)</f>
        <v/>
      </c>
      <c r="X183" s="31" t="str">
        <f>IF(V183="","",V183*9.15+316.7)</f>
        <v/>
      </c>
      <c r="Y183" s="31" t="str">
        <f>IF(V183="","",ROUND(Freezer!$I15*(W183-X183),2))</f>
        <v/>
      </c>
      <c r="AA183" s="92">
        <v>1</v>
      </c>
      <c r="AB183" s="93" t="str">
        <f>IF('Lookup Tables'!$C$161=Freezer!$G15,1.76*Freezer!$H15,"")</f>
        <v/>
      </c>
      <c r="AC183" s="30" t="str">
        <f>IF(AB183="","",AB183*9.25+136.8)</f>
        <v/>
      </c>
      <c r="AD183" s="31" t="str">
        <f>IF(AB183="","",AB183*8.33+123.1)</f>
        <v/>
      </c>
      <c r="AE183" s="31" t="str">
        <f>IF(AB183="","",ROUND(Freezer!$I15*(AC183-AD183),2))</f>
        <v/>
      </c>
    </row>
    <row r="184" spans="3:31">
      <c r="C184" s="92">
        <v>1</v>
      </c>
      <c r="D184" s="93" t="str">
        <f>IF('Lookup Tables'!$C$157=Freezer!$G15,1.76*Freezer!$H15,"")</f>
        <v/>
      </c>
      <c r="E184" s="30" t="str">
        <f>IF(D184="","",D184*7.29+107.8)</f>
        <v/>
      </c>
      <c r="F184" s="31" t="str">
        <f t="shared" si="52"/>
        <v/>
      </c>
      <c r="G184" s="31" t="str">
        <f>IF(D185="","",ROUND(Freezer!$I16*(E185-F184),2))</f>
        <v/>
      </c>
      <c r="I184" s="41">
        <v>2</v>
      </c>
      <c r="J184" s="93" t="str">
        <f>IF('Lookup Tables'!$C$158=Freezer!$G16,1.76*Freezer!$H16,"")</f>
        <v/>
      </c>
      <c r="K184" s="30" t="str">
        <f t="shared" si="53"/>
        <v/>
      </c>
      <c r="L184" s="31" t="str">
        <f t="shared" si="54"/>
        <v/>
      </c>
      <c r="M184" s="31" t="str">
        <f>IF(J184="","",ROUND(Freezer!$I16*(K184-L184),2))</f>
        <v/>
      </c>
      <c r="O184" s="41">
        <v>2</v>
      </c>
      <c r="P184" s="93" t="str">
        <f>IF('Lookup Tables'!$C$159=Freezer!$G16,1.76*Freezer!$H16,"")</f>
        <v/>
      </c>
      <c r="Q184" s="30" t="str">
        <f t="shared" ref="Q184:Q192" si="55">IF(P184="","",P184*8.65+225.7)</f>
        <v/>
      </c>
      <c r="R184" s="31" t="str">
        <f t="shared" ref="R184:R192" si="56">IF(P184="","",P184*7.79+203.1)</f>
        <v/>
      </c>
      <c r="S184" s="31" t="str">
        <f>IF(P184="","",ROUND(Freezer!$I16*(Q184-R184),2))</f>
        <v/>
      </c>
      <c r="U184" s="41">
        <v>2</v>
      </c>
      <c r="V184" s="93" t="str">
        <f>IF('Lookup Tables'!$C$160=Freezer!$G16,Freezer!$H16,"")</f>
        <v/>
      </c>
      <c r="W184" s="30" t="str">
        <f t="shared" ref="W184:W192" si="57">IF(V184="","",V184*10.17+351.9)</f>
        <v/>
      </c>
      <c r="X184" s="31" t="str">
        <f t="shared" ref="X184:X192" si="58">IF(V184="","",V184*9.15+316.7)</f>
        <v/>
      </c>
      <c r="Y184" s="31" t="str">
        <f>IF(V184="","",ROUND(Freezer!$I16*(W184-X184),2))</f>
        <v/>
      </c>
      <c r="AA184" s="41">
        <v>2</v>
      </c>
      <c r="AB184" s="93" t="str">
        <f>IF('Lookup Tables'!$C$161=Freezer!$G16,1.76*Freezer!$H16,"")</f>
        <v/>
      </c>
      <c r="AC184" s="30" t="str">
        <f t="shared" ref="AC184:AC192" si="59">IF(AB184="","",AB184*9.25+136.8)</f>
        <v/>
      </c>
      <c r="AD184" s="31" t="str">
        <f t="shared" ref="AD184:AD192" si="60">IF(AB184="","",AB184*8.33+123.1)</f>
        <v/>
      </c>
      <c r="AE184" s="31" t="str">
        <f>IF(AB184="","",ROUND(Freezer!$I16*(AC184-AD184),2))</f>
        <v/>
      </c>
    </row>
    <row r="185" spans="3:31">
      <c r="C185" s="41">
        <v>2</v>
      </c>
      <c r="D185" s="93" t="str">
        <f>IF('Lookup Tables'!$C$157=Freezer!$G16,1.76*Freezer!$H16,"")</f>
        <v/>
      </c>
      <c r="E185" s="30" t="str">
        <f t="shared" ref="E185:E193" si="61">IF(D185="","",D185*7.29+107.8)</f>
        <v/>
      </c>
      <c r="F185" s="31" t="str">
        <f t="shared" si="52"/>
        <v/>
      </c>
      <c r="G185" s="31" t="str">
        <f>IF(D186="","",ROUND(Freezer!$I17*(E186-F185),2))</f>
        <v/>
      </c>
      <c r="I185" s="41">
        <v>3</v>
      </c>
      <c r="J185" s="93" t="str">
        <f>IF('Lookup Tables'!$C$158=Freezer!$G17,1.76*Freezer!$H17,"")</f>
        <v/>
      </c>
      <c r="K185" s="30" t="str">
        <f t="shared" si="53"/>
        <v/>
      </c>
      <c r="L185" s="31" t="str">
        <f t="shared" si="54"/>
        <v/>
      </c>
      <c r="M185" s="31" t="str">
        <f>IF(J185="","",ROUND(Freezer!$I17*(K185-L185),2))</f>
        <v/>
      </c>
      <c r="O185" s="41">
        <v>3</v>
      </c>
      <c r="P185" s="93" t="str">
        <f>IF('Lookup Tables'!$C$159=Freezer!$G17,1.76*Freezer!$H17,"")</f>
        <v/>
      </c>
      <c r="Q185" s="30" t="str">
        <f t="shared" si="55"/>
        <v/>
      </c>
      <c r="R185" s="31" t="str">
        <f t="shared" si="56"/>
        <v/>
      </c>
      <c r="S185" s="31" t="str">
        <f>IF(P185="","",ROUND(Freezer!$I17*(Q185-R185),2))</f>
        <v/>
      </c>
      <c r="U185" s="41">
        <v>3</v>
      </c>
      <c r="V185" s="93" t="str">
        <f>IF('Lookup Tables'!$C$160=Freezer!$G17,Freezer!$H17,"")</f>
        <v/>
      </c>
      <c r="W185" s="30" t="str">
        <f t="shared" si="57"/>
        <v/>
      </c>
      <c r="X185" s="31" t="str">
        <f t="shared" si="58"/>
        <v/>
      </c>
      <c r="Y185" s="31" t="str">
        <f>IF(V185="","",ROUND(Freezer!$I17*(W185-X185),2))</f>
        <v/>
      </c>
      <c r="AA185" s="41">
        <v>3</v>
      </c>
      <c r="AB185" s="93" t="str">
        <f>IF('Lookup Tables'!$C$161=Freezer!$G17,1.76*Freezer!$H17,"")</f>
        <v/>
      </c>
      <c r="AC185" s="30" t="str">
        <f t="shared" si="59"/>
        <v/>
      </c>
      <c r="AD185" s="31" t="str">
        <f t="shared" si="60"/>
        <v/>
      </c>
      <c r="AE185" s="31" t="str">
        <f>IF(AB185="","",ROUND(Freezer!$I17*(AC185-AD185),2))</f>
        <v/>
      </c>
    </row>
    <row r="186" spans="3:31">
      <c r="C186" s="41">
        <v>3</v>
      </c>
      <c r="D186" s="93" t="str">
        <f>IF('Lookup Tables'!$C$157=Freezer!$G17,1.76*Freezer!$H17,"")</f>
        <v/>
      </c>
      <c r="E186" s="30" t="str">
        <f t="shared" si="61"/>
        <v/>
      </c>
      <c r="F186" s="31" t="str">
        <f t="shared" si="52"/>
        <v/>
      </c>
      <c r="G186" s="31" t="str">
        <f>IF(D187="","",ROUND(Freezer!$I18*(E187-F186),2))</f>
        <v/>
      </c>
      <c r="I186" s="41">
        <v>4</v>
      </c>
      <c r="J186" s="93" t="str">
        <f>IF('Lookup Tables'!$C$158=Freezer!$G18,1.76*Freezer!$H18,"")</f>
        <v/>
      </c>
      <c r="K186" s="30" t="str">
        <f t="shared" si="53"/>
        <v/>
      </c>
      <c r="L186" s="31" t="str">
        <f t="shared" si="54"/>
        <v/>
      </c>
      <c r="M186" s="31" t="str">
        <f>IF(J186="","",ROUND(Freezer!$I18*(K186-L186),2))</f>
        <v/>
      </c>
      <c r="O186" s="41">
        <v>4</v>
      </c>
      <c r="P186" s="93" t="str">
        <f>IF('Lookup Tables'!$C$159=Freezer!$G18,1.76*Freezer!$H18,"")</f>
        <v/>
      </c>
      <c r="Q186" s="30" t="str">
        <f t="shared" si="55"/>
        <v/>
      </c>
      <c r="R186" s="31" t="str">
        <f t="shared" si="56"/>
        <v/>
      </c>
      <c r="S186" s="31" t="str">
        <f>IF(P186="","",ROUND(Freezer!$I18*(Q186-R186),2))</f>
        <v/>
      </c>
      <c r="U186" s="41">
        <v>4</v>
      </c>
      <c r="V186" s="93" t="str">
        <f>IF('Lookup Tables'!$C$160=Freezer!$G18,Freezer!$H18,"")</f>
        <v/>
      </c>
      <c r="W186" s="30" t="str">
        <f t="shared" si="57"/>
        <v/>
      </c>
      <c r="X186" s="31" t="str">
        <f t="shared" si="58"/>
        <v/>
      </c>
      <c r="Y186" s="31" t="str">
        <f>IF(V186="","",ROUND(Freezer!$I18*(W186-X186),2))</f>
        <v/>
      </c>
      <c r="AA186" s="41">
        <v>4</v>
      </c>
      <c r="AB186" s="93" t="str">
        <f>IF('Lookup Tables'!$C$161=Freezer!$G18,1.76*Freezer!$H18,"")</f>
        <v/>
      </c>
      <c r="AC186" s="30" t="str">
        <f t="shared" si="59"/>
        <v/>
      </c>
      <c r="AD186" s="31" t="str">
        <f t="shared" si="60"/>
        <v/>
      </c>
      <c r="AE186" s="31" t="str">
        <f>IF(AB186="","",ROUND(Freezer!$I18*(AC186-AD186),2))</f>
        <v/>
      </c>
    </row>
    <row r="187" spans="3:31">
      <c r="C187" s="41">
        <v>4</v>
      </c>
      <c r="D187" s="93" t="str">
        <f>IF('Lookup Tables'!$C$157=Freezer!$G18,1.76*Freezer!$H18,"")</f>
        <v/>
      </c>
      <c r="E187" s="30" t="str">
        <f t="shared" si="61"/>
        <v/>
      </c>
      <c r="F187" s="31" t="str">
        <f t="shared" si="52"/>
        <v/>
      </c>
      <c r="G187" s="31" t="str">
        <f>IF(D188="","",ROUND(Freezer!$I19*(E188-F187),2))</f>
        <v/>
      </c>
      <c r="I187" s="41">
        <v>5</v>
      </c>
      <c r="J187" s="93" t="str">
        <f>IF('Lookup Tables'!$C$158=Freezer!$G19,1.76*Freezer!$H19,"")</f>
        <v/>
      </c>
      <c r="K187" s="30" t="str">
        <f t="shared" si="53"/>
        <v/>
      </c>
      <c r="L187" s="31" t="str">
        <f t="shared" si="54"/>
        <v/>
      </c>
      <c r="M187" s="31" t="str">
        <f>IF(J187="","",ROUND(Freezer!$I19*(K187-L187),2))</f>
        <v/>
      </c>
      <c r="O187" s="41">
        <v>5</v>
      </c>
      <c r="P187" s="93" t="str">
        <f>IF('Lookup Tables'!$C$159=Freezer!$G19,1.76*Freezer!$H19,"")</f>
        <v/>
      </c>
      <c r="Q187" s="30" t="str">
        <f t="shared" si="55"/>
        <v/>
      </c>
      <c r="R187" s="31" t="str">
        <f t="shared" si="56"/>
        <v/>
      </c>
      <c r="S187" s="31" t="str">
        <f>IF(P187="","",ROUND(Freezer!$I19*(Q187-R187),2))</f>
        <v/>
      </c>
      <c r="U187" s="41">
        <v>5</v>
      </c>
      <c r="V187" s="93" t="str">
        <f>IF('Lookup Tables'!$C$160=Freezer!$G19,Freezer!$H19,"")</f>
        <v/>
      </c>
      <c r="W187" s="30" t="str">
        <f t="shared" si="57"/>
        <v/>
      </c>
      <c r="X187" s="31" t="str">
        <f t="shared" si="58"/>
        <v/>
      </c>
      <c r="Y187" s="31" t="str">
        <f>IF(V187="","",ROUND(Freezer!$I19*(W187-X187),2))</f>
        <v/>
      </c>
      <c r="AA187" s="41">
        <v>5</v>
      </c>
      <c r="AB187" s="93" t="str">
        <f>IF('Lookup Tables'!$C$161=Freezer!$G19,1.76*Freezer!$H19,"")</f>
        <v/>
      </c>
      <c r="AC187" s="30" t="str">
        <f t="shared" si="59"/>
        <v/>
      </c>
      <c r="AD187" s="31" t="str">
        <f t="shared" si="60"/>
        <v/>
      </c>
      <c r="AE187" s="31" t="str">
        <f>IF(AB187="","",ROUND(Freezer!$I19*(AC187-AD187),2))</f>
        <v/>
      </c>
    </row>
    <row r="188" spans="3:31">
      <c r="C188" s="41">
        <v>5</v>
      </c>
      <c r="D188" s="93" t="str">
        <f>IF('Lookup Tables'!$C$157=Freezer!$G19,1.76*Freezer!$H19,"")</f>
        <v/>
      </c>
      <c r="E188" s="30" t="str">
        <f t="shared" si="61"/>
        <v/>
      </c>
      <c r="F188" s="31" t="str">
        <f t="shared" si="52"/>
        <v/>
      </c>
      <c r="G188" s="31" t="str">
        <f>IF(D189="","",ROUND(Freezer!$I20*(E189-F188),2))</f>
        <v/>
      </c>
      <c r="I188" s="41">
        <v>6</v>
      </c>
      <c r="J188" s="93" t="str">
        <f>IF('Lookup Tables'!$C$158=Freezer!$G20,1.76*Freezer!$H20,"")</f>
        <v/>
      </c>
      <c r="K188" s="30" t="str">
        <f t="shared" si="53"/>
        <v/>
      </c>
      <c r="L188" s="31" t="str">
        <f t="shared" si="54"/>
        <v/>
      </c>
      <c r="M188" s="31" t="str">
        <f>IF(J188="","",ROUND(Freezer!$I20*(K188-L188),2))</f>
        <v/>
      </c>
      <c r="O188" s="41">
        <v>6</v>
      </c>
      <c r="P188" s="93" t="str">
        <f>IF('Lookup Tables'!$C$159=Freezer!$G20,1.76*Freezer!$H20,"")</f>
        <v/>
      </c>
      <c r="Q188" s="30" t="str">
        <f t="shared" si="55"/>
        <v/>
      </c>
      <c r="R188" s="31" t="str">
        <f t="shared" si="56"/>
        <v/>
      </c>
      <c r="S188" s="31" t="str">
        <f>IF(P188="","",ROUND(Freezer!$I20*(Q188-R188),2))</f>
        <v/>
      </c>
      <c r="U188" s="41">
        <v>6</v>
      </c>
      <c r="V188" s="93" t="str">
        <f>IF('Lookup Tables'!$C$160=Freezer!$G20,Freezer!$H20,"")</f>
        <v/>
      </c>
      <c r="W188" s="30" t="str">
        <f t="shared" si="57"/>
        <v/>
      </c>
      <c r="X188" s="31" t="str">
        <f t="shared" si="58"/>
        <v/>
      </c>
      <c r="Y188" s="31" t="str">
        <f>IF(V188="","",ROUND(Freezer!$I20*(W188-X188),2))</f>
        <v/>
      </c>
      <c r="AA188" s="41">
        <v>6</v>
      </c>
      <c r="AB188" s="93" t="str">
        <f>IF('Lookup Tables'!$C$161=Freezer!$G20,1.76*Freezer!$H20,"")</f>
        <v/>
      </c>
      <c r="AC188" s="30" t="str">
        <f t="shared" si="59"/>
        <v/>
      </c>
      <c r="AD188" s="31" t="str">
        <f t="shared" si="60"/>
        <v/>
      </c>
      <c r="AE188" s="31" t="str">
        <f>IF(AB188="","",ROUND(Freezer!$I20*(AC188-AD188),2))</f>
        <v/>
      </c>
    </row>
    <row r="189" spans="3:31">
      <c r="C189" s="41">
        <v>6</v>
      </c>
      <c r="D189" s="93" t="str">
        <f>IF('Lookup Tables'!$C$157=Freezer!$G20,1.76*Freezer!$H20,"")</f>
        <v/>
      </c>
      <c r="E189" s="30" t="str">
        <f t="shared" si="61"/>
        <v/>
      </c>
      <c r="F189" s="31" t="str">
        <f t="shared" si="52"/>
        <v/>
      </c>
      <c r="G189" s="31" t="str">
        <f>IF(D190="","",ROUND(Freezer!$I21*(E190-F189),2))</f>
        <v/>
      </c>
      <c r="I189" s="41">
        <v>7</v>
      </c>
      <c r="J189" s="93" t="str">
        <f>IF('Lookup Tables'!$C$158=Freezer!$G21,1.76*Freezer!$H21,"")</f>
        <v/>
      </c>
      <c r="K189" s="30" t="str">
        <f t="shared" si="53"/>
        <v/>
      </c>
      <c r="L189" s="31" t="str">
        <f t="shared" si="54"/>
        <v/>
      </c>
      <c r="M189" s="31" t="str">
        <f>IF(J189="","",ROUND(Freezer!$I21*(K189-L189),2))</f>
        <v/>
      </c>
      <c r="O189" s="41">
        <v>7</v>
      </c>
      <c r="P189" s="93" t="str">
        <f>IF('Lookup Tables'!$C$159=Freezer!$G21,1.76*Freezer!$H21,"")</f>
        <v/>
      </c>
      <c r="Q189" s="30" t="str">
        <f t="shared" si="55"/>
        <v/>
      </c>
      <c r="R189" s="31" t="str">
        <f t="shared" si="56"/>
        <v/>
      </c>
      <c r="S189" s="31" t="str">
        <f>IF(P189="","",ROUND(Freezer!$I21*(Q189-R189),2))</f>
        <v/>
      </c>
      <c r="U189" s="41">
        <v>7</v>
      </c>
      <c r="V189" s="93" t="str">
        <f>IF('Lookup Tables'!$C$160=Freezer!$G21,Freezer!$H21,"")</f>
        <v/>
      </c>
      <c r="W189" s="30" t="str">
        <f t="shared" si="57"/>
        <v/>
      </c>
      <c r="X189" s="31" t="str">
        <f t="shared" si="58"/>
        <v/>
      </c>
      <c r="Y189" s="31" t="str">
        <f>IF(V189="","",ROUND(Freezer!$I21*(W189-X189),2))</f>
        <v/>
      </c>
      <c r="AA189" s="41">
        <v>7</v>
      </c>
      <c r="AB189" s="93" t="str">
        <f>IF('Lookup Tables'!$C$161=Freezer!$G21,1.76*Freezer!$H21,"")</f>
        <v/>
      </c>
      <c r="AC189" s="30" t="str">
        <f t="shared" si="59"/>
        <v/>
      </c>
      <c r="AD189" s="31" t="str">
        <f t="shared" si="60"/>
        <v/>
      </c>
      <c r="AE189" s="31" t="str">
        <f>IF(AB189="","",ROUND(Freezer!$I21*(AC189-AD189),2))</f>
        <v/>
      </c>
    </row>
    <row r="190" spans="3:31">
      <c r="C190" s="41">
        <v>7</v>
      </c>
      <c r="D190" s="93" t="str">
        <f>IF('Lookup Tables'!$C$157=Freezer!$G21,1.76*Freezer!$H21,"")</f>
        <v/>
      </c>
      <c r="E190" s="30" t="str">
        <f t="shared" si="61"/>
        <v/>
      </c>
      <c r="F190" s="31" t="str">
        <f t="shared" si="52"/>
        <v/>
      </c>
      <c r="G190" s="31" t="str">
        <f>IF(D191="","",ROUND(Freezer!$I22*(E191-F190),2))</f>
        <v/>
      </c>
      <c r="I190" s="41">
        <v>8</v>
      </c>
      <c r="J190" s="93" t="str">
        <f>IF('Lookup Tables'!$C$158=Freezer!$G22,1.76*Freezer!$H22,"")</f>
        <v/>
      </c>
      <c r="K190" s="30" t="str">
        <f t="shared" si="53"/>
        <v/>
      </c>
      <c r="L190" s="31" t="str">
        <f t="shared" si="54"/>
        <v/>
      </c>
      <c r="M190" s="31" t="str">
        <f>IF(J190="","",ROUND(Freezer!$I22*(K190-L190),2))</f>
        <v/>
      </c>
      <c r="O190" s="41">
        <v>8</v>
      </c>
      <c r="P190" s="93" t="str">
        <f>IF('Lookup Tables'!$C$159=Freezer!$G22,1.76*Freezer!$H22,"")</f>
        <v/>
      </c>
      <c r="Q190" s="30" t="str">
        <f t="shared" si="55"/>
        <v/>
      </c>
      <c r="R190" s="31" t="str">
        <f t="shared" si="56"/>
        <v/>
      </c>
      <c r="S190" s="31" t="str">
        <f>IF(P190="","",ROUND(Freezer!$I22*(Q190-R190),2))</f>
        <v/>
      </c>
      <c r="U190" s="41">
        <v>8</v>
      </c>
      <c r="V190" s="93" t="str">
        <f>IF('Lookup Tables'!$C$160=Freezer!$G22,Freezer!$H22,"")</f>
        <v/>
      </c>
      <c r="W190" s="30" t="str">
        <f t="shared" si="57"/>
        <v/>
      </c>
      <c r="X190" s="31" t="str">
        <f t="shared" si="58"/>
        <v/>
      </c>
      <c r="Y190" s="31" t="str">
        <f>IF(V190="","",ROUND(Freezer!$I22*(W190-X190),2))</f>
        <v/>
      </c>
      <c r="AA190" s="41">
        <v>8</v>
      </c>
      <c r="AB190" s="93" t="str">
        <f>IF('Lookup Tables'!$C$161=Freezer!$G22,1.76*Freezer!$H22,"")</f>
        <v/>
      </c>
      <c r="AC190" s="30" t="str">
        <f t="shared" si="59"/>
        <v/>
      </c>
      <c r="AD190" s="31" t="str">
        <f t="shared" si="60"/>
        <v/>
      </c>
      <c r="AE190" s="31" t="str">
        <f>IF(AB190="","",ROUND(Freezer!$I22*(AC190-AD190),2))</f>
        <v/>
      </c>
    </row>
    <row r="191" spans="3:31">
      <c r="C191" s="41">
        <v>8</v>
      </c>
      <c r="D191" s="93" t="str">
        <f>IF('Lookup Tables'!$C$157=Freezer!$G22,1.76*Freezer!$H22,"")</f>
        <v/>
      </c>
      <c r="E191" s="30" t="str">
        <f t="shared" si="61"/>
        <v/>
      </c>
      <c r="F191" s="31" t="str">
        <f t="shared" si="52"/>
        <v/>
      </c>
      <c r="G191" s="31" t="str">
        <f>IF(D192="","",ROUND(Freezer!$I23*(E192-F191),2))</f>
        <v/>
      </c>
      <c r="I191" s="90">
        <v>9</v>
      </c>
      <c r="J191" s="93" t="str">
        <f>IF('Lookup Tables'!$C$158=Freezer!$G23,1.76*Freezer!$H23,"")</f>
        <v/>
      </c>
      <c r="K191" s="30" t="str">
        <f t="shared" si="53"/>
        <v/>
      </c>
      <c r="L191" s="31" t="str">
        <f t="shared" si="54"/>
        <v/>
      </c>
      <c r="M191" s="31" t="str">
        <f>IF(J191="","",ROUND(Freezer!$I23*(K191-L191),2))</f>
        <v/>
      </c>
      <c r="O191" s="90">
        <v>9</v>
      </c>
      <c r="P191" s="93" t="str">
        <f>IF('Lookup Tables'!$C$159=Freezer!$G23,1.76*Freezer!$H23,"")</f>
        <v/>
      </c>
      <c r="Q191" s="30" t="str">
        <f t="shared" si="55"/>
        <v/>
      </c>
      <c r="R191" s="31" t="str">
        <f t="shared" si="56"/>
        <v/>
      </c>
      <c r="S191" s="31" t="str">
        <f>IF(P191="","",ROUND(Freezer!$I23*(Q191-R191),2))</f>
        <v/>
      </c>
      <c r="U191" s="90">
        <v>9</v>
      </c>
      <c r="V191" s="93" t="str">
        <f>IF('Lookup Tables'!$C$160=Freezer!$G23,Freezer!$H23,"")</f>
        <v/>
      </c>
      <c r="W191" s="30" t="str">
        <f t="shared" si="57"/>
        <v/>
      </c>
      <c r="X191" s="31" t="str">
        <f t="shared" si="58"/>
        <v/>
      </c>
      <c r="Y191" s="31" t="str">
        <f>IF(V191="","",ROUND(Freezer!$I23*(W191-X191),2))</f>
        <v/>
      </c>
      <c r="AA191" s="90">
        <v>9</v>
      </c>
      <c r="AB191" s="93" t="str">
        <f>IF('Lookup Tables'!$C$161=Freezer!$G23,1.76*Freezer!$H23,"")</f>
        <v/>
      </c>
      <c r="AC191" s="30" t="str">
        <f t="shared" si="59"/>
        <v/>
      </c>
      <c r="AD191" s="31" t="str">
        <f t="shared" si="60"/>
        <v/>
      </c>
      <c r="AE191" s="31" t="str">
        <f>IF(AB191="","",ROUND(Freezer!$I23*(AC191-AD191),2))</f>
        <v/>
      </c>
    </row>
    <row r="192" spans="3:31" ht="27.75" customHeight="1" thickBot="1">
      <c r="C192" s="90">
        <v>9</v>
      </c>
      <c r="D192" s="93" t="str">
        <f>IF('Lookup Tables'!$C$157=Freezer!$G23,1.76*Freezer!$H23,"")</f>
        <v/>
      </c>
      <c r="E192" s="30" t="str">
        <f t="shared" si="61"/>
        <v/>
      </c>
      <c r="F192" s="31" t="str">
        <f t="shared" si="52"/>
        <v/>
      </c>
      <c r="G192" s="31" t="str">
        <f>IF(D193="","",ROUND(Freezer!$I24*(E193-F192),2))</f>
        <v/>
      </c>
      <c r="I192" s="42">
        <v>10</v>
      </c>
      <c r="J192" s="93" t="str">
        <f>IF('Lookup Tables'!$C$158=Freezer!$G24,1.76*Freezer!$H24,"")</f>
        <v/>
      </c>
      <c r="K192" s="30" t="str">
        <f t="shared" si="53"/>
        <v/>
      </c>
      <c r="L192" s="31" t="str">
        <f t="shared" si="54"/>
        <v/>
      </c>
      <c r="M192" s="31" t="str">
        <f>IF(J192="","",ROUND(Freezer!$I24*(K192-L192),2))</f>
        <v/>
      </c>
      <c r="O192" s="42">
        <v>10</v>
      </c>
      <c r="P192" s="93" t="str">
        <f>IF('Lookup Tables'!$C$159=Freezer!$G24,1.76*Freezer!$H24,"")</f>
        <v/>
      </c>
      <c r="Q192" s="30" t="str">
        <f t="shared" si="55"/>
        <v/>
      </c>
      <c r="R192" s="31" t="str">
        <f t="shared" si="56"/>
        <v/>
      </c>
      <c r="S192" s="31" t="str">
        <f>IF(P192="","",ROUND(Freezer!$I24*(Q192-R192),2))</f>
        <v/>
      </c>
      <c r="U192" s="42">
        <v>10</v>
      </c>
      <c r="V192" s="93" t="str">
        <f>IF('Lookup Tables'!$C$160=Freezer!$G24,Freezer!$H24,"")</f>
        <v/>
      </c>
      <c r="W192" s="30" t="str">
        <f t="shared" si="57"/>
        <v/>
      </c>
      <c r="X192" s="31" t="str">
        <f t="shared" si="58"/>
        <v/>
      </c>
      <c r="Y192" s="31" t="str">
        <f>IF(V192="","",ROUND(Freezer!$I24*(W192-X192),2))</f>
        <v/>
      </c>
      <c r="AA192" s="42">
        <v>10</v>
      </c>
      <c r="AB192" s="93" t="str">
        <f>IF('Lookup Tables'!$C$161=Freezer!$G24,1.76*Freezer!$H24,"")</f>
        <v/>
      </c>
      <c r="AC192" s="30" t="str">
        <f t="shared" si="59"/>
        <v/>
      </c>
      <c r="AD192" s="31" t="str">
        <f t="shared" si="60"/>
        <v/>
      </c>
      <c r="AE192" s="31" t="str">
        <f>IF(AB192="","",ROUND(Freezer!$I24*(AC192-AD192),2))</f>
        <v/>
      </c>
    </row>
    <row r="193" spans="3:13" ht="22.5" customHeight="1" thickBot="1">
      <c r="C193" s="42">
        <v>10</v>
      </c>
      <c r="D193" s="93" t="str">
        <f>IF('Lookup Tables'!$C$157=Freezer!$G24,1.76*Freezer!$H24,"")</f>
        <v/>
      </c>
      <c r="E193" s="30" t="str">
        <f t="shared" si="61"/>
        <v/>
      </c>
    </row>
    <row r="194" spans="3:13" ht="15" thickBot="1">
      <c r="F194" s="455" t="s">
        <v>255</v>
      </c>
      <c r="G194" s="455" t="s">
        <v>288</v>
      </c>
      <c r="I194" s="449" t="s">
        <v>287</v>
      </c>
      <c r="J194" s="451"/>
      <c r="K194" s="453" t="s">
        <v>254</v>
      </c>
      <c r="L194" s="455" t="s">
        <v>255</v>
      </c>
      <c r="M194" s="455" t="s">
        <v>288</v>
      </c>
    </row>
    <row r="195" spans="3:13">
      <c r="C195" s="449" t="s">
        <v>286</v>
      </c>
      <c r="D195" s="451"/>
      <c r="E195" s="453" t="s">
        <v>254</v>
      </c>
      <c r="F195" s="456"/>
      <c r="G195" s="456"/>
      <c r="I195" s="450"/>
      <c r="J195" s="452"/>
      <c r="K195" s="454"/>
      <c r="L195" s="456"/>
      <c r="M195" s="456"/>
    </row>
    <row r="196" spans="3:13">
      <c r="C196" s="450"/>
      <c r="D196" s="452"/>
      <c r="E196" s="454"/>
      <c r="F196" s="31" t="str">
        <f>IF($C$162=Freezer!$G15,'Lookup Tables'!$E$162,"")</f>
        <v/>
      </c>
      <c r="G196" s="31" t="str">
        <f>IF(E197="","",ROUND(Freezer!$I15*(E197-F196),2))</f>
        <v/>
      </c>
      <c r="I196" s="92">
        <v>1</v>
      </c>
      <c r="J196" s="93"/>
      <c r="K196" s="30" t="str">
        <f>IF($C$163=Freezer!$G15,'Lookup Tables'!$D$163,"")</f>
        <v/>
      </c>
      <c r="L196" s="31" t="str">
        <f>IF($C$163=Freezer!$G15,'Lookup Tables'!$E$163,"")</f>
        <v/>
      </c>
      <c r="M196" s="31" t="str">
        <f>IF(K196="","",ROUND(Freezer!$I15*(K196-L196),2))</f>
        <v/>
      </c>
    </row>
    <row r="197" spans="3:13">
      <c r="C197" s="92">
        <v>1</v>
      </c>
      <c r="D197" s="93"/>
      <c r="E197" s="30" t="str">
        <f>IF($C$162=Freezer!$G15,'Lookup Tables'!$D$162,"")</f>
        <v/>
      </c>
      <c r="F197" s="31" t="str">
        <f>IF($C$162=Freezer!$G16,'Lookup Tables'!$E$162,"")</f>
        <v/>
      </c>
      <c r="G197" s="31" t="str">
        <f>IF(E198="","",ROUND(Freezer!$I16*(E198-F197),2))</f>
        <v/>
      </c>
      <c r="I197" s="41">
        <v>2</v>
      </c>
      <c r="J197" s="93"/>
      <c r="K197" s="30" t="str">
        <f>IF($C$163=Freezer!$G16,'Lookup Tables'!$D$163,"")</f>
        <v/>
      </c>
      <c r="L197" s="31" t="str">
        <f>IF($C$163=Freezer!$G16,'Lookup Tables'!$E$163,"")</f>
        <v/>
      </c>
      <c r="M197" s="31" t="str">
        <f>IF(K197="","",ROUND(Freezer!$I16*(K197-L197),2))</f>
        <v/>
      </c>
    </row>
    <row r="198" spans="3:13">
      <c r="C198" s="41">
        <v>2</v>
      </c>
      <c r="D198" s="93"/>
      <c r="E198" s="30" t="str">
        <f>IF($C$162=Freezer!$G16,'Lookup Tables'!$D$162,"")</f>
        <v/>
      </c>
      <c r="F198" s="31" t="str">
        <f>IF($C$162=Freezer!$G17,'Lookup Tables'!$E$162,"")</f>
        <v/>
      </c>
      <c r="G198" s="31" t="str">
        <f>IF(E199="","",ROUND(Freezer!$I17*(E199-F198),2))</f>
        <v/>
      </c>
      <c r="I198" s="41">
        <v>3</v>
      </c>
      <c r="J198" s="93"/>
      <c r="K198" s="30" t="str">
        <f>IF($C$163=Freezer!$G17,'Lookup Tables'!$D$163,"")</f>
        <v/>
      </c>
      <c r="L198" s="31" t="str">
        <f>IF($C$163=Freezer!$G17,'Lookup Tables'!$E$163,"")</f>
        <v/>
      </c>
      <c r="M198" s="31" t="str">
        <f>IF(K198="","",ROUND(Freezer!$I17*(K198-L198),2))</f>
        <v/>
      </c>
    </row>
    <row r="199" spans="3:13">
      <c r="C199" s="41">
        <v>3</v>
      </c>
      <c r="D199" s="93"/>
      <c r="E199" s="30" t="str">
        <f>IF($C$162=Freezer!$G17,'Lookup Tables'!$D$162,"")</f>
        <v/>
      </c>
      <c r="F199" s="31" t="str">
        <f>IF($C$162=Freezer!$G18,'Lookup Tables'!$E$162,"")</f>
        <v/>
      </c>
      <c r="G199" s="31" t="str">
        <f>IF(E200="","",ROUND(Freezer!$I18*(E200-F199),2))</f>
        <v/>
      </c>
      <c r="I199" s="41">
        <v>4</v>
      </c>
      <c r="J199" s="93"/>
      <c r="K199" s="30" t="str">
        <f>IF($C$163=Freezer!$G18,'Lookup Tables'!$D$163,"")</f>
        <v/>
      </c>
      <c r="L199" s="31" t="str">
        <f>IF($C$163=Freezer!$G18,'Lookup Tables'!$E$163,"")</f>
        <v/>
      </c>
      <c r="M199" s="31" t="str">
        <f>IF(K199="","",ROUND(Freezer!$I18*(K199-L199),2))</f>
        <v/>
      </c>
    </row>
    <row r="200" spans="3:13">
      <c r="C200" s="41">
        <v>4</v>
      </c>
      <c r="D200" s="93"/>
      <c r="E200" s="30" t="str">
        <f>IF($C$162=Freezer!$G18,'Lookup Tables'!$D$162,"")</f>
        <v/>
      </c>
      <c r="F200" s="31" t="str">
        <f>IF($C$162=Freezer!$G19,'Lookup Tables'!$E$162,"")</f>
        <v/>
      </c>
      <c r="G200" s="31" t="str">
        <f>IF(E201="","",ROUND(Freezer!$I19*(E201-F200),2))</f>
        <v/>
      </c>
      <c r="I200" s="41">
        <v>5</v>
      </c>
      <c r="J200" s="93"/>
      <c r="K200" s="30" t="str">
        <f>IF($C$163=Freezer!$G19,'Lookup Tables'!$D$163,"")</f>
        <v/>
      </c>
      <c r="L200" s="31" t="str">
        <f>IF($C$163=Freezer!$G19,'Lookup Tables'!$E$163,"")</f>
        <v/>
      </c>
      <c r="M200" s="31" t="str">
        <f>IF(K200="","",ROUND(Freezer!$I19*(K200-L200),2))</f>
        <v/>
      </c>
    </row>
    <row r="201" spans="3:13">
      <c r="C201" s="41">
        <v>5</v>
      </c>
      <c r="D201" s="93"/>
      <c r="E201" s="30" t="str">
        <f>IF($C$162=Freezer!$G19,'Lookup Tables'!$D$162,"")</f>
        <v/>
      </c>
      <c r="F201" s="31" t="str">
        <f>IF($C$162=Freezer!$G20,'Lookup Tables'!$E$162,"")</f>
        <v/>
      </c>
      <c r="G201" s="31" t="str">
        <f>IF(E202="","",ROUND(Freezer!$I20*(E202-F201),2))</f>
        <v/>
      </c>
      <c r="I201" s="41">
        <v>6</v>
      </c>
      <c r="J201" s="93"/>
      <c r="K201" s="30" t="str">
        <f>IF($C$163=Freezer!$G20,'Lookup Tables'!$D$163,"")</f>
        <v/>
      </c>
      <c r="L201" s="31" t="str">
        <f>IF($C$163=Freezer!$G20,'Lookup Tables'!$E$163,"")</f>
        <v/>
      </c>
      <c r="M201" s="31" t="str">
        <f>IF(K201="","",ROUND(Freezer!$I20*(K201-L201),2))</f>
        <v/>
      </c>
    </row>
    <row r="202" spans="3:13">
      <c r="C202" s="41">
        <v>6</v>
      </c>
      <c r="D202" s="93"/>
      <c r="E202" s="30" t="str">
        <f>IF($C$162=Freezer!$G20,'Lookup Tables'!$D$162,"")</f>
        <v/>
      </c>
      <c r="F202" s="31" t="str">
        <f>IF($C$162=Freezer!$G21,'Lookup Tables'!$E$162,"")</f>
        <v/>
      </c>
      <c r="G202" s="31" t="str">
        <f>IF(E203="","",ROUND(Freezer!$I21*(E203-F202),2))</f>
        <v/>
      </c>
      <c r="I202" s="41">
        <v>7</v>
      </c>
      <c r="J202" s="93"/>
      <c r="K202" s="30" t="str">
        <f>IF($C$163=Freezer!$G21,'Lookup Tables'!$D$163,"")</f>
        <v/>
      </c>
      <c r="L202" s="31" t="str">
        <f>IF($C$163=Freezer!$G21,'Lookup Tables'!$E$163,"")</f>
        <v/>
      </c>
      <c r="M202" s="31" t="str">
        <f>IF(K202="","",ROUND(Freezer!$I21*(K202-L202),2))</f>
        <v/>
      </c>
    </row>
    <row r="203" spans="3:13">
      <c r="C203" s="41">
        <v>7</v>
      </c>
      <c r="D203" s="93"/>
      <c r="E203" s="30" t="str">
        <f>IF($C$162=Freezer!$G21,'Lookup Tables'!$D$162,"")</f>
        <v/>
      </c>
      <c r="F203" s="31" t="str">
        <f>IF($C$162=Freezer!$G22,'Lookup Tables'!$E$162,"")</f>
        <v/>
      </c>
      <c r="G203" s="31" t="str">
        <f>IF(E204="","",ROUND(Freezer!$I22*(E204-F203),2))</f>
        <v/>
      </c>
      <c r="I203" s="41">
        <v>8</v>
      </c>
      <c r="J203" s="93"/>
      <c r="K203" s="30" t="str">
        <f>IF($C$163=Freezer!$G22,'Lookup Tables'!$D$163,"")</f>
        <v/>
      </c>
      <c r="L203" s="31" t="str">
        <f>IF($C$163=Freezer!$G22,'Lookup Tables'!$E$163,"")</f>
        <v/>
      </c>
      <c r="M203" s="31" t="str">
        <f>IF(K203="","",ROUND(Freezer!$I22*(K203-L203),2))</f>
        <v/>
      </c>
    </row>
    <row r="204" spans="3:13">
      <c r="C204" s="41">
        <v>8</v>
      </c>
      <c r="D204" s="93"/>
      <c r="E204" s="30" t="str">
        <f>IF($C$162=Freezer!$G22,'Lookup Tables'!$D$162,"")</f>
        <v/>
      </c>
      <c r="F204" s="31" t="str">
        <f>IF($C$162=Freezer!$G23,'Lookup Tables'!$E$162,"")</f>
        <v/>
      </c>
      <c r="G204" s="31" t="str">
        <f>IF(E205="","",ROUND(Freezer!$I23*(E205-F204),2))</f>
        <v/>
      </c>
      <c r="I204" s="90">
        <v>9</v>
      </c>
      <c r="J204" s="93"/>
      <c r="K204" s="30" t="str">
        <f>IF($C$163=Freezer!$G23,'Lookup Tables'!$D$163,"")</f>
        <v/>
      </c>
      <c r="L204" s="31" t="str">
        <f>IF($C$163=Freezer!$G23,'Lookup Tables'!$E$163,"")</f>
        <v/>
      </c>
      <c r="M204" s="31" t="str">
        <f>IF(K204="","",ROUND(Freezer!$I23*(K204-L204),2))</f>
        <v/>
      </c>
    </row>
    <row r="205" spans="3:13" ht="15" thickBot="1">
      <c r="C205" s="90">
        <v>9</v>
      </c>
      <c r="D205" s="93"/>
      <c r="E205" s="30" t="str">
        <f>IF($C$162=Freezer!$G23,'Lookup Tables'!$D$162,"")</f>
        <v/>
      </c>
      <c r="F205" s="31" t="str">
        <f>IF($C$162=Freezer!$G24,'Lookup Tables'!$E$162,"")</f>
        <v/>
      </c>
      <c r="G205" s="31" t="str">
        <f>IF(E206="","",ROUND(Freezer!$I24*(E206-F205),2))</f>
        <v/>
      </c>
      <c r="I205" s="42">
        <v>10</v>
      </c>
      <c r="J205" s="93"/>
      <c r="K205" s="30" t="str">
        <f>IF($C$163=Freezer!$G24,'Lookup Tables'!$D$163,"")</f>
        <v/>
      </c>
      <c r="L205" s="31" t="str">
        <f>IF($C$163=Freezer!$G24,'Lookup Tables'!$E$163,"")</f>
        <v/>
      </c>
      <c r="M205" s="31" t="str">
        <f>IF(K205="","",ROUND(Freezer!$I24*(K205-L205),2))</f>
        <v/>
      </c>
    </row>
    <row r="206" spans="3:13" ht="15" thickBot="1">
      <c r="C206" s="42">
        <v>10</v>
      </c>
      <c r="D206" s="93"/>
      <c r="E206" s="30" t="str">
        <f>IF($C$162=Freezer!$G24,'Lookup Tables'!$D$162,"")</f>
        <v/>
      </c>
    </row>
    <row r="209" spans="3:15" ht="36" thickBot="1">
      <c r="C209" s="192" t="s">
        <v>482</v>
      </c>
    </row>
    <row r="210" spans="3:15" ht="15">
      <c r="C210" s="193" t="s">
        <v>64</v>
      </c>
      <c r="D210" s="194" t="s">
        <v>481</v>
      </c>
      <c r="E210" s="194" t="s">
        <v>480</v>
      </c>
      <c r="F210" s="194" t="s">
        <v>484</v>
      </c>
      <c r="G210" s="194" t="s">
        <v>485</v>
      </c>
      <c r="H210" s="198" t="s">
        <v>489</v>
      </c>
      <c r="I210" s="198" t="s">
        <v>483</v>
      </c>
      <c r="J210" s="199" t="s">
        <v>490</v>
      </c>
      <c r="L210" s="201" t="s">
        <v>488</v>
      </c>
      <c r="M210" s="200">
        <v>9.9</v>
      </c>
      <c r="O210" s="258" t="s">
        <v>44</v>
      </c>
    </row>
    <row r="211" spans="3:15" ht="30.75" thickBot="1">
      <c r="C211" s="195">
        <f>'EV Charger'!D6</f>
        <v>0</v>
      </c>
      <c r="D211" s="196">
        <f>'EV Charger'!E6</f>
        <v>0</v>
      </c>
      <c r="E211" s="196">
        <f>'EV Charger'!F6</f>
        <v>0</v>
      </c>
      <c r="F211" s="196">
        <f>(321*(9.3*D211+12.3*E211)+(24*E211*44))/1000</f>
        <v>0</v>
      </c>
      <c r="G211" s="196" t="e">
        <f>(VLOOKUP('EV Charger'!G6,'Lookup Tables'!L210:M211,2,FALSE)*((321*(9.3+12.3)+(24*44))))/1000</f>
        <v>#N/A</v>
      </c>
      <c r="H211" s="196" t="e">
        <f>C211*(G211-F211)</f>
        <v>#N/A</v>
      </c>
      <c r="I211" s="196" t="e">
        <f>H211*0.0001039</f>
        <v>#N/A</v>
      </c>
      <c r="J211" s="197" t="e">
        <f>H211*0.0000947</f>
        <v>#N/A</v>
      </c>
      <c r="L211" s="202" t="s">
        <v>487</v>
      </c>
      <c r="M211" s="197">
        <v>3.7</v>
      </c>
      <c r="O211" s="259">
        <v>700</v>
      </c>
    </row>
    <row r="215" spans="3:15" ht="15" thickBot="1"/>
    <row r="216" spans="3:15">
      <c r="C216" s="449" t="s">
        <v>289</v>
      </c>
    </row>
    <row r="217" spans="3:15" ht="15" thickBot="1">
      <c r="C217" s="450" t="s">
        <v>290</v>
      </c>
    </row>
    <row r="218" spans="3:15" ht="14.25" customHeight="1">
      <c r="C218" s="124" t="s">
        <v>291</v>
      </c>
      <c r="E218" s="449" t="s">
        <v>358</v>
      </c>
      <c r="F218" s="449" t="s">
        <v>39</v>
      </c>
      <c r="G218" s="449" t="s">
        <v>454</v>
      </c>
      <c r="H218" s="449" t="s">
        <v>455</v>
      </c>
      <c r="I218" s="449" t="s">
        <v>456</v>
      </c>
    </row>
    <row r="219" spans="3:15">
      <c r="C219" s="124" t="s">
        <v>292</v>
      </c>
      <c r="E219" s="450" t="s">
        <v>375</v>
      </c>
      <c r="F219" s="450" t="s">
        <v>457</v>
      </c>
      <c r="G219" s="450" t="s">
        <v>458</v>
      </c>
      <c r="H219" s="450">
        <v>1.4811728816801825E-4</v>
      </c>
      <c r="I219" s="450">
        <v>1.129831237108192E-4</v>
      </c>
    </row>
    <row r="220" spans="3:15">
      <c r="C220" s="124" t="s">
        <v>293</v>
      </c>
      <c r="E220" s="41" t="s">
        <v>375</v>
      </c>
      <c r="F220" s="41" t="s">
        <v>144</v>
      </c>
      <c r="G220" s="41" t="s">
        <v>458</v>
      </c>
      <c r="H220" s="41">
        <v>1.4811728816801825E-4</v>
      </c>
      <c r="I220" s="173">
        <v>1.129831237108192E-4</v>
      </c>
    </row>
    <row r="221" spans="3:15">
      <c r="C221" s="124" t="s">
        <v>294</v>
      </c>
      <c r="E221" s="41" t="s">
        <v>375</v>
      </c>
      <c r="F221" s="41" t="s">
        <v>349</v>
      </c>
      <c r="G221" s="41" t="s">
        <v>458</v>
      </c>
      <c r="H221" s="41">
        <v>9.7696163720684126E-5</v>
      </c>
      <c r="I221" s="173">
        <v>1.0279027992510237E-4</v>
      </c>
    </row>
    <row r="222" spans="3:15">
      <c r="C222" s="124" t="s">
        <v>295</v>
      </c>
      <c r="E222" s="41" t="s">
        <v>375</v>
      </c>
      <c r="F222" s="41" t="s">
        <v>429</v>
      </c>
      <c r="G222" s="41" t="s">
        <v>458</v>
      </c>
      <c r="H222" s="41">
        <v>1.1207499483134598E-4</v>
      </c>
      <c r="I222" s="173">
        <v>1.2727133071166463E-4</v>
      </c>
    </row>
    <row r="223" spans="3:15">
      <c r="C223" s="124" t="s">
        <v>296</v>
      </c>
      <c r="E223" s="41" t="s">
        <v>375</v>
      </c>
      <c r="F223" s="41" t="s">
        <v>462</v>
      </c>
      <c r="G223" s="41" t="s">
        <v>458</v>
      </c>
      <c r="H223" s="41">
        <v>1.1351103603374213E-4</v>
      </c>
      <c r="I223" s="173">
        <v>1.2736538337776437E-4</v>
      </c>
    </row>
    <row r="224" spans="3:15">
      <c r="C224" s="124" t="s">
        <v>297</v>
      </c>
      <c r="E224" s="41" t="s">
        <v>375</v>
      </c>
      <c r="F224" s="41" t="s">
        <v>463</v>
      </c>
      <c r="G224" s="41" t="s">
        <v>458</v>
      </c>
      <c r="H224" s="41">
        <v>1.1753877333831042E-4</v>
      </c>
      <c r="I224" s="173">
        <v>1.2597956629178952E-4</v>
      </c>
    </row>
    <row r="225" spans="3:9">
      <c r="C225" s="124" t="s">
        <v>298</v>
      </c>
      <c r="E225" s="41" t="s">
        <v>375</v>
      </c>
      <c r="F225" s="41" t="s">
        <v>459</v>
      </c>
      <c r="G225" s="41" t="s">
        <v>458</v>
      </c>
      <c r="H225" s="41">
        <v>1.4066754192754161E-4</v>
      </c>
      <c r="I225" s="173">
        <v>1.2825603334931657E-4</v>
      </c>
    </row>
    <row r="226" spans="3:9">
      <c r="C226" s="124" t="s">
        <v>299</v>
      </c>
      <c r="E226" s="41" t="s">
        <v>375</v>
      </c>
      <c r="F226" s="41" t="s">
        <v>464</v>
      </c>
      <c r="G226" s="41" t="s">
        <v>458</v>
      </c>
      <c r="H226" s="41">
        <v>1.2650583913245309E-4</v>
      </c>
      <c r="I226" s="173">
        <v>1.4871815892547602E-4</v>
      </c>
    </row>
    <row r="227" spans="3:9">
      <c r="C227" s="124" t="s">
        <v>300</v>
      </c>
      <c r="E227" s="41" t="s">
        <v>375</v>
      </c>
      <c r="F227" s="41" t="s">
        <v>465</v>
      </c>
      <c r="G227" s="41" t="s">
        <v>458</v>
      </c>
      <c r="H227" s="41">
        <v>1.4807000745629641E-4</v>
      </c>
      <c r="I227" s="173">
        <v>1.1276644605686669E-4</v>
      </c>
    </row>
    <row r="228" spans="3:9">
      <c r="C228" s="124" t="s">
        <v>301</v>
      </c>
      <c r="E228" s="90" t="s">
        <v>375</v>
      </c>
      <c r="F228" s="90" t="s">
        <v>467</v>
      </c>
      <c r="G228" s="90" t="s">
        <v>458</v>
      </c>
      <c r="H228" s="90">
        <v>1.7275066275033169E-4</v>
      </c>
      <c r="I228" s="174">
        <v>1.250738281669328E-4</v>
      </c>
    </row>
    <row r="229" spans="3:9">
      <c r="C229" s="124" t="s">
        <v>302</v>
      </c>
      <c r="E229" s="41" t="s">
        <v>375</v>
      </c>
      <c r="F229" s="41" t="s">
        <v>466</v>
      </c>
      <c r="G229" s="41" t="s">
        <v>458</v>
      </c>
      <c r="H229" s="41">
        <v>1.4070399676991376E-4</v>
      </c>
      <c r="I229" s="173">
        <v>1.1643991010714671E-4</v>
      </c>
    </row>
    <row r="230" spans="3:9">
      <c r="C230" s="124" t="s">
        <v>303</v>
      </c>
      <c r="E230" s="41" t="s">
        <v>375</v>
      </c>
      <c r="F230" s="41" t="s">
        <v>468</v>
      </c>
      <c r="G230" s="41" t="s">
        <v>458</v>
      </c>
      <c r="H230" s="41">
        <v>8.5587473670155025E-5</v>
      </c>
      <c r="I230" s="173">
        <v>1.5387143685074989E-4</v>
      </c>
    </row>
    <row r="231" spans="3:9">
      <c r="C231" s="124" t="s">
        <v>304</v>
      </c>
      <c r="E231" s="41" t="s">
        <v>375</v>
      </c>
      <c r="F231" s="41" t="s">
        <v>469</v>
      </c>
      <c r="G231" s="41" t="s">
        <v>458</v>
      </c>
      <c r="H231" s="41">
        <v>7.1421754000766668E-5</v>
      </c>
      <c r="I231" s="173">
        <v>1.1646363054751419E-4</v>
      </c>
    </row>
    <row r="232" spans="3:9">
      <c r="C232" s="124" t="s">
        <v>305</v>
      </c>
      <c r="E232" s="41" t="s">
        <v>375</v>
      </c>
      <c r="F232" s="41" t="s">
        <v>470</v>
      </c>
      <c r="G232" s="41" t="s">
        <v>458</v>
      </c>
      <c r="H232" s="41">
        <v>1.1957905007875524E-4</v>
      </c>
      <c r="I232" s="173">
        <v>1.2259073082532268E-4</v>
      </c>
    </row>
    <row r="233" spans="3:9">
      <c r="C233" s="124" t="s">
        <v>306</v>
      </c>
      <c r="E233" s="41" t="s">
        <v>375</v>
      </c>
      <c r="F233" s="41" t="s">
        <v>460</v>
      </c>
      <c r="G233" s="41" t="s">
        <v>458</v>
      </c>
      <c r="H233" s="41">
        <v>1.6562645396334119E-4</v>
      </c>
      <c r="I233" s="173">
        <v>1.385015402775025E-4</v>
      </c>
    </row>
    <row r="234" spans="3:9" ht="15" thickBot="1">
      <c r="C234" s="124" t="s">
        <v>307</v>
      </c>
      <c r="E234" s="42" t="s">
        <v>375</v>
      </c>
      <c r="F234" s="42" t="s">
        <v>149</v>
      </c>
      <c r="G234" s="42" t="s">
        <v>458</v>
      </c>
      <c r="H234" s="42">
        <v>1.293168683064249E-4</v>
      </c>
      <c r="I234" s="175">
        <v>1.2318402042983345E-4</v>
      </c>
    </row>
    <row r="235" spans="3:9">
      <c r="C235" s="124" t="s">
        <v>308</v>
      </c>
    </row>
    <row r="236" spans="3:9">
      <c r="C236" s="124" t="s">
        <v>309</v>
      </c>
    </row>
    <row r="237" spans="3:9">
      <c r="C237" s="124" t="s">
        <v>149</v>
      </c>
    </row>
    <row r="238" spans="3:9">
      <c r="C238" s="124" t="s">
        <v>310</v>
      </c>
    </row>
    <row r="239" spans="3:9">
      <c r="C239" s="124" t="s">
        <v>311</v>
      </c>
    </row>
    <row r="240" spans="3:9">
      <c r="C240" s="124" t="s">
        <v>312</v>
      </c>
    </row>
    <row r="241" spans="3:3">
      <c r="C241" s="124" t="s">
        <v>313</v>
      </c>
    </row>
    <row r="242" spans="3:3">
      <c r="C242" s="124" t="s">
        <v>314</v>
      </c>
    </row>
    <row r="243" spans="3:3">
      <c r="C243" s="124" t="s">
        <v>315</v>
      </c>
    </row>
    <row r="244" spans="3:3">
      <c r="C244" s="124" t="s">
        <v>316</v>
      </c>
    </row>
    <row r="245" spans="3:3">
      <c r="C245" s="124" t="s">
        <v>317</v>
      </c>
    </row>
    <row r="246" spans="3:3">
      <c r="C246" s="124" t="s">
        <v>318</v>
      </c>
    </row>
    <row r="247" spans="3:3">
      <c r="C247" s="124" t="s">
        <v>319</v>
      </c>
    </row>
    <row r="248" spans="3:3">
      <c r="C248" s="124" t="s">
        <v>320</v>
      </c>
    </row>
    <row r="249" spans="3:3">
      <c r="C249" s="124" t="s">
        <v>321</v>
      </c>
    </row>
    <row r="250" spans="3:3">
      <c r="C250" s="124" t="s">
        <v>322</v>
      </c>
    </row>
    <row r="251" spans="3:3">
      <c r="C251" s="124" t="s">
        <v>323</v>
      </c>
    </row>
    <row r="252" spans="3:3">
      <c r="C252" s="124" t="s">
        <v>324</v>
      </c>
    </row>
    <row r="253" spans="3:3">
      <c r="C253" s="124" t="s">
        <v>325</v>
      </c>
    </row>
  </sheetData>
  <sheetProtection algorithmName="SHA-512" hashValue="AVMOP3N8V+YZsJj2/pKTak9Zh1blobpxJNkWnkBmqmd8ha0W5+qp5VVsbRrZPUNExltEvUGCDIdodqoEo6EDxQ==" saltValue="h4dCSesXV26NOHtRa9U05w==" spinCount="100000" sheet="1" objects="1" scenarios="1"/>
  <mergeCells count="94">
    <mergeCell ref="E218:E219"/>
    <mergeCell ref="F218:F219"/>
    <mergeCell ref="G218:G219"/>
    <mergeCell ref="H218:H219"/>
    <mergeCell ref="I218:I219"/>
    <mergeCell ref="K121:K123"/>
    <mergeCell ref="O121:P121"/>
    <mergeCell ref="O122:O123"/>
    <mergeCell ref="J121:J123"/>
    <mergeCell ref="L121:L123"/>
    <mergeCell ref="N121:N123"/>
    <mergeCell ref="P122:P123"/>
    <mergeCell ref="M121:M123"/>
    <mergeCell ref="C216:C217"/>
    <mergeCell ref="I194:I195"/>
    <mergeCell ref="J194:J195"/>
    <mergeCell ref="K194:K195"/>
    <mergeCell ref="L194:L195"/>
    <mergeCell ref="M194:M195"/>
    <mergeCell ref="C195:C196"/>
    <mergeCell ref="D195:D196"/>
    <mergeCell ref="E195:E196"/>
    <mergeCell ref="F194:F195"/>
    <mergeCell ref="G194:G195"/>
    <mergeCell ref="C2:D2"/>
    <mergeCell ref="C87:D87"/>
    <mergeCell ref="C105:D105"/>
    <mergeCell ref="C92:C93"/>
    <mergeCell ref="O6:P6"/>
    <mergeCell ref="D92:F92"/>
    <mergeCell ref="G92:I92"/>
    <mergeCell ref="K50:N50"/>
    <mergeCell ref="K54:N54"/>
    <mergeCell ref="J92:L92"/>
    <mergeCell ref="M92:O92"/>
    <mergeCell ref="P92:R92"/>
    <mergeCell ref="Q50:R50"/>
    <mergeCell ref="S50:T50"/>
    <mergeCell ref="P52:T52"/>
    <mergeCell ref="P56:T56"/>
    <mergeCell ref="C167:C168"/>
    <mergeCell ref="D167:D168"/>
    <mergeCell ref="E167:E168"/>
    <mergeCell ref="F166:F167"/>
    <mergeCell ref="C132:D132"/>
    <mergeCell ref="C145:D145"/>
    <mergeCell ref="C150:C151"/>
    <mergeCell ref="G166:G167"/>
    <mergeCell ref="D150:E150"/>
    <mergeCell ref="I166:I167"/>
    <mergeCell ref="J166:J167"/>
    <mergeCell ref="K166:K167"/>
    <mergeCell ref="L166:L167"/>
    <mergeCell ref="M166:M167"/>
    <mergeCell ref="O166:O167"/>
    <mergeCell ref="P166:P167"/>
    <mergeCell ref="Q166:Q167"/>
    <mergeCell ref="R166:R167"/>
    <mergeCell ref="S166:S167"/>
    <mergeCell ref="U166:U167"/>
    <mergeCell ref="V166:V167"/>
    <mergeCell ref="W166:W167"/>
    <mergeCell ref="X166:X167"/>
    <mergeCell ref="Y166:Y167"/>
    <mergeCell ref="AA166:AA167"/>
    <mergeCell ref="AB166:AB167"/>
    <mergeCell ref="AC166:AC167"/>
    <mergeCell ref="AD166:AD167"/>
    <mergeCell ref="AE166:AE167"/>
    <mergeCell ref="C182:C183"/>
    <mergeCell ref="D182:D183"/>
    <mergeCell ref="E182:E183"/>
    <mergeCell ref="F181:F182"/>
    <mergeCell ref="G181:G182"/>
    <mergeCell ref="I181:I182"/>
    <mergeCell ref="J181:J182"/>
    <mergeCell ref="K181:K182"/>
    <mergeCell ref="L181:L182"/>
    <mergeCell ref="M181:M182"/>
    <mergeCell ref="O181:O182"/>
    <mergeCell ref="P181:P182"/>
    <mergeCell ref="Q181:Q182"/>
    <mergeCell ref="R181:R182"/>
    <mergeCell ref="S181:S182"/>
    <mergeCell ref="U181:U182"/>
    <mergeCell ref="V181:V182"/>
    <mergeCell ref="W181:W182"/>
    <mergeCell ref="X181:X182"/>
    <mergeCell ref="AE181:AE182"/>
    <mergeCell ref="Y181:Y182"/>
    <mergeCell ref="AA181:AA182"/>
    <mergeCell ref="AB181:AB182"/>
    <mergeCell ref="AC181:AC182"/>
    <mergeCell ref="AD181:AD182"/>
  </mergeCells>
  <phoneticPr fontId="93" type="noConversion"/>
  <hyperlinks>
    <hyperlink ref="J134" location="_ftnref2" display="_ftnref2" xr:uid="{92756B5A-F037-4125-B52E-EE0F4C55C1D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4867-40D6-4343-B73E-C02D5F1C301A}">
  <sheetPr codeName="Sheet15">
    <tabColor theme="0" tint="-0.14999847407452621"/>
  </sheetPr>
  <dimension ref="A2:G25"/>
  <sheetViews>
    <sheetView workbookViewId="0">
      <selection activeCell="B15" sqref="B15"/>
    </sheetView>
  </sheetViews>
  <sheetFormatPr defaultColWidth="8.75" defaultRowHeight="14.25"/>
  <cols>
    <col min="1" max="1" width="3.75" style="52" customWidth="1"/>
    <col min="2" max="2" width="8.875" style="52" customWidth="1"/>
    <col min="3" max="3" width="11.5" style="52" customWidth="1"/>
    <col min="4" max="4" width="19.25" style="52" customWidth="1"/>
    <col min="5" max="5" width="61.75" style="58" customWidth="1"/>
    <col min="6" max="6" width="26.75" style="52" customWidth="1"/>
    <col min="7" max="7" width="20.5" style="1" customWidth="1"/>
    <col min="8" max="16384" width="8.75" style="1"/>
  </cols>
  <sheetData>
    <row r="2" spans="1:7" ht="20.25">
      <c r="B2" s="477" t="s">
        <v>27</v>
      </c>
      <c r="C2" s="477"/>
      <c r="D2" s="477"/>
      <c r="E2" s="477"/>
      <c r="F2" s="477"/>
    </row>
    <row r="4" spans="1:7" ht="15">
      <c r="B4" s="53" t="s">
        <v>326</v>
      </c>
      <c r="D4" s="54" t="s">
        <v>327</v>
      </c>
      <c r="E4" s="55" t="s">
        <v>328</v>
      </c>
      <c r="F4" s="54" t="s">
        <v>329</v>
      </c>
    </row>
    <row r="5" spans="1:7" ht="15">
      <c r="B5" s="53" t="s">
        <v>330</v>
      </c>
      <c r="D5" s="56" t="s">
        <v>327</v>
      </c>
      <c r="E5" s="57" t="s">
        <v>331</v>
      </c>
      <c r="F5" s="56" t="s">
        <v>329</v>
      </c>
    </row>
    <row r="6" spans="1:7" ht="25.5" customHeight="1"/>
    <row r="7" spans="1:7" s="64" customFormat="1" ht="15">
      <c r="A7" s="59"/>
      <c r="B7" s="60" t="s">
        <v>332</v>
      </c>
      <c r="C7" s="61" t="s">
        <v>35</v>
      </c>
      <c r="D7" s="61" t="s">
        <v>333</v>
      </c>
      <c r="E7" s="62" t="s">
        <v>334</v>
      </c>
      <c r="F7" s="63" t="s">
        <v>335</v>
      </c>
      <c r="G7" s="64" t="s">
        <v>420</v>
      </c>
    </row>
    <row r="8" spans="1:7" ht="28.5" customHeight="1">
      <c r="B8" s="65">
        <v>1</v>
      </c>
      <c r="C8" s="66">
        <v>43111</v>
      </c>
      <c r="D8" s="66" t="s">
        <v>336</v>
      </c>
      <c r="E8" s="67"/>
      <c r="F8" s="68" t="s">
        <v>327</v>
      </c>
    </row>
    <row r="9" spans="1:7" ht="42.75">
      <c r="B9" s="65">
        <v>1</v>
      </c>
      <c r="C9" s="66">
        <v>43115</v>
      </c>
      <c r="D9" s="69" t="s">
        <v>337</v>
      </c>
      <c r="E9" s="67" t="s">
        <v>338</v>
      </c>
      <c r="F9" s="68" t="s">
        <v>329</v>
      </c>
    </row>
    <row r="10" spans="1:7" ht="28.5" customHeight="1">
      <c r="B10" s="65">
        <v>1.1000000000000001</v>
      </c>
      <c r="C10" s="66">
        <v>43129</v>
      </c>
      <c r="D10" s="69" t="s">
        <v>339</v>
      </c>
      <c r="E10" s="67" t="s">
        <v>340</v>
      </c>
      <c r="F10" s="68" t="s">
        <v>329</v>
      </c>
    </row>
    <row r="11" spans="1:7" ht="28.5" customHeight="1">
      <c r="B11" s="65">
        <v>2</v>
      </c>
      <c r="C11" s="66">
        <v>44238</v>
      </c>
      <c r="D11" s="69" t="s">
        <v>341</v>
      </c>
      <c r="E11" s="67" t="s">
        <v>342</v>
      </c>
      <c r="F11" s="68" t="s">
        <v>343</v>
      </c>
    </row>
    <row r="12" spans="1:7" ht="28.5" customHeight="1">
      <c r="B12" s="65">
        <v>6</v>
      </c>
      <c r="C12" s="66">
        <v>45313</v>
      </c>
      <c r="D12" s="69" t="s">
        <v>344</v>
      </c>
      <c r="E12" s="67" t="s">
        <v>472</v>
      </c>
      <c r="F12" s="68" t="s">
        <v>419</v>
      </c>
      <c r="G12" s="1" t="s">
        <v>421</v>
      </c>
    </row>
    <row r="13" spans="1:7" ht="28.5" customHeight="1">
      <c r="B13" s="191">
        <v>6.01</v>
      </c>
      <c r="C13" s="66">
        <v>45352</v>
      </c>
      <c r="D13" s="69" t="s">
        <v>479</v>
      </c>
      <c r="E13" s="67" t="s">
        <v>503</v>
      </c>
      <c r="F13" s="68" t="s">
        <v>419</v>
      </c>
    </row>
    <row r="14" spans="1:7" ht="28.5" customHeight="1">
      <c r="B14" s="191" t="s">
        <v>508</v>
      </c>
      <c r="C14" s="66">
        <v>45435</v>
      </c>
      <c r="D14" s="69" t="s">
        <v>506</v>
      </c>
      <c r="E14" s="67" t="s">
        <v>507</v>
      </c>
      <c r="F14" s="68"/>
    </row>
    <row r="15" spans="1:7" ht="28.5" customHeight="1">
      <c r="B15" s="65"/>
      <c r="C15" s="69"/>
      <c r="D15" s="69"/>
      <c r="E15" s="67"/>
      <c r="F15" s="68"/>
    </row>
    <row r="16" spans="1:7" ht="28.5" customHeight="1">
      <c r="B16" s="65"/>
      <c r="C16" s="69"/>
      <c r="D16" s="69"/>
      <c r="E16" s="67"/>
      <c r="F16" s="68"/>
    </row>
    <row r="17" spans="2:6" ht="28.5" customHeight="1">
      <c r="B17" s="65"/>
      <c r="C17" s="69"/>
      <c r="D17" s="69"/>
      <c r="E17" s="67"/>
      <c r="F17" s="68"/>
    </row>
    <row r="18" spans="2:6" ht="28.5" customHeight="1">
      <c r="B18" s="65"/>
      <c r="C18" s="69"/>
      <c r="D18" s="69"/>
      <c r="E18" s="67"/>
      <c r="F18" s="68"/>
    </row>
    <row r="19" spans="2:6" ht="28.5" customHeight="1">
      <c r="B19" s="65"/>
      <c r="C19" s="69"/>
      <c r="D19" s="69"/>
      <c r="E19" s="67"/>
      <c r="F19" s="68"/>
    </row>
    <row r="20" spans="2:6" ht="28.5" customHeight="1">
      <c r="B20" s="65"/>
      <c r="C20" s="69"/>
      <c r="D20" s="69"/>
      <c r="E20" s="67"/>
      <c r="F20" s="68"/>
    </row>
    <row r="21" spans="2:6" ht="28.5" customHeight="1">
      <c r="B21" s="65"/>
      <c r="C21" s="69"/>
      <c r="D21" s="69"/>
      <c r="E21" s="67"/>
      <c r="F21" s="68"/>
    </row>
    <row r="22" spans="2:6" ht="28.5" customHeight="1">
      <c r="B22" s="65"/>
      <c r="C22" s="69"/>
      <c r="D22" s="69"/>
      <c r="E22" s="67"/>
      <c r="F22" s="68"/>
    </row>
    <row r="23" spans="2:6" ht="28.5" customHeight="1">
      <c r="B23" s="65"/>
      <c r="C23" s="69"/>
      <c r="D23" s="69"/>
      <c r="E23" s="67"/>
      <c r="F23" s="68"/>
    </row>
    <row r="24" spans="2:6" ht="28.5" customHeight="1">
      <c r="B24" s="70"/>
      <c r="C24" s="71"/>
      <c r="D24" s="71"/>
      <c r="E24" s="72"/>
      <c r="F24" s="73"/>
    </row>
    <row r="25" spans="2:6">
      <c r="B25" s="74"/>
      <c r="C25" s="74"/>
      <c r="D25" s="74"/>
      <c r="E25" s="75"/>
      <c r="F25" s="74"/>
    </row>
  </sheetData>
  <mergeCells count="1">
    <mergeCell ref="B2:F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8E6F-6DCA-4AC2-B259-57AAE9DDA116}">
  <dimension ref="A1:J29"/>
  <sheetViews>
    <sheetView zoomScale="80" zoomScaleNormal="80" workbookViewId="0">
      <selection activeCell="I32" sqref="I32"/>
    </sheetView>
  </sheetViews>
  <sheetFormatPr defaultRowHeight="14.25"/>
  <cols>
    <col min="1" max="1" width="12.875" customWidth="1"/>
    <col min="2" max="2" width="27.125" customWidth="1"/>
    <col min="3" max="3" width="12.625" customWidth="1"/>
    <col min="4" max="4" width="12" customWidth="1"/>
    <col min="5" max="5" width="33.125" customWidth="1"/>
    <col min="6" max="6" width="37.125" customWidth="1"/>
    <col min="7" max="7" width="71.25" customWidth="1"/>
    <col min="8" max="8" width="14" customWidth="1"/>
    <col min="9" max="9" width="32.25" customWidth="1"/>
    <col min="10" max="10" width="30.625" customWidth="1"/>
  </cols>
  <sheetData>
    <row r="1" spans="1:10" ht="15.75">
      <c r="A1" s="137" t="s">
        <v>356</v>
      </c>
      <c r="B1" s="137"/>
      <c r="I1" s="138"/>
    </row>
    <row r="3" spans="1:10" ht="15">
      <c r="A3" s="139" t="s">
        <v>35</v>
      </c>
      <c r="B3" s="139" t="s">
        <v>357</v>
      </c>
      <c r="C3" s="139" t="s">
        <v>358</v>
      </c>
      <c r="D3" s="139" t="s">
        <v>359</v>
      </c>
      <c r="E3" s="139" t="s">
        <v>41</v>
      </c>
      <c r="F3" s="139" t="s">
        <v>360</v>
      </c>
      <c r="G3" s="139" t="s">
        <v>361</v>
      </c>
      <c r="H3" s="139" t="s">
        <v>362</v>
      </c>
      <c r="I3" s="139" t="s">
        <v>363</v>
      </c>
      <c r="J3" s="163" t="s">
        <v>422</v>
      </c>
    </row>
    <row r="4" spans="1:10">
      <c r="A4" s="140">
        <v>44918</v>
      </c>
      <c r="B4" s="140" t="s">
        <v>364</v>
      </c>
      <c r="C4" s="141" t="s">
        <v>365</v>
      </c>
      <c r="D4" s="141" t="s">
        <v>366</v>
      </c>
      <c r="E4" s="142" t="s">
        <v>15</v>
      </c>
      <c r="F4" s="141" t="s">
        <v>367</v>
      </c>
      <c r="G4" s="141" t="s">
        <v>368</v>
      </c>
      <c r="H4" s="141" t="s">
        <v>369</v>
      </c>
      <c r="I4" s="164" t="s">
        <v>370</v>
      </c>
      <c r="J4" s="167" t="s">
        <v>428</v>
      </c>
    </row>
    <row r="5" spans="1:10">
      <c r="A5" s="140">
        <v>44918</v>
      </c>
      <c r="B5" s="140" t="s">
        <v>364</v>
      </c>
      <c r="C5" s="141" t="s">
        <v>365</v>
      </c>
      <c r="D5" s="141" t="s">
        <v>366</v>
      </c>
      <c r="E5" s="142" t="s">
        <v>15</v>
      </c>
      <c r="F5" s="141" t="s">
        <v>371</v>
      </c>
      <c r="G5" s="141" t="s">
        <v>372</v>
      </c>
      <c r="H5" s="141" t="s">
        <v>369</v>
      </c>
      <c r="I5" s="164" t="s">
        <v>370</v>
      </c>
      <c r="J5" s="167" t="s">
        <v>428</v>
      </c>
    </row>
    <row r="6" spans="1:10">
      <c r="A6" s="140">
        <v>44929</v>
      </c>
      <c r="B6" s="140" t="s">
        <v>364</v>
      </c>
      <c r="C6" s="141" t="s">
        <v>365</v>
      </c>
      <c r="D6" s="141" t="s">
        <v>366</v>
      </c>
      <c r="E6" s="142" t="s">
        <v>23</v>
      </c>
      <c r="F6" s="141" t="s">
        <v>84</v>
      </c>
      <c r="G6" s="141" t="s">
        <v>373</v>
      </c>
      <c r="H6" s="141" t="s">
        <v>369</v>
      </c>
      <c r="I6" s="164" t="s">
        <v>374</v>
      </c>
      <c r="J6" s="167" t="s">
        <v>428</v>
      </c>
    </row>
    <row r="7" spans="1:10">
      <c r="A7" s="143">
        <v>44974</v>
      </c>
      <c r="B7" s="140" t="s">
        <v>364</v>
      </c>
      <c r="C7" s="144" t="s">
        <v>375</v>
      </c>
      <c r="D7" s="144" t="s">
        <v>366</v>
      </c>
      <c r="E7" s="145" t="s">
        <v>11</v>
      </c>
      <c r="F7" s="146" t="s">
        <v>376</v>
      </c>
      <c r="G7" s="147" t="s">
        <v>377</v>
      </c>
      <c r="H7" s="148" t="s">
        <v>369</v>
      </c>
      <c r="I7" s="165" t="s">
        <v>378</v>
      </c>
      <c r="J7" s="167" t="s">
        <v>428</v>
      </c>
    </row>
    <row r="8" spans="1:10">
      <c r="A8" s="140">
        <v>44978</v>
      </c>
      <c r="B8" s="140" t="s">
        <v>364</v>
      </c>
      <c r="C8" s="141" t="s">
        <v>375</v>
      </c>
      <c r="D8" s="141" t="s">
        <v>379</v>
      </c>
      <c r="E8" s="142" t="s">
        <v>380</v>
      </c>
      <c r="F8" s="141" t="s">
        <v>381</v>
      </c>
      <c r="G8" s="141" t="s">
        <v>382</v>
      </c>
      <c r="H8" s="141" t="s">
        <v>383</v>
      </c>
      <c r="I8" s="164" t="s">
        <v>384</v>
      </c>
      <c r="J8" s="167" t="s">
        <v>428</v>
      </c>
    </row>
    <row r="9" spans="1:10">
      <c r="A9" s="140">
        <v>44978</v>
      </c>
      <c r="B9" s="140" t="s">
        <v>364</v>
      </c>
      <c r="C9" s="141" t="s">
        <v>375</v>
      </c>
      <c r="D9" s="141" t="s">
        <v>379</v>
      </c>
      <c r="E9" s="142" t="s">
        <v>380</v>
      </c>
      <c r="F9" s="141" t="s">
        <v>385</v>
      </c>
      <c r="G9" s="141" t="s">
        <v>386</v>
      </c>
      <c r="H9" s="141" t="s">
        <v>383</v>
      </c>
      <c r="I9" s="164" t="s">
        <v>384</v>
      </c>
      <c r="J9" s="167" t="s">
        <v>428</v>
      </c>
    </row>
    <row r="10" spans="1:10">
      <c r="A10" s="140">
        <v>44978</v>
      </c>
      <c r="B10" s="140" t="s">
        <v>364</v>
      </c>
      <c r="C10" s="141" t="s">
        <v>375</v>
      </c>
      <c r="D10" s="141" t="s">
        <v>379</v>
      </c>
      <c r="E10" s="142" t="s">
        <v>380</v>
      </c>
      <c r="F10" s="141" t="s">
        <v>387</v>
      </c>
      <c r="G10" s="141" t="s">
        <v>388</v>
      </c>
      <c r="H10" s="141" t="s">
        <v>383</v>
      </c>
      <c r="I10" s="164" t="s">
        <v>384</v>
      </c>
      <c r="J10" s="167" t="s">
        <v>428</v>
      </c>
    </row>
    <row r="11" spans="1:10">
      <c r="A11" s="140">
        <v>44979</v>
      </c>
      <c r="B11" s="140" t="s">
        <v>364</v>
      </c>
      <c r="C11" s="141" t="s">
        <v>365</v>
      </c>
      <c r="D11" s="141" t="s">
        <v>366</v>
      </c>
      <c r="E11" s="149" t="s">
        <v>389</v>
      </c>
      <c r="F11" s="141" t="s">
        <v>390</v>
      </c>
      <c r="G11" s="141" t="s">
        <v>391</v>
      </c>
      <c r="H11" s="141"/>
      <c r="I11" s="164" t="s">
        <v>378</v>
      </c>
      <c r="J11" s="167"/>
    </row>
    <row r="12" spans="1:10">
      <c r="A12" s="140">
        <v>44979</v>
      </c>
      <c r="B12" s="140" t="s">
        <v>364</v>
      </c>
      <c r="C12" s="141" t="s">
        <v>375</v>
      </c>
      <c r="D12" s="141" t="s">
        <v>379</v>
      </c>
      <c r="E12" s="149" t="s">
        <v>392</v>
      </c>
      <c r="F12" s="141" t="s">
        <v>390</v>
      </c>
      <c r="G12" s="141" t="s">
        <v>393</v>
      </c>
      <c r="H12" s="141"/>
      <c r="I12" s="164" t="s">
        <v>378</v>
      </c>
      <c r="J12" s="167"/>
    </row>
    <row r="13" spans="1:10" ht="15">
      <c r="A13" s="140">
        <v>45005</v>
      </c>
      <c r="B13" s="140" t="s">
        <v>394</v>
      </c>
      <c r="C13" s="141" t="s">
        <v>395</v>
      </c>
      <c r="D13" s="141" t="s">
        <v>396</v>
      </c>
      <c r="E13" s="142" t="s">
        <v>15</v>
      </c>
      <c r="F13" s="141" t="s">
        <v>397</v>
      </c>
      <c r="G13" s="150" t="s">
        <v>398</v>
      </c>
      <c r="H13" s="141"/>
      <c r="I13" s="164" t="s">
        <v>399</v>
      </c>
      <c r="J13" s="167" t="s">
        <v>428</v>
      </c>
    </row>
    <row r="14" spans="1:10" ht="15">
      <c r="A14" s="140">
        <v>45005</v>
      </c>
      <c r="B14" s="140" t="s">
        <v>394</v>
      </c>
      <c r="C14" s="141" t="s">
        <v>395</v>
      </c>
      <c r="D14" s="141" t="s">
        <v>396</v>
      </c>
      <c r="E14" s="142" t="s">
        <v>15</v>
      </c>
      <c r="F14" s="151" t="s">
        <v>397</v>
      </c>
      <c r="G14" s="152" t="s">
        <v>398</v>
      </c>
      <c r="H14" s="141"/>
      <c r="I14" s="164" t="s">
        <v>399</v>
      </c>
      <c r="J14" s="167" t="s">
        <v>428</v>
      </c>
    </row>
    <row r="15" spans="1:10">
      <c r="A15" s="140">
        <v>45005</v>
      </c>
      <c r="B15" s="140" t="s">
        <v>394</v>
      </c>
      <c r="C15" s="141" t="s">
        <v>395</v>
      </c>
      <c r="D15" s="141" t="s">
        <v>396</v>
      </c>
      <c r="E15" s="153" t="s">
        <v>400</v>
      </c>
      <c r="F15" s="153" t="s">
        <v>401</v>
      </c>
      <c r="G15" s="154" t="s">
        <v>402</v>
      </c>
      <c r="H15" s="141"/>
      <c r="I15" s="164" t="s">
        <v>399</v>
      </c>
      <c r="J15" s="167"/>
    </row>
    <row r="16" spans="1:10" ht="15">
      <c r="A16" s="155">
        <v>45005</v>
      </c>
      <c r="B16" s="140" t="s">
        <v>394</v>
      </c>
      <c r="C16" s="156" t="s">
        <v>395</v>
      </c>
      <c r="D16" s="156" t="s">
        <v>396</v>
      </c>
      <c r="E16" s="157" t="s">
        <v>23</v>
      </c>
      <c r="F16" s="150" t="s">
        <v>397</v>
      </c>
      <c r="G16" s="158" t="s">
        <v>398</v>
      </c>
      <c r="H16" s="156"/>
      <c r="I16" s="166" t="s">
        <v>399</v>
      </c>
      <c r="J16" s="167" t="s">
        <v>428</v>
      </c>
    </row>
    <row r="17" spans="1:10">
      <c r="A17" s="140">
        <v>45029</v>
      </c>
      <c r="B17" s="140" t="s">
        <v>403</v>
      </c>
      <c r="C17" s="141" t="s">
        <v>375</v>
      </c>
      <c r="D17" s="141" t="s">
        <v>396</v>
      </c>
      <c r="E17" s="142" t="s">
        <v>11</v>
      </c>
      <c r="F17" s="141" t="s">
        <v>397</v>
      </c>
      <c r="G17" s="141" t="s">
        <v>404</v>
      </c>
      <c r="H17" s="141"/>
      <c r="I17" s="164" t="s">
        <v>399</v>
      </c>
      <c r="J17" s="167"/>
    </row>
    <row r="18" spans="1:10">
      <c r="A18" s="140">
        <v>45029</v>
      </c>
      <c r="B18" s="140" t="s">
        <v>403</v>
      </c>
      <c r="C18" s="141" t="s">
        <v>375</v>
      </c>
      <c r="D18" s="141" t="s">
        <v>379</v>
      </c>
      <c r="E18" s="153" t="s">
        <v>32</v>
      </c>
      <c r="F18" s="153" t="s">
        <v>405</v>
      </c>
      <c r="G18" s="153" t="s">
        <v>406</v>
      </c>
      <c r="H18" s="141"/>
      <c r="I18" s="164" t="s">
        <v>407</v>
      </c>
      <c r="J18" s="167"/>
    </row>
    <row r="19" spans="1:10">
      <c r="A19" s="140">
        <v>45029</v>
      </c>
      <c r="B19" s="140" t="s">
        <v>403</v>
      </c>
      <c r="C19" s="141" t="s">
        <v>375</v>
      </c>
      <c r="D19" s="141" t="s">
        <v>379</v>
      </c>
      <c r="E19" s="142" t="s">
        <v>32</v>
      </c>
      <c r="F19" s="141" t="s">
        <v>397</v>
      </c>
      <c r="G19" s="141" t="s">
        <v>404</v>
      </c>
      <c r="H19" s="141"/>
      <c r="I19" s="164" t="s">
        <v>399</v>
      </c>
      <c r="J19" s="167"/>
    </row>
    <row r="20" spans="1:10">
      <c r="A20" s="140">
        <v>45029</v>
      </c>
      <c r="B20" s="140" t="s">
        <v>403</v>
      </c>
      <c r="C20" s="141" t="s">
        <v>375</v>
      </c>
      <c r="D20" s="141" t="s">
        <v>379</v>
      </c>
      <c r="E20" s="142" t="s">
        <v>29</v>
      </c>
      <c r="F20" s="141" t="s">
        <v>405</v>
      </c>
      <c r="G20" s="141" t="s">
        <v>408</v>
      </c>
      <c r="H20" s="141"/>
      <c r="I20" s="164" t="s">
        <v>407</v>
      </c>
      <c r="J20" s="167" t="s">
        <v>428</v>
      </c>
    </row>
    <row r="21" spans="1:10">
      <c r="A21" s="140">
        <v>45029</v>
      </c>
      <c r="B21" s="140" t="s">
        <v>403</v>
      </c>
      <c r="C21" s="141" t="s">
        <v>375</v>
      </c>
      <c r="D21" s="141" t="s">
        <v>379</v>
      </c>
      <c r="E21" s="142" t="s">
        <v>29</v>
      </c>
      <c r="F21" s="141" t="s">
        <v>405</v>
      </c>
      <c r="G21" s="141" t="s">
        <v>409</v>
      </c>
      <c r="H21" s="141"/>
      <c r="I21" s="164" t="s">
        <v>378</v>
      </c>
      <c r="J21" s="167" t="s">
        <v>428</v>
      </c>
    </row>
    <row r="22" spans="1:10" ht="15">
      <c r="A22" s="140">
        <v>45029</v>
      </c>
      <c r="B22" s="140" t="s">
        <v>403</v>
      </c>
      <c r="C22" s="141" t="s">
        <v>375</v>
      </c>
      <c r="D22" s="141" t="s">
        <v>379</v>
      </c>
      <c r="E22" s="142" t="s">
        <v>29</v>
      </c>
      <c r="F22" s="141" t="s">
        <v>397</v>
      </c>
      <c r="G22" s="159" t="s">
        <v>398</v>
      </c>
      <c r="H22" s="141"/>
      <c r="I22" s="164" t="s">
        <v>399</v>
      </c>
      <c r="J22" s="167" t="s">
        <v>428</v>
      </c>
    </row>
    <row r="23" spans="1:10" ht="15">
      <c r="A23" s="140">
        <v>45056</v>
      </c>
      <c r="B23" s="140" t="s">
        <v>403</v>
      </c>
      <c r="C23" s="141" t="s">
        <v>395</v>
      </c>
      <c r="D23" s="141" t="s">
        <v>410</v>
      </c>
      <c r="E23" s="149" t="s">
        <v>410</v>
      </c>
      <c r="F23" s="141" t="s">
        <v>411</v>
      </c>
      <c r="G23" s="159" t="s">
        <v>412</v>
      </c>
      <c r="H23" s="141"/>
      <c r="I23" s="164" t="s">
        <v>399</v>
      </c>
      <c r="J23" s="167"/>
    </row>
    <row r="24" spans="1:10" ht="15">
      <c r="A24" s="140">
        <v>45056</v>
      </c>
      <c r="B24" s="140" t="s">
        <v>403</v>
      </c>
      <c r="C24" s="141" t="s">
        <v>375</v>
      </c>
      <c r="D24" s="141" t="s">
        <v>410</v>
      </c>
      <c r="E24" s="149" t="s">
        <v>410</v>
      </c>
      <c r="F24" s="141" t="s">
        <v>411</v>
      </c>
      <c r="G24" s="159" t="s">
        <v>412</v>
      </c>
      <c r="H24" s="141"/>
      <c r="I24" s="164" t="s">
        <v>399</v>
      </c>
      <c r="J24" s="167"/>
    </row>
    <row r="25" spans="1:10" ht="15">
      <c r="A25" s="140">
        <v>45268</v>
      </c>
      <c r="B25" s="140" t="s">
        <v>413</v>
      </c>
      <c r="C25" s="141" t="s">
        <v>375</v>
      </c>
      <c r="D25" s="141" t="s">
        <v>410</v>
      </c>
      <c r="E25" s="149" t="s">
        <v>414</v>
      </c>
      <c r="F25" s="141" t="s">
        <v>415</v>
      </c>
      <c r="G25" s="160" t="s">
        <v>416</v>
      </c>
      <c r="H25" s="141"/>
      <c r="I25" s="164" t="s">
        <v>399</v>
      </c>
      <c r="J25" s="167"/>
    </row>
    <row r="26" spans="1:10" ht="15">
      <c r="A26" s="140">
        <v>45268</v>
      </c>
      <c r="B26" s="140" t="s">
        <v>413</v>
      </c>
      <c r="C26" s="141" t="s">
        <v>395</v>
      </c>
      <c r="D26" s="141" t="s">
        <v>410</v>
      </c>
      <c r="E26" s="149" t="s">
        <v>410</v>
      </c>
      <c r="F26" s="161" t="s">
        <v>417</v>
      </c>
      <c r="G26" s="160" t="s">
        <v>418</v>
      </c>
      <c r="H26" s="141"/>
      <c r="I26" s="164" t="s">
        <v>399</v>
      </c>
      <c r="J26" s="167"/>
    </row>
    <row r="27" spans="1:10" ht="15">
      <c r="A27" s="140">
        <v>45268</v>
      </c>
      <c r="B27" s="140" t="s">
        <v>413</v>
      </c>
      <c r="C27" s="141" t="s">
        <v>375</v>
      </c>
      <c r="D27" s="141" t="s">
        <v>410</v>
      </c>
      <c r="E27" s="149" t="s">
        <v>410</v>
      </c>
      <c r="F27" s="161" t="s">
        <v>417</v>
      </c>
      <c r="G27" s="160" t="s">
        <v>418</v>
      </c>
      <c r="H27" s="141"/>
      <c r="I27" s="164" t="s">
        <v>399</v>
      </c>
      <c r="J27" s="167"/>
    </row>
    <row r="28" spans="1:10">
      <c r="A28" s="140">
        <v>45029</v>
      </c>
      <c r="B28" s="140" t="s">
        <v>403</v>
      </c>
      <c r="C28" s="141" t="s">
        <v>375</v>
      </c>
      <c r="D28" s="141" t="s">
        <v>458</v>
      </c>
      <c r="E28" s="177" t="s">
        <v>25</v>
      </c>
      <c r="F28" s="141" t="s">
        <v>405</v>
      </c>
      <c r="G28" s="141" t="s">
        <v>473</v>
      </c>
      <c r="H28" s="141"/>
      <c r="I28" s="164" t="s">
        <v>399</v>
      </c>
      <c r="J28" s="167"/>
    </row>
    <row r="29" spans="1:10" ht="15">
      <c r="A29" s="140">
        <v>45029</v>
      </c>
      <c r="B29" s="140" t="s">
        <v>403</v>
      </c>
      <c r="C29" s="141" t="s">
        <v>375</v>
      </c>
      <c r="D29" s="141" t="s">
        <v>458</v>
      </c>
      <c r="E29" s="177" t="s">
        <v>25</v>
      </c>
      <c r="F29" s="141" t="s">
        <v>397</v>
      </c>
      <c r="G29" s="159" t="s">
        <v>398</v>
      </c>
      <c r="H29" s="141"/>
      <c r="I29" s="164" t="s">
        <v>399</v>
      </c>
      <c r="J29" s="167"/>
    </row>
  </sheetData>
  <sheetProtection algorithmName="SHA-512" hashValue="sj9YNmNi6Sgxlgg7UqzKZ3lUE3bYOPbKlmIEV1H+OmW+bZB0nS/hsPUxwgJaRgwzIc3kER48aqkEVvqlaki/+w==" saltValue="SCp+pBkgke4Y0CSB2H6l8g==" spinCount="100000" sheet="1" objects="1" scenarios="1"/>
  <dataValidations count="1">
    <dataValidation type="list" allowBlank="1" showInputMessage="1" showErrorMessage="1" sqref="H4:H16" xr:uid="{79EAAF8F-6DD8-4121-8164-E2E92102EC40}">
      <formula1>"High,Moderate,Low"</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7068D-F2CA-4917-80FC-2EFA127DB0F0}">
  <sheetPr>
    <tabColor theme="0"/>
  </sheetPr>
  <dimension ref="A1:A330"/>
  <sheetViews>
    <sheetView topLeftCell="A29" zoomScale="90" zoomScaleNormal="90" workbookViewId="0">
      <selection activeCell="C48" sqref="C48"/>
    </sheetView>
  </sheetViews>
  <sheetFormatPr defaultRowHeight="14.25"/>
  <sheetData>
    <row r="1" spans="1:1" ht="18">
      <c r="A1" s="383" t="s">
        <v>11</v>
      </c>
    </row>
    <row r="48" spans="1:1" ht="18">
      <c r="A48" s="383" t="s">
        <v>15</v>
      </c>
    </row>
    <row r="95" spans="1:1" ht="18">
      <c r="A95" s="383" t="s">
        <v>31</v>
      </c>
    </row>
    <row r="142" spans="1:1" ht="18">
      <c r="A142" s="383" t="s">
        <v>21</v>
      </c>
    </row>
    <row r="189" spans="1:1" ht="18">
      <c r="A189" s="383" t="s">
        <v>19</v>
      </c>
    </row>
    <row r="236" spans="1:1" ht="18">
      <c r="A236" s="383" t="s">
        <v>25</v>
      </c>
    </row>
    <row r="283" spans="1:1" ht="18">
      <c r="A283" s="383" t="s">
        <v>23</v>
      </c>
    </row>
    <row r="330" spans="1:1" ht="18">
      <c r="A330" s="383" t="s">
        <v>504</v>
      </c>
    </row>
  </sheetData>
  <sheetProtection algorithmName="SHA-512" hashValue="bt3oBpvX374TWS6ueZGP+5Jw/++0zbAxi+5Cfahqa3jwv0etgevNHX6lCg9xGGcOgcTqkKK9vYaPZsqP8jJKNA==" saltValue="ikguo3p2uBfr2rbdgqWWE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AE70-9CAF-4E20-B608-A8021E2BC7B6}">
  <sheetPr codeName="Sheet3">
    <tabColor rgb="FF005CB8"/>
  </sheetPr>
  <dimension ref="B1:J34"/>
  <sheetViews>
    <sheetView tabSelected="1" zoomScale="85" zoomScaleNormal="85" workbookViewId="0">
      <selection activeCell="C5" sqref="C5"/>
    </sheetView>
  </sheetViews>
  <sheetFormatPr defaultColWidth="9" defaultRowHeight="14.25" zeroHeight="1"/>
  <cols>
    <col min="1" max="1" width="3" style="204" customWidth="1"/>
    <col min="2" max="2" width="21.625" style="204" customWidth="1"/>
    <col min="3" max="3" width="41.75" style="204" customWidth="1"/>
    <col min="4" max="4" width="5.25" style="204" customWidth="1"/>
    <col min="5" max="5" width="40.375" style="204" bestFit="1" customWidth="1"/>
    <col min="6" max="6" width="24" style="204" customWidth="1"/>
    <col min="7" max="8" width="20.625" style="204" customWidth="1"/>
    <col min="9" max="9" width="18.25" style="204" customWidth="1"/>
    <col min="10" max="10" width="13.625" style="204" hidden="1" customWidth="1"/>
    <col min="11" max="16384" width="9" style="204"/>
  </cols>
  <sheetData>
    <row r="1" spans="2:10"/>
    <row r="2" spans="2:10" s="231" customFormat="1" ht="12">
      <c r="H2" s="283" t="s">
        <v>33</v>
      </c>
      <c r="I2" s="284">
        <f>MAX('Version Log'!B:B)</f>
        <v>6.01</v>
      </c>
    </row>
    <row r="3" spans="2:10" s="231" customFormat="1" ht="12">
      <c r="H3" s="283" t="s">
        <v>34</v>
      </c>
      <c r="I3" s="285">
        <f>MAX('Version Log'!C:C)</f>
        <v>45435</v>
      </c>
    </row>
    <row r="4" spans="2:10" ht="15" thickBot="1"/>
    <row r="5" spans="2:10" s="286" customFormat="1" ht="27.6" customHeight="1" thickBot="1">
      <c r="B5" s="182" t="s">
        <v>35</v>
      </c>
      <c r="C5" s="290"/>
    </row>
    <row r="6" spans="2:10" s="286" customFormat="1" ht="27.6" customHeight="1">
      <c r="B6" s="183" t="s">
        <v>477</v>
      </c>
      <c r="C6" s="291"/>
      <c r="E6" s="188" t="s">
        <v>37</v>
      </c>
      <c r="F6" s="189" t="s">
        <v>491</v>
      </c>
      <c r="G6" s="189" t="s">
        <v>492</v>
      </c>
      <c r="H6" s="261" t="s">
        <v>493</v>
      </c>
      <c r="I6" s="190" t="s">
        <v>494</v>
      </c>
    </row>
    <row r="7" spans="2:10" s="286" customFormat="1" ht="27.6" customHeight="1" thickBot="1">
      <c r="B7" s="184" t="s">
        <v>36</v>
      </c>
      <c r="C7" s="292"/>
      <c r="E7" s="384" t="str">
        <f>IFERROR(IF(SUM(J12:J20)=0,"",MIN(0.5*C10,SUM(J12:J20))),"")</f>
        <v/>
      </c>
      <c r="F7" s="385" t="str">
        <f>IFERROR(IF(SUM(F12:F20)=0,"",SUM(F12:F20)),"")</f>
        <v/>
      </c>
      <c r="G7" s="386" t="str">
        <f>IFERROR(IF(SUM(G12:G20)=0,"",SUM(G12:G20)),"")</f>
        <v/>
      </c>
      <c r="H7" s="387" t="str">
        <f>IFERROR(IF(SUM(H12:H20)=0,"",SUM(H12:H20)),"")</f>
        <v/>
      </c>
      <c r="I7" s="388" t="str">
        <f>IFERROR(IF(SUM(I12:I20)=0,"",SUM(I12:I20)),"")</f>
        <v/>
      </c>
    </row>
    <row r="8" spans="2:10" s="286" customFormat="1" ht="27.6" customHeight="1">
      <c r="B8" s="184" t="s">
        <v>38</v>
      </c>
      <c r="C8" s="292"/>
    </row>
    <row r="9" spans="2:10" s="286" customFormat="1" ht="27.6" customHeight="1" thickBot="1">
      <c r="B9" s="185" t="s">
        <v>39</v>
      </c>
      <c r="C9" s="293"/>
    </row>
    <row r="10" spans="2:10" s="286" customFormat="1" ht="27.6" customHeight="1" thickBot="1">
      <c r="B10" s="186" t="s">
        <v>40</v>
      </c>
      <c r="C10" s="294"/>
      <c r="E10" s="418" t="s">
        <v>41</v>
      </c>
      <c r="F10" s="418" t="s">
        <v>42</v>
      </c>
      <c r="G10" s="420" t="s">
        <v>43</v>
      </c>
      <c r="H10" s="420"/>
      <c r="I10" s="421"/>
      <c r="J10" s="416" t="s">
        <v>44</v>
      </c>
    </row>
    <row r="11" spans="2:10" s="286" customFormat="1" ht="27.6" customHeight="1">
      <c r="E11" s="419"/>
      <c r="F11" s="419"/>
      <c r="G11" s="262" t="s">
        <v>46</v>
      </c>
      <c r="H11" s="187" t="s">
        <v>453</v>
      </c>
      <c r="I11" s="260" t="s">
        <v>355</v>
      </c>
      <c r="J11" s="417"/>
    </row>
    <row r="12" spans="2:10" s="286" customFormat="1" ht="27.6" customHeight="1">
      <c r="E12" s="389" t="s">
        <v>11</v>
      </c>
      <c r="F12" s="390" t="str">
        <f>IFERROR(IF(SUM('Commercial Clothes Washer'!M12:M21)=0,"",SUM('Commercial Clothes Washer'!M12:M21)),"")</f>
        <v/>
      </c>
      <c r="G12" s="391" t="str">
        <f>'Commercial Clothes Washer'!M7</f>
        <v/>
      </c>
      <c r="H12" s="392" t="str">
        <f>'Commercial Clothes Washer'!L7</f>
        <v/>
      </c>
      <c r="I12" s="393" t="str">
        <f>'Commercial Clothes Washer'!O7</f>
        <v/>
      </c>
      <c r="J12" s="287" t="str">
        <f>'Commercial Clothes Washer'!N7</f>
        <v/>
      </c>
    </row>
    <row r="13" spans="2:10" s="286" customFormat="1" ht="27.6" customHeight="1">
      <c r="E13" s="389" t="s">
        <v>47</v>
      </c>
      <c r="F13" s="390" t="str">
        <f>IFERROR(IF(SUM('Non Comm Clothes Washer'!M12:M21)=0,"",SUM('Non Comm Clothes Washer'!M12:M21)),"")</f>
        <v/>
      </c>
      <c r="G13" s="391" t="str">
        <f>'Non Comm Clothes Washer'!M7</f>
        <v/>
      </c>
      <c r="H13" s="392" t="str">
        <f>'Non Comm Clothes Washer'!L7</f>
        <v/>
      </c>
      <c r="I13" s="393" t="str">
        <f>'Non Comm Clothes Washer'!O7</f>
        <v/>
      </c>
      <c r="J13" s="287" t="str">
        <f>'Non Comm Clothes Washer'!N7</f>
        <v/>
      </c>
    </row>
    <row r="14" spans="2:10" s="286" customFormat="1" ht="27.6" customHeight="1">
      <c r="E14" s="389" t="s">
        <v>15</v>
      </c>
      <c r="F14" s="390" t="str">
        <f>IFERROR(IF(SUM('Clothes Dryer'!L15:L24)=0,"",SUM('Clothes Dryer'!L15:L24)),"")</f>
        <v/>
      </c>
      <c r="G14" s="391" t="str">
        <f>'Clothes Dryer'!J9</f>
        <v/>
      </c>
      <c r="H14" s="392" t="str">
        <f>'Clothes Dryer'!K9</f>
        <v/>
      </c>
      <c r="I14" s="393" t="str">
        <f>'Clothes Dryer'!L9</f>
        <v/>
      </c>
      <c r="J14" s="287" t="str">
        <f>'Clothes Dryer'!M9</f>
        <v/>
      </c>
    </row>
    <row r="15" spans="2:10" s="286" customFormat="1" ht="27.6" customHeight="1">
      <c r="E15" s="389" t="s">
        <v>17</v>
      </c>
      <c r="F15" s="390" t="str">
        <f>IFERROR(IF(SUM(Refrigerator!M15:M24)=0,"",SUM(Refrigerator!M15:M24)),"")</f>
        <v/>
      </c>
      <c r="G15" s="391" t="str">
        <f>Refrigerator!L9</f>
        <v/>
      </c>
      <c r="H15" s="392" t="str">
        <f>Refrigerator!M9</f>
        <v/>
      </c>
      <c r="I15" s="409">
        <f>Refrigerator!O9</f>
        <v>0</v>
      </c>
      <c r="J15" s="287" t="str">
        <f>Refrigerator!N9</f>
        <v/>
      </c>
    </row>
    <row r="16" spans="2:10" s="286" customFormat="1" ht="27.6" customHeight="1">
      <c r="E16" s="389" t="s">
        <v>21</v>
      </c>
      <c r="F16" s="390" t="str">
        <f>IFERROR(IF(SUM(Freezer!J15:J24)=0,"",SUM(Freezer!J15:J24)),"")</f>
        <v/>
      </c>
      <c r="G16" s="391" t="str">
        <f>Freezer!I9</f>
        <v/>
      </c>
      <c r="H16" s="392" t="str">
        <f>Freezer!J9</f>
        <v/>
      </c>
      <c r="I16" s="393" t="str">
        <f>Freezer!N9</f>
        <v/>
      </c>
      <c r="J16" s="287" t="str">
        <f>Freezer!K9</f>
        <v/>
      </c>
    </row>
    <row r="17" spans="2:10" ht="27.6" customHeight="1">
      <c r="B17" s="286"/>
      <c r="C17" s="286"/>
      <c r="E17" s="389" t="s">
        <v>19</v>
      </c>
      <c r="F17" s="390" t="str">
        <f>IFERROR(IF('Heat Pump Water Heater'!H7=0,"",'Heat Pump Water Heater'!H7),"")</f>
        <v/>
      </c>
      <c r="G17" s="391" t="str">
        <f>'Heat Pump Water Heater'!C7</f>
        <v/>
      </c>
      <c r="H17" s="392" t="str">
        <f>'Heat Pump Water Heater'!B7</f>
        <v/>
      </c>
      <c r="I17" s="393" t="str">
        <f>'Heat Pump Water Heater'!J7</f>
        <v/>
      </c>
      <c r="J17" s="287" t="str">
        <f>'Heat Pump Water Heater'!I7</f>
        <v/>
      </c>
    </row>
    <row r="18" spans="2:10" ht="27.6" customHeight="1">
      <c r="E18" s="389" t="s">
        <v>25</v>
      </c>
      <c r="F18" s="394" t="str">
        <f>IFERROR(IF('Water Cooler'!I7=0,"",'Water Cooler'!I7),"")</f>
        <v/>
      </c>
      <c r="G18" s="391" t="str">
        <f>'Water Cooler'!C7</f>
        <v/>
      </c>
      <c r="H18" s="392" t="str">
        <f>'Water Cooler'!B7</f>
        <v/>
      </c>
      <c r="I18" s="393" t="str">
        <f>'Water Cooler'!K7</f>
        <v/>
      </c>
      <c r="J18" s="287" t="str">
        <f>'Water Cooler'!J7</f>
        <v/>
      </c>
    </row>
    <row r="19" spans="2:10" ht="27.6" customHeight="1">
      <c r="E19" s="395" t="s">
        <v>23</v>
      </c>
      <c r="F19" s="394" t="str">
        <f>IFERROR(IF(SUM('Dehumidifier '!M15:M24)=0,"",SUM('Dehumidifier '!M15:M24)),"")</f>
        <v/>
      </c>
      <c r="G19" s="396" t="str">
        <f>'Dehumidifier '!L9</f>
        <v/>
      </c>
      <c r="H19" s="397" t="str">
        <f>'Dehumidifier '!M9</f>
        <v/>
      </c>
      <c r="I19" s="398" t="str">
        <f>'Dehumidifier '!O9</f>
        <v/>
      </c>
      <c r="J19" s="288" t="str">
        <f>'Dehumidifier '!N9</f>
        <v/>
      </c>
    </row>
    <row r="20" spans="2:10" ht="27.6" customHeight="1" thickBot="1">
      <c r="E20" s="399" t="s">
        <v>495</v>
      </c>
      <c r="F20" s="400" t="str">
        <f>IFERROR(IF('EV Charger'!H6=0,"",'EV Charger'!H6),"")</f>
        <v/>
      </c>
      <c r="G20" s="401" t="str">
        <f>'EV Charger'!C6</f>
        <v/>
      </c>
      <c r="H20" s="402" t="str">
        <f>'EV Charger'!B6</f>
        <v/>
      </c>
      <c r="I20" s="388" t="str">
        <f>'EV Charger'!J6</f>
        <v/>
      </c>
      <c r="J20" s="289" t="str">
        <f>'EV Charger'!K6</f>
        <v/>
      </c>
    </row>
    <row r="21" spans="2:10" ht="24.95" customHeight="1"/>
    <row r="22" spans="2:10" ht="24.95" hidden="1" customHeight="1"/>
    <row r="23" spans="2:10" ht="24.95" hidden="1" customHeight="1"/>
    <row r="25" spans="2:10" hidden="1">
      <c r="B25" s="204" t="s">
        <v>48</v>
      </c>
    </row>
    <row r="26" spans="2:10" hidden="1">
      <c r="B26" s="204" t="s">
        <v>11</v>
      </c>
    </row>
    <row r="27" spans="2:10" hidden="1">
      <c r="B27" s="204" t="s">
        <v>47</v>
      </c>
    </row>
    <row r="28" spans="2:10" hidden="1">
      <c r="B28" s="204" t="s">
        <v>15</v>
      </c>
    </row>
    <row r="29" spans="2:10" hidden="1">
      <c r="B29" s="204" t="s">
        <v>17</v>
      </c>
    </row>
    <row r="30" spans="2:10" hidden="1">
      <c r="B30" s="204" t="s">
        <v>49</v>
      </c>
    </row>
    <row r="31" spans="2:10" hidden="1">
      <c r="B31" s="204" t="s">
        <v>19</v>
      </c>
    </row>
    <row r="32" spans="2:10" hidden="1">
      <c r="B32" s="204" t="s">
        <v>50</v>
      </c>
    </row>
    <row r="33" spans="2:2" hidden="1">
      <c r="B33" s="204" t="s">
        <v>51</v>
      </c>
    </row>
    <row r="34" spans="2:2"/>
  </sheetData>
  <sheetProtection algorithmName="SHA-512" hashValue="CoKimNsZgXGxoGttFf6BsqULZ3VovaTpyBGhHPi1DX5rVpOiOt1Ep+sG6KA34eXs3IEdbgIgS49HswxneLY6Sw==" saltValue="UiyrPL/bRbMPpaku+GOMZg==" spinCount="100000" sheet="1" objects="1" scenarios="1"/>
  <mergeCells count="4">
    <mergeCell ref="J10:J11"/>
    <mergeCell ref="E10:E11"/>
    <mergeCell ref="F10:F11"/>
    <mergeCell ref="G10:I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4324CE0-96AC-47AE-AD21-ABCAFA551B78}">
          <x14:formula1>
            <xm:f>'Lookup Tables'!$C$218:$C$253</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D86A-BEAB-4B6C-81D1-05291128E34B}">
  <sheetPr codeName="Sheet5">
    <tabColor rgb="FF005CB8"/>
  </sheetPr>
  <dimension ref="A1:Q22"/>
  <sheetViews>
    <sheetView showGridLines="0" zoomScale="90" zoomScaleNormal="90" workbookViewId="0">
      <selection activeCell="R21" sqref="R21"/>
    </sheetView>
  </sheetViews>
  <sheetFormatPr defaultColWidth="8.625" defaultRowHeight="12"/>
  <cols>
    <col min="1" max="1" width="8.625" style="231"/>
    <col min="2" max="2" width="6.625" style="231" customWidth="1"/>
    <col min="3" max="3" width="15" style="231" customWidth="1"/>
    <col min="4" max="4" width="14" style="231" customWidth="1"/>
    <col min="5" max="5" width="23.5" style="231" customWidth="1"/>
    <col min="6" max="6" width="15.875" style="231" customWidth="1"/>
    <col min="7" max="7" width="10.75" style="231" customWidth="1"/>
    <col min="8" max="8" width="17" style="231" customWidth="1"/>
    <col min="9" max="9" width="19.5" style="231" customWidth="1"/>
    <col min="10" max="10" width="16.875" style="231" customWidth="1"/>
    <col min="11" max="11" width="19.5" style="231" customWidth="1"/>
    <col min="12" max="12" width="17.25" style="231" customWidth="1"/>
    <col min="13" max="13" width="16" style="231" customWidth="1"/>
    <col min="14" max="14" width="11.375" style="231" hidden="1" customWidth="1"/>
    <col min="15" max="15" width="10.25" style="231" hidden="1" customWidth="1"/>
    <col min="16" max="16" width="12.25" style="231" customWidth="1"/>
    <col min="17" max="17" width="9.375" style="231" customWidth="1"/>
    <col min="18" max="16384" width="8.625" style="231"/>
  </cols>
  <sheetData>
    <row r="1" spans="1:17" ht="33" customHeight="1"/>
    <row r="2" spans="1:17" ht="18">
      <c r="B2" s="300" t="s">
        <v>11</v>
      </c>
      <c r="D2" s="343"/>
      <c r="E2" s="343"/>
      <c r="F2" s="343"/>
      <c r="G2" s="216"/>
    </row>
    <row r="3" spans="1:17" ht="23.25" customHeight="1">
      <c r="B3" s="370" t="s">
        <v>499</v>
      </c>
      <c r="C3" s="344"/>
      <c r="D3" s="344"/>
      <c r="E3" s="344"/>
      <c r="F3" s="344"/>
      <c r="G3" s="209"/>
    </row>
    <row r="4" spans="1:17" ht="15" hidden="1" thickBot="1">
      <c r="A4" s="204"/>
      <c r="B4" s="204"/>
      <c r="C4" s="209"/>
      <c r="D4" s="209"/>
      <c r="E4" s="209"/>
      <c r="F4" s="209"/>
      <c r="G4" s="204"/>
      <c r="H4" s="204"/>
      <c r="I4" s="204"/>
      <c r="J4" s="204"/>
      <c r="K4" s="204"/>
      <c r="L4" s="204"/>
      <c r="M4" s="204"/>
      <c r="N4" s="204"/>
      <c r="O4" s="204"/>
    </row>
    <row r="5" spans="1:17" ht="15" hidden="1" customHeight="1" thickBot="1">
      <c r="A5" s="204"/>
      <c r="B5" s="204"/>
      <c r="C5" s="345" t="s">
        <v>35</v>
      </c>
      <c r="D5" s="425" t="str">
        <f>IF(Summary!C5="","",Summary!C5)</f>
        <v/>
      </c>
      <c r="E5" s="426"/>
      <c r="F5" s="427"/>
      <c r="G5" s="204"/>
      <c r="H5" s="204"/>
      <c r="I5" s="204"/>
      <c r="J5" s="204"/>
      <c r="K5" s="204"/>
      <c r="L5" s="346" t="s">
        <v>59</v>
      </c>
      <c r="M5" s="304"/>
      <c r="N5" s="304"/>
      <c r="O5" s="304"/>
      <c r="P5" s="216"/>
      <c r="Q5" s="216"/>
    </row>
    <row r="6" spans="1:17" ht="35.450000000000003" hidden="1" customHeight="1" thickBot="1">
      <c r="A6" s="204"/>
      <c r="B6" s="204"/>
      <c r="C6" s="347" t="s">
        <v>36</v>
      </c>
      <c r="D6" s="422" t="str">
        <f>IF(Summary!C7="","",Summary!C7)</f>
        <v/>
      </c>
      <c r="E6" s="423"/>
      <c r="F6" s="424"/>
      <c r="G6" s="204"/>
      <c r="H6" s="204"/>
      <c r="I6" s="204"/>
      <c r="J6" s="204"/>
      <c r="K6" s="204"/>
      <c r="L6" s="348" t="s">
        <v>58</v>
      </c>
      <c r="M6" s="349" t="s">
        <v>57</v>
      </c>
      <c r="N6" s="277" t="s">
        <v>60</v>
      </c>
      <c r="O6" s="348" t="s">
        <v>490</v>
      </c>
    </row>
    <row r="7" spans="1:17" ht="15" hidden="1" customHeight="1" thickBot="1">
      <c r="A7" s="204"/>
      <c r="B7" s="204"/>
      <c r="C7" s="350" t="s">
        <v>38</v>
      </c>
      <c r="D7" s="428" t="str">
        <f>IF(Summary!C8="","",Summary!C8)</f>
        <v/>
      </c>
      <c r="E7" s="429"/>
      <c r="F7" s="430"/>
      <c r="G7" s="204"/>
      <c r="H7" s="204"/>
      <c r="I7" s="204"/>
      <c r="J7" s="204"/>
      <c r="K7" s="204"/>
      <c r="L7" s="351" t="str">
        <f>IFERROR(IF(SUM(C12:C21)=0,"",SUM(C12:C21)),"")</f>
        <v/>
      </c>
      <c r="M7" s="352" t="str">
        <f>IFERROR(IF(SUM(D12:D21)=0,"",SUM(D12:D21)),"")</f>
        <v/>
      </c>
      <c r="N7" s="353" t="str">
        <f>IFERROR(IF(SUM(N12:N21)=0,"",SUM(N12:N21)),"")</f>
        <v/>
      </c>
      <c r="O7" s="351" t="str">
        <f>IFERROR(IF(SUM(O12:O21)=0,"",SUM(O12:O21)),"")</f>
        <v/>
      </c>
    </row>
    <row r="8" spans="1:17" ht="12.75" hidden="1" customHeight="1" thickBot="1">
      <c r="A8" s="204"/>
      <c r="B8" s="204"/>
      <c r="C8" s="354" t="s">
        <v>52</v>
      </c>
      <c r="D8" s="355"/>
      <c r="E8" s="356"/>
      <c r="F8" s="357"/>
      <c r="G8" s="204"/>
      <c r="H8" s="204"/>
      <c r="I8" s="204"/>
      <c r="J8" s="204"/>
      <c r="K8" s="204"/>
      <c r="L8" s="204"/>
      <c r="M8" s="204"/>
      <c r="N8" s="204"/>
      <c r="O8" s="204"/>
    </row>
    <row r="9" spans="1:17" ht="14.25" hidden="1">
      <c r="A9" s="204"/>
      <c r="B9" s="204"/>
      <c r="C9" s="358"/>
      <c r="D9" s="359"/>
      <c r="E9" s="359"/>
      <c r="F9" s="431"/>
      <c r="G9" s="431"/>
      <c r="H9" s="431"/>
      <c r="I9" s="204"/>
      <c r="J9" s="204"/>
      <c r="K9" s="204"/>
      <c r="L9" s="204"/>
      <c r="M9" s="204"/>
      <c r="N9" s="204"/>
      <c r="O9" s="204"/>
    </row>
    <row r="10" spans="1:17" ht="15" thickBot="1">
      <c r="A10" s="204"/>
      <c r="B10" s="204"/>
      <c r="C10" s="204"/>
      <c r="D10" s="204"/>
      <c r="E10" s="360"/>
      <c r="F10" s="204"/>
      <c r="G10" s="204"/>
      <c r="H10" s="204"/>
      <c r="I10" s="204"/>
      <c r="J10" s="204"/>
      <c r="K10" s="204"/>
      <c r="L10" s="204"/>
      <c r="M10" s="204"/>
      <c r="N10" s="204"/>
      <c r="O10" s="204"/>
    </row>
    <row r="11" spans="1:17" ht="48" customHeight="1">
      <c r="A11" s="204"/>
      <c r="B11" s="238" t="s">
        <v>62</v>
      </c>
      <c r="C11" s="239" t="s">
        <v>58</v>
      </c>
      <c r="D11" s="239" t="s">
        <v>57</v>
      </c>
      <c r="E11" s="240" t="s">
        <v>53</v>
      </c>
      <c r="F11" s="240" t="s">
        <v>63</v>
      </c>
      <c r="G11" s="239" t="s">
        <v>64</v>
      </c>
      <c r="H11" s="239" t="s">
        <v>65</v>
      </c>
      <c r="I11" s="239" t="s">
        <v>66</v>
      </c>
      <c r="J11" s="239" t="s">
        <v>67</v>
      </c>
      <c r="K11" s="239" t="s">
        <v>68</v>
      </c>
      <c r="L11" s="239" t="s">
        <v>69</v>
      </c>
      <c r="M11" s="241" t="s">
        <v>70</v>
      </c>
      <c r="N11" s="336" t="s">
        <v>60</v>
      </c>
      <c r="O11" s="336" t="s">
        <v>490</v>
      </c>
    </row>
    <row r="12" spans="1:17" ht="14.25" customHeight="1">
      <c r="A12" s="204"/>
      <c r="B12" s="242">
        <v>1</v>
      </c>
      <c r="C12" s="334" t="str">
        <f>IFERROR('Lookup Tables'!I35,"")</f>
        <v/>
      </c>
      <c r="D12" s="324" t="str">
        <f>IFERROR('Lookup Tables'!Q35,"")</f>
        <v/>
      </c>
      <c r="E12" s="248"/>
      <c r="F12" s="248"/>
      <c r="G12" s="248"/>
      <c r="H12" s="327"/>
      <c r="I12" s="327"/>
      <c r="J12" s="328"/>
      <c r="K12" s="328"/>
      <c r="L12" s="329"/>
      <c r="M12" s="339"/>
      <c r="N12" s="337" t="str">
        <f>IFERROR('Lookup Tables'!R35,"")</f>
        <v/>
      </c>
      <c r="O12" s="337" t="str">
        <f>IFERROR('Lookup Tables'!W35,"")</f>
        <v/>
      </c>
    </row>
    <row r="13" spans="1:17" ht="14.25" customHeight="1">
      <c r="A13" s="204"/>
      <c r="B13" s="242">
        <v>2</v>
      </c>
      <c r="C13" s="334" t="str">
        <f>IFERROR('Lookup Tables'!I36,"")</f>
        <v/>
      </c>
      <c r="D13" s="324" t="str">
        <f>IFERROR('Lookup Tables'!Q36,"")</f>
        <v/>
      </c>
      <c r="E13" s="248"/>
      <c r="F13" s="248"/>
      <c r="G13" s="248"/>
      <c r="H13" s="327"/>
      <c r="I13" s="327"/>
      <c r="J13" s="328"/>
      <c r="K13" s="328"/>
      <c r="L13" s="329"/>
      <c r="M13" s="339"/>
      <c r="N13" s="337" t="str">
        <f>IFERROR('Lookup Tables'!R36,"")</f>
        <v/>
      </c>
      <c r="O13" s="337" t="str">
        <f>IFERROR('Lookup Tables'!W36,"")</f>
        <v/>
      </c>
    </row>
    <row r="14" spans="1:17" ht="14.25" customHeight="1">
      <c r="A14" s="204"/>
      <c r="B14" s="242">
        <v>3</v>
      </c>
      <c r="C14" s="334" t="str">
        <f>IFERROR('Lookup Tables'!I37,"")</f>
        <v/>
      </c>
      <c r="D14" s="324" t="str">
        <f>IFERROR('Lookup Tables'!Q37,"")</f>
        <v/>
      </c>
      <c r="E14" s="248"/>
      <c r="F14" s="248"/>
      <c r="G14" s="248"/>
      <c r="H14" s="327"/>
      <c r="I14" s="327"/>
      <c r="J14" s="328"/>
      <c r="K14" s="328"/>
      <c r="L14" s="329"/>
      <c r="M14" s="339"/>
      <c r="N14" s="337" t="str">
        <f>IFERROR('Lookup Tables'!R37,"")</f>
        <v/>
      </c>
      <c r="O14" s="337" t="str">
        <f>IFERROR('Lookup Tables'!W37,"")</f>
        <v/>
      </c>
    </row>
    <row r="15" spans="1:17" ht="14.25" customHeight="1">
      <c r="A15" s="204"/>
      <c r="B15" s="242">
        <v>4</v>
      </c>
      <c r="C15" s="334" t="str">
        <f>IFERROR('Lookup Tables'!I38,"")</f>
        <v/>
      </c>
      <c r="D15" s="324" t="str">
        <f>IFERROR('Lookup Tables'!Q38,"")</f>
        <v/>
      </c>
      <c r="E15" s="248"/>
      <c r="F15" s="248"/>
      <c r="G15" s="248"/>
      <c r="H15" s="327"/>
      <c r="I15" s="327"/>
      <c r="J15" s="328"/>
      <c r="K15" s="328"/>
      <c r="L15" s="329"/>
      <c r="M15" s="339"/>
      <c r="N15" s="337" t="str">
        <f>IFERROR('Lookup Tables'!R38,"")</f>
        <v/>
      </c>
      <c r="O15" s="337" t="str">
        <f>IFERROR('Lookup Tables'!W38,"")</f>
        <v/>
      </c>
    </row>
    <row r="16" spans="1:17" ht="14.25" customHeight="1">
      <c r="A16" s="204"/>
      <c r="B16" s="242">
        <v>5</v>
      </c>
      <c r="C16" s="334" t="str">
        <f>IFERROR('Lookup Tables'!I39,"")</f>
        <v/>
      </c>
      <c r="D16" s="324" t="str">
        <f>IFERROR('Lookup Tables'!Q39,"")</f>
        <v/>
      </c>
      <c r="E16" s="248"/>
      <c r="F16" s="248"/>
      <c r="G16" s="248"/>
      <c r="H16" s="327"/>
      <c r="I16" s="327"/>
      <c r="J16" s="328"/>
      <c r="K16" s="328"/>
      <c r="L16" s="329"/>
      <c r="M16" s="339"/>
      <c r="N16" s="337" t="str">
        <f>IFERROR('Lookup Tables'!R39,"")</f>
        <v/>
      </c>
      <c r="O16" s="337" t="str">
        <f>IFERROR('Lookup Tables'!W39,"")</f>
        <v/>
      </c>
    </row>
    <row r="17" spans="1:15" ht="14.25" customHeight="1">
      <c r="A17" s="204"/>
      <c r="B17" s="242">
        <v>6</v>
      </c>
      <c r="C17" s="334" t="str">
        <f>IFERROR('Lookup Tables'!I40,"")</f>
        <v/>
      </c>
      <c r="D17" s="324" t="str">
        <f>IFERROR('Lookup Tables'!Q40,"")</f>
        <v/>
      </c>
      <c r="E17" s="248"/>
      <c r="F17" s="248"/>
      <c r="G17" s="248"/>
      <c r="H17" s="327"/>
      <c r="I17" s="327"/>
      <c r="J17" s="328"/>
      <c r="K17" s="328"/>
      <c r="L17" s="329"/>
      <c r="M17" s="339"/>
      <c r="N17" s="337" t="str">
        <f>IFERROR('Lookup Tables'!R40,"")</f>
        <v/>
      </c>
      <c r="O17" s="337" t="str">
        <f>IFERROR('Lookup Tables'!W40,"")</f>
        <v/>
      </c>
    </row>
    <row r="18" spans="1:15" ht="14.25" customHeight="1">
      <c r="A18" s="204"/>
      <c r="B18" s="242">
        <v>7</v>
      </c>
      <c r="C18" s="334" t="str">
        <f>IFERROR('Lookup Tables'!I41,"")</f>
        <v/>
      </c>
      <c r="D18" s="324" t="str">
        <f>IFERROR('Lookup Tables'!Q41,"")</f>
        <v/>
      </c>
      <c r="E18" s="248"/>
      <c r="F18" s="248"/>
      <c r="G18" s="248"/>
      <c r="H18" s="327"/>
      <c r="I18" s="327"/>
      <c r="J18" s="328"/>
      <c r="K18" s="328"/>
      <c r="L18" s="329"/>
      <c r="M18" s="339"/>
      <c r="N18" s="337" t="str">
        <f>IFERROR('Lookup Tables'!R41,"")</f>
        <v/>
      </c>
      <c r="O18" s="337" t="str">
        <f>IFERROR('Lookup Tables'!W41,"")</f>
        <v/>
      </c>
    </row>
    <row r="19" spans="1:15" ht="14.25" customHeight="1">
      <c r="A19" s="204"/>
      <c r="B19" s="242">
        <v>8</v>
      </c>
      <c r="C19" s="334" t="str">
        <f>IFERROR('Lookup Tables'!I42,"")</f>
        <v/>
      </c>
      <c r="D19" s="324" t="str">
        <f>IFERROR('Lookup Tables'!Q42,"")</f>
        <v/>
      </c>
      <c r="E19" s="248"/>
      <c r="F19" s="248"/>
      <c r="G19" s="248"/>
      <c r="H19" s="327"/>
      <c r="I19" s="327"/>
      <c r="J19" s="328"/>
      <c r="K19" s="328"/>
      <c r="L19" s="329"/>
      <c r="M19" s="339"/>
      <c r="N19" s="337" t="str">
        <f>IFERROR('Lookup Tables'!R42,"")</f>
        <v/>
      </c>
      <c r="O19" s="337" t="str">
        <f>IFERROR('Lookup Tables'!W42,"")</f>
        <v/>
      </c>
    </row>
    <row r="20" spans="1:15" ht="14.25" customHeight="1">
      <c r="A20" s="204"/>
      <c r="B20" s="242">
        <v>9</v>
      </c>
      <c r="C20" s="334" t="str">
        <f>IFERROR('Lookup Tables'!I43,"")</f>
        <v/>
      </c>
      <c r="D20" s="324" t="str">
        <f>IFERROR('Lookup Tables'!Q43,"")</f>
        <v/>
      </c>
      <c r="E20" s="248"/>
      <c r="F20" s="248"/>
      <c r="G20" s="248"/>
      <c r="H20" s="327"/>
      <c r="I20" s="327"/>
      <c r="J20" s="328"/>
      <c r="K20" s="328"/>
      <c r="L20" s="329"/>
      <c r="M20" s="339"/>
      <c r="N20" s="337" t="str">
        <f>IFERROR('Lookup Tables'!R43,"")</f>
        <v/>
      </c>
      <c r="O20" s="337" t="str">
        <f>IFERROR('Lookup Tables'!W43,"")</f>
        <v/>
      </c>
    </row>
    <row r="21" spans="1:15" ht="14.25" customHeight="1" thickBot="1">
      <c r="A21" s="204"/>
      <c r="B21" s="243">
        <v>10</v>
      </c>
      <c r="C21" s="335" t="str">
        <f>IFERROR('Lookup Tables'!I44,"")</f>
        <v/>
      </c>
      <c r="D21" s="325" t="str">
        <f>IFERROR('Lookup Tables'!Q44,"")</f>
        <v/>
      </c>
      <c r="E21" s="254"/>
      <c r="F21" s="254"/>
      <c r="G21" s="254"/>
      <c r="H21" s="331"/>
      <c r="I21" s="331"/>
      <c r="J21" s="332"/>
      <c r="K21" s="332"/>
      <c r="L21" s="333"/>
      <c r="M21" s="340"/>
      <c r="N21" s="338" t="str">
        <f>IFERROR('Lookup Tables'!R44,"")</f>
        <v/>
      </c>
      <c r="O21" s="337" t="str">
        <f>IFERROR('Lookup Tables'!W44,"")</f>
        <v/>
      </c>
    </row>
    <row r="22" spans="1:15" ht="13.5" customHeight="1"/>
  </sheetData>
  <sheetProtection algorithmName="SHA-512" hashValue="IfsynObqkXzNE4VCs8XfS6XMHg1zTTX5zJmdmkiC2poap7AdqQpA3YQT32qgJ8yOZLEoGDWVrZZd1e4F9aYJcQ==" saltValue="dXzWy4dYqUNX7EtBeK6x1g==" spinCount="100000" sheet="1" objects="1" scenarios="1"/>
  <mergeCells count="4">
    <mergeCell ref="D6:F6"/>
    <mergeCell ref="D5:F5"/>
    <mergeCell ref="D7:F7"/>
    <mergeCell ref="F9:H9"/>
  </mergeCells>
  <dataValidations count="1">
    <dataValidation type="list" allowBlank="1" showInputMessage="1" showErrorMessage="1" sqref="D9:E9" xr:uid="{B0464C2D-B5CA-4B34-B304-FA557318FE46}">
      <formula1>$C$14:$C$15</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5">
        <x14:dataValidation type="list" allowBlank="1" showInputMessage="1" showErrorMessage="1" xr:uid="{43484605-2EA6-4335-B31B-462EE178050D}">
          <x14:formula1>
            <xm:f>'Lookup Tables'!$C$13:$C$14</xm:f>
          </x14:formula1>
          <xm:sqref>I12:I21</xm:sqref>
        </x14:dataValidation>
        <x14:dataValidation type="list" allowBlank="1" showInputMessage="1" showErrorMessage="1" xr:uid="{0C38C72C-0490-498A-A5D4-B4E32FE093CD}">
          <x14:formula1>
            <xm:f>'Lookup Tables'!$G$14:$G$15</xm:f>
          </x14:formula1>
          <xm:sqref>J12:J21</xm:sqref>
        </x14:dataValidation>
        <x14:dataValidation type="list" allowBlank="1" showInputMessage="1" showErrorMessage="1" xr:uid="{6B23B997-8CB7-4826-A62E-5FD46205221C}">
          <x14:formula1>
            <xm:f>'Lookup Tables'!$G$22:$G$23</xm:f>
          </x14:formula1>
          <xm:sqref>K12:K21</xm:sqref>
        </x14:dataValidation>
        <x14:dataValidation type="list" allowBlank="1" showInputMessage="1" showErrorMessage="1" xr:uid="{BFAF029C-B028-4722-B2FA-307543ACAB24}">
          <x14:formula1>
            <xm:f>'Lookup Tables'!$G$18:$G$19</xm:f>
          </x14:formula1>
          <xm:sqref>H12:H21</xm:sqref>
        </x14:dataValidation>
        <x14:dataValidation type="list" allowBlank="1" showInputMessage="1" showErrorMessage="1" xr:uid="{5AC9B2D5-EAAD-43C4-B41C-D143DC60E528}">
          <x14:formula1>
            <xm:f>'Lookup Tables'!#REF!</xm:f>
          </x14:formula1>
          <xm:sqref>F9:H9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96357-CA3E-4DE6-A3EC-E78E5DFAB7A2}">
  <sheetPr codeName="Sheet6">
    <tabColor rgb="FFFFF8CA"/>
  </sheetPr>
  <dimension ref="B1:Q21"/>
  <sheetViews>
    <sheetView zoomScale="90" zoomScaleNormal="90" workbookViewId="0">
      <selection activeCell="F18" sqref="F18"/>
    </sheetView>
  </sheetViews>
  <sheetFormatPr defaultColWidth="8.625" defaultRowHeight="12"/>
  <cols>
    <col min="1" max="1" width="7.75" style="231" customWidth="1"/>
    <col min="2" max="2" width="6.625" style="231" customWidth="1"/>
    <col min="3" max="3" width="15" style="231" customWidth="1"/>
    <col min="4" max="4" width="15.375" style="231" customWidth="1"/>
    <col min="5" max="5" width="24.25" style="231" customWidth="1"/>
    <col min="6" max="6" width="19.375" style="231" customWidth="1"/>
    <col min="7" max="7" width="10.875" style="231" customWidth="1"/>
    <col min="8" max="8" width="21.375" style="231" customWidth="1"/>
    <col min="9" max="9" width="16.625" style="231" customWidth="1"/>
    <col min="10" max="10" width="15" style="231" customWidth="1"/>
    <col min="11" max="11" width="18.75" style="231" customWidth="1"/>
    <col min="12" max="12" width="19.625" style="231" customWidth="1"/>
    <col min="13" max="13" width="11.875" style="231" bestFit="1" customWidth="1"/>
    <col min="14" max="15" width="10.25" style="231" hidden="1" customWidth="1"/>
    <col min="16" max="16" width="12.25" style="231" customWidth="1"/>
    <col min="17" max="17" width="9.375" style="231" customWidth="1"/>
    <col min="18" max="16384" width="8.625" style="231"/>
  </cols>
  <sheetData>
    <row r="1" spans="2:17" ht="28.5" customHeight="1"/>
    <row r="2" spans="2:17" ht="18">
      <c r="B2" s="300" t="s">
        <v>30</v>
      </c>
      <c r="D2" s="343"/>
      <c r="E2" s="343"/>
      <c r="F2" s="343"/>
      <c r="G2" s="216"/>
    </row>
    <row r="3" spans="2:17" ht="19.5" customHeight="1">
      <c r="B3" s="204" t="s">
        <v>499</v>
      </c>
      <c r="C3" s="344"/>
      <c r="D3" s="344"/>
      <c r="E3" s="344"/>
      <c r="F3" s="344"/>
      <c r="G3" s="209"/>
    </row>
    <row r="4" spans="2:17" ht="15" hidden="1" thickBot="1">
      <c r="C4" s="209"/>
      <c r="D4" s="209"/>
      <c r="E4" s="209"/>
      <c r="F4" s="209"/>
    </row>
    <row r="5" spans="2:17" ht="15" hidden="1" customHeight="1" thickBot="1">
      <c r="C5" s="210" t="s">
        <v>35</v>
      </c>
      <c r="D5" s="432" t="str">
        <f>IF(Summary!C5="","",Summary!C5)</f>
        <v/>
      </c>
      <c r="E5" s="433"/>
      <c r="F5" s="434"/>
      <c r="L5" s="215" t="s">
        <v>59</v>
      </c>
      <c r="M5" s="216"/>
      <c r="N5" s="216"/>
      <c r="O5" s="216"/>
      <c r="P5" s="216"/>
      <c r="Q5" s="216"/>
    </row>
    <row r="6" spans="2:17" ht="35.450000000000003" hidden="1" customHeight="1" thickBot="1">
      <c r="C6" s="217" t="s">
        <v>36</v>
      </c>
      <c r="D6" s="440" t="str">
        <f>IF(Summary!C7="","",Summary!C7)</f>
        <v/>
      </c>
      <c r="E6" s="441"/>
      <c r="F6" s="442"/>
      <c r="L6" s="317" t="s">
        <v>58</v>
      </c>
      <c r="M6" s="318" t="s">
        <v>57</v>
      </c>
      <c r="N6" s="268" t="s">
        <v>60</v>
      </c>
      <c r="O6" s="268" t="s">
        <v>490</v>
      </c>
    </row>
    <row r="7" spans="2:17" ht="15" hidden="1" customHeight="1" thickBot="1">
      <c r="C7" s="228" t="s">
        <v>38</v>
      </c>
      <c r="D7" s="437" t="str">
        <f>IF(Summary!C8="","",Summary!C8)</f>
        <v/>
      </c>
      <c r="E7" s="438"/>
      <c r="F7" s="439"/>
      <c r="L7" s="342" t="str">
        <f>IFERROR(IF(SUM(C12:C21)=0,"",SUM(C12:C21)),"")</f>
        <v/>
      </c>
      <c r="M7" s="341" t="str">
        <f>IFERROR(IF(SUM(D12:D21)=0,"",SUM(D12:D21)),"")</f>
        <v/>
      </c>
      <c r="N7" s="319" t="str">
        <f>IFERROR(IF(SUM(N12:N21)=0,"",SUM(N12:N21)),"")</f>
        <v/>
      </c>
      <c r="O7" s="314" t="str">
        <f>IFERROR(IF(SUM(O12:O21)=0,"",SUM(O12:O21)),"")</f>
        <v/>
      </c>
    </row>
    <row r="8" spans="2:17" ht="12.75" hidden="1" thickBot="1">
      <c r="E8" s="320" t="s">
        <v>52</v>
      </c>
      <c r="F8" s="436"/>
      <c r="G8" s="436"/>
      <c r="H8" s="436"/>
    </row>
    <row r="9" spans="2:17" hidden="1">
      <c r="E9" s="321"/>
      <c r="F9" s="435"/>
      <c r="G9" s="435"/>
      <c r="H9" s="435"/>
    </row>
    <row r="10" spans="2:17" ht="12.75" thickBot="1">
      <c r="E10" s="232"/>
      <c r="F10" s="435"/>
      <c r="G10" s="435"/>
      <c r="H10" s="435"/>
    </row>
    <row r="11" spans="2:17" ht="48" customHeight="1">
      <c r="B11" s="238" t="s">
        <v>62</v>
      </c>
      <c r="C11" s="239" t="s">
        <v>58</v>
      </c>
      <c r="D11" s="239" t="s">
        <v>57</v>
      </c>
      <c r="E11" s="240" t="s">
        <v>53</v>
      </c>
      <c r="F11" s="240" t="s">
        <v>54</v>
      </c>
      <c r="G11" s="239" t="s">
        <v>64</v>
      </c>
      <c r="H11" s="239" t="s">
        <v>66</v>
      </c>
      <c r="I11" s="239" t="s">
        <v>67</v>
      </c>
      <c r="J11" s="239" t="s">
        <v>68</v>
      </c>
      <c r="K11" s="239" t="s">
        <v>69</v>
      </c>
      <c r="L11" s="239" t="s">
        <v>71</v>
      </c>
      <c r="M11" s="241" t="s">
        <v>70</v>
      </c>
      <c r="N11" s="336" t="s">
        <v>60</v>
      </c>
      <c r="O11" s="241" t="s">
        <v>490</v>
      </c>
    </row>
    <row r="12" spans="2:17" ht="14.25" customHeight="1">
      <c r="B12" s="242">
        <v>1</v>
      </c>
      <c r="C12" s="334" t="str">
        <f>IFERROR('Lookup Tables'!N62,"")</f>
        <v/>
      </c>
      <c r="D12" s="324" t="str">
        <f>IFERROR('Lookup Tables'!M62,"")</f>
        <v/>
      </c>
      <c r="E12" s="326"/>
      <c r="F12" s="326"/>
      <c r="G12" s="326"/>
      <c r="H12" s="327"/>
      <c r="I12" s="328"/>
      <c r="J12" s="328"/>
      <c r="K12" s="329"/>
      <c r="L12" s="328"/>
      <c r="M12" s="339"/>
      <c r="N12" s="337">
        <f>IFERROR('Lookup Tables'!Q62,"")</f>
        <v>0</v>
      </c>
      <c r="O12" s="322" t="str">
        <f>IFERROR('Lookup Tables'!R62,"")</f>
        <v/>
      </c>
    </row>
    <row r="13" spans="2:17" ht="14.25" customHeight="1">
      <c r="B13" s="242">
        <v>2</v>
      </c>
      <c r="C13" s="334" t="str">
        <f>IFERROR('Lookup Tables'!N63,"")</f>
        <v/>
      </c>
      <c r="D13" s="324" t="str">
        <f>IFERROR('Lookup Tables'!M63,"")</f>
        <v/>
      </c>
      <c r="E13" s="326"/>
      <c r="F13" s="326"/>
      <c r="G13" s="326"/>
      <c r="H13" s="327"/>
      <c r="I13" s="328"/>
      <c r="J13" s="328"/>
      <c r="K13" s="329"/>
      <c r="L13" s="328"/>
      <c r="M13" s="339"/>
      <c r="N13" s="337">
        <f>IFERROR('Lookup Tables'!Q63,"")</f>
        <v>0</v>
      </c>
      <c r="O13" s="322" t="str">
        <f>IFERROR('Lookup Tables'!R63,"")</f>
        <v/>
      </c>
    </row>
    <row r="14" spans="2:17" ht="14.25" customHeight="1">
      <c r="B14" s="242">
        <v>3</v>
      </c>
      <c r="C14" s="334" t="str">
        <f>IFERROR('Lookup Tables'!N64,"")</f>
        <v/>
      </c>
      <c r="D14" s="324" t="str">
        <f>IFERROR('Lookup Tables'!M64,"")</f>
        <v/>
      </c>
      <c r="E14" s="326"/>
      <c r="F14" s="326"/>
      <c r="G14" s="326"/>
      <c r="H14" s="327"/>
      <c r="I14" s="328"/>
      <c r="J14" s="328"/>
      <c r="K14" s="329"/>
      <c r="L14" s="328"/>
      <c r="M14" s="339"/>
      <c r="N14" s="337">
        <f>IFERROR('Lookup Tables'!Q64,"")</f>
        <v>0</v>
      </c>
      <c r="O14" s="322" t="str">
        <f>IFERROR('Lookup Tables'!R64,"")</f>
        <v/>
      </c>
    </row>
    <row r="15" spans="2:17" ht="14.25" customHeight="1">
      <c r="B15" s="242">
        <v>4</v>
      </c>
      <c r="C15" s="334" t="str">
        <f>IFERROR('Lookup Tables'!N65,"")</f>
        <v/>
      </c>
      <c r="D15" s="324" t="str">
        <f>IFERROR('Lookup Tables'!M65,"")</f>
        <v/>
      </c>
      <c r="E15" s="326"/>
      <c r="F15" s="326"/>
      <c r="G15" s="326"/>
      <c r="H15" s="327"/>
      <c r="I15" s="328"/>
      <c r="J15" s="328"/>
      <c r="K15" s="329"/>
      <c r="L15" s="328"/>
      <c r="M15" s="339"/>
      <c r="N15" s="337">
        <f>IFERROR('Lookup Tables'!Q65,"")</f>
        <v>0</v>
      </c>
      <c r="O15" s="322" t="str">
        <f>IFERROR('Lookup Tables'!R65,"")</f>
        <v/>
      </c>
    </row>
    <row r="16" spans="2:17" ht="14.25" customHeight="1">
      <c r="B16" s="242">
        <v>5</v>
      </c>
      <c r="C16" s="334" t="str">
        <f>IFERROR('Lookup Tables'!N66,"")</f>
        <v/>
      </c>
      <c r="D16" s="324" t="str">
        <f>IFERROR('Lookup Tables'!M66,"")</f>
        <v/>
      </c>
      <c r="E16" s="326"/>
      <c r="F16" s="326"/>
      <c r="G16" s="326"/>
      <c r="H16" s="327"/>
      <c r="I16" s="328"/>
      <c r="J16" s="328"/>
      <c r="K16" s="329"/>
      <c r="L16" s="328"/>
      <c r="M16" s="339"/>
      <c r="N16" s="337">
        <f>IFERROR('Lookup Tables'!Q66,"")</f>
        <v>0</v>
      </c>
      <c r="O16" s="322" t="str">
        <f>IFERROR('Lookup Tables'!R66,"")</f>
        <v/>
      </c>
    </row>
    <row r="17" spans="2:15" ht="14.25" customHeight="1">
      <c r="B17" s="242">
        <v>6</v>
      </c>
      <c r="C17" s="334" t="str">
        <f>IFERROR('Lookup Tables'!N67,"")</f>
        <v/>
      </c>
      <c r="D17" s="324" t="str">
        <f>IFERROR('Lookup Tables'!M67,"")</f>
        <v/>
      </c>
      <c r="E17" s="326"/>
      <c r="F17" s="326"/>
      <c r="G17" s="326"/>
      <c r="H17" s="327"/>
      <c r="I17" s="328"/>
      <c r="J17" s="328"/>
      <c r="K17" s="329"/>
      <c r="L17" s="328"/>
      <c r="M17" s="339"/>
      <c r="N17" s="337">
        <f>IFERROR('Lookup Tables'!Q67,"")</f>
        <v>0</v>
      </c>
      <c r="O17" s="322" t="str">
        <f>IFERROR('Lookup Tables'!R67,"")</f>
        <v/>
      </c>
    </row>
    <row r="18" spans="2:15" ht="14.25" customHeight="1">
      <c r="B18" s="242">
        <v>7</v>
      </c>
      <c r="C18" s="334" t="str">
        <f>IFERROR('Lookup Tables'!N68,"")</f>
        <v/>
      </c>
      <c r="D18" s="324" t="str">
        <f>IFERROR('Lookup Tables'!M68,"")</f>
        <v/>
      </c>
      <c r="E18" s="326"/>
      <c r="F18" s="326"/>
      <c r="G18" s="326"/>
      <c r="H18" s="327"/>
      <c r="I18" s="328"/>
      <c r="J18" s="328"/>
      <c r="K18" s="329"/>
      <c r="L18" s="328"/>
      <c r="M18" s="339"/>
      <c r="N18" s="337">
        <f>IFERROR('Lookup Tables'!Q68,"")</f>
        <v>0</v>
      </c>
      <c r="O18" s="322" t="str">
        <f>IFERROR('Lookup Tables'!R68,"")</f>
        <v/>
      </c>
    </row>
    <row r="19" spans="2:15" ht="14.25" customHeight="1">
      <c r="B19" s="242">
        <v>8</v>
      </c>
      <c r="C19" s="334" t="str">
        <f>IFERROR('Lookup Tables'!N69,"")</f>
        <v/>
      </c>
      <c r="D19" s="324" t="str">
        <f>IFERROR('Lookup Tables'!M69,"")</f>
        <v/>
      </c>
      <c r="E19" s="326"/>
      <c r="F19" s="326"/>
      <c r="G19" s="326"/>
      <c r="H19" s="327"/>
      <c r="I19" s="328"/>
      <c r="J19" s="328"/>
      <c r="K19" s="329"/>
      <c r="L19" s="328"/>
      <c r="M19" s="339"/>
      <c r="N19" s="337">
        <f>IFERROR('Lookup Tables'!Q69,"")</f>
        <v>0</v>
      </c>
      <c r="O19" s="322" t="str">
        <f>IFERROR('Lookup Tables'!R69,"")</f>
        <v/>
      </c>
    </row>
    <row r="20" spans="2:15" ht="14.25" customHeight="1">
      <c r="B20" s="242">
        <v>9</v>
      </c>
      <c r="C20" s="334" t="str">
        <f>IFERROR('Lookup Tables'!N70,"")</f>
        <v/>
      </c>
      <c r="D20" s="324" t="str">
        <f>IFERROR('Lookup Tables'!M70,"")</f>
        <v/>
      </c>
      <c r="E20" s="326"/>
      <c r="F20" s="326"/>
      <c r="G20" s="326"/>
      <c r="H20" s="327"/>
      <c r="I20" s="328"/>
      <c r="J20" s="328"/>
      <c r="K20" s="329"/>
      <c r="L20" s="328"/>
      <c r="M20" s="339"/>
      <c r="N20" s="337">
        <f>IFERROR('Lookup Tables'!Q70,"")</f>
        <v>0</v>
      </c>
      <c r="O20" s="322" t="str">
        <f>IFERROR('Lookup Tables'!R70,"")</f>
        <v/>
      </c>
    </row>
    <row r="21" spans="2:15" ht="14.25" customHeight="1" thickBot="1">
      <c r="B21" s="243">
        <v>10</v>
      </c>
      <c r="C21" s="335" t="str">
        <f>IFERROR('Lookup Tables'!N71,"")</f>
        <v/>
      </c>
      <c r="D21" s="325" t="str">
        <f>IFERROR('Lookup Tables'!M71,"")</f>
        <v/>
      </c>
      <c r="E21" s="330"/>
      <c r="F21" s="330"/>
      <c r="G21" s="330"/>
      <c r="H21" s="331"/>
      <c r="I21" s="332"/>
      <c r="J21" s="332"/>
      <c r="K21" s="333"/>
      <c r="L21" s="332"/>
      <c r="M21" s="340"/>
      <c r="N21" s="338">
        <f>IFERROR('Lookup Tables'!Q71,"")</f>
        <v>0</v>
      </c>
      <c r="O21" s="323" t="str">
        <f>IFERROR('Lookup Tables'!R71,"")</f>
        <v/>
      </c>
    </row>
  </sheetData>
  <sheetProtection algorithmName="SHA-512" hashValue="ffEV7Uo4T/JC+CchbkWbkq4IZBNCXWkz+nFtu3PHzW7CJf+FubX3OZxY+G05kvpKxxEfpPMffkQ1sgweK7+rCg==" saltValue="sylpeAqB/Jgik4AYqkzUgQ==" spinCount="100000" sheet="1" objects="1" scenarios="1"/>
  <mergeCells count="6">
    <mergeCell ref="D5:F5"/>
    <mergeCell ref="F10:H10"/>
    <mergeCell ref="F8:H8"/>
    <mergeCell ref="F9:H9"/>
    <mergeCell ref="D7:F7"/>
    <mergeCell ref="D6:F6"/>
  </mergeCells>
  <phoneticPr fontId="93" type="noConversion"/>
  <dataValidations count="1">
    <dataValidation type="list" allowBlank="1" showInputMessage="1" showErrorMessage="1" sqref="F9:H9" xr:uid="{90BE6DB9-07AD-458A-ABF3-A61418D8DBF5}">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9DC08739-7B54-47AD-BFD1-4FECA412EEC2}">
          <x14:formula1>
            <xm:f>'Lookup Tables'!$K$51:$K$53</xm:f>
          </x14:formula1>
          <xm:sqref>L12:L21</xm:sqref>
        </x14:dataValidation>
        <x14:dataValidation type="list" allowBlank="1" showInputMessage="1" showErrorMessage="1" xr:uid="{6938EA04-FA72-4B94-ADBA-88C7813AB4C8}">
          <x14:formula1>
            <xm:f>'Lookup Tables'!$G$50:$G$52</xm:f>
          </x14:formula1>
          <xm:sqref>I12:I21</xm:sqref>
        </x14:dataValidation>
        <x14:dataValidation type="list" allowBlank="1" showInputMessage="1" showErrorMessage="1" xr:uid="{94B77130-AFA3-4434-9A6A-41335DDC4038}">
          <x14:formula1>
            <xm:f>'Lookup Tables'!$C$50:$C$51</xm:f>
          </x14:formula1>
          <xm:sqref>H12:H21</xm:sqref>
        </x14:dataValidation>
        <x14:dataValidation type="list" allowBlank="1" showInputMessage="1" showErrorMessage="1" xr:uid="{96C8D6B3-A277-49C3-8CF1-EEB216917DD5}">
          <x14:formula1>
            <xm:f>'Lookup Tables'!$G$55:$G$57</xm:f>
          </x14:formula1>
          <xm:sqref>J12:J21</xm:sqref>
        </x14:dataValidation>
        <x14:dataValidation type="list" allowBlank="1" showInputMessage="1" showErrorMessage="1" xr:uid="{FE47594B-98E7-44CB-A3A2-CF3401C92AE1}">
          <x14:formula1>
            <xm:f>'Lookup Tables'!#REF!</xm:f>
          </x14:formula1>
          <xm:sqref>F10:H10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DD6F3-C653-426C-8C1C-9335A16BC400}">
  <sheetPr codeName="Sheet7">
    <tabColor rgb="FF005CB8"/>
  </sheetPr>
  <dimension ref="B2:P24"/>
  <sheetViews>
    <sheetView showGridLines="0" zoomScale="90" zoomScaleNormal="90" workbookViewId="0">
      <selection activeCell="C20" sqref="C20"/>
    </sheetView>
  </sheetViews>
  <sheetFormatPr defaultColWidth="9" defaultRowHeight="14.25"/>
  <cols>
    <col min="1" max="1" width="9" style="204"/>
    <col min="2" max="2" width="14.375" style="204" customWidth="1"/>
    <col min="3" max="3" width="13.25" style="204" customWidth="1"/>
    <col min="4" max="4" width="16.875" style="204" customWidth="1"/>
    <col min="5" max="5" width="32.625" style="204" customWidth="1"/>
    <col min="6" max="8" width="16.875" style="204" customWidth="1"/>
    <col min="9" max="9" width="11.5" style="204" customWidth="1"/>
    <col min="10" max="10" width="64.875" style="204" customWidth="1"/>
    <col min="11" max="11" width="10" style="204" customWidth="1"/>
    <col min="12" max="12" width="15.75" style="204" customWidth="1"/>
    <col min="13" max="13" width="7.875" style="204" hidden="1" customWidth="1"/>
    <col min="14" max="14" width="0" style="204" hidden="1" customWidth="1"/>
    <col min="15" max="16384" width="9" style="204"/>
  </cols>
  <sheetData>
    <row r="2" spans="2:16" ht="35.25">
      <c r="B2" s="206" t="s">
        <v>15</v>
      </c>
      <c r="C2" s="207"/>
      <c r="D2" s="207"/>
      <c r="E2" s="207"/>
      <c r="F2" s="207"/>
      <c r="G2" s="207"/>
    </row>
    <row r="3" spans="2:16" ht="14.1" customHeight="1">
      <c r="B3" s="443" t="s">
        <v>499</v>
      </c>
      <c r="C3" s="443"/>
      <c r="D3" s="443"/>
      <c r="E3" s="443"/>
      <c r="F3" s="443"/>
      <c r="G3" s="443"/>
      <c r="H3" s="443"/>
      <c r="I3" s="443"/>
      <c r="J3" s="443"/>
      <c r="K3" s="443"/>
    </row>
    <row r="4" spans="2:16">
      <c r="B4" s="443"/>
      <c r="C4" s="443"/>
      <c r="D4" s="443"/>
      <c r="E4" s="443"/>
      <c r="F4" s="443"/>
      <c r="G4" s="443"/>
      <c r="H4" s="443"/>
      <c r="I4" s="443"/>
      <c r="J4" s="443"/>
      <c r="K4" s="443"/>
    </row>
    <row r="5" spans="2:16" hidden="1">
      <c r="B5" s="209"/>
      <c r="C5" s="209"/>
      <c r="D5" s="209"/>
      <c r="E5" s="209"/>
      <c r="F5" s="209"/>
      <c r="G5" s="209"/>
      <c r="H5" s="209"/>
      <c r="I5" s="209"/>
      <c r="J5" s="209"/>
      <c r="K5" s="209"/>
    </row>
    <row r="6" spans="2:16" ht="15" hidden="1" thickBot="1"/>
    <row r="7" spans="2:16" ht="15" hidden="1" thickBot="1">
      <c r="B7" s="210" t="s">
        <v>35</v>
      </c>
      <c r="C7" s="432" t="str">
        <f>IF(Summary!C5="","",Summary!C5)</f>
        <v/>
      </c>
      <c r="D7" s="434"/>
      <c r="E7" s="303"/>
      <c r="F7" s="303"/>
      <c r="G7" s="303"/>
      <c r="H7" s="213"/>
      <c r="I7" s="214"/>
      <c r="J7" s="215" t="s">
        <v>59</v>
      </c>
      <c r="K7" s="216"/>
      <c r="M7" s="216"/>
      <c r="N7" s="216"/>
      <c r="O7" s="216"/>
      <c r="P7" s="304"/>
    </row>
    <row r="8" spans="2:16" ht="36" hidden="1" customHeight="1">
      <c r="B8" s="217" t="s">
        <v>36</v>
      </c>
      <c r="C8" s="440" t="str">
        <f>IF(Summary!C7="","",Summary!C7)</f>
        <v/>
      </c>
      <c r="D8" s="442"/>
      <c r="E8" s="305"/>
      <c r="F8" s="305"/>
      <c r="G8" s="305"/>
      <c r="H8" s="220"/>
      <c r="I8" s="221"/>
      <c r="J8" s="222" t="s">
        <v>57</v>
      </c>
      <c r="K8" s="223" t="s">
        <v>58</v>
      </c>
      <c r="L8" s="223" t="s">
        <v>497</v>
      </c>
      <c r="M8" s="223" t="s">
        <v>60</v>
      </c>
    </row>
    <row r="9" spans="2:16" ht="15" hidden="1" thickBot="1">
      <c r="B9" s="228" t="s">
        <v>38</v>
      </c>
      <c r="C9" s="437" t="str">
        <f>IF(Summary!C8="","",Summary!C8)</f>
        <v/>
      </c>
      <c r="D9" s="439"/>
      <c r="E9" s="305"/>
      <c r="F9" s="305"/>
      <c r="G9" s="305"/>
      <c r="H9" s="220"/>
      <c r="I9" s="221"/>
      <c r="J9" s="225" t="str">
        <f>IFERROR(IF(SUM(D15:D24)=0,"",SUM(D15:D24)),"")</f>
        <v/>
      </c>
      <c r="K9" s="226" t="str">
        <f>IFERROR(IF(SUM(C15:C24)=0,"",SUM(C15:C24)),"")</f>
        <v/>
      </c>
      <c r="L9" s="226" t="str">
        <f>IFERROR(IF(SUM(N15:N24)=0,"",SUM(N15:N24)),"")</f>
        <v/>
      </c>
      <c r="M9" s="306" t="str">
        <f>IFERROR(IF(SUM(M15:M24)=0,"",SUM(M15:M24)),"")</f>
        <v/>
      </c>
    </row>
    <row r="10" spans="2:16" ht="15" hidden="1" thickBot="1">
      <c r="B10" s="307" t="s">
        <v>52</v>
      </c>
      <c r="C10" s="308"/>
      <c r="D10" s="308"/>
      <c r="E10" s="308"/>
      <c r="F10" s="308"/>
      <c r="G10" s="308"/>
      <c r="H10" s="309"/>
      <c r="I10" s="221"/>
      <c r="J10" s="221"/>
      <c r="K10" s="231"/>
      <c r="L10" s="231"/>
      <c r="M10" s="231"/>
      <c r="N10" s="231"/>
      <c r="O10" s="231"/>
    </row>
    <row r="11" spans="2:16" hidden="1">
      <c r="B11" s="231"/>
      <c r="C11" s="231"/>
      <c r="D11" s="231"/>
      <c r="E11" s="231"/>
      <c r="F11" s="231"/>
      <c r="G11" s="231"/>
      <c r="H11" s="232"/>
      <c r="I11" s="435"/>
      <c r="J11" s="435"/>
      <c r="K11" s="435"/>
      <c r="L11" s="231"/>
      <c r="M11" s="231"/>
      <c r="N11" s="231"/>
      <c r="O11" s="231"/>
    </row>
    <row r="12" spans="2:16" hidden="1">
      <c r="B12" s="231"/>
      <c r="C12" s="231"/>
      <c r="D12" s="231"/>
      <c r="E12" s="231"/>
      <c r="F12" s="231"/>
      <c r="G12" s="231"/>
      <c r="H12" s="231"/>
      <c r="I12" s="231"/>
      <c r="J12" s="231"/>
      <c r="K12" s="231"/>
      <c r="L12" s="231"/>
      <c r="M12" s="231"/>
      <c r="N12" s="231"/>
      <c r="O12" s="231"/>
    </row>
    <row r="13" spans="2:16" ht="3" customHeight="1" thickBot="1">
      <c r="B13" s="231"/>
      <c r="C13" s="231"/>
      <c r="D13" s="231"/>
      <c r="E13" s="231"/>
      <c r="F13" s="231"/>
      <c r="G13" s="231"/>
      <c r="H13" s="231"/>
      <c r="I13" s="231"/>
      <c r="J13" s="231"/>
      <c r="K13" s="231"/>
      <c r="L13" s="231"/>
      <c r="M13" s="231"/>
      <c r="N13" s="231"/>
      <c r="O13" s="231"/>
    </row>
    <row r="14" spans="2:16" ht="48" customHeight="1">
      <c r="B14" s="238" t="s">
        <v>62</v>
      </c>
      <c r="C14" s="239" t="s">
        <v>58</v>
      </c>
      <c r="D14" s="240" t="s">
        <v>57</v>
      </c>
      <c r="E14" s="240" t="s">
        <v>53</v>
      </c>
      <c r="F14" s="240" t="s">
        <v>54</v>
      </c>
      <c r="G14" s="240" t="s">
        <v>72</v>
      </c>
      <c r="H14" s="240" t="s">
        <v>73</v>
      </c>
      <c r="I14" s="240" t="s">
        <v>74</v>
      </c>
      <c r="J14" s="239" t="s">
        <v>75</v>
      </c>
      <c r="K14" s="239" t="s">
        <v>64</v>
      </c>
      <c r="L14" s="241" t="s">
        <v>70</v>
      </c>
      <c r="M14" s="224" t="s">
        <v>60</v>
      </c>
      <c r="N14" s="224" t="s">
        <v>490</v>
      </c>
    </row>
    <row r="15" spans="2:16" ht="14.25" customHeight="1">
      <c r="B15" s="242">
        <v>1</v>
      </c>
      <c r="C15" s="312" t="str">
        <f>IF(K15="","",K15*VLOOKUP('Clothes Dryer'!J15,'Lookup Tables'!$C$78:$E$83,3,FALSE))</f>
        <v/>
      </c>
      <c r="D15" s="310" t="str">
        <f>IF(K15="","",K15*VLOOKUP('Clothes Dryer'!J15,'Lookup Tables'!$C$78:$E$83,2,FALSE))</f>
        <v/>
      </c>
      <c r="E15" s="248"/>
      <c r="F15" s="248"/>
      <c r="G15" s="248"/>
      <c r="H15" s="379"/>
      <c r="I15" s="248"/>
      <c r="J15" s="246"/>
      <c r="K15" s="248"/>
      <c r="L15" s="249"/>
      <c r="M15" s="236" t="str">
        <f>IF(OR(K15="",L15=""),"",MIN(K15*'Lookup Tables'!$I$79,L15))</f>
        <v/>
      </c>
      <c r="N15" s="296" t="str">
        <f>IF(K15="","",K15*VLOOKUP('Clothes Dryer'!J15,'Lookup Tables'!$C$78:$G$83,5,FALSE))</f>
        <v/>
      </c>
    </row>
    <row r="16" spans="2:16" ht="14.25" customHeight="1">
      <c r="B16" s="242">
        <v>2</v>
      </c>
      <c r="C16" s="312" t="str">
        <f>IF(K16="","",K16*VLOOKUP('Clothes Dryer'!J16,'Lookup Tables'!$C$78:$E$83,3,FALSE))</f>
        <v/>
      </c>
      <c r="D16" s="310" t="str">
        <f>IF(K16="","",K16*VLOOKUP('Clothes Dryer'!J16,'Lookup Tables'!$C$78:$E$83,2,FALSE))</f>
        <v/>
      </c>
      <c r="E16" s="248"/>
      <c r="F16" s="248"/>
      <c r="G16" s="248"/>
      <c r="H16" s="379"/>
      <c r="I16" s="248"/>
      <c r="J16" s="246"/>
      <c r="K16" s="248"/>
      <c r="L16" s="249"/>
      <c r="M16" s="236" t="str">
        <f>IF(OR(K16="",L16=""),"",MIN(K16*'Lookup Tables'!$I$79,L16))</f>
        <v/>
      </c>
      <c r="N16" s="296" t="str">
        <f>IF(K16="","",K16*VLOOKUP('Clothes Dryer'!J16,'Lookup Tables'!$C$78:$G$83,5,FALSE))</f>
        <v/>
      </c>
    </row>
    <row r="17" spans="2:14" ht="14.25" customHeight="1">
      <c r="B17" s="242">
        <v>3</v>
      </c>
      <c r="C17" s="312" t="str">
        <f>IF(K17="","",K17*VLOOKUP('Clothes Dryer'!J17,'Lookup Tables'!$C$78:$E$83,3,FALSE))</f>
        <v/>
      </c>
      <c r="D17" s="310" t="str">
        <f>IF(K17="","",K17*VLOOKUP('Clothes Dryer'!J17,'Lookup Tables'!$C$78:$E$83,2,FALSE))</f>
        <v/>
      </c>
      <c r="E17" s="248"/>
      <c r="F17" s="248"/>
      <c r="G17" s="248"/>
      <c r="H17" s="379"/>
      <c r="I17" s="248"/>
      <c r="J17" s="246"/>
      <c r="K17" s="248"/>
      <c r="L17" s="249"/>
      <c r="M17" s="236" t="str">
        <f>IF(OR(K17="",L17=""),"",MIN(K17*'Lookup Tables'!$I$79,L17))</f>
        <v/>
      </c>
      <c r="N17" s="296" t="str">
        <f>IF(K17="","",K17*VLOOKUP('Clothes Dryer'!J17,'Lookup Tables'!$C$78:$G$83,5,FALSE))</f>
        <v/>
      </c>
    </row>
    <row r="18" spans="2:14" ht="14.25" customHeight="1">
      <c r="B18" s="242">
        <v>4</v>
      </c>
      <c r="C18" s="312" t="str">
        <f>IF(K18="","",K18*VLOOKUP('Clothes Dryer'!J18,'Lookup Tables'!$C$78:$E$83,3,FALSE))</f>
        <v/>
      </c>
      <c r="D18" s="310" t="str">
        <f>IF(K18="","",K18*VLOOKUP('Clothes Dryer'!J18,'Lookup Tables'!$C$78:$E$83,2,FALSE))</f>
        <v/>
      </c>
      <c r="E18" s="248"/>
      <c r="F18" s="248"/>
      <c r="G18" s="248"/>
      <c r="H18" s="379"/>
      <c r="I18" s="248"/>
      <c r="J18" s="246"/>
      <c r="K18" s="248"/>
      <c r="L18" s="249"/>
      <c r="M18" s="236" t="str">
        <f>IF(OR(K18="",L18=""),"",MIN(K18*'Lookup Tables'!$I$79,L18))</f>
        <v/>
      </c>
      <c r="N18" s="296" t="str">
        <f>IF(K18="","",K18*VLOOKUP('Clothes Dryer'!J18,'Lookup Tables'!$C$78:$G$83,5,FALSE))</f>
        <v/>
      </c>
    </row>
    <row r="19" spans="2:14" ht="14.25" customHeight="1">
      <c r="B19" s="242">
        <v>5</v>
      </c>
      <c r="C19" s="312" t="str">
        <f>IF(K19="","",K19*VLOOKUP('Clothes Dryer'!J19,'Lookup Tables'!$C$78:$E$83,3,FALSE))</f>
        <v/>
      </c>
      <c r="D19" s="310" t="str">
        <f>IF(K19="","",K19*VLOOKUP('Clothes Dryer'!J19,'Lookup Tables'!$C$78:$E$83,2,FALSE))</f>
        <v/>
      </c>
      <c r="E19" s="248"/>
      <c r="F19" s="248"/>
      <c r="G19" s="248"/>
      <c r="H19" s="379"/>
      <c r="I19" s="248"/>
      <c r="J19" s="246"/>
      <c r="K19" s="248"/>
      <c r="L19" s="249"/>
      <c r="M19" s="236" t="str">
        <f>IF(OR(K19="",L19=""),"",MIN(K19*'Lookup Tables'!$I$79,L19))</f>
        <v/>
      </c>
      <c r="N19" s="296" t="str">
        <f>IF(K19="","",K19*VLOOKUP('Clothes Dryer'!J19,'Lookup Tables'!$C$78:$G$83,5,FALSE))</f>
        <v/>
      </c>
    </row>
    <row r="20" spans="2:14" ht="14.25" customHeight="1">
      <c r="B20" s="242">
        <v>6</v>
      </c>
      <c r="C20" s="312" t="str">
        <f>IF(K20="","",K20*VLOOKUP('Clothes Dryer'!J20,'Lookup Tables'!$C$78:$E$83,3,FALSE))</f>
        <v/>
      </c>
      <c r="D20" s="310" t="str">
        <f>IF(K20="","",K20*VLOOKUP('Clothes Dryer'!J20,'Lookup Tables'!$C$78:$E$83,2,FALSE))</f>
        <v/>
      </c>
      <c r="E20" s="248"/>
      <c r="F20" s="248"/>
      <c r="G20" s="248"/>
      <c r="H20" s="379"/>
      <c r="I20" s="248"/>
      <c r="J20" s="246"/>
      <c r="K20" s="248"/>
      <c r="L20" s="249"/>
      <c r="M20" s="236" t="str">
        <f>IF(OR(K20="",L20=""),"",MIN(K20*'Lookup Tables'!$I$79,L20))</f>
        <v/>
      </c>
      <c r="N20" s="296" t="str">
        <f>IF(K20="","",K20*VLOOKUP('Clothes Dryer'!J20,'Lookup Tables'!$C$78:$G$83,5,FALSE))</f>
        <v/>
      </c>
    </row>
    <row r="21" spans="2:14" ht="14.25" customHeight="1">
      <c r="B21" s="242">
        <v>7</v>
      </c>
      <c r="C21" s="312" t="str">
        <f>IF(K21="","",K21*VLOOKUP('Clothes Dryer'!J21,'Lookup Tables'!$C$78:$E$83,3,FALSE))</f>
        <v/>
      </c>
      <c r="D21" s="310" t="str">
        <f>IF(K21="","",K21*VLOOKUP('Clothes Dryer'!J21,'Lookup Tables'!$C$78:$E$83,2,FALSE))</f>
        <v/>
      </c>
      <c r="E21" s="248"/>
      <c r="F21" s="248"/>
      <c r="G21" s="248"/>
      <c r="H21" s="379"/>
      <c r="I21" s="248"/>
      <c r="J21" s="246"/>
      <c r="K21" s="248"/>
      <c r="L21" s="249"/>
      <c r="M21" s="236" t="str">
        <f>IF(OR(K21="",L21=""),"",MIN(K21*'Lookup Tables'!$I$79,L21))</f>
        <v/>
      </c>
      <c r="N21" s="296" t="str">
        <f>IF(K21="","",K21*VLOOKUP('Clothes Dryer'!J21,'Lookup Tables'!$C$78:$G$83,5,FALSE))</f>
        <v/>
      </c>
    </row>
    <row r="22" spans="2:14" ht="14.25" customHeight="1">
      <c r="B22" s="242">
        <v>8</v>
      </c>
      <c r="C22" s="312" t="str">
        <f>IF(K22="","",K22*VLOOKUP('Clothes Dryer'!J22,'Lookup Tables'!$C$78:$E$83,3,FALSE))</f>
        <v/>
      </c>
      <c r="D22" s="310" t="str">
        <f>IF(K22="","",K22*VLOOKUP('Clothes Dryer'!J22,'Lookup Tables'!$C$78:$E$83,2,FALSE))</f>
        <v/>
      </c>
      <c r="E22" s="248"/>
      <c r="F22" s="248"/>
      <c r="G22" s="248"/>
      <c r="H22" s="379"/>
      <c r="I22" s="248"/>
      <c r="J22" s="246"/>
      <c r="K22" s="248"/>
      <c r="L22" s="249"/>
      <c r="M22" s="236" t="str">
        <f>IF(OR(K22="",L22=""),"",MIN(K22*'Lookup Tables'!$I$79,L22))</f>
        <v/>
      </c>
      <c r="N22" s="296" t="str">
        <f>IF(K22="","",K22*VLOOKUP('Clothes Dryer'!J22,'Lookup Tables'!$C$78:$G$83,5,FALSE))</f>
        <v/>
      </c>
    </row>
    <row r="23" spans="2:14" ht="14.25" customHeight="1">
      <c r="B23" s="242">
        <v>9</v>
      </c>
      <c r="C23" s="312" t="str">
        <f>IF(K23="","",K23*VLOOKUP('Clothes Dryer'!J23,'Lookup Tables'!$C$78:$E$83,3,FALSE))</f>
        <v/>
      </c>
      <c r="D23" s="310" t="str">
        <f>IF(K23="","",K23*VLOOKUP('Clothes Dryer'!J23,'Lookup Tables'!$C$78:$E$83,2,FALSE))</f>
        <v/>
      </c>
      <c r="E23" s="248"/>
      <c r="F23" s="248"/>
      <c r="G23" s="248"/>
      <c r="H23" s="379"/>
      <c r="I23" s="248"/>
      <c r="J23" s="246"/>
      <c r="K23" s="248"/>
      <c r="L23" s="249"/>
      <c r="M23" s="236" t="str">
        <f>IF(OR(K23="",L23=""),"",MIN(K23*'Lookup Tables'!$I$79,L23))</f>
        <v/>
      </c>
      <c r="N23" s="296" t="str">
        <f>IF(K23="","",K23*VLOOKUP('Clothes Dryer'!J23,'Lookup Tables'!$C$78:$G$83,5,FALSE))</f>
        <v/>
      </c>
    </row>
    <row r="24" spans="2:14" ht="14.25" customHeight="1" thickBot="1">
      <c r="B24" s="243">
        <v>10</v>
      </c>
      <c r="C24" s="313" t="str">
        <f>IF(K24="","",K24*VLOOKUP('Clothes Dryer'!J24,'Lookup Tables'!$C$78:$E$83,3,FALSE))</f>
        <v/>
      </c>
      <c r="D24" s="311" t="str">
        <f>IF(K24="","",K24*VLOOKUP('Clothes Dryer'!J24,'Lookup Tables'!$C$78:$E$83,2,FALSE))</f>
        <v/>
      </c>
      <c r="E24" s="254"/>
      <c r="F24" s="254"/>
      <c r="G24" s="254"/>
      <c r="H24" s="380"/>
      <c r="I24" s="254"/>
      <c r="J24" s="252"/>
      <c r="K24" s="254"/>
      <c r="L24" s="255"/>
      <c r="M24" s="237" t="str">
        <f>IF(OR(K24="",L24=""),"",MIN(K24*'Lookup Tables'!$I$79,L24))</f>
        <v/>
      </c>
      <c r="N24" s="296" t="str">
        <f>IF(K24="","",K24*VLOOKUP('Clothes Dryer'!J24,'Lookup Tables'!$C$78:$G$83,5,FALSE))</f>
        <v/>
      </c>
    </row>
  </sheetData>
  <sheetProtection algorithmName="SHA-512" hashValue="Zfj1o39mINVhl6tmzoKTAxcw47QRvEXAKg+mHrfgYM6RWRs4cbW9AtTONZOWfNlqvmZfMpZrXjjzxgODya+8QA==" saltValue="oKDLKuB6cQ+BVTeMqgYi7w==" spinCount="100000" sheet="1" objects="1" scenarios="1"/>
  <mergeCells count="5">
    <mergeCell ref="I11:K11"/>
    <mergeCell ref="B3:K4"/>
    <mergeCell ref="C7:D7"/>
    <mergeCell ref="C8:D8"/>
    <mergeCell ref="C9:D9"/>
  </mergeCells>
  <dataValidations count="2">
    <dataValidation type="list" allowBlank="1" showInputMessage="1" showErrorMessage="1" sqref="G15:G24" xr:uid="{5C4B51C0-58E1-4ADE-B8F4-543753FC5E02}">
      <formula1>"Vented,Ventless"</formula1>
    </dataValidation>
    <dataValidation type="list" allowBlank="1" showInputMessage="1" showErrorMessage="1" sqref="I15:I24" xr:uid="{2C3C6EFB-7B27-4614-A681-0BA5629F9493}">
      <formula1>"120,240"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2F6DC4D-2D61-4DA0-BD44-B195E7EEFD26}">
          <x14:formula1>
            <xm:f>'Lookup Tables'!$C$78:$C$83</xm:f>
          </x14:formula1>
          <xm:sqref>J15:J24</xm:sqref>
        </x14:dataValidation>
        <x14:dataValidation type="list" allowBlank="1" showInputMessage="1" showErrorMessage="1" xr:uid="{B4123D81-7C3A-4DAA-A64D-7C323B111AF4}">
          <x14:formula1>
            <xm:f>'Lookup Tables'!$C$5:$C$7</xm:f>
          </x14:formula1>
          <xm:sqref>I11:K11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142E1-B949-4C36-8B0F-84B596A77556}">
  <sheetPr codeName="Sheet8">
    <tabColor rgb="FF005CB8"/>
  </sheetPr>
  <dimension ref="B2:P30"/>
  <sheetViews>
    <sheetView showGridLines="0" topLeftCell="B1" zoomScale="90" zoomScaleNormal="90" workbookViewId="0">
      <selection activeCell="C20" sqref="C20"/>
    </sheetView>
  </sheetViews>
  <sheetFormatPr defaultColWidth="9" defaultRowHeight="14.25"/>
  <cols>
    <col min="1" max="1" width="9" style="204"/>
    <col min="2" max="2" width="12" style="204" customWidth="1"/>
    <col min="3" max="3" width="18.625" style="204" customWidth="1"/>
    <col min="4" max="4" width="15.375" style="204" customWidth="1"/>
    <col min="5" max="5" width="30.25" style="204" customWidth="1"/>
    <col min="6" max="6" width="14.125" style="204" customWidth="1"/>
    <col min="7" max="7" width="40" style="204" customWidth="1"/>
    <col min="8" max="8" width="16.375" style="204" customWidth="1"/>
    <col min="9" max="9" width="28.625" style="204" customWidth="1"/>
    <col min="10" max="10" width="17.75" style="204" customWidth="1"/>
    <col min="11" max="11" width="14.75" style="204" customWidth="1"/>
    <col min="12" max="12" width="9.875" style="204" customWidth="1"/>
    <col min="13" max="13" width="15.375" style="204" customWidth="1"/>
    <col min="14" max="14" width="9.875" style="204" hidden="1" customWidth="1"/>
    <col min="15" max="15" width="9" style="204" hidden="1" customWidth="1"/>
    <col min="16" max="16384" width="9" style="204"/>
  </cols>
  <sheetData>
    <row r="2" spans="2:16" ht="35.25">
      <c r="B2" s="300" t="s">
        <v>17</v>
      </c>
      <c r="C2" s="301"/>
      <c r="D2" s="301"/>
      <c r="E2" s="302"/>
      <c r="F2" s="302"/>
      <c r="G2" s="302"/>
      <c r="H2" s="302"/>
      <c r="I2" s="302"/>
      <c r="J2" s="302"/>
      <c r="K2" s="302"/>
    </row>
    <row r="3" spans="2:16">
      <c r="B3" s="444" t="s">
        <v>499</v>
      </c>
      <c r="C3" s="444"/>
      <c r="D3" s="444"/>
      <c r="E3" s="444"/>
      <c r="F3" s="444"/>
      <c r="G3" s="444"/>
      <c r="H3" s="444"/>
      <c r="I3" s="444"/>
      <c r="J3" s="444"/>
      <c r="K3" s="444"/>
    </row>
    <row r="4" spans="2:16" ht="15" thickBot="1">
      <c r="B4" s="444"/>
      <c r="C4" s="444"/>
      <c r="D4" s="444"/>
      <c r="E4" s="444"/>
      <c r="F4" s="444"/>
      <c r="G4" s="444"/>
      <c r="H4" s="444"/>
      <c r="I4" s="444"/>
      <c r="J4" s="444"/>
      <c r="K4" s="444"/>
    </row>
    <row r="5" spans="2:16" ht="20.25" hidden="1" customHeight="1">
      <c r="B5" s="209"/>
      <c r="C5" s="209"/>
      <c r="D5" s="209"/>
      <c r="E5" s="209"/>
      <c r="F5" s="209"/>
      <c r="G5" s="209"/>
      <c r="H5" s="209"/>
      <c r="I5" s="209"/>
      <c r="J5" s="209"/>
      <c r="K5" s="209"/>
    </row>
    <row r="6" spans="2:16" ht="15" hidden="1" thickBot="1">
      <c r="B6" s="209"/>
      <c r="C6" s="209"/>
      <c r="D6" s="209"/>
      <c r="E6" s="209"/>
      <c r="F6" s="209"/>
      <c r="G6" s="209"/>
      <c r="H6" s="209"/>
      <c r="I6" s="209"/>
      <c r="J6" s="209"/>
      <c r="K6" s="209"/>
    </row>
    <row r="7" spans="2:16" ht="15" hidden="1" thickBot="1">
      <c r="B7" s="210" t="s">
        <v>35</v>
      </c>
      <c r="C7" s="445" t="str">
        <f>IF(Summary!C5="","",Summary!C5)</f>
        <v/>
      </c>
      <c r="D7" s="446"/>
      <c r="E7" s="295"/>
      <c r="F7" s="214"/>
      <c r="G7" s="214"/>
      <c r="H7" s="214"/>
      <c r="I7" s="214"/>
      <c r="L7" s="215" t="s">
        <v>59</v>
      </c>
      <c r="M7" s="216"/>
      <c r="N7" s="216"/>
      <c r="O7" s="216"/>
      <c r="P7" s="231"/>
    </row>
    <row r="8" spans="2:16" ht="36.950000000000003" hidden="1" customHeight="1">
      <c r="B8" s="217" t="s">
        <v>36</v>
      </c>
      <c r="C8" s="440" t="str">
        <f>IF(Summary!C7="","",Summary!C7)</f>
        <v/>
      </c>
      <c r="D8" s="442"/>
      <c r="E8" s="220"/>
      <c r="F8" s="221"/>
      <c r="G8" s="221"/>
      <c r="H8" s="221"/>
      <c r="I8" s="221"/>
      <c r="L8" s="222" t="s">
        <v>76</v>
      </c>
      <c r="M8" s="223" t="s">
        <v>58</v>
      </c>
      <c r="N8" s="224" t="s">
        <v>60</v>
      </c>
    </row>
    <row r="9" spans="2:16" ht="15" hidden="1" thickBot="1">
      <c r="B9" s="228" t="s">
        <v>38</v>
      </c>
      <c r="C9" s="437" t="str">
        <f>IF(Summary!C8="","",Summary!C8)</f>
        <v/>
      </c>
      <c r="D9" s="439"/>
      <c r="E9" s="220"/>
      <c r="F9" s="221"/>
      <c r="G9" s="221"/>
      <c r="H9" s="221"/>
      <c r="I9" s="221"/>
      <c r="L9" s="271" t="str">
        <f>IFERROR(IF(SUM(D15:D24)=0,"",SUM(D15:D24)),"")</f>
        <v/>
      </c>
      <c r="M9" s="272" t="str">
        <f>IFERROR(IF(SUM(C15:C24)=0,"",SUM(C15:C24)),"")</f>
        <v/>
      </c>
      <c r="N9" s="297" t="str">
        <f>IFERROR(IF(SUM(N15:N24)=0,"",SUM(N15:N24)),"")</f>
        <v/>
      </c>
      <c r="O9" s="204">
        <f>SUM(O15:O24)</f>
        <v>0</v>
      </c>
    </row>
    <row r="10" spans="2:16" ht="15" hidden="1" thickBot="1">
      <c r="B10" s="274" t="s">
        <v>52</v>
      </c>
      <c r="C10" s="274"/>
      <c r="D10" s="274"/>
      <c r="E10" s="221"/>
      <c r="F10" s="221"/>
      <c r="G10" s="221"/>
      <c r="H10" s="221"/>
      <c r="I10" s="221"/>
      <c r="J10" s="231"/>
      <c r="K10" s="231"/>
      <c r="L10" s="231"/>
      <c r="M10" s="231"/>
      <c r="N10" s="231"/>
      <c r="O10" s="231"/>
      <c r="P10" s="231"/>
    </row>
    <row r="11" spans="2:16" hidden="1">
      <c r="B11" s="231"/>
      <c r="C11" s="231"/>
      <c r="D11" s="231"/>
      <c r="E11" s="232"/>
      <c r="F11" s="435"/>
      <c r="G11" s="435"/>
      <c r="H11" s="435"/>
      <c r="I11" s="435"/>
      <c r="J11" s="435"/>
      <c r="K11" s="435"/>
      <c r="L11" s="231"/>
      <c r="M11" s="231"/>
      <c r="N11" s="231"/>
      <c r="O11" s="231"/>
      <c r="P11" s="231"/>
    </row>
    <row r="12" spans="2:16" hidden="1">
      <c r="B12" s="231"/>
      <c r="C12" s="231"/>
      <c r="D12" s="231"/>
      <c r="E12" s="231"/>
      <c r="F12" s="231"/>
      <c r="G12" s="231"/>
      <c r="H12" s="231"/>
      <c r="I12" s="231"/>
      <c r="J12" s="231"/>
      <c r="K12" s="231"/>
      <c r="L12" s="231"/>
      <c r="M12" s="231"/>
      <c r="N12" s="231"/>
      <c r="O12" s="231"/>
      <c r="P12" s="231"/>
    </row>
    <row r="13" spans="2:16" ht="15" hidden="1" thickBot="1">
      <c r="B13" s="231"/>
      <c r="C13" s="231"/>
      <c r="D13" s="231"/>
      <c r="E13" s="231"/>
      <c r="F13" s="231"/>
      <c r="G13" s="231"/>
      <c r="H13" s="231"/>
      <c r="I13" s="231"/>
      <c r="J13" s="231"/>
      <c r="K13" s="231"/>
      <c r="L13" s="231"/>
      <c r="M13" s="231"/>
      <c r="N13" s="231"/>
      <c r="O13" s="231"/>
      <c r="P13" s="231"/>
    </row>
    <row r="14" spans="2:16" ht="48" customHeight="1">
      <c r="B14" s="238" t="s">
        <v>62</v>
      </c>
      <c r="C14" s="239" t="s">
        <v>58</v>
      </c>
      <c r="D14" s="240" t="s">
        <v>76</v>
      </c>
      <c r="E14" s="240" t="s">
        <v>53</v>
      </c>
      <c r="F14" s="240" t="s">
        <v>54</v>
      </c>
      <c r="G14" s="239" t="s">
        <v>75</v>
      </c>
      <c r="H14" s="239" t="s">
        <v>77</v>
      </c>
      <c r="I14" s="239" t="s">
        <v>78</v>
      </c>
      <c r="J14" s="239" t="s">
        <v>79</v>
      </c>
      <c r="K14" s="239" t="s">
        <v>80</v>
      </c>
      <c r="L14" s="239" t="s">
        <v>64</v>
      </c>
      <c r="M14" s="241" t="s">
        <v>70</v>
      </c>
      <c r="N14" s="224" t="s">
        <v>60</v>
      </c>
      <c r="O14" s="275" t="s">
        <v>490</v>
      </c>
    </row>
    <row r="15" spans="2:16" ht="14.25" customHeight="1">
      <c r="B15" s="242">
        <v>1</v>
      </c>
      <c r="C15" s="312" t="str">
        <f>IF(L15="","",L15*INDEX('Lookup Tables'!$G$94:$I$101,MATCH(Refrigerator!G15,'Lookup Tables'!$C$94:$C$101,0),MATCH(H15,'Lookup Tables'!$G$93:$I$93,0)))</f>
        <v/>
      </c>
      <c r="D15" s="310" t="str">
        <f>IF(L15="","",L15*INDEX('Lookup Tables'!$D$94:$F$101,MATCH(Refrigerator!G15,'Lookup Tables'!$C$94:$C$101,0),MATCH(H15,'Lookup Tables'!$D$93:$F$93,0)))</f>
        <v/>
      </c>
      <c r="E15" s="248"/>
      <c r="F15" s="248"/>
      <c r="G15" s="246"/>
      <c r="H15" s="248"/>
      <c r="I15" s="248"/>
      <c r="J15" s="248"/>
      <c r="K15" s="248"/>
      <c r="L15" s="248"/>
      <c r="M15" s="281"/>
      <c r="N15" s="298" t="str">
        <f>IF(OR(L15="",M15=""),"",MIN(L15*'Lookup Tables'!$D$90,M15))</f>
        <v/>
      </c>
      <c r="O15" s="204" t="str">
        <f>IF(L15="","",L15*INDEX('Lookup Tables'!$P$94:$R$101,MATCH(Refrigerator!G15,'Lookup Tables'!$C$94:$C$101,0),MATCH(H15,'Lookup Tables'!$P$93:$R$93,0)))</f>
        <v/>
      </c>
    </row>
    <row r="16" spans="2:16" ht="14.25" customHeight="1">
      <c r="B16" s="242">
        <v>2</v>
      </c>
      <c r="C16" s="312" t="str">
        <f>IF(L16="","",L16*INDEX('Lookup Tables'!$G$94:$I$101,MATCH(Refrigerator!G16,'Lookup Tables'!$C$94:$C$101,0),MATCH(H16,'Lookup Tables'!$G$93:$I$93,0)))</f>
        <v/>
      </c>
      <c r="D16" s="310" t="str">
        <f>IF(L16="","",L16*INDEX('Lookup Tables'!$D$94:$F$101,MATCH(Refrigerator!G16,'Lookup Tables'!$C$94:$C$101,0),MATCH(H16,'Lookup Tables'!$D$93:$F$93,0)))</f>
        <v/>
      </c>
      <c r="E16" s="248"/>
      <c r="F16" s="248"/>
      <c r="G16" s="246"/>
      <c r="H16" s="248"/>
      <c r="I16" s="248"/>
      <c r="J16" s="248"/>
      <c r="K16" s="248"/>
      <c r="L16" s="248"/>
      <c r="M16" s="281"/>
      <c r="N16" s="298" t="str">
        <f>IF(OR(L16="",M16=""),"",MIN(L16*'Lookup Tables'!$D$90,M16))</f>
        <v/>
      </c>
      <c r="O16" s="204" t="str">
        <f>IF(L16="","",L16*INDEX('Lookup Tables'!$P$94:$R$101,MATCH(Refrigerator!G16,'Lookup Tables'!$C$94:$C$101,0),MATCH(H16,'Lookup Tables'!$P$93:$R$93,0)))</f>
        <v/>
      </c>
    </row>
    <row r="17" spans="2:15" ht="14.25" customHeight="1">
      <c r="B17" s="242">
        <v>3</v>
      </c>
      <c r="C17" s="312" t="str">
        <f>IF(L17="","",L17*INDEX('Lookup Tables'!$G$94:$I$101,MATCH(Refrigerator!G17,'Lookup Tables'!$C$94:$C$101,0),MATCH(H17,'Lookup Tables'!$G$93:$I$93,0)))</f>
        <v/>
      </c>
      <c r="D17" s="310" t="str">
        <f>IF(L17="","",L17*INDEX('Lookup Tables'!$D$94:$F$101,MATCH(Refrigerator!G17,'Lookup Tables'!$C$94:$C$101,0),MATCH(H17,'Lookup Tables'!$D$93:$F$93,0)))</f>
        <v/>
      </c>
      <c r="E17" s="248"/>
      <c r="F17" s="248"/>
      <c r="G17" s="246"/>
      <c r="H17" s="248"/>
      <c r="I17" s="248"/>
      <c r="J17" s="248"/>
      <c r="K17" s="248"/>
      <c r="L17" s="248"/>
      <c r="M17" s="281"/>
      <c r="N17" s="298" t="str">
        <f>IF(OR(L17="",M17=""),"",MIN(L17*'Lookup Tables'!$D$90,M17))</f>
        <v/>
      </c>
      <c r="O17" s="204" t="str">
        <f>IF(L17="","",L17*INDEX('Lookup Tables'!$P$94:$R$101,MATCH(Refrigerator!G17,'Lookup Tables'!$C$94:$C$101,0),MATCH(H17,'Lookup Tables'!$P$93:$R$93,0)))</f>
        <v/>
      </c>
    </row>
    <row r="18" spans="2:15" ht="14.25" customHeight="1">
      <c r="B18" s="242">
        <v>4</v>
      </c>
      <c r="C18" s="312" t="str">
        <f>IF(L18="","",L18*INDEX('Lookup Tables'!$G$94:$I$101,MATCH(Refrigerator!G18,'Lookup Tables'!$C$94:$C$101,0),MATCH(H18,'Lookup Tables'!$G$93:$I$93,0)))</f>
        <v/>
      </c>
      <c r="D18" s="310" t="str">
        <f>IF(L18="","",L18*INDEX('Lookup Tables'!$D$94:$F$101,MATCH(Refrigerator!G18,'Lookup Tables'!$C$94:$C$101,0),MATCH(H18,'Lookup Tables'!$D$93:$F$93,0)))</f>
        <v/>
      </c>
      <c r="E18" s="248"/>
      <c r="F18" s="248"/>
      <c r="G18" s="246"/>
      <c r="H18" s="248"/>
      <c r="I18" s="248"/>
      <c r="J18" s="248"/>
      <c r="K18" s="248"/>
      <c r="L18" s="248"/>
      <c r="M18" s="281"/>
      <c r="N18" s="298" t="str">
        <f>IF(OR(L18="",M18=""),"",MIN(L18*'Lookup Tables'!$D$90,M18))</f>
        <v/>
      </c>
      <c r="O18" s="204" t="str">
        <f>IF(L18="","",L18*INDEX('Lookup Tables'!$P$94:$R$101,MATCH(Refrigerator!G18,'Lookup Tables'!$C$94:$C$101,0),MATCH(H18,'Lookup Tables'!$P$93:$R$93,0)))</f>
        <v/>
      </c>
    </row>
    <row r="19" spans="2:15" ht="14.25" customHeight="1">
      <c r="B19" s="242">
        <v>5</v>
      </c>
      <c r="C19" s="312" t="str">
        <f>IF(L19="","",L19*INDEX('Lookup Tables'!$G$94:$I$101,MATCH(Refrigerator!G19,'Lookup Tables'!$C$94:$C$101,0),MATCH(H19,'Lookup Tables'!$G$93:$I$93,0)))</f>
        <v/>
      </c>
      <c r="D19" s="310" t="str">
        <f>IF(L19="","",L19*INDEX('Lookup Tables'!$D$94:$F$101,MATCH(Refrigerator!G19,'Lookup Tables'!$C$94:$C$101,0),MATCH(H19,'Lookup Tables'!$D$93:$F$93,0)))</f>
        <v/>
      </c>
      <c r="E19" s="248"/>
      <c r="F19" s="248"/>
      <c r="G19" s="246"/>
      <c r="H19" s="248"/>
      <c r="I19" s="248"/>
      <c r="J19" s="248"/>
      <c r="K19" s="248"/>
      <c r="L19" s="248"/>
      <c r="M19" s="281"/>
      <c r="N19" s="298" t="str">
        <f>IF(OR(L19="",M19=""),"",MIN(L19*'Lookup Tables'!$D$90,M19))</f>
        <v/>
      </c>
      <c r="O19" s="204" t="str">
        <f>IF(L19="","",L19*INDEX('Lookup Tables'!$P$94:$R$101,MATCH(Refrigerator!G19,'Lookup Tables'!$C$94:$C$101,0),MATCH(H19,'Lookup Tables'!$P$93:$R$93,0)))</f>
        <v/>
      </c>
    </row>
    <row r="20" spans="2:15" ht="14.25" customHeight="1">
      <c r="B20" s="242">
        <v>6</v>
      </c>
      <c r="C20" s="312" t="str">
        <f>IF(L20="","",L20*INDEX('Lookup Tables'!$G$94:$I$101,MATCH(Refrigerator!G20,'Lookup Tables'!$C$94:$C$101,0),MATCH(H20,'Lookup Tables'!$G$93:$I$93,0)))</f>
        <v/>
      </c>
      <c r="D20" s="310" t="str">
        <f>IF(L20="","",L20*INDEX('Lookup Tables'!$D$94:$F$101,MATCH(Refrigerator!G20,'Lookup Tables'!$C$94:$C$101,0),MATCH(H20,'Lookup Tables'!$D$93:$F$93,0)))</f>
        <v/>
      </c>
      <c r="E20" s="248"/>
      <c r="F20" s="248"/>
      <c r="G20" s="246"/>
      <c r="H20" s="248"/>
      <c r="I20" s="248"/>
      <c r="J20" s="248"/>
      <c r="K20" s="248"/>
      <c r="L20" s="248"/>
      <c r="M20" s="281"/>
      <c r="N20" s="298" t="str">
        <f>IF(OR(L20="",M20=""),"",MIN(L20*'Lookup Tables'!$D$90,M20))</f>
        <v/>
      </c>
      <c r="O20" s="204" t="str">
        <f>IF(L20="","",L20*INDEX('Lookup Tables'!$P$94:$R$101,MATCH(Refrigerator!G20,'Lookup Tables'!$C$94:$C$101,0),MATCH(H20,'Lookup Tables'!$P$93:$R$93,0)))</f>
        <v/>
      </c>
    </row>
    <row r="21" spans="2:15" ht="14.25" customHeight="1">
      <c r="B21" s="242">
        <v>7</v>
      </c>
      <c r="C21" s="312" t="str">
        <f>IF(L21="","",L21*INDEX('Lookup Tables'!$G$94:$I$101,MATCH(Refrigerator!G21,'Lookup Tables'!$C$94:$C$101,0),MATCH(H21,'Lookup Tables'!$G$93:$I$93,0)))</f>
        <v/>
      </c>
      <c r="D21" s="310" t="str">
        <f>IF(L21="","",L21*INDEX('Lookup Tables'!$D$94:$F$101,MATCH(Refrigerator!G21,'Lookup Tables'!$C$94:$C$101,0),MATCH(H21,'Lookup Tables'!$D$93:$F$93,0)))</f>
        <v/>
      </c>
      <c r="E21" s="248"/>
      <c r="F21" s="248"/>
      <c r="G21" s="246"/>
      <c r="H21" s="248"/>
      <c r="I21" s="248"/>
      <c r="J21" s="248"/>
      <c r="K21" s="248"/>
      <c r="L21" s="248"/>
      <c r="M21" s="281"/>
      <c r="N21" s="298" t="str">
        <f>IF(OR(L21="",M21=""),"",MIN(L21*'Lookup Tables'!$D$90,M21))</f>
        <v/>
      </c>
      <c r="O21" s="204" t="str">
        <f>IF(L21="","",L21*INDEX('Lookup Tables'!$P$94:$R$101,MATCH(Refrigerator!G21,'Lookup Tables'!$C$94:$C$101,0),MATCH(H21,'Lookup Tables'!$P$93:$R$93,0)))</f>
        <v/>
      </c>
    </row>
    <row r="22" spans="2:15" ht="14.25" customHeight="1">
      <c r="B22" s="242">
        <v>8</v>
      </c>
      <c r="C22" s="312" t="str">
        <f>IF(L22="","",L22*INDEX('Lookup Tables'!$G$94:$I$101,MATCH(Refrigerator!G22,'Lookup Tables'!$C$94:$C$101,0),MATCH(H22,'Lookup Tables'!$G$93:$I$93,0)))</f>
        <v/>
      </c>
      <c r="D22" s="310" t="str">
        <f>IF(L22="","",L22*INDEX('Lookup Tables'!$D$94:$F$101,MATCH(Refrigerator!G22,'Lookup Tables'!$C$94:$C$101,0),MATCH(H22,'Lookup Tables'!$D$93:$F$93,0)))</f>
        <v/>
      </c>
      <c r="E22" s="248"/>
      <c r="F22" s="248"/>
      <c r="G22" s="246"/>
      <c r="H22" s="248"/>
      <c r="I22" s="248"/>
      <c r="J22" s="248"/>
      <c r="K22" s="248"/>
      <c r="L22" s="248"/>
      <c r="M22" s="281"/>
      <c r="N22" s="298" t="str">
        <f>IF(OR(L22="",M22=""),"",MIN(L22*'Lookup Tables'!$D$90,M22))</f>
        <v/>
      </c>
      <c r="O22" s="204" t="str">
        <f>IF(L22="","",L22*INDEX('Lookup Tables'!$P$94:$R$101,MATCH(Refrigerator!G22,'Lookup Tables'!$C$94:$C$101,0),MATCH(H22,'Lookup Tables'!$P$93:$R$93,0)))</f>
        <v/>
      </c>
    </row>
    <row r="23" spans="2:15" ht="14.25" customHeight="1">
      <c r="B23" s="242">
        <v>9</v>
      </c>
      <c r="C23" s="312" t="str">
        <f>IF(L23="","",L23*INDEX('Lookup Tables'!$G$94:$I$101,MATCH(Refrigerator!G23,'Lookup Tables'!$C$94:$C$101,0),MATCH(H23,'Lookup Tables'!$G$93:$I$93,0)))</f>
        <v/>
      </c>
      <c r="D23" s="310" t="str">
        <f>IF(L23="","",L23*INDEX('Lookup Tables'!$D$94:$F$101,MATCH(Refrigerator!G23,'Lookup Tables'!$C$94:$C$101,0),MATCH(H23,'Lookup Tables'!$D$93:$F$93,0)))</f>
        <v/>
      </c>
      <c r="E23" s="248"/>
      <c r="F23" s="248"/>
      <c r="G23" s="246"/>
      <c r="H23" s="248"/>
      <c r="I23" s="248"/>
      <c r="J23" s="248"/>
      <c r="K23" s="248"/>
      <c r="L23" s="248"/>
      <c r="M23" s="281"/>
      <c r="N23" s="298" t="str">
        <f>IF(OR(L23="",M23=""),"",MIN(L23*'Lookup Tables'!$D$90,M23))</f>
        <v/>
      </c>
      <c r="O23" s="204" t="str">
        <f>IF(L23="","",L23*INDEX('Lookup Tables'!$P$94:$R$101,MATCH(Refrigerator!G23,'Lookup Tables'!$C$94:$C$101,0),MATCH(H23,'Lookup Tables'!$P$93:$R$93,0)))</f>
        <v/>
      </c>
    </row>
    <row r="24" spans="2:15" ht="14.25" customHeight="1" thickBot="1">
      <c r="B24" s="243">
        <v>10</v>
      </c>
      <c r="C24" s="313" t="str">
        <f>IF(L24="","",L24*INDEX('Lookup Tables'!$G$94:$I$101,MATCH(Refrigerator!G24,'Lookup Tables'!$C$94:$C$101,0),MATCH(H24,'Lookup Tables'!$G$93:$I$93,0)))</f>
        <v/>
      </c>
      <c r="D24" s="311" t="str">
        <f>IF(L24="","",L24*INDEX('Lookup Tables'!$D$94:$F$101,MATCH(Refrigerator!G24,'Lookup Tables'!$C$94:$C$101,0),MATCH(H24,'Lookup Tables'!$D$93:$F$93,0)))</f>
        <v/>
      </c>
      <c r="E24" s="254"/>
      <c r="F24" s="254"/>
      <c r="G24" s="252"/>
      <c r="H24" s="254"/>
      <c r="I24" s="254"/>
      <c r="J24" s="254"/>
      <c r="K24" s="254"/>
      <c r="L24" s="254"/>
      <c r="M24" s="282"/>
      <c r="N24" s="299" t="str">
        <f>IF(OR(L24="",M24=""),"",MIN(L24*'Lookup Tables'!$D$90,M24))</f>
        <v/>
      </c>
      <c r="O24" s="204" t="str">
        <f>IF(L24="","",L24*INDEX('Lookup Tables'!$P$94:$R$101,MATCH(Refrigerator!G24,'Lookup Tables'!$C$94:$C$101,0),MATCH(H24,'Lookup Tables'!$P$93:$R$93,0)))</f>
        <v/>
      </c>
    </row>
    <row r="30" spans="2:15">
      <c r="E30" s="286"/>
    </row>
  </sheetData>
  <sheetProtection algorithmName="SHA-512" hashValue="AWhtumPcs9MGUrUMXPZEZ1mfa4lfks82s8RXT+nj83NGUJxWXRDcmsIVW2zAjtgjxvNJA5BMDw7JkhXP6qwQUA==" saltValue="CDBUayYuLvdSa+3y+VdJjA==" spinCount="100000" sheet="1" objects="1" scenarios="1"/>
  <mergeCells count="5">
    <mergeCell ref="F11:K11"/>
    <mergeCell ref="B3:K4"/>
    <mergeCell ref="C7:D7"/>
    <mergeCell ref="C8:D8"/>
    <mergeCell ref="C9:D9"/>
  </mergeCells>
  <phoneticPr fontId="93" type="noConversion"/>
  <dataValidations count="3">
    <dataValidation type="list" allowBlank="1" showInputMessage="1" showErrorMessage="1" sqref="K15:K24" xr:uid="{9EAFB97A-3755-443B-8BF0-01970957A9C2}">
      <formula1>"Manual,Automatic"</formula1>
    </dataValidation>
    <dataValidation type="list" allowBlank="1" showInputMessage="1" showErrorMessage="1" sqref="I15:I24" xr:uid="{6C0997F4-86B4-402D-B07E-451E748AA462}">
      <formula1>"Bottom Freezer, Freezerless and Single Door, Side-by-Side, Top Freezer"</formula1>
    </dataValidation>
    <dataValidation type="list" allowBlank="1" showInputMessage="1" showErrorMessage="1" sqref="J15:J24" xr:uid="{D50258D5-C050-4A6A-9880-7DA5996F407F}">
      <formula1>"Yes, 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2C60F122-439D-41FE-A4E4-C4064BFA33E2}">
          <x14:formula1>
            <xm:f>'Lookup Tables'!$D$93:$F$93</xm:f>
          </x14:formula1>
          <xm:sqref>H15:H24</xm:sqref>
        </x14:dataValidation>
        <x14:dataValidation type="list" allowBlank="1" showInputMessage="1" showErrorMessage="1" xr:uid="{0F355B95-6CA8-44CF-A704-9B2F6FA81CE4}">
          <x14:formula1>
            <xm:f>'Lookup Tables'!$C$5:$C$7</xm:f>
          </x14:formula1>
          <xm:sqref>F11:K11</xm:sqref>
        </x14:dataValidation>
        <x14:dataValidation type="list" allowBlank="1" showInputMessage="1" showErrorMessage="1" xr:uid="{8DD5BD9D-D745-4680-A437-BE69DB7E100B}">
          <x14:formula1>
            <xm:f>'Lookup Tables'!$C$94:$C$100</xm:f>
          </x14:formula1>
          <xm:sqref>G15:G24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623A-8982-4187-8372-744579A1935B}">
  <sheetPr codeName="Sheet9">
    <tabColor rgb="FF005CB8"/>
  </sheetPr>
  <dimension ref="B2:N24"/>
  <sheetViews>
    <sheetView showGridLines="0" zoomScale="90" zoomScaleNormal="90" workbookViewId="0">
      <selection activeCell="C20" sqref="C20"/>
    </sheetView>
  </sheetViews>
  <sheetFormatPr defaultColWidth="9" defaultRowHeight="14.25"/>
  <cols>
    <col min="1" max="1" width="9" style="204"/>
    <col min="2" max="2" width="8.5" style="204" customWidth="1"/>
    <col min="3" max="4" width="16.375" style="204" customWidth="1"/>
    <col min="5" max="5" width="40" style="204" customWidth="1"/>
    <col min="6" max="6" width="16.25" style="204" customWidth="1"/>
    <col min="7" max="7" width="58.25" style="204" customWidth="1"/>
    <col min="8" max="8" width="12.375" style="204" customWidth="1"/>
    <col min="9" max="9" width="10.75" style="204" customWidth="1"/>
    <col min="10" max="10" width="11.375" style="204" customWidth="1"/>
    <col min="11" max="11" width="9.5" style="204" hidden="1" customWidth="1"/>
    <col min="12" max="12" width="0" style="204" hidden="1" customWidth="1"/>
    <col min="13" max="13" width="8" style="204" hidden="1" customWidth="1"/>
    <col min="14" max="14" width="9" style="204" hidden="1" customWidth="1"/>
    <col min="15" max="15" width="0" style="204" hidden="1" customWidth="1"/>
    <col min="16" max="16384" width="9" style="204"/>
  </cols>
  <sheetData>
    <row r="2" spans="2:14" ht="35.25">
      <c r="B2" s="206" t="s">
        <v>21</v>
      </c>
      <c r="C2" s="207"/>
      <c r="D2" s="207"/>
    </row>
    <row r="3" spans="2:14" ht="14.25" customHeight="1">
      <c r="B3" s="443" t="s">
        <v>500</v>
      </c>
      <c r="C3" s="443"/>
      <c r="D3" s="443"/>
      <c r="E3" s="443"/>
      <c r="F3" s="443"/>
      <c r="G3" s="443"/>
      <c r="H3" s="443"/>
      <c r="I3" s="443"/>
    </row>
    <row r="4" spans="2:14">
      <c r="B4" s="443"/>
      <c r="C4" s="443"/>
      <c r="D4" s="443"/>
      <c r="E4" s="443"/>
      <c r="F4" s="443"/>
      <c r="G4" s="443"/>
      <c r="H4" s="443"/>
      <c r="I4" s="443"/>
    </row>
    <row r="5" spans="2:14">
      <c r="B5" s="443"/>
      <c r="C5" s="443"/>
      <c r="D5" s="443"/>
      <c r="E5" s="443"/>
      <c r="F5" s="443"/>
      <c r="G5" s="443"/>
      <c r="H5" s="443"/>
      <c r="I5" s="443"/>
    </row>
    <row r="6" spans="2:14" ht="15" thickBot="1">
      <c r="B6" s="443"/>
      <c r="C6" s="443"/>
      <c r="D6" s="443"/>
      <c r="E6" s="443"/>
      <c r="F6" s="443"/>
      <c r="G6" s="443"/>
      <c r="H6" s="443"/>
      <c r="I6" s="443"/>
    </row>
    <row r="7" spans="2:14" ht="15" hidden="1" thickBot="1">
      <c r="B7" s="264" t="s">
        <v>35</v>
      </c>
      <c r="C7" s="265" t="str">
        <f>IF(Summary!C5="","",Summary!C5)</f>
        <v/>
      </c>
      <c r="D7" s="214"/>
      <c r="I7" s="215" t="s">
        <v>59</v>
      </c>
      <c r="J7" s="216"/>
      <c r="K7" s="216"/>
    </row>
    <row r="8" spans="2:14" ht="36.950000000000003" hidden="1" customHeight="1" thickBot="1">
      <c r="B8" s="266" t="s">
        <v>36</v>
      </c>
      <c r="C8" s="267" t="str">
        <f>IF(Summary!C7="","",Summary!C7)</f>
        <v/>
      </c>
      <c r="D8" s="221"/>
      <c r="I8" s="222" t="s">
        <v>76</v>
      </c>
      <c r="J8" s="223" t="s">
        <v>58</v>
      </c>
      <c r="K8" s="268" t="s">
        <v>60</v>
      </c>
      <c r="N8" s="268" t="s">
        <v>490</v>
      </c>
    </row>
    <row r="9" spans="2:14" ht="15" hidden="1" thickBot="1">
      <c r="B9" s="269" t="s">
        <v>38</v>
      </c>
      <c r="C9" s="270" t="str">
        <f>IF(Summary!C8="","",Summary!C8)</f>
        <v/>
      </c>
      <c r="D9" s="221"/>
      <c r="I9" s="316" t="str">
        <f>IFERROR(IF(SUM(D15:D24)=0,"",SUM(D15:D24)),"")</f>
        <v/>
      </c>
      <c r="J9" s="315" t="str">
        <f>IFERROR(IF(SUM(C15:C24)=0,"",SUM(C15:C24)),"")</f>
        <v/>
      </c>
      <c r="K9" s="273" t="str">
        <f>IFERROR(IF(SUM(K15:K24)=0,"",SUM(K15:K24)),"")</f>
        <v/>
      </c>
      <c r="N9" s="314" t="str">
        <f>IFERROR(IF(SUM(N15:N24)=0,"",SUM(N15:N24)),"")</f>
        <v/>
      </c>
    </row>
    <row r="10" spans="2:14" ht="15" hidden="1" thickBot="1">
      <c r="B10" s="274" t="s">
        <v>52</v>
      </c>
      <c r="C10" s="274"/>
      <c r="D10" s="269"/>
      <c r="E10" s="221"/>
      <c r="F10" s="221"/>
      <c r="G10" s="231"/>
      <c r="H10" s="231"/>
      <c r="I10" s="231"/>
      <c r="J10" s="231"/>
      <c r="K10" s="231"/>
      <c r="L10" s="231"/>
      <c r="M10" s="231"/>
    </row>
    <row r="11" spans="2:14" hidden="1">
      <c r="B11" s="231"/>
      <c r="C11" s="231"/>
      <c r="D11" s="231"/>
      <c r="E11" s="232"/>
      <c r="F11" s="435"/>
      <c r="G11" s="435"/>
      <c r="H11" s="435"/>
      <c r="I11" s="231"/>
      <c r="J11" s="231"/>
      <c r="K11" s="231"/>
      <c r="L11" s="231"/>
      <c r="M11" s="231"/>
    </row>
    <row r="12" spans="2:14" hidden="1">
      <c r="B12" s="231"/>
      <c r="C12" s="231"/>
      <c r="D12" s="231"/>
      <c r="E12" s="231"/>
      <c r="F12" s="231"/>
      <c r="G12" s="231"/>
      <c r="H12" s="231"/>
      <c r="I12" s="231"/>
      <c r="J12" s="231"/>
      <c r="K12" s="231"/>
      <c r="L12" s="231"/>
      <c r="M12" s="231"/>
    </row>
    <row r="13" spans="2:14" ht="15" hidden="1" thickBot="1">
      <c r="B13" s="231"/>
      <c r="C13" s="231"/>
      <c r="D13" s="231"/>
      <c r="E13" s="231"/>
      <c r="F13" s="231"/>
      <c r="G13" s="231"/>
      <c r="H13" s="231"/>
      <c r="I13" s="231"/>
      <c r="J13" s="231"/>
      <c r="K13" s="231"/>
      <c r="L13" s="231"/>
      <c r="M13" s="231"/>
    </row>
    <row r="14" spans="2:14" ht="48" customHeight="1" thickBot="1">
      <c r="B14" s="238" t="s">
        <v>62</v>
      </c>
      <c r="C14" s="239" t="s">
        <v>58</v>
      </c>
      <c r="D14" s="240" t="s">
        <v>76</v>
      </c>
      <c r="E14" s="240" t="s">
        <v>53</v>
      </c>
      <c r="F14" s="240" t="s">
        <v>54</v>
      </c>
      <c r="G14" s="239" t="s">
        <v>81</v>
      </c>
      <c r="H14" s="239" t="s">
        <v>73</v>
      </c>
      <c r="I14" s="239" t="s">
        <v>64</v>
      </c>
      <c r="J14" s="241" t="s">
        <v>70</v>
      </c>
      <c r="K14" s="280" t="s">
        <v>60</v>
      </c>
      <c r="M14" s="275" t="s">
        <v>82</v>
      </c>
      <c r="N14" s="223" t="s">
        <v>355</v>
      </c>
    </row>
    <row r="15" spans="2:14" ht="14.25" customHeight="1" thickBot="1">
      <c r="B15" s="242">
        <v>1</v>
      </c>
      <c r="C15" s="312" t="str">
        <f t="shared" ref="C15:C24" si="0">IF(D15="","",D15*0.0001371)</f>
        <v/>
      </c>
      <c r="D15" s="310" t="str">
        <f>IF(SUM('Lookup Tables'!$G168,'Lookup Tables'!$M168,'Lookup Tables'!$S168,'Lookup Tables'!$Y168,'Lookup Tables'!$AE168,'Lookup Tables'!$G183,'Lookup Tables'!$M183,'Lookup Tables'!$S183,'Lookup Tables'!$Y183,'Lookup Tables'!$AE183,'Lookup Tables'!$G196,'Lookup Tables'!$M196)=0,"",SUM('Lookup Tables'!$G168,'Lookup Tables'!$M168,'Lookup Tables'!$S168,'Lookup Tables'!$Y168,'Lookup Tables'!$AE168,'Lookup Tables'!$G183,'Lookup Tables'!$M183,'Lookup Tables'!$S183,'Lookup Tables'!$Y183,'Lookup Tables'!$AE183,'Lookup Tables'!$G196,'Lookup Tables'!$M196))</f>
        <v/>
      </c>
      <c r="E15" s="248"/>
      <c r="F15" s="248"/>
      <c r="G15" s="246"/>
      <c r="H15" s="379"/>
      <c r="I15" s="248"/>
      <c r="J15" s="281"/>
      <c r="K15" s="278" t="str">
        <f>IF(OR(D15="",J15=""),"",MIN(I15*'Lookup Tables'!$D$148,J15))</f>
        <v/>
      </c>
      <c r="M15" s="204" t="e">
        <f>VLOOKUP(G15,'Lookup Tables'!$C$149:$G$162,4,FALSE)*Freezer!H15+VLOOKUP(Freezer!G15,'Lookup Tables'!$C$149:$G$162,5,FALSE)</f>
        <v>#N/A</v>
      </c>
      <c r="N15" s="276" t="str">
        <f t="shared" ref="N15:N24" si="1">IF(D15="","",D15*0.0001023)</f>
        <v/>
      </c>
    </row>
    <row r="16" spans="2:14" ht="14.25" customHeight="1" thickBot="1">
      <c r="B16" s="242">
        <v>2</v>
      </c>
      <c r="C16" s="312" t="str">
        <f t="shared" si="0"/>
        <v/>
      </c>
      <c r="D16" s="310" t="str">
        <f>IF(SUM('Lookup Tables'!$G169,'Lookup Tables'!$M169,'Lookup Tables'!$S169,'Lookup Tables'!$Y169,'Lookup Tables'!$AE169,'Lookup Tables'!$G184,'Lookup Tables'!$M184,'Lookup Tables'!$S184,'Lookup Tables'!$Y184,'Lookup Tables'!$AE184,'Lookup Tables'!$G197,'Lookup Tables'!$M197)=0,"",SUM('Lookup Tables'!$G169,'Lookup Tables'!$M169,'Lookup Tables'!$S169,'Lookup Tables'!$Y169,'Lookup Tables'!$AE169,'Lookup Tables'!$G184,'Lookup Tables'!$M184,'Lookup Tables'!$S184,'Lookup Tables'!$Y184,'Lookup Tables'!$AE184,'Lookup Tables'!$G197,'Lookup Tables'!$M197))</f>
        <v/>
      </c>
      <c r="E16" s="248"/>
      <c r="F16" s="248"/>
      <c r="G16" s="246"/>
      <c r="H16" s="379"/>
      <c r="I16" s="248"/>
      <c r="J16" s="281"/>
      <c r="K16" s="278" t="str">
        <f>IF(OR(D16="",J16=""),"",MIN(I16*'Lookup Tables'!$D$148,J16))</f>
        <v/>
      </c>
      <c r="M16" s="204" t="e">
        <f>VLOOKUP(G16,'Lookup Tables'!$C$149:$G$162,4,FALSE)*Freezer!H16+VLOOKUP(Freezer!G16,'Lookup Tables'!$C$149:$G$162,5,FALSE)</f>
        <v>#N/A</v>
      </c>
      <c r="N16" s="276" t="str">
        <f t="shared" si="1"/>
        <v/>
      </c>
    </row>
    <row r="17" spans="2:14" ht="14.25" customHeight="1" thickBot="1">
      <c r="B17" s="242">
        <v>3</v>
      </c>
      <c r="C17" s="312" t="str">
        <f t="shared" si="0"/>
        <v/>
      </c>
      <c r="D17" s="310" t="str">
        <f>IF(SUM('Lookup Tables'!$G170,'Lookup Tables'!$M170,'Lookup Tables'!$S170,'Lookup Tables'!$Y170,'Lookup Tables'!$AE170,'Lookup Tables'!$G185,'Lookup Tables'!$M185,'Lookup Tables'!$S185,'Lookup Tables'!$Y185,'Lookup Tables'!$AE185,'Lookup Tables'!$G198,'Lookup Tables'!$M198)=0,"",SUM('Lookup Tables'!$G170,'Lookup Tables'!$M170,'Lookup Tables'!$S170,'Lookup Tables'!$Y170,'Lookup Tables'!$AE170,'Lookup Tables'!$G185,'Lookup Tables'!$M185,'Lookup Tables'!$S185,'Lookup Tables'!$Y185,'Lookup Tables'!$AE185,'Lookup Tables'!$G198,'Lookup Tables'!$M198))</f>
        <v/>
      </c>
      <c r="E17" s="248"/>
      <c r="F17" s="248"/>
      <c r="G17" s="246"/>
      <c r="H17" s="379"/>
      <c r="I17" s="248"/>
      <c r="J17" s="281"/>
      <c r="K17" s="278" t="str">
        <f>IF(OR(D17="",J17=""),"",MIN(I17*'Lookup Tables'!$D$148,J17))</f>
        <v/>
      </c>
      <c r="M17" s="204" t="e">
        <f>VLOOKUP(G17,'Lookup Tables'!$C$149:$G$162,4,FALSE)*Freezer!H17+VLOOKUP(Freezer!G17,'Lookup Tables'!$C$149:$G$162,5,FALSE)</f>
        <v>#N/A</v>
      </c>
      <c r="N17" s="276" t="str">
        <f t="shared" si="1"/>
        <v/>
      </c>
    </row>
    <row r="18" spans="2:14" ht="14.25" customHeight="1" thickBot="1">
      <c r="B18" s="242">
        <v>4</v>
      </c>
      <c r="C18" s="312" t="str">
        <f t="shared" si="0"/>
        <v/>
      </c>
      <c r="D18" s="310" t="str">
        <f>IF(SUM('Lookup Tables'!$G171,'Lookup Tables'!$M171,'Lookup Tables'!$S171,'Lookup Tables'!$Y171,'Lookup Tables'!$AE171,'Lookup Tables'!$G186,'Lookup Tables'!$M186,'Lookup Tables'!$S186,'Lookup Tables'!$Y186,'Lookup Tables'!$AE186,'Lookup Tables'!$G199,'Lookup Tables'!$M199)=0,"",SUM('Lookup Tables'!$G171,'Lookup Tables'!$M171,'Lookup Tables'!$S171,'Lookup Tables'!$Y171,'Lookup Tables'!$AE171,'Lookup Tables'!$G186,'Lookup Tables'!$M186,'Lookup Tables'!$S186,'Lookup Tables'!$Y186,'Lookup Tables'!$AE186,'Lookup Tables'!$G199,'Lookup Tables'!$M199))</f>
        <v/>
      </c>
      <c r="E18" s="248"/>
      <c r="F18" s="248"/>
      <c r="G18" s="246"/>
      <c r="H18" s="379"/>
      <c r="I18" s="248"/>
      <c r="J18" s="281"/>
      <c r="K18" s="278" t="str">
        <f>IF(OR(D18="",J18=""),"",MIN(I18*'Lookup Tables'!$D$148,J18))</f>
        <v/>
      </c>
      <c r="M18" s="204" t="e">
        <f>VLOOKUP(G18,'Lookup Tables'!$C$149:$G$162,4,FALSE)*Freezer!H18+VLOOKUP(Freezer!G18,'Lookup Tables'!$C$149:$G$162,5,FALSE)</f>
        <v>#N/A</v>
      </c>
      <c r="N18" s="276" t="str">
        <f t="shared" si="1"/>
        <v/>
      </c>
    </row>
    <row r="19" spans="2:14" ht="14.25" customHeight="1" thickBot="1">
      <c r="B19" s="242">
        <v>5</v>
      </c>
      <c r="C19" s="312" t="str">
        <f t="shared" si="0"/>
        <v/>
      </c>
      <c r="D19" s="310" t="str">
        <f>IF(SUM('Lookup Tables'!$G172,'Lookup Tables'!$M172,'Lookup Tables'!$S172,'Lookup Tables'!$Y172,'Lookup Tables'!$AE172,'Lookup Tables'!$G187,'Lookup Tables'!$M187,'Lookup Tables'!$S187,'Lookup Tables'!$Y187,'Lookup Tables'!$AE187,'Lookup Tables'!$G200,'Lookup Tables'!$M200)=0,"",SUM('Lookup Tables'!$G172,'Lookup Tables'!$M172,'Lookup Tables'!$S172,'Lookup Tables'!$Y172,'Lookup Tables'!$AE172,'Lookup Tables'!$G187,'Lookup Tables'!$M187,'Lookup Tables'!$S187,'Lookup Tables'!$Y187,'Lookup Tables'!$AE187,'Lookup Tables'!$G200,'Lookup Tables'!$M200))</f>
        <v/>
      </c>
      <c r="E19" s="248"/>
      <c r="F19" s="248"/>
      <c r="G19" s="246"/>
      <c r="H19" s="379"/>
      <c r="I19" s="248"/>
      <c r="J19" s="281"/>
      <c r="K19" s="278" t="str">
        <f>IF(OR(D19="",J19=""),"",MIN(I19*'Lookup Tables'!$D$148,J19))</f>
        <v/>
      </c>
      <c r="M19" s="204" t="e">
        <f>VLOOKUP(G19,'Lookup Tables'!$C$149:$G$162,4,FALSE)*Freezer!H19+VLOOKUP(Freezer!G19,'Lookup Tables'!$C$149:$G$162,5,FALSE)</f>
        <v>#N/A</v>
      </c>
      <c r="N19" s="276" t="str">
        <f t="shared" si="1"/>
        <v/>
      </c>
    </row>
    <row r="20" spans="2:14" ht="14.25" customHeight="1" thickBot="1">
      <c r="B20" s="242">
        <v>6</v>
      </c>
      <c r="C20" s="312" t="str">
        <f t="shared" si="0"/>
        <v/>
      </c>
      <c r="D20" s="310" t="str">
        <f>IF(SUM('Lookup Tables'!$G173,'Lookup Tables'!$M173,'Lookup Tables'!$S173,'Lookup Tables'!$Y173,'Lookup Tables'!$AE173,'Lookup Tables'!$G188,'Lookup Tables'!$M188,'Lookup Tables'!$S188,'Lookup Tables'!$Y188,'Lookup Tables'!$AE188,'Lookup Tables'!$G201,'Lookup Tables'!$M201)=0,"",SUM('Lookup Tables'!$G173,'Lookup Tables'!$M173,'Lookup Tables'!$S173,'Lookup Tables'!$Y173,'Lookup Tables'!$AE173,'Lookup Tables'!$G188,'Lookup Tables'!$M188,'Lookup Tables'!$S188,'Lookup Tables'!$Y188,'Lookup Tables'!$AE188,'Lookup Tables'!$G201,'Lookup Tables'!$M201))</f>
        <v/>
      </c>
      <c r="E20" s="248"/>
      <c r="F20" s="248"/>
      <c r="G20" s="246"/>
      <c r="H20" s="379"/>
      <c r="I20" s="248"/>
      <c r="J20" s="281"/>
      <c r="K20" s="278" t="str">
        <f>IF(OR(D20="",J20=""),"",MIN(I20*'Lookup Tables'!$D$148,J20))</f>
        <v/>
      </c>
      <c r="M20" s="204" t="e">
        <f>VLOOKUP(G20,'Lookup Tables'!$C$149:$G$162,4,FALSE)*Freezer!H20+VLOOKUP(Freezer!G20,'Lookup Tables'!$C$149:$G$162,5,FALSE)</f>
        <v>#N/A</v>
      </c>
      <c r="N20" s="276" t="str">
        <f t="shared" si="1"/>
        <v/>
      </c>
    </row>
    <row r="21" spans="2:14" ht="14.25" customHeight="1" thickBot="1">
      <c r="B21" s="242">
        <v>7</v>
      </c>
      <c r="C21" s="312" t="str">
        <f t="shared" si="0"/>
        <v/>
      </c>
      <c r="D21" s="310" t="str">
        <f>IF(SUM('Lookup Tables'!$G174,'Lookup Tables'!$M174,'Lookup Tables'!$S174,'Lookup Tables'!$Y174,'Lookup Tables'!$AE174,'Lookup Tables'!$G189,'Lookup Tables'!$M189,'Lookup Tables'!$S189,'Lookup Tables'!$Y189,'Lookup Tables'!$AE189,'Lookup Tables'!$G202,'Lookup Tables'!$M202)=0,"",SUM('Lookup Tables'!$G174,'Lookup Tables'!$M174,'Lookup Tables'!$S174,'Lookup Tables'!$Y174,'Lookup Tables'!$AE174,'Lookup Tables'!$G189,'Lookup Tables'!$M189,'Lookup Tables'!$S189,'Lookup Tables'!$Y189,'Lookup Tables'!$AE189,'Lookup Tables'!$G202,'Lookup Tables'!$M202))</f>
        <v/>
      </c>
      <c r="E21" s="248"/>
      <c r="F21" s="248"/>
      <c r="G21" s="246"/>
      <c r="H21" s="379"/>
      <c r="I21" s="248"/>
      <c r="J21" s="281"/>
      <c r="K21" s="278" t="str">
        <f>IF(OR(D21="",J21=""),"",MIN(I21*'Lookup Tables'!$D$148,J21))</f>
        <v/>
      </c>
      <c r="M21" s="204" t="e">
        <f>VLOOKUP(G21,'Lookup Tables'!$C$149:$G$162,4,FALSE)*Freezer!H21+VLOOKUP(Freezer!G21,'Lookup Tables'!$C$149:$G$162,5,FALSE)</f>
        <v>#N/A</v>
      </c>
      <c r="N21" s="276" t="str">
        <f t="shared" si="1"/>
        <v/>
      </c>
    </row>
    <row r="22" spans="2:14" ht="14.25" customHeight="1" thickBot="1">
      <c r="B22" s="242">
        <v>8</v>
      </c>
      <c r="C22" s="312" t="str">
        <f t="shared" si="0"/>
        <v/>
      </c>
      <c r="D22" s="310" t="str">
        <f>IF(SUM('Lookup Tables'!$G175,'Lookup Tables'!$M175,'Lookup Tables'!$S175,'Lookup Tables'!$Y175,'Lookup Tables'!$AE175,'Lookup Tables'!$G190,'Lookup Tables'!$M190,'Lookup Tables'!$S190,'Lookup Tables'!$Y190,'Lookup Tables'!$AE190,'Lookup Tables'!$G203,'Lookup Tables'!$M203)=0,"",SUM('Lookup Tables'!$G175,'Lookup Tables'!$M175,'Lookup Tables'!$S175,'Lookup Tables'!$Y175,'Lookup Tables'!$AE175,'Lookup Tables'!$G190,'Lookup Tables'!$M190,'Lookup Tables'!$S190,'Lookup Tables'!$Y190,'Lookup Tables'!$AE190,'Lookup Tables'!$G203,'Lookup Tables'!$M203))</f>
        <v/>
      </c>
      <c r="E22" s="248"/>
      <c r="F22" s="248"/>
      <c r="G22" s="246"/>
      <c r="H22" s="379"/>
      <c r="I22" s="248"/>
      <c r="J22" s="281"/>
      <c r="K22" s="278" t="str">
        <f>IF(OR(D22="",J22=""),"",MIN(I22*'Lookup Tables'!$D$148,J22))</f>
        <v/>
      </c>
      <c r="M22" s="204" t="e">
        <f>VLOOKUP(G22,'Lookup Tables'!$C$149:$G$162,4,FALSE)*Freezer!H22+VLOOKUP(Freezer!G22,'Lookup Tables'!$C$149:$G$162,5,FALSE)</f>
        <v>#N/A</v>
      </c>
      <c r="N22" s="276" t="str">
        <f t="shared" si="1"/>
        <v/>
      </c>
    </row>
    <row r="23" spans="2:14" ht="14.25" customHeight="1" thickBot="1">
      <c r="B23" s="242">
        <v>9</v>
      </c>
      <c r="C23" s="312" t="str">
        <f t="shared" si="0"/>
        <v/>
      </c>
      <c r="D23" s="310" t="str">
        <f>IF(SUM('Lookup Tables'!$G176,'Lookup Tables'!$M176,'Lookup Tables'!$S176,'Lookup Tables'!$Y176,'Lookup Tables'!$AE176,'Lookup Tables'!$G191,'Lookup Tables'!$M191,'Lookup Tables'!$S191,'Lookup Tables'!$Y191,'Lookup Tables'!$AE191,'Lookup Tables'!$G204,'Lookup Tables'!$M204)=0,"",SUM('Lookup Tables'!$G176,'Lookup Tables'!$M176,'Lookup Tables'!$S176,'Lookup Tables'!$Y176,'Lookup Tables'!$AE176,'Lookup Tables'!$G191,'Lookup Tables'!$M191,'Lookup Tables'!$S191,'Lookup Tables'!$Y191,'Lookup Tables'!$AE191,'Lookup Tables'!$G204,'Lookup Tables'!$M204))</f>
        <v/>
      </c>
      <c r="E23" s="248"/>
      <c r="F23" s="248"/>
      <c r="G23" s="246"/>
      <c r="H23" s="379"/>
      <c r="I23" s="248"/>
      <c r="J23" s="281"/>
      <c r="K23" s="278" t="str">
        <f>IF(OR(D23="",J23=""),"",MIN(I23*'Lookup Tables'!$D$148,J23))</f>
        <v/>
      </c>
      <c r="M23" s="204" t="e">
        <f>VLOOKUP(G23,'Lookup Tables'!$C$149:$G$162,4,FALSE)*Freezer!H23+VLOOKUP(Freezer!G23,'Lookup Tables'!$C$149:$G$162,5,FALSE)</f>
        <v>#N/A</v>
      </c>
      <c r="N23" s="276" t="str">
        <f t="shared" si="1"/>
        <v/>
      </c>
    </row>
    <row r="24" spans="2:14" ht="14.25" customHeight="1" thickBot="1">
      <c r="B24" s="243">
        <v>10</v>
      </c>
      <c r="C24" s="313" t="str">
        <f t="shared" si="0"/>
        <v/>
      </c>
      <c r="D24" s="311" t="str">
        <f>IF(SUM('Lookup Tables'!$G177,'Lookup Tables'!$M177,'Lookup Tables'!$S177,'Lookup Tables'!$Y177,'Lookup Tables'!$AE177,'Lookup Tables'!$G192,'Lookup Tables'!$M192,'Lookup Tables'!$S192,'Lookup Tables'!$Y192,'Lookup Tables'!$AE192,'Lookup Tables'!$G205,'Lookup Tables'!$M205)=0,"",SUM('Lookup Tables'!$G177,'Lookup Tables'!$M177,'Lookup Tables'!$S177,'Lookup Tables'!$Y177,'Lookup Tables'!$AE177,'Lookup Tables'!$G192,'Lookup Tables'!$M192,'Lookup Tables'!$S192,'Lookup Tables'!$Y192,'Lookup Tables'!$AE192,'Lookup Tables'!$G205,'Lookup Tables'!$M205))</f>
        <v/>
      </c>
      <c r="E24" s="254"/>
      <c r="F24" s="254"/>
      <c r="G24" s="252"/>
      <c r="H24" s="380"/>
      <c r="I24" s="254"/>
      <c r="J24" s="282"/>
      <c r="K24" s="279" t="str">
        <f>IF(OR(D24="",J24=""),"",MIN(I24*'Lookup Tables'!$D$148,J24))</f>
        <v/>
      </c>
      <c r="M24" s="204" t="e">
        <f>VLOOKUP(G24,'Lookup Tables'!$C$149:$G$162,4,FALSE)*Freezer!H24+VLOOKUP(Freezer!G24,'Lookup Tables'!$C$149:$G$162,5,FALSE)</f>
        <v>#N/A</v>
      </c>
      <c r="N24" s="276" t="str">
        <f t="shared" si="1"/>
        <v/>
      </c>
    </row>
  </sheetData>
  <sheetProtection algorithmName="SHA-512" hashValue="kV1owZ+n7LCsn1ZmH33cHFOoDFl+qHOxXO68qOsaHdTHifRldOyS2GQKyE2L/+UlqrGaLeKofqNkk2xOIW8kAQ==" saltValue="fMSqRAJvvvjE7KvBPCVNTg==" spinCount="100000" sheet="1" objects="1" scenarios="1"/>
  <mergeCells count="2">
    <mergeCell ref="F11:H11"/>
    <mergeCell ref="B3:I6"/>
  </mergeCells>
  <conditionalFormatting sqref="E15:F24">
    <cfRule type="expression" dxfId="14" priority="1">
      <formula>$G15="Upright Freezer, General"</formula>
    </cfRule>
    <cfRule type="expression" dxfId="13" priority="2">
      <formula>$G15="Chest Freezer, General"</formula>
    </cfRule>
  </conditionalFormatting>
  <conditionalFormatting sqref="H15:H24">
    <cfRule type="expression" dxfId="12" priority="3">
      <formula>$G15="Upright Freezer, General"</formula>
    </cfRule>
    <cfRule type="expression" dxfId="11" priority="4">
      <formula>$G15="Chest Freezer, General"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A93A56F-0C93-425C-A806-EBF274E56E15}">
          <x14:formula1>
            <xm:f>'Lookup Tables'!$C$152:$C$163</xm:f>
          </x14:formula1>
          <xm:sqref>G15:G24</xm:sqref>
        </x14:dataValidation>
        <x14:dataValidation type="list" allowBlank="1" showInputMessage="1" showErrorMessage="1" xr:uid="{63C347D6-DF0F-4C26-A432-9FAC013313A0}">
          <x14:formula1>
            <xm:f>'Lookup Tables'!$C$5:$C$7</xm:f>
          </x14:formula1>
          <xm:sqref>F11:H11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E327-C137-4E6B-A211-18B1214AEFA3}">
  <sheetPr codeName="Sheet10">
    <tabColor rgb="FF005CB8"/>
  </sheetPr>
  <dimension ref="B2:J8"/>
  <sheetViews>
    <sheetView showGridLines="0" zoomScale="90" zoomScaleNormal="90" workbookViewId="0">
      <selection activeCell="C20" sqref="C20"/>
    </sheetView>
  </sheetViews>
  <sheetFormatPr defaultColWidth="9" defaultRowHeight="14.25"/>
  <cols>
    <col min="1" max="1" width="9" style="204"/>
    <col min="2" max="2" width="29.25" style="204" customWidth="1"/>
    <col min="3" max="3" width="28.625" style="204" customWidth="1"/>
    <col min="4" max="4" width="29.25" style="204" customWidth="1"/>
    <col min="5" max="5" width="19.5" style="204" customWidth="1"/>
    <col min="6" max="6" width="23.375" style="204" customWidth="1"/>
    <col min="7" max="7" width="16.75" style="204" customWidth="1"/>
    <col min="8" max="8" width="23.375" style="204" customWidth="1"/>
    <col min="9" max="9" width="16.5" style="204" hidden="1" customWidth="1"/>
    <col min="10" max="10" width="15.625" style="204" hidden="1" customWidth="1"/>
    <col min="11" max="16384" width="9" style="204"/>
  </cols>
  <sheetData>
    <row r="2" spans="2:10" ht="18">
      <c r="B2" s="371" t="s">
        <v>19</v>
      </c>
      <c r="C2" s="302"/>
      <c r="D2" s="302"/>
      <c r="E2" s="302"/>
      <c r="F2" s="302"/>
    </row>
    <row r="3" spans="2:10" ht="14.25" customHeight="1">
      <c r="B3" s="444" t="s">
        <v>499</v>
      </c>
      <c r="C3" s="444"/>
      <c r="D3" s="444"/>
      <c r="E3" s="444"/>
      <c r="F3" s="444"/>
    </row>
    <row r="4" spans="2:10">
      <c r="B4" s="444"/>
      <c r="C4" s="444"/>
      <c r="D4" s="444"/>
      <c r="E4" s="444"/>
      <c r="F4" s="444"/>
    </row>
    <row r="5" spans="2:10" ht="15" thickBot="1"/>
    <row r="6" spans="2:10" ht="48" customHeight="1">
      <c r="B6" s="363" t="s">
        <v>58</v>
      </c>
      <c r="C6" s="364" t="s">
        <v>57</v>
      </c>
      <c r="D6" s="364" t="s">
        <v>53</v>
      </c>
      <c r="E6" s="364" t="s">
        <v>54</v>
      </c>
      <c r="F6" s="364" t="s">
        <v>55</v>
      </c>
      <c r="G6" s="364" t="s">
        <v>83</v>
      </c>
      <c r="H6" s="365" t="s">
        <v>56</v>
      </c>
      <c r="I6" s="368" t="s">
        <v>60</v>
      </c>
      <c r="J6" s="362" t="s">
        <v>490</v>
      </c>
    </row>
    <row r="7" spans="2:10" ht="14.25" customHeight="1" thickBot="1">
      <c r="B7" s="369" t="str">
        <f>IF(G7="","",$G$7*VLOOKUP($F$7,'Lookup Tables'!$C$111:$E$112,3,FALSE))</f>
        <v/>
      </c>
      <c r="C7" s="325" t="str">
        <f>IF(G7="","",$G$7*VLOOKUP($F$7,'Lookup Tables'!$C$111:$D$112,2,FALSE))</f>
        <v/>
      </c>
      <c r="D7" s="330"/>
      <c r="E7" s="330"/>
      <c r="F7" s="331"/>
      <c r="G7" s="332"/>
      <c r="H7" s="282"/>
      <c r="I7" s="373" t="str">
        <f>IF(OR($G$7="",H7=""),"",MIN($G$7*'Lookup Tables'!$D$108,H7))</f>
        <v/>
      </c>
      <c r="J7" s="372" t="str">
        <f>IF(G7="","",$G$7*VLOOKUP($F$7,'Lookup Tables'!$C$111:$F$112,4,FALSE))</f>
        <v/>
      </c>
    </row>
    <row r="8" spans="2:10" ht="14.25" customHeight="1"/>
  </sheetData>
  <sheetProtection algorithmName="SHA-512" hashValue="4ejKjYawQK7jrT8pPF5GNXPGwOLPLbEgIVN1tND3ZWvE/ksUfik5N58zZ2fKAcN0Ptg+Frf9G9by1uDUemQkFA==" saltValue="HX2kZewDN1UCqCfpY7QgUQ==" spinCount="100000" sheet="1" objects="1" scenarios="1"/>
  <mergeCells count="1">
    <mergeCell ref="B3:F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D315BD7-8D5E-45FF-A012-E503D63E910B}">
          <x14:formula1>
            <xm:f>'Lookup Tables'!$C$111:$C$112</xm:f>
          </x14:formula1>
          <xm:sqref>F7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b98975f6a491bd886690a62c43f87bd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4a82b1b1360f8e02adc9412f190f1cb"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FAE430-3BFB-462E-9D55-4BD018C9637E}">
  <ds:schemaRefs>
    <ds:schemaRef ds:uri="http://schemas.microsoft.com/sharepoint/v3/contenttype/forms"/>
  </ds:schemaRefs>
</ds:datastoreItem>
</file>

<file path=customXml/itemProps2.xml><?xml version="1.0" encoding="utf-8"?>
<ds:datastoreItem xmlns:ds="http://schemas.openxmlformats.org/officeDocument/2006/customXml" ds:itemID="{5F842BA0-91BB-4BF4-AB0C-A88F59423924}">
  <ds:schemaRefs>
    <ds:schemaRef ds:uri="http://purl.org/dc/terms/"/>
    <ds:schemaRef ds:uri="http://schemas.openxmlformats.org/package/2006/metadata/core-properties"/>
    <ds:schemaRef ds:uri="http://schemas.microsoft.com/office/infopath/2007/PartnerControls"/>
    <ds:schemaRef ds:uri="http://purl.org/dc/dcmitype/"/>
    <ds:schemaRef ds:uri="98788742-c24c-455f-83e9-59d89e3de440"/>
    <ds:schemaRef ds:uri="http://schemas.microsoft.com/office/2006/documentManagement/types"/>
    <ds:schemaRef ds:uri="http://www.w3.org/XML/1998/namespace"/>
    <ds:schemaRef ds:uri="52741100-c965-4fd4-8aa7-2d9d842b1c91"/>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17173B4-C143-4770-AA90-DB9F7C6E0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 Instructions</vt:lpstr>
      <vt:lpstr>Methodology</vt:lpstr>
      <vt:lpstr>Summary</vt:lpstr>
      <vt:lpstr>Commercial Clothes Washer</vt:lpstr>
      <vt:lpstr>Non Comm Clothes Washer</vt:lpstr>
      <vt:lpstr>Clothes Dryer</vt:lpstr>
      <vt:lpstr>Refrigerator</vt:lpstr>
      <vt:lpstr>Freezer</vt:lpstr>
      <vt:lpstr>Heat Pump Water Heater</vt:lpstr>
      <vt:lpstr>Water Cooler</vt:lpstr>
      <vt:lpstr>Dehumidifier </vt:lpstr>
      <vt:lpstr>EV Charger</vt:lpstr>
      <vt:lpstr>Data Export</vt:lpstr>
      <vt:lpstr>Lookup Tables</vt:lpstr>
      <vt:lpstr>Version Log</vt:lpstr>
      <vt:lpstr>2023 Record of Revisions</vt:lpstr>
      <vt:lpstr>'Lookup Tables'!_ftn1</vt:lpstr>
      <vt:lpstr>'Lookup Tables'!_ftn2</vt:lpstr>
      <vt:lpstr>'Lookup Tables'!_ftnref1</vt:lpstr>
      <vt:lpstr>'Lookup Tables'!_ftnref2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Conor McGrail</cp:lastModifiedBy>
  <cp:revision/>
  <dcterms:created xsi:type="dcterms:W3CDTF">2014-05-06T17:45:34Z</dcterms:created>
  <dcterms:modified xsi:type="dcterms:W3CDTF">2024-05-28T12:38:38Z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0x0101001BF96E70731EB54292983A8187A83857</vt:lpwstr>
  </property>
  <property fmtid="{D5CDD505-2E9C-101B-9397-08002B2CF9AE}" pid="4" name="_dlc_DocIdItemGuid">
    <vt:lpwstr>1d332d2d-eb76-4ad6-85df-e8a261b3a279</vt:lpwstr>
  </property>
  <property fmtid="{D5CDD505-2E9C-101B-9397-08002B2CF9AE}" pid="5" name="MediaServiceImageTags">
    <vt:lpwstr/>
  </property>
</Properties>
</file>